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Power Curves" sheetId="2" state="visible" r:id="rId4"/>
    <sheet name="Gas Curves" sheetId="3" state="visible" r:id="rId5"/>
    <sheet name="Calculations" sheetId="4" state="visible" r:id="rId6"/>
    <sheet name="Pricing Inputs" sheetId="5" state="visible" r:id="rId7"/>
    <sheet name="Output" sheetId="6" state="visible" r:id="rId8"/>
    <sheet name="WIP" sheetId="7" state="visible" r:id="rId9"/>
  </sheets>
  <externalReferences>
    <externalReference r:id="rId10"/>
  </externalReferences>
  <definedNames>
    <definedName function="false" hidden="false" localSheetId="3" name="_xlnm.Print_Area" vbProcedure="false">Calculations!$BM$1:$BW$27</definedName>
    <definedName function="false" hidden="false" localSheetId="2" name="_xlnm.Print_Area" vbProcedure="false">'Gas Curves'!$B$10:$P$137</definedName>
    <definedName function="false" hidden="false" localSheetId="2" name="_xlnm.Print_Titles" vbProcedure="false">'Gas Curves'!$13:$13</definedName>
    <definedName function="false" hidden="false" name="Availability" vbProcedure="false">Inputs!$F$30</definedName>
    <definedName function="false" hidden="false" name="Basischeck" vbProcedure="false">'Pricing Inputs'!$AX$10</definedName>
    <definedName function="false" hidden="false" name="BasisIndex" vbProcedure="false">'Power Curves'!$DV$15:$DV$28</definedName>
    <definedName function="false" hidden="false" name="BasisNumber" vbProcedure="false">'Power Curves'!$DV$13</definedName>
    <definedName function="false" hidden="false" name="BMO" vbProcedure="false">'Pricing Inputs'!$AT$3</definedName>
    <definedName function="false" hidden="false" name="CC" vbProcedure="false">'Pricing Inputs'!$AN$8</definedName>
    <definedName function="false" hidden="false" name="CorrelationTable" vbProcedure="false">'Power Curves'!$DH$19:$DI$420</definedName>
    <definedName function="false" hidden="false" name="Curveadj" vbProcedure="false">Inputs!$A$28:$C$39</definedName>
    <definedName function="false" hidden="false" name="CurveDate" vbProcedure="false">Inputs!$D$2</definedName>
    <definedName function="false" hidden="false" name="CurveRange" vbProcedure="false">'Gas Curves'!$C$11</definedName>
    <definedName function="false" hidden="false" name="CurveValues" vbProcedure="false">#NAME? [2]Curves!$B$11:$M$377</definedName>
    <definedName function="false" hidden="false" name="DateToday" vbProcedure="false">Inputs!$D$1</definedName>
    <definedName function="false" hidden="false" name="Dayrun" vbProcedure="false">'Pricing Inputs'!$AQ$3</definedName>
    <definedName function="false" hidden="false" name="DBase" vbProcedure="false">'Gas Curves'!$B$3</definedName>
    <definedName function="false" hidden="false" name="Gasbmo" vbProcedure="false">Inputs!$F$25</definedName>
    <definedName function="false" hidden="false" name="GasCurves" vbProcedure="false">'Gas Curves'!$B$17:$P$310</definedName>
    <definedName function="false" hidden="false" name="Gasesc" vbProcedure="false">Inputs!$F$23</definedName>
    <definedName function="false" hidden="false" name="GasVolTable" vbProcedure="false">'Gas Curves'!$B$10:$H$353</definedName>
    <definedName function="false" hidden="false" name="Hrtable" vbProcedure="false">Inputs!$A$53:$C$64</definedName>
    <definedName function="false" hidden="false" name="InterestRatesTable" vbProcedure="false">'Gas Curves'!$B$10:$C$377</definedName>
    <definedName function="false" hidden="false" name="IntraPowerVol" vbProcedure="false">'Power Curves'!$CY$17:$DB$420</definedName>
    <definedName function="false" hidden="false" name="IRFirstMonth" vbProcedure="false">'Power Curves'!$A$13</definedName>
    <definedName function="false" hidden="false" name="IRTable" vbProcedure="false">'Power Curves'!$A$13:$B$289</definedName>
    <definedName function="false" hidden="false" name="LastDateOfMonthlyVol" vbProcedure="false">'Power Curves'!$W$12</definedName>
    <definedName function="false" hidden="false" name="ManualTable" vbProcedure="false">Inputs!$R$12:$AA$23</definedName>
    <definedName function="false" hidden="false" name="NumberofDaysTable" vbProcedure="false">'Pricing Inputs'!$AF$2:$AK$446</definedName>
    <definedName function="false" hidden="false" name="OmicronCurveDate" vbProcedure="false">Inputs!$D$5</definedName>
    <definedName function="false" hidden="false" name="OmicronVol" vbProcedure="false">'Gas Curves'!$R$14:$U$310</definedName>
    <definedName function="false" hidden="false" name="OPPowerPrices" vbProcedure="false">'Power Curves'!$D$19:$K$274</definedName>
    <definedName function="false" hidden="false" name="Password" vbProcedure="false">'Gas Curves'!$B$2</definedName>
    <definedName function="false" hidden="false" name="PeakPowerCurves" vbProcedure="false">'Power Curves'!$D$19:$G$372</definedName>
    <definedName function="false" hidden="false" name="Perstart" vbProcedure="false">Inputs!$F$9</definedName>
    <definedName function="false" hidden="false" name="PositionRegion" vbProcedure="false">'Power Curves'!$D$13</definedName>
    <definedName function="false" hidden="false" name="PowerVolTable" vbProcedure="false">'Power Curves'!$CY$19:$DF$420</definedName>
    <definedName function="false" hidden="false" name="Pricetype" vbProcedure="false">'Pricing Inputs'!$AN$3</definedName>
    <definedName function="false" hidden="false" name="PV" vbProcedure="false">'Pricing Inputs'!$AW$3</definedName>
    <definedName function="false" hidden="false" name="Pwresc" vbProcedure="false">Inputs!$F$19</definedName>
    <definedName function="false" hidden="false" name="RegionIndex" vbProcedure="false">'Power Curves'!$DS$19:$DS$47</definedName>
    <definedName function="false" hidden="false" name="RegionNumber" vbProcedure="false">'Power Curves'!$DS$18</definedName>
    <definedName function="false" hidden="false" name="SatSunPeakPwr" vbProcedure="false">'Power Curves'!$M$15:$T$242</definedName>
    <definedName function="false" hidden="false" name="ScalarTable" vbProcedure="false">'Pricing Inputs'!$B$5:$M$32</definedName>
    <definedName function="false" hidden="false" name="ScaledPrice" vbProcedure="false">'Pricing Inputs'!$A$36:$J$420</definedName>
    <definedName function="false" hidden="false" name="Smile" vbProcedure="false">'Pricing Inputs'!$AX$7</definedName>
    <definedName function="false" hidden="false" name="Today" vbProcedure="false">'Gas Curves'!$A$6</definedName>
    <definedName function="false" hidden="false" name="UpperLeftOfCurveTable" vbProcedure="false">'Gas Curves'!$B$11</definedName>
    <definedName function="false" hidden="false" name="UserName" vbProcedure="false">'Gas Curves'!$B$1</definedName>
    <definedName function="false" hidden="false" name="Volscale" vbProcedure="false">Inputs!$A$28:$B$39</definedName>
    <definedName function="false" hidden="false" name="Volsmile" vbProcedure="false">'Power Curves'!$AS$47:$AT$67</definedName>
    <definedName function="false" hidden="false" name="VOM" vbProcedure="false">Inputs!$F$5</definedName>
    <definedName function="false" hidden="false" name="VOMesc" vbProcedure="false">Inputs!$F$7</definedName>
    <definedName function="false" hidden="false" name="_Order1" vbProcedure="false">255</definedName>
    <definedName function="false" hidden="false" name="_Order2" vbProcedure="false">0</definedName>
    <definedName function="false" hidden="false" localSheetId="2" name="CurveCode" vbProcedure="false">OFFSET('Gas Curves'!$B$13,0,0,1,COUNT('Gas Curves'!$17:$17))</definedName>
    <definedName function="false" hidden="false" localSheetId="2" name="curvevalues2" vbProcedure="false">OFFSET('Gas Curves'!$B$11,0,0,COUNT('Gas Curves'!$B:$B)+5,COUNT('Gas Curves'!$17:$17))</definedName>
    <definedName function="true" hidden="false" name="x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<sst xmlns="http://schemas.openxmlformats.org/spreadsheetml/2006/main" count="3794" uniqueCount="1466">
  <si>
    <t xml:space="preserve">Pricing Date</t>
  </si>
  <si>
    <t xml:space="preserve">Gas Adder</t>
  </si>
  <si>
    <t xml:space="preserve">Date Range</t>
  </si>
  <si>
    <t xml:space="preserve">Curve Date</t>
  </si>
  <si>
    <t xml:space="preserve">Summer</t>
  </si>
  <si>
    <t xml:space="preserve">From</t>
  </si>
  <si>
    <t xml:space="preserve">Power Region</t>
  </si>
  <si>
    <t xml:space="preserve">Winter</t>
  </si>
  <si>
    <t xml:space="preserve">To</t>
  </si>
  <si>
    <t xml:space="preserve">Power Basis</t>
  </si>
  <si>
    <t xml:space="preserve">Variable O&amp;M</t>
  </si>
  <si>
    <t xml:space="preserve">Term (Yrs.)</t>
  </si>
  <si>
    <t xml:space="preserve">Omicron Curve Date</t>
  </si>
  <si>
    <t xml:space="preserve">Omicron Region</t>
  </si>
  <si>
    <t xml:space="preserve">VOM escalator</t>
  </si>
  <si>
    <t xml:space="preserve">WARNING: When going out past 2018</t>
  </si>
  <si>
    <t xml:space="preserve">Gas Curve Date</t>
  </si>
  <si>
    <t xml:space="preserve">12 month escalator</t>
  </si>
  <si>
    <t xml:space="preserve">check curve availability for Nymex, Gas Basis, Interest Rates.</t>
  </si>
  <si>
    <t xml:space="preserve">1=Run</t>
  </si>
  <si>
    <t xml:space="preserve">Summer Gas Basis</t>
  </si>
  <si>
    <t xml:space="preserve">Total Plant Per Start</t>
  </si>
  <si>
    <t xml:space="preserve">Extend Gas and Rates on Gas Curves Tab</t>
  </si>
  <si>
    <t xml:space="preserve">0=No Run</t>
  </si>
  <si>
    <t xml:space="preserve">Winter Gas Basis</t>
  </si>
  <si>
    <t xml:space="preserve">Power extends automatically (price, vols, and correlation)</t>
  </si>
  <si>
    <t xml:space="preserve">Manual Run Hour Override</t>
  </si>
  <si>
    <t xml:space="preserve">Days to Run</t>
  </si>
  <si>
    <t xml:space="preserve">Mon-Fri </t>
  </si>
  <si>
    <t xml:space="preserve">Sat</t>
  </si>
  <si>
    <t xml:space="preserve">Sun</t>
  </si>
  <si>
    <t xml:space="preserve">Month</t>
  </si>
  <si>
    <t xml:space="preserve">Super Peak</t>
  </si>
  <si>
    <t xml:space="preserve">Shoulder Peak</t>
  </si>
  <si>
    <t xml:space="preserve">OP</t>
  </si>
  <si>
    <t xml:space="preserve">POP </t>
  </si>
  <si>
    <t xml:space="preserve">Min</t>
  </si>
  <si>
    <t xml:space="preserve">Total Plant MW's</t>
  </si>
  <si>
    <t xml:space="preserve">Min MW's</t>
  </si>
  <si>
    <t xml:space="preserve">Heat Rates</t>
  </si>
  <si>
    <t xml:space="preserve">April-Oct</t>
  </si>
  <si>
    <t xml:space="preserve">Pricing Type</t>
  </si>
  <si>
    <t xml:space="preserve">Nov-Mar</t>
  </si>
  <si>
    <t xml:space="preserve">Discount Scenarios</t>
  </si>
  <si>
    <t xml:space="preserve">Vols are not effected, they remain flat</t>
  </si>
  <si>
    <t xml:space="preserve">Back end Curve escalation/descension</t>
  </si>
  <si>
    <t xml:space="preserve">Power</t>
  </si>
  <si>
    <t xml:space="preserve">Bid, Mid, Offer</t>
  </si>
  <si>
    <t xml:space="preserve">1 = Flat curve</t>
  </si>
  <si>
    <t xml:space="preserve">Bid = Pwr Bid, Gas Offer</t>
  </si>
  <si>
    <t xml:space="preserve">&gt; 1 escalation</t>
  </si>
  <si>
    <t xml:space="preserve">Offer = Pwr Offer, Gas Bid</t>
  </si>
  <si>
    <t xml:space="preserve">&lt; 1 descension</t>
  </si>
  <si>
    <t xml:space="preserve">Plant Operation</t>
  </si>
  <si>
    <t xml:space="preserve">Gas</t>
  </si>
  <si>
    <t xml:space="preserve">Gas Bid-Mid-Offer Sprd</t>
  </si>
  <si>
    <t xml:space="preserve">Always Enter a Positive Number</t>
  </si>
  <si>
    <t xml:space="preserve">Still Working on this, not totally functional yet</t>
  </si>
  <si>
    <t xml:space="preserve">Vol Scalar</t>
  </si>
  <si>
    <t xml:space="preserve">Curve Adj</t>
  </si>
  <si>
    <t xml:space="preserve">   Coming Later 2000</t>
  </si>
  <si>
    <t xml:space="preserve">Availability</t>
  </si>
  <si>
    <t xml:space="preserve">Total Value</t>
  </si>
  <si>
    <t xml:space="preserve">Reduces MW</t>
  </si>
  <si>
    <t xml:space="preserve">Levelized $/Kwm</t>
  </si>
  <si>
    <t xml:space="preserve">$/Kw</t>
  </si>
  <si>
    <t xml:space="preserve">Cost to Build equivalent</t>
  </si>
  <si>
    <t xml:space="preserve">DO NOT TOUCH</t>
  </si>
  <si>
    <t xml:space="preserve">Combined Cycle</t>
  </si>
  <si>
    <t xml:space="preserve">Max</t>
  </si>
  <si>
    <t xml:space="preserve">Int Rates Curve</t>
  </si>
  <si>
    <t xml:space="preserve">Forward Power Price Curves, Volatilities and Price Profile</t>
  </si>
  <si>
    <t xml:space="preserve"> </t>
  </si>
  <si>
    <t xml:space="preserve">Last Date Of Pwr Curve:</t>
  </si>
  <si>
    <t xml:space="preserve">Basis Table</t>
  </si>
  <si>
    <t xml:space="preserve">REGION 1B</t>
  </si>
  <si>
    <t xml:space="preserve">NEPOOL</t>
  </si>
  <si>
    <t xml:space="preserve">Monthly Volatilities</t>
  </si>
  <si>
    <t xml:space="preserve">Intra-Month Volatilties</t>
  </si>
  <si>
    <t xml:space="preserve">Region</t>
  </si>
  <si>
    <t xml:space="preserve">#</t>
  </si>
  <si>
    <t xml:space="preserve">PEAK</t>
  </si>
  <si>
    <t xml:space="preserve">OFF-PEAK</t>
  </si>
  <si>
    <t xml:space="preserve">Saturday</t>
  </si>
  <si>
    <t xml:space="preserve">Sunday</t>
  </si>
  <si>
    <t xml:space="preserve">Capacity</t>
  </si>
  <si>
    <t xml:space="preserve">Peak</t>
  </si>
  <si>
    <t xml:space="preserve">OffPeak</t>
  </si>
  <si>
    <t xml:space="preserve">Group</t>
  </si>
  <si>
    <t xml:space="preserve">Prudent</t>
  </si>
  <si>
    <t xml:space="preserve">Correlation</t>
  </si>
  <si>
    <t xml:space="preserve">No Basis</t>
  </si>
  <si>
    <t xml:space="preserve">Bid</t>
  </si>
  <si>
    <t xml:space="preserve">Mid</t>
  </si>
  <si>
    <t xml:space="preserve">Offer</t>
  </si>
  <si>
    <t xml:space="preserve">Code</t>
  </si>
  <si>
    <t xml:space="preserve">Factor</t>
  </si>
  <si>
    <t xml:space="preserve">Start</t>
  </si>
  <si>
    <t xml:space="preserve">End</t>
  </si>
  <si>
    <t xml:space="preserve">Gas-Power</t>
  </si>
  <si>
    <t xml:space="preserve">This Section Needed for Bid,Mid,Offer Toggle</t>
  </si>
  <si>
    <t xml:space="preserve">This Section Needed for Curve Extension</t>
  </si>
  <si>
    <t xml:space="preserve">1  BUSBAR</t>
  </si>
  <si>
    <t xml:space="preserve">($/MWH)</t>
  </si>
  <si>
    <t xml:space="preserve">Intra-Month Volatilities</t>
  </si>
  <si>
    <t xml:space="preserve">Monthly Vols</t>
  </si>
  <si>
    <t xml:space="preserve">2  MID COLUMBIA</t>
  </si>
  <si>
    <t xml:space="preserve">Daily Price Profile</t>
  </si>
  <si>
    <t xml:space="preserve">Delivery Point</t>
  </si>
  <si>
    <t xml:space="preserve">3  MIDWAY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</si>
  <si>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</si>
  <si>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</si>
  <si>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</si>
  <si>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</si>
  <si>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</si>
  <si>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</si>
  <si>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</si>
  <si>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</si>
  <si>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</si>
  <si>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</si>
  <si>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</si>
  <si>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</si>
  <si>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Con. Edison</t>
  </si>
  <si>
    <t xml:space="preserve">1      NY East</t>
  </si>
  <si>
    <t xml:space="preserve">1</t>
  </si>
  <si>
    <t xml:space="preserve">4  MEAD</t>
  </si>
  <si>
    <t xml:space="preserve">HR</t>
  </si>
  <si>
    <t xml:space="preserve">P/OP</t>
  </si>
  <si>
    <t xml:space="preserve">PJM West</t>
  </si>
  <si>
    <t xml:space="preserve">1A  PJM</t>
  </si>
  <si>
    <t xml:space="preserve">1A</t>
  </si>
  <si>
    <t xml:space="preserve">5  PALO VERDE</t>
  </si>
  <si>
    <t xml:space="preserve">2</t>
  </si>
  <si>
    <t xml:space="preserve">Card Street</t>
  </si>
  <si>
    <t xml:space="preserve">1B   NEPOOL</t>
  </si>
  <si>
    <t xml:space="preserve">1B</t>
  </si>
  <si>
    <t xml:space="preserve">6  FOUR CORNERS</t>
  </si>
  <si>
    <t xml:space="preserve">NY West</t>
  </si>
  <si>
    <t xml:space="preserve">1C   NY West</t>
  </si>
  <si>
    <t xml:space="preserve">1C</t>
  </si>
  <si>
    <t xml:space="preserve">7  CRAIG</t>
  </si>
  <si>
    <t xml:space="preserve">1D   East Hub</t>
  </si>
  <si>
    <t xml:space="preserve">1D</t>
  </si>
  <si>
    <t xml:space="preserve">8  NW DELV</t>
  </si>
  <si>
    <t xml:space="preserve">1E    West Hub</t>
  </si>
  <si>
    <t xml:space="preserve">1E</t>
  </si>
  <si>
    <t xml:space="preserve">10  Into EEI-R4</t>
  </si>
  <si>
    <t xml:space="preserve">1F   Firm LD</t>
  </si>
  <si>
    <t xml:space="preserve">1F</t>
  </si>
  <si>
    <t xml:space="preserve">11  WISCONSIN-R4</t>
  </si>
  <si>
    <t xml:space="preserve">1H  NE Dispatch</t>
  </si>
  <si>
    <t xml:space="preserve">1H</t>
  </si>
  <si>
    <t xml:space="preserve">12  MICHIGAN-R4</t>
  </si>
  <si>
    <t xml:space="preserve">1Z In City NY</t>
  </si>
  <si>
    <t xml:space="preserve">1Z</t>
  </si>
  <si>
    <t xml:space="preserve">14  EAST NY-R1A</t>
  </si>
  <si>
    <t xml:space="preserve">ECAR</t>
  </si>
  <si>
    <t xml:space="preserve">2     ECAR</t>
  </si>
  <si>
    <t xml:space="preserve">15  EASTERN ECAR-R1A</t>
  </si>
  <si>
    <t xml:space="preserve">Into AEP</t>
  </si>
  <si>
    <t xml:space="preserve">2A  AEP</t>
  </si>
  <si>
    <t xml:space="preserve">2A</t>
  </si>
  <si>
    <t xml:space="preserve">OTHER</t>
  </si>
  <si>
    <t xml:space="preserve">Eastern ECAR</t>
  </si>
  <si>
    <t xml:space="preserve">2B  Eastern ECAR</t>
  </si>
  <si>
    <t xml:space="preserve">2B</t>
  </si>
  <si>
    <t xml:space="preserve">Southern Co.</t>
  </si>
  <si>
    <t xml:space="preserve">3     SERC</t>
  </si>
  <si>
    <t xml:space="preserve">3</t>
  </si>
  <si>
    <t xml:space="preserve">Florida Georgia Border</t>
  </si>
  <si>
    <t xml:space="preserve">3A  Florida Georgia Border</t>
  </si>
  <si>
    <t xml:space="preserve">3A</t>
  </si>
  <si>
    <t xml:space="preserve">TVA</t>
  </si>
  <si>
    <t xml:space="preserve">3B  TVA</t>
  </si>
  <si>
    <t xml:space="preserve">3B</t>
  </si>
  <si>
    <t xml:space="preserve">Into FRCC</t>
  </si>
  <si>
    <t xml:space="preserve">3C Into FRCC</t>
  </si>
  <si>
    <t xml:space="preserve">3C</t>
  </si>
  <si>
    <t xml:space="preserve">CINergy</t>
  </si>
  <si>
    <t xml:space="preserve">4     CINergy</t>
  </si>
  <si>
    <t xml:space="preserve">4</t>
  </si>
  <si>
    <t xml:space="preserve">NSP</t>
  </si>
  <si>
    <t xml:space="preserve">4A  MAPP</t>
  </si>
  <si>
    <t xml:space="preserve">4A</t>
  </si>
  <si>
    <t xml:space="preserve">Southern MAPP</t>
  </si>
  <si>
    <t xml:space="preserve">4B  Southern MAPP</t>
  </si>
  <si>
    <t xml:space="preserve">4B</t>
  </si>
  <si>
    <t xml:space="preserve">COMED</t>
  </si>
  <si>
    <t xml:space="preserve">4C  COMED</t>
  </si>
  <si>
    <t xml:space="preserve">4C</t>
  </si>
  <si>
    <t xml:space="preserve">ENTERGY</t>
  </si>
  <si>
    <t xml:space="preserve">5     Entergy</t>
  </si>
  <si>
    <t xml:space="preserve">5</t>
  </si>
  <si>
    <t xml:space="preserve">Associated</t>
  </si>
  <si>
    <t xml:space="preserve">5A  Associated</t>
  </si>
  <si>
    <t xml:space="preserve">5A</t>
  </si>
  <si>
    <t xml:space="preserve">HL&amp;P</t>
  </si>
  <si>
    <t xml:space="preserve">6     ERCOT</t>
  </si>
  <si>
    <t xml:space="preserve">6</t>
  </si>
  <si>
    <t xml:space="preserve">Palo Verde</t>
  </si>
  <si>
    <t xml:space="preserve">7     Palo Verde</t>
  </si>
  <si>
    <t xml:space="preserve">7</t>
  </si>
  <si>
    <t xml:space="preserve">Rockies</t>
  </si>
  <si>
    <t xml:space="preserve">7A  Rockies</t>
  </si>
  <si>
    <t xml:space="preserve">7A</t>
  </si>
  <si>
    <t xml:space="preserve">COB</t>
  </si>
  <si>
    <t xml:space="preserve">8     COB</t>
  </si>
  <si>
    <t xml:space="preserve">8</t>
  </si>
  <si>
    <t xml:space="preserve">Mid Columbia</t>
  </si>
  <si>
    <t xml:space="preserve">9     Mid Columbia</t>
  </si>
  <si>
    <t xml:space="preserve">Volatility Smile</t>
  </si>
  <si>
    <t xml:space="preserve">Price Sensitivies</t>
  </si>
  <si>
    <t xml:space="preserve">NP-15</t>
  </si>
  <si>
    <t xml:space="preserve">10   NP-15</t>
  </si>
  <si>
    <t xml:space="preserve">SP-15</t>
  </si>
  <si>
    <t xml:space="preserve">11    SP-15</t>
  </si>
  <si>
    <t xml:space="preserve">User ID:</t>
  </si>
  <si>
    <t xml:space="preserve">mbennet_pc</t>
  </si>
  <si>
    <t xml:space="preserve">Please enter a valid User ID for ERMS/RUNM</t>
  </si>
  <si>
    <t xml:space="preserve">Pub code</t>
  </si>
  <si>
    <t xml:space="preserve">Book type</t>
  </si>
  <si>
    <t xml:space="preserve">Curve type</t>
  </si>
  <si>
    <t xml:space="preserve">UOM</t>
  </si>
  <si>
    <t xml:space="preserve">Password:</t>
  </si>
  <si>
    <t xml:space="preserve">Please enter the Password for the User ID</t>
  </si>
  <si>
    <t xml:space="preserve">401-TUSCORARA</t>
  </si>
  <si>
    <t xml:space="preserve">D</t>
  </si>
  <si>
    <t xml:space="preserve">PR</t>
  </si>
  <si>
    <t xml:space="preserve">MMBTU</t>
  </si>
  <si>
    <t xml:space="preserve">401-TUSCORARA D PR</t>
  </si>
  <si>
    <t xml:space="preserve">I</t>
  </si>
  <si>
    <t xml:space="preserve">401-TUSCORARA I PR</t>
  </si>
  <si>
    <t xml:space="preserve">OMICRON Code</t>
  </si>
  <si>
    <t xml:space="preserve">OMICRON Region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</si>
  <si>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</si>
  <si>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</si>
  <si>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</si>
  <si>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CGPR-AECO/BASIS</t>
  </si>
  <si>
    <t xml:space="preserve">CGPR-AECO/BASIS D PR</t>
  </si>
  <si>
    <t xml:space="preserve">ABC/C$/IDX</t>
  </si>
  <si>
    <t xml:space="preserve">ABC/C$/IDX I PR</t>
  </si>
  <si>
    <t xml:space="preserve">NG_OMICRON_1</t>
  </si>
  <si>
    <t xml:space="preserve">Louisiana - Onshore South</t>
  </si>
  <si>
    <t xml:space="preserve">CGPR-CHIPPAWA</t>
  </si>
  <si>
    <t xml:space="preserve">CGPR-CHIPPAWA D PR</t>
  </si>
  <si>
    <t xml:space="preserve">CGPR-AECO/BASIS I PR</t>
  </si>
  <si>
    <t xml:space="preserve">NG_OMICRON_2</t>
  </si>
  <si>
    <t xml:space="preserve">HSC - East Texas - Katy</t>
  </si>
  <si>
    <t xml:space="preserve">OFFSET(K4,0,0,1,COUNT(4:4))</t>
  </si>
  <si>
    <t xml:space="preserve">CGPR-CORNWALL</t>
  </si>
  <si>
    <t xml:space="preserve">CGPR-CORNWALL D PR</t>
  </si>
  <si>
    <t xml:space="preserve">CGPR-CHIPPAWA I PR</t>
  </si>
  <si>
    <t xml:space="preserve">NG_OMICRON_3</t>
  </si>
  <si>
    <t xml:space="preserve">Oklahoma - Mid Continent</t>
  </si>
  <si>
    <t xml:space="preserve">CGPR-DAWN</t>
  </si>
  <si>
    <t xml:space="preserve">CGPR-DAWN D PR</t>
  </si>
  <si>
    <t xml:space="preserve">CGPR-DAWN I PR</t>
  </si>
  <si>
    <t xml:space="preserve">NG_OMICRON_4</t>
  </si>
  <si>
    <t xml:space="preserve">Permian Basin - San Juan Basin</t>
  </si>
  <si>
    <t xml:space="preserve">CGPR-EMERSONUSA</t>
  </si>
  <si>
    <t xml:space="preserve">CGPR-EMERSONUSA D PR</t>
  </si>
  <si>
    <t xml:space="preserve">CGPR-EMERSON</t>
  </si>
  <si>
    <t xml:space="preserve">CGPR-EMERSON I PR</t>
  </si>
  <si>
    <t xml:space="preserve">NG_OMICRON_5</t>
  </si>
  <si>
    <t xml:space="preserve">Northern Ventura - Northern Demarc</t>
  </si>
  <si>
    <t xml:space="preserve">Interest</t>
  </si>
  <si>
    <t xml:space="preserve">Summer Omicron</t>
  </si>
  <si>
    <t xml:space="preserve">Winter Omicron</t>
  </si>
  <si>
    <t xml:space="preserve">NG Vol Bid</t>
  </si>
  <si>
    <t xml:space="preserve">NG Vol Mid</t>
  </si>
  <si>
    <t xml:space="preserve">NG Vol Ask</t>
  </si>
  <si>
    <t xml:space="preserve">Nymex Bid</t>
  </si>
  <si>
    <t xml:space="preserve">Nymex Mid</t>
  </si>
  <si>
    <t xml:space="preserve">Nymex Ask</t>
  </si>
  <si>
    <t xml:space="preserve">Gas Basis</t>
  </si>
  <si>
    <t xml:space="preserve">CGPR-EMPRESS-US</t>
  </si>
  <si>
    <t xml:space="preserve">CGPR-EMPRESS-US D PR</t>
  </si>
  <si>
    <t xml:space="preserve">CGPR-KINGSGATE</t>
  </si>
  <si>
    <t xml:space="preserve">CGPR-KINGSGATE I PR</t>
  </si>
  <si>
    <t xml:space="preserve">NG_OMICRON_6</t>
  </si>
  <si>
    <t xml:space="preserve">Market Area:  Northeast</t>
  </si>
  <si>
    <t xml:space="preserve">CGPR-KINGSGATE D PR</t>
  </si>
  <si>
    <t xml:space="preserve">CGPR-NIAGARA</t>
  </si>
  <si>
    <t xml:space="preserve">CGPR-NIAGARA I PR</t>
  </si>
  <si>
    <t xml:space="preserve">NG_OMICRON_7</t>
  </si>
  <si>
    <t xml:space="preserve">Appalachia</t>
  </si>
  <si>
    <t xml:space="preserve">CGPR-NIAGARA D PR</t>
  </si>
  <si>
    <t xml:space="preserve">CGPR-OJIBWAY</t>
  </si>
  <si>
    <t xml:space="preserve">CGPR-OJIBWAY I PR</t>
  </si>
  <si>
    <t xml:space="preserve">NG_OMICRON_8</t>
  </si>
  <si>
    <t xml:space="preserve">Effective Date</t>
  </si>
  <si>
    <t xml:space="preserve">CGPR-OJIBWAY D PR</t>
  </si>
  <si>
    <t xml:space="preserve">CGPR-PARKWAY</t>
  </si>
  <si>
    <t xml:space="preserve">CGPR-PARKWAY I PR</t>
  </si>
  <si>
    <t xml:space="preserve">NG_OMICRON_9</t>
  </si>
  <si>
    <t xml:space="preserve">Alberta - Sumas</t>
  </si>
  <si>
    <t xml:space="preserve">Prompt Month</t>
  </si>
  <si>
    <t xml:space="preserve">CGPR-PARKWAY D PR</t>
  </si>
  <si>
    <t xml:space="preserve">CGPR-ST.CLAIR</t>
  </si>
  <si>
    <t xml:space="preserve">CGPR-ST.CLAIR I PR</t>
  </si>
  <si>
    <t xml:space="preserve">NG_OMICRON_10</t>
  </si>
  <si>
    <t xml:space="preserve">Sithe Curve (ANR/LA_ONSHO)</t>
  </si>
  <si>
    <t xml:space="preserve">Curve Code</t>
  </si>
  <si>
    <t xml:space="preserve">INTNS</t>
  </si>
  <si>
    <t xml:space="preserve">NG</t>
  </si>
  <si>
    <t xml:space="preserve">CGPR-ST.CLAIR D PR</t>
  </si>
  <si>
    <t xml:space="preserve">CGPR-STN2/IDX</t>
  </si>
  <si>
    <t xml:space="preserve">CGPR-STN2/IDX I PR</t>
  </si>
  <si>
    <t xml:space="preserve">NG_OMICRON_11</t>
  </si>
  <si>
    <t xml:space="preserve">Chicago</t>
  </si>
  <si>
    <t xml:space="preserve">Curve Type</t>
  </si>
  <si>
    <t xml:space="preserve">AA</t>
  </si>
  <si>
    <t xml:space="preserve">VO</t>
  </si>
  <si>
    <t xml:space="preserve">BV</t>
  </si>
  <si>
    <t xml:space="preserve">AV</t>
  </si>
  <si>
    <t xml:space="preserve">BP</t>
  </si>
  <si>
    <t xml:space="preserve">AP</t>
  </si>
  <si>
    <t xml:space="preserve">Omicron</t>
  </si>
  <si>
    <t xml:space="preserve">Omicron </t>
  </si>
  <si>
    <t xml:space="preserve">CGPR-WADDING</t>
  </si>
  <si>
    <t xml:space="preserve">CGPR-WADDING D PR</t>
  </si>
  <si>
    <t xml:space="preserve">CGPR-WADDING I PR</t>
  </si>
  <si>
    <t xml:space="preserve">NG_OMICRON_12</t>
  </si>
  <si>
    <t xml:space="preserve">Florida Zones 1 through 3</t>
  </si>
  <si>
    <t xml:space="preserve">Book Code 1</t>
  </si>
  <si>
    <t xml:space="preserve">R</t>
  </si>
  <si>
    <t xml:space="preserve">P</t>
  </si>
  <si>
    <t xml:space="preserve">Bid Vol</t>
  </si>
  <si>
    <t xml:space="preserve">Mid Vol</t>
  </si>
  <si>
    <t xml:space="preserve">Ask Vol</t>
  </si>
  <si>
    <t xml:space="preserve">CONSUMERS_CDA</t>
  </si>
  <si>
    <t xml:space="preserve">CONSUMERS_CDA D PR</t>
  </si>
  <si>
    <t xml:space="preserve">CONSUMERS_CDA/I</t>
  </si>
  <si>
    <t xml:space="preserve">CONSUMERS_CDA/I I PR</t>
  </si>
  <si>
    <t xml:space="preserve">NG_OMICRON_13</t>
  </si>
  <si>
    <t xml:space="preserve">Transco/Z6</t>
  </si>
  <si>
    <t xml:space="preserve">Publisher</t>
  </si>
  <si>
    <t xml:space="preserve">DARNAEZ</t>
  </si>
  <si>
    <t xml:space="preserve">LJOHNSO5</t>
  </si>
  <si>
    <t xml:space="preserve">DQUIGLE</t>
  </si>
  <si>
    <t xml:space="preserve">BMCKAY_PC</t>
  </si>
  <si>
    <t xml:space="preserve">DAWN-GDM</t>
  </si>
  <si>
    <t xml:space="preserve">DAWN-GDM D PR</t>
  </si>
  <si>
    <t xml:space="preserve">DJ/BASIN/CIG</t>
  </si>
  <si>
    <t xml:space="preserve">DJ/BASIN/CIG I PR</t>
  </si>
  <si>
    <t xml:space="preserve">NG_OMICRON_14</t>
  </si>
  <si>
    <t xml:space="preserve">MichCon</t>
  </si>
  <si>
    <t xml:space="preserve">DJ/BASIN/CIG D PR</t>
  </si>
  <si>
    <t xml:space="preserve">DJ/BASIN/WEST</t>
  </si>
  <si>
    <t xml:space="preserve">DJ/BASIN/WEST I PR</t>
  </si>
  <si>
    <t xml:space="preserve">NG_OMICRON_15</t>
  </si>
  <si>
    <t xml:space="preserve">SoCal</t>
  </si>
  <si>
    <t xml:space="preserve">DJ/BASIN/WEST D PR</t>
  </si>
  <si>
    <t xml:space="preserve">GAS DAILY</t>
  </si>
  <si>
    <t xml:space="preserve">GAS DAILY I PR</t>
  </si>
  <si>
    <t xml:space="preserve">GAS DAILY D PR</t>
  </si>
  <si>
    <t xml:space="preserve">GD-FGT/Z2</t>
  </si>
  <si>
    <t xml:space="preserve">GD-FGT/Z2 I PR</t>
  </si>
  <si>
    <t xml:space="preserve">GD-AECOUS-DAILY</t>
  </si>
  <si>
    <t xml:space="preserve">SP</t>
  </si>
  <si>
    <t xml:space="preserve">GD-AECOUS-DAILY D SP</t>
  </si>
  <si>
    <t xml:space="preserve">GD-INTRASTHUB</t>
  </si>
  <si>
    <t xml:space="preserve">GD-INTRASTHUB I PR</t>
  </si>
  <si>
    <t xml:space="preserve">GD-AGUADULCE</t>
  </si>
  <si>
    <t xml:space="preserve">GD-AGUADULCE D SP</t>
  </si>
  <si>
    <t xml:space="preserve">GD-LOW_IROQUOIS</t>
  </si>
  <si>
    <t xml:space="preserve">GD-LOW_IROQUOIS I PR</t>
  </si>
  <si>
    <t xml:space="preserve">GD-ALGONQUIN</t>
  </si>
  <si>
    <t xml:space="preserve">GD-ALGONQUIN D SP</t>
  </si>
  <si>
    <t xml:space="preserve">GD-TRANSCO/Z6</t>
  </si>
  <si>
    <t xml:space="preserve">GD-TRANSCO/Z6 I PR</t>
  </si>
  <si>
    <t xml:space="preserve">GD-ANR/LA_ONSHO</t>
  </si>
  <si>
    <t xml:space="preserve">GD-ANR/LA_ONSHO D SP</t>
  </si>
  <si>
    <t xml:space="preserve">HPL/SHPCHAN-GD</t>
  </si>
  <si>
    <t xml:space="preserve">HPL/SHPCHAN-GD I PR</t>
  </si>
  <si>
    <t xml:space="preserve">GD-ANR/OK</t>
  </si>
  <si>
    <t xml:space="preserve">GD-ANR/OK D SP</t>
  </si>
  <si>
    <t xml:space="preserve">IF-A/S E.BEAUM</t>
  </si>
  <si>
    <t xml:space="preserve">IF-A/S E.BEAUM I PR</t>
  </si>
  <si>
    <t xml:space="preserve">GD-CAL BORDER</t>
  </si>
  <si>
    <t xml:space="preserve">GD-CAL BORDER D SP</t>
  </si>
  <si>
    <t xml:space="preserve">IF-A/S EAST OFF</t>
  </si>
  <si>
    <t xml:space="preserve">IF-A/S EAST OFF I PR</t>
  </si>
  <si>
    <t xml:space="preserve">GD-CARTHAGE</t>
  </si>
  <si>
    <t xml:space="preserve">GD-CARTHAGE D SP</t>
  </si>
  <si>
    <t xml:space="preserve">IF-AGUA DULCE</t>
  </si>
  <si>
    <t xml:space="preserve">IF-AGUA DULCE I PR</t>
  </si>
  <si>
    <t xml:space="preserve">GD-CGT/APPALAC</t>
  </si>
  <si>
    <t xml:space="preserve">GD-CGT/APPALAC D SP</t>
  </si>
  <si>
    <t xml:space="preserve">IF-ANR/LA</t>
  </si>
  <si>
    <t xml:space="preserve">IF-ANR/LA I PR</t>
  </si>
  <si>
    <t xml:space="preserve">GD-CHI. GATE</t>
  </si>
  <si>
    <t xml:space="preserve">GD-CHI. GATE D SP</t>
  </si>
  <si>
    <t xml:space="preserve">IF-ANR/LA_OFFSH</t>
  </si>
  <si>
    <t xml:space="preserve">IF-ANR/LA_OFFSH I PR</t>
  </si>
  <si>
    <t xml:space="preserve">GD-CIG/RKYMTN</t>
  </si>
  <si>
    <t xml:space="preserve">GD-CIG/RKYMTN D SP</t>
  </si>
  <si>
    <t xml:space="preserve">IF-ANR/LA_ONSHO</t>
  </si>
  <si>
    <t xml:space="preserve">IF-ANR/LA_ONSHO I PR</t>
  </si>
  <si>
    <t xml:space="preserve">GD-CNG/NORTH</t>
  </si>
  <si>
    <t xml:space="preserve">GD-CNG/NORTH D SP</t>
  </si>
  <si>
    <t xml:space="preserve">IF-ANR/OK</t>
  </si>
  <si>
    <t xml:space="preserve">IF-ANR/OK I PR</t>
  </si>
  <si>
    <t xml:space="preserve">GD-CNG/SOUTH</t>
  </si>
  <si>
    <t xml:space="preserve">GD-CNG/SOUTH D SP</t>
  </si>
  <si>
    <t xml:space="preserve">IF-ARKLA/ARK-OK</t>
  </si>
  <si>
    <t xml:space="preserve">IF-ARKLA/ARK-OK I PR</t>
  </si>
  <si>
    <t xml:space="preserve">GD-COLGULF/LA</t>
  </si>
  <si>
    <t xml:space="preserve">GD-COLGULF/LA D SP</t>
  </si>
  <si>
    <t xml:space="preserve">IF-B/M OFFSHORE</t>
  </si>
  <si>
    <t xml:space="preserve">IF-B/M OFFSHORE I PR</t>
  </si>
  <si>
    <t xml:space="preserve">GD-COLGULF/RAYN</t>
  </si>
  <si>
    <t xml:space="preserve">GD-COLGULF/RAYN D SP</t>
  </si>
  <si>
    <t xml:space="preserve">IF-BONDAD(100%)</t>
  </si>
  <si>
    <t xml:space="preserve">IF-BONDAD(100%) I PR</t>
  </si>
  <si>
    <t xml:space="preserve">GD-CONSUMERS</t>
  </si>
  <si>
    <t xml:space="preserve">GD-CONSUMERS D SP</t>
  </si>
  <si>
    <t xml:space="preserve">IF-CARTHAGE</t>
  </si>
  <si>
    <t xml:space="preserve">IF-CARTHAGE I PR</t>
  </si>
  <si>
    <t xml:space="preserve">GD-CORPUS/SHPCH</t>
  </si>
  <si>
    <t xml:space="preserve">GD-CORPUS/SHPCH D SP</t>
  </si>
  <si>
    <t xml:space="preserve">IF-CGT/APPALAC</t>
  </si>
  <si>
    <t xml:space="preserve">IF-CGT/APPALAC I PR</t>
  </si>
  <si>
    <t xml:space="preserve">GD-DAWN</t>
  </si>
  <si>
    <t xml:space="preserve">GD-DAWN D SP</t>
  </si>
  <si>
    <t xml:space="preserve">IF-CGT/CITYGATE</t>
  </si>
  <si>
    <t xml:space="preserve">IF-CGT/CITYGATE I PR</t>
  </si>
  <si>
    <t xml:space="preserve">GD-DJ/BASIN</t>
  </si>
  <si>
    <t xml:space="preserve">GD-DJ/BASIN D SP</t>
  </si>
  <si>
    <t xml:space="preserve">IF-CIG/RKYMTN</t>
  </si>
  <si>
    <t xml:space="preserve">IF-CIG/RKYMTN I PR</t>
  </si>
  <si>
    <t xml:space="preserve">GD-ELPO/PERM2</t>
  </si>
  <si>
    <t xml:space="preserve">GD-ELPO/PERM2 D SP</t>
  </si>
  <si>
    <t xml:space="preserve">IF-CIG/TOMAHAWK</t>
  </si>
  <si>
    <t xml:space="preserve">IF-CIG/TOMAHAWK I PR</t>
  </si>
  <si>
    <t xml:space="preserve">GD-ELPO/SANJUAN</t>
  </si>
  <si>
    <t xml:space="preserve">GD-ELPO/SANJUAN D SP</t>
  </si>
  <si>
    <t xml:space="preserve">IF-CIG/WIC</t>
  </si>
  <si>
    <t xml:space="preserve">IF-CIG/WIC I PR</t>
  </si>
  <si>
    <t xml:space="preserve">GD-ELPO/SJBOND</t>
  </si>
  <si>
    <t xml:space="preserve">GD-ELPO/SJBOND D SP</t>
  </si>
  <si>
    <t xml:space="preserve">IF-CIG/WINDRVR</t>
  </si>
  <si>
    <t xml:space="preserve">IF-CIG/WINDRVR I PR</t>
  </si>
  <si>
    <t xml:space="preserve">GD-EMERSON</t>
  </si>
  <si>
    <t xml:space="preserve">GD-EMERSON D SP</t>
  </si>
  <si>
    <t xml:space="preserve">IF-CNG/APPALACH</t>
  </si>
  <si>
    <t xml:space="preserve">IF-CNG/APPALACH I PR</t>
  </si>
  <si>
    <t xml:space="preserve">GD-FGT/MOBILE</t>
  </si>
  <si>
    <t xml:space="preserve">GD-FGT/MOBILE D SP</t>
  </si>
  <si>
    <t xml:space="preserve">IF-CNG/NORTH</t>
  </si>
  <si>
    <t xml:space="preserve">IF-CNG/NORTH I PR</t>
  </si>
  <si>
    <t xml:space="preserve">GD-FGT/Z1</t>
  </si>
  <si>
    <t xml:space="preserve">GD-FGT/Z1 D SP</t>
  </si>
  <si>
    <t xml:space="preserve">IF-CNG/N_CITYGA</t>
  </si>
  <si>
    <t xml:space="preserve">IF-CNG/N_CITYGA I PR</t>
  </si>
  <si>
    <t xml:space="preserve">GD-FGT/Z1/CORP</t>
  </si>
  <si>
    <t xml:space="preserve">GD-FGT/Z1/CORP D SP</t>
  </si>
  <si>
    <t xml:space="preserve">IF-COLGUL/ERATH</t>
  </si>
  <si>
    <t xml:space="preserve">IF-COLGUL/ERATH I PR</t>
  </si>
  <si>
    <t xml:space="preserve">GD-FGT/Z2 D PR</t>
  </si>
  <si>
    <t xml:space="preserve">IF-COLGUL/RAYNE</t>
  </si>
  <si>
    <t xml:space="preserve">IF-COLGUL/RAYNE I PR</t>
  </si>
  <si>
    <t xml:space="preserve">GD-FGT/Z2 D SP</t>
  </si>
  <si>
    <t xml:space="preserve">IF-COLGULF/LA</t>
  </si>
  <si>
    <t xml:space="preserve">IF-COLGULF/LA I PR</t>
  </si>
  <si>
    <t xml:space="preserve">GD-FGT/Z3</t>
  </si>
  <si>
    <t xml:space="preserve">GD-FGT/Z3 D SP</t>
  </si>
  <si>
    <t xml:space="preserve">IF-COLGULF/LAOF</t>
  </si>
  <si>
    <t xml:space="preserve">IF-COLGULF/LAOF I PR</t>
  </si>
  <si>
    <t xml:space="preserve">GD-HEHUB</t>
  </si>
  <si>
    <t xml:space="preserve">GD-HEHUB D SP</t>
  </si>
  <si>
    <t xml:space="preserve">IF-CORPUS</t>
  </si>
  <si>
    <t xml:space="preserve">IF-CORPUS I PR</t>
  </si>
  <si>
    <t xml:space="preserve">GD-HPL/SHPCH</t>
  </si>
  <si>
    <t xml:space="preserve">GD-HPL/SHPCH D SP</t>
  </si>
  <si>
    <t xml:space="preserve">IF-ELPO/ANADARK</t>
  </si>
  <si>
    <t xml:space="preserve">IF-ELPO/ANADARK I PR</t>
  </si>
  <si>
    <t xml:space="preserve">GD-INTRASTHUB D PR</t>
  </si>
  <si>
    <t xml:space="preserve">IF-ELPO/PERMIAN</t>
  </si>
  <si>
    <t xml:space="preserve">IF-ELPO/PERMIAN I PR</t>
  </si>
  <si>
    <t xml:space="preserve">GD-IROQUOIS</t>
  </si>
  <si>
    <t xml:space="preserve">GD-IROQUOIS D SP</t>
  </si>
  <si>
    <t xml:space="preserve">IF-ELPO/SJ</t>
  </si>
  <si>
    <t xml:space="preserve">IF-ELPO/SJ I PR</t>
  </si>
  <si>
    <t xml:space="preserve">GD-KERN/RIVER</t>
  </si>
  <si>
    <t xml:space="preserve">GD-KERN/RIVER D SP</t>
  </si>
  <si>
    <t xml:space="preserve">IF-ELPO/SJ/KC</t>
  </si>
  <si>
    <t xml:space="preserve">IF-ELPO/SJ/KC I PR</t>
  </si>
  <si>
    <t xml:space="preserve">GD-KOCH</t>
  </si>
  <si>
    <t xml:space="preserve">GD-KOCH D SP</t>
  </si>
  <si>
    <t xml:space="preserve">IF-EPSJ(BONDAD)</t>
  </si>
  <si>
    <t xml:space="preserve">IF-EPSJ(BONDAD) I PR</t>
  </si>
  <si>
    <t xml:space="preserve">GD-KOCH/CORPUS</t>
  </si>
  <si>
    <t xml:space="preserve">GD-KOCH/CORPUS D SP</t>
  </si>
  <si>
    <t xml:space="preserve">IF-EPSJ(MILAGR)</t>
  </si>
  <si>
    <t xml:space="preserve">IF-EPSJ(MILAGR) I PR</t>
  </si>
  <si>
    <t xml:space="preserve">GD-KOCH/TX</t>
  </si>
  <si>
    <t xml:space="preserve">GD-KOCH/TX D SP</t>
  </si>
  <si>
    <t xml:space="preserve">IF-EPSJ/TWBLANC</t>
  </si>
  <si>
    <t xml:space="preserve">IF-EPSJ/TWBLANC I PR</t>
  </si>
  <si>
    <t xml:space="preserve">GD-LONESTAR</t>
  </si>
  <si>
    <t xml:space="preserve">GD-LONESTAR D SP</t>
  </si>
  <si>
    <t xml:space="preserve">IF-FGT/CTYGATE</t>
  </si>
  <si>
    <t xml:space="preserve">IF-FGT/CTYGATE I PR</t>
  </si>
  <si>
    <t xml:space="preserve">GD-LOW_IROQUOIS D PR</t>
  </si>
  <si>
    <t xml:space="preserve">IF-FGT/MKTAREA</t>
  </si>
  <si>
    <t xml:space="preserve">IF-FGT/MKTAREA I PR</t>
  </si>
  <si>
    <t xml:space="preserve">GD-MALIN-CTYGAT</t>
  </si>
  <si>
    <t xml:space="preserve">GD-MALIN-CTYGAT D SP</t>
  </si>
  <si>
    <t xml:space="preserve">IF-FGT/Z1</t>
  </si>
  <si>
    <t xml:space="preserve">IF-FGT/Z1 I PR</t>
  </si>
  <si>
    <t xml:space="preserve">GD-MICHCON</t>
  </si>
  <si>
    <t xml:space="preserve">GD-MICHCON D SP</t>
  </si>
  <si>
    <t xml:space="preserve">IF-FGT/Z2</t>
  </si>
  <si>
    <t xml:space="preserve">IF-FGT/Z2 I PR</t>
  </si>
  <si>
    <t xml:space="preserve">GD-MRT/MAINLINE</t>
  </si>
  <si>
    <t xml:space="preserve">GD-MRT/MAINLINE D SP</t>
  </si>
  <si>
    <t xml:space="preserve">IF-FGT/Z3</t>
  </si>
  <si>
    <t xml:space="preserve">IF-FGT/Z3 I PR</t>
  </si>
  <si>
    <t xml:space="preserve">GD-MRT/WEST</t>
  </si>
  <si>
    <t xml:space="preserve">GD-MRT/WEST D SP</t>
  </si>
  <si>
    <t xml:space="preserve">IF-FREEPORT</t>
  </si>
  <si>
    <t xml:space="preserve">IF-FREEPORT I PR</t>
  </si>
  <si>
    <t xml:space="preserve">GD-NGPL/(IA-IL)</t>
  </si>
  <si>
    <t xml:space="preserve">GD-NGPL/(IA-IL) D SP</t>
  </si>
  <si>
    <t xml:space="preserve">IF-HEHUB</t>
  </si>
  <si>
    <t xml:space="preserve">IF-HEHUB I PR</t>
  </si>
  <si>
    <t xml:space="preserve">GD-NGPL/AMARILO</t>
  </si>
  <si>
    <t xml:space="preserve">GD-NGPL/AMARILO D SP</t>
  </si>
  <si>
    <t xml:space="preserve">IF-HPL/SHPCHAN</t>
  </si>
  <si>
    <t xml:space="preserve">IF-HPL/SHPCHAN I PR</t>
  </si>
  <si>
    <t xml:space="preserve">GD-NGPL/CORPUS</t>
  </si>
  <si>
    <t xml:space="preserve">GD-NGPL/CORPUS D SP</t>
  </si>
  <si>
    <t xml:space="preserve">IF-IOWA_IL</t>
  </si>
  <si>
    <t xml:space="preserve">IF-IOWA_IL I PR</t>
  </si>
  <si>
    <t xml:space="preserve">GD-NGPL/LA</t>
  </si>
  <si>
    <t xml:space="preserve">GD-NGPL/LA D SP</t>
  </si>
  <si>
    <t xml:space="preserve">IF-K/COL/TN/LA</t>
  </si>
  <si>
    <t xml:space="preserve">IF-K/COL/TN/LA I PR</t>
  </si>
  <si>
    <t xml:space="preserve">GD-NGPL/OK</t>
  </si>
  <si>
    <t xml:space="preserve">GD-NGPL/OK D SP</t>
  </si>
  <si>
    <t xml:space="preserve">IF-KATY</t>
  </si>
  <si>
    <t xml:space="preserve">IF-KATY I PR</t>
  </si>
  <si>
    <t xml:space="preserve">GD-NGPL/PAN/PRM</t>
  </si>
  <si>
    <t xml:space="preserve">GD-NGPL/PAN/PRM D SP</t>
  </si>
  <si>
    <t xml:space="preserve">IF-KATY/OASIS</t>
  </si>
  <si>
    <t xml:space="preserve">IF-KATY/OASIS I PR</t>
  </si>
  <si>
    <t xml:space="preserve">GD-NGPL/TXOK-E</t>
  </si>
  <si>
    <t xml:space="preserve">GD-NGPL/TXOK-E D SP</t>
  </si>
  <si>
    <t xml:space="preserve">IF-KATY/TAIL</t>
  </si>
  <si>
    <t xml:space="preserve">IF-KATY/TAIL I PR</t>
  </si>
  <si>
    <t xml:space="preserve">GD-NGPL/TXOK-W</t>
  </si>
  <si>
    <t xml:space="preserve">GD-NGPL/TXOK-W D SP</t>
  </si>
  <si>
    <t xml:space="preserve">IF-KATY/WOFLEX</t>
  </si>
  <si>
    <t xml:space="preserve">IF-KATY/WOFLEX I PR</t>
  </si>
  <si>
    <t xml:space="preserve">GD-NIAGARA</t>
  </si>
  <si>
    <t xml:space="preserve">GD-NIAGARA D SP</t>
  </si>
  <si>
    <t xml:space="preserve">IF-KERN/QUEST</t>
  </si>
  <si>
    <t xml:space="preserve">IF-KERN/QUEST I PR</t>
  </si>
  <si>
    <t xml:space="preserve">GD-NNG/DEMARCAT</t>
  </si>
  <si>
    <t xml:space="preserve">GD-NNG/DEMARCAT D SP</t>
  </si>
  <si>
    <t xml:space="preserve">IF-KERN/RIVER</t>
  </si>
  <si>
    <t xml:space="preserve">IF-KERN/RIVER I PR</t>
  </si>
  <si>
    <t xml:space="preserve">GD-NNG/TOK</t>
  </si>
  <si>
    <t xml:space="preserve">GD-NNG/TOK D SP</t>
  </si>
  <si>
    <t xml:space="preserve">IF-KING RANCH</t>
  </si>
  <si>
    <t xml:space="preserve">IF-KING RANCH I PR</t>
  </si>
  <si>
    <t xml:space="preserve">GD-NNG/TOK(1-6)</t>
  </si>
  <si>
    <t xml:space="preserve">GD-NNG/TOK(1-6) D SP</t>
  </si>
  <si>
    <t xml:space="preserve">IF-KOCH</t>
  </si>
  <si>
    <t xml:space="preserve">IF-KOCH I PR</t>
  </si>
  <si>
    <t xml:space="preserve">GD-NNG/TOK(13)</t>
  </si>
  <si>
    <t xml:space="preserve">GD-NNG/TOK(13) D SP</t>
  </si>
  <si>
    <t xml:space="preserve">IF-KOCH/LA</t>
  </si>
  <si>
    <t xml:space="preserve">IF-KOCH/LA I PR</t>
  </si>
  <si>
    <t xml:space="preserve">GD-NNG/TOK/PAN</t>
  </si>
  <si>
    <t xml:space="preserve">GD-NNG/TOK/PAN D SP</t>
  </si>
  <si>
    <t xml:space="preserve">IF-KOCH/TX</t>
  </si>
  <si>
    <t xml:space="preserve">IF-KOCH/TX I PR</t>
  </si>
  <si>
    <t xml:space="preserve">GD-NNG/VENT</t>
  </si>
  <si>
    <t xml:space="preserve">GD-NNG/VENT D SP</t>
  </si>
  <si>
    <t xml:space="preserve">IF-LONESTAR</t>
  </si>
  <si>
    <t xml:space="preserve">IF-LONESTAR I PR</t>
  </si>
  <si>
    <t xml:space="preserve">GD-NORAM-N/S</t>
  </si>
  <si>
    <t xml:space="preserve">GD-NORAM-N/S D SP</t>
  </si>
  <si>
    <t xml:space="preserve">IF-LRC</t>
  </si>
  <si>
    <t xml:space="preserve">IF-LRC I PR</t>
  </si>
  <si>
    <t xml:space="preserve">GD-NORAM/WEST</t>
  </si>
  <si>
    <t xml:space="preserve">GD-NORAM/WEST D SP</t>
  </si>
  <si>
    <t xml:space="preserve">IF-LRC/Z1</t>
  </si>
  <si>
    <t xml:space="preserve">IF-LRC/Z1 I PR</t>
  </si>
  <si>
    <t xml:space="preserve">GD-NTHWST/CANB</t>
  </si>
  <si>
    <t xml:space="preserve">GD-NTHWST/CANB D SP</t>
  </si>
  <si>
    <t xml:space="preserve">IF-LRC/Z2</t>
  </si>
  <si>
    <t xml:space="preserve">IF-LRC/Z2 I PR</t>
  </si>
  <si>
    <t xml:space="preserve">GD-NW STANF/1ST</t>
  </si>
  <si>
    <t xml:space="preserve">GD-NW STANF/1ST D SP</t>
  </si>
  <si>
    <t xml:space="preserve">IF-LRC/Z3</t>
  </si>
  <si>
    <t xml:space="preserve">IF-LRC/Z3 I PR</t>
  </si>
  <si>
    <t xml:space="preserve">GD-NW STANFIELD</t>
  </si>
  <si>
    <t xml:space="preserve">GD-NW STANFIELD D SP</t>
  </si>
  <si>
    <t xml:space="preserve">IF-LRC/Z4</t>
  </si>
  <si>
    <t xml:space="preserve">IF-LRC/Z4 I PR</t>
  </si>
  <si>
    <t xml:space="preserve">GD-NW/IGNACIO</t>
  </si>
  <si>
    <t xml:space="preserve">GD-NW/IGNACIO D SP</t>
  </si>
  <si>
    <t xml:space="preserve">IF-LRC/Z5</t>
  </si>
  <si>
    <t xml:space="preserve">IF-LRC/Z5 I PR</t>
  </si>
  <si>
    <t xml:space="preserve">GD-NWPL_ROCKY_M</t>
  </si>
  <si>
    <t xml:space="preserve">GD-NWPL_ROCKY_M D SP</t>
  </si>
  <si>
    <t xml:space="preserve">IF-MONCHY</t>
  </si>
  <si>
    <t xml:space="preserve">IF-MONCHY I PR</t>
  </si>
  <si>
    <t xml:space="preserve">GD-PAN/TX/OK</t>
  </si>
  <si>
    <t xml:space="preserve">GD-PAN/TX/OK D SP</t>
  </si>
  <si>
    <t xml:space="preserve">IF-NGPL/HARPER</t>
  </si>
  <si>
    <t xml:space="preserve">IF-NGPL/HARPER I PR</t>
  </si>
  <si>
    <t xml:space="preserve">GD-PG&amp;E/CITIGAT</t>
  </si>
  <si>
    <t xml:space="preserve">GD-PG&amp;E/CITIGAT D SP</t>
  </si>
  <si>
    <t xml:space="preserve">IF-NGPL/LA</t>
  </si>
  <si>
    <t xml:space="preserve">IF-NGPL/LA I PR</t>
  </si>
  <si>
    <t xml:space="preserve">GD-PGT/KINGSGAT</t>
  </si>
  <si>
    <t xml:space="preserve">GD-PGT/KINGSGAT D SP</t>
  </si>
  <si>
    <t xml:space="preserve">IF-NGPL/LA-STNG</t>
  </si>
  <si>
    <t xml:space="preserve">IF-NGPL/LA-STNG I PR</t>
  </si>
  <si>
    <t xml:space="preserve">GD-QUESTAR</t>
  </si>
  <si>
    <t xml:space="preserve">GD-QUESTAR D SP</t>
  </si>
  <si>
    <t xml:space="preserve">IF-NGPL/MIDCON</t>
  </si>
  <si>
    <t xml:space="preserve">IF-NGPL/MIDCON I PR</t>
  </si>
  <si>
    <t xml:space="preserve">GD-SONAT/LA</t>
  </si>
  <si>
    <t xml:space="preserve">GD-SONAT/LA D SP</t>
  </si>
  <si>
    <t xml:space="preserve">IF-NGPL/OK-NW</t>
  </si>
  <si>
    <t xml:space="preserve">IF-NGPL/OK-NW I PR</t>
  </si>
  <si>
    <t xml:space="preserve">GD-TENN/100</t>
  </si>
  <si>
    <t xml:space="preserve">GD-TENN/100 D SP</t>
  </si>
  <si>
    <t xml:space="preserve">IF-NGPL/STX</t>
  </si>
  <si>
    <t xml:space="preserve">IF-NGPL/STX I PR</t>
  </si>
  <si>
    <t xml:space="preserve">GD-TENN/500</t>
  </si>
  <si>
    <t xml:space="preserve">GD-TENN/500 D SP</t>
  </si>
  <si>
    <t xml:space="preserve">IF-NGPL/TX</t>
  </si>
  <si>
    <t xml:space="preserve">IF-NGPL/TX I PR</t>
  </si>
  <si>
    <t xml:space="preserve">GD-TENN/800</t>
  </si>
  <si>
    <t xml:space="preserve">GD-TENN/800 D SP</t>
  </si>
  <si>
    <t xml:space="preserve">IF-NGPLTXOK</t>
  </si>
  <si>
    <t xml:space="preserve">IF-NGPLTXOK I PR</t>
  </si>
  <si>
    <t xml:space="preserve">GD-TENN/CORPUS</t>
  </si>
  <si>
    <t xml:space="preserve">GD-TENN/CORPUS D SP</t>
  </si>
  <si>
    <t xml:space="preserve">IF-NNG/DEMARCAT</t>
  </si>
  <si>
    <t xml:space="preserve">IF-NNG/DEMARCAT I PR</t>
  </si>
  <si>
    <t xml:space="preserve">GD-TETCO/ELA</t>
  </si>
  <si>
    <t xml:space="preserve">GD-TETCO/ELA D SP</t>
  </si>
  <si>
    <t xml:space="preserve">IF-NNG/TOK</t>
  </si>
  <si>
    <t xml:space="preserve">IF-NNG/TOK I PR</t>
  </si>
  <si>
    <t xml:space="preserve">GD-TETCO/ETX/CR</t>
  </si>
  <si>
    <t xml:space="preserve">GD-TETCO/ETX/CR D SP</t>
  </si>
  <si>
    <t xml:space="preserve">IF-NNG/VENT</t>
  </si>
  <si>
    <t xml:space="preserve">IF-NNG/VENT I PR</t>
  </si>
  <si>
    <t xml:space="preserve">GD-TETCO/M1</t>
  </si>
  <si>
    <t xml:space="preserve">GD-TETCO/M1 D SP</t>
  </si>
  <si>
    <t xml:space="preserve">IF-NORAM/EAST</t>
  </si>
  <si>
    <t xml:space="preserve">IF-NORAM/EAST I PR</t>
  </si>
  <si>
    <t xml:space="preserve">GD-TETCO/M3</t>
  </si>
  <si>
    <t xml:space="preserve">GD-TETCO/M3 D SP</t>
  </si>
  <si>
    <t xml:space="preserve">IF-NORAM/WEST</t>
  </si>
  <si>
    <t xml:space="preserve">IF-NORAM/WEST I PR</t>
  </si>
  <si>
    <t xml:space="preserve">GD-TETCO/STX</t>
  </si>
  <si>
    <t xml:space="preserve">GD-TETCO/STX D SP</t>
  </si>
  <si>
    <t xml:space="preserve">IF-NTHWST/CANBR</t>
  </si>
  <si>
    <t xml:space="preserve">IF-NTHWST/CANBR I PR</t>
  </si>
  <si>
    <t xml:space="preserve">GD-TETCO/WLA</t>
  </si>
  <si>
    <t xml:space="preserve">GD-TETCO/WLA D SP</t>
  </si>
  <si>
    <t xml:space="preserve">IF-NWPL_ROCKY_M</t>
  </si>
  <si>
    <t xml:space="preserve">IF-NWPL_ROCKY_M I PR</t>
  </si>
  <si>
    <t xml:space="preserve">GD-TGT/Z1</t>
  </si>
  <si>
    <t xml:space="preserve">GD-TGT/Z1 D SP</t>
  </si>
  <si>
    <t xml:space="preserve">IF-ONG/OKLAHOMA</t>
  </si>
  <si>
    <t xml:space="preserve">IF-ONG/OKLAHOMA I PR</t>
  </si>
  <si>
    <t xml:space="preserve">GD-TGT/ZSL</t>
  </si>
  <si>
    <t xml:space="preserve">GD-TGT/ZSL D SP</t>
  </si>
  <si>
    <t xml:space="preserve">IF-PAN/TX/OK</t>
  </si>
  <si>
    <t xml:space="preserve">IF-PAN/TX/OK I PR</t>
  </si>
  <si>
    <t xml:space="preserve">GD-TRANSCO/Z1</t>
  </si>
  <si>
    <t xml:space="preserve">GD-TRANSCO/Z1 D SP</t>
  </si>
  <si>
    <t xml:space="preserve">IF-QUESTAR</t>
  </si>
  <si>
    <t xml:space="preserve">IF-QUESTAR I PR</t>
  </si>
  <si>
    <t xml:space="preserve">GD-TRANSCO/Z2</t>
  </si>
  <si>
    <t xml:space="preserve">GD-TRANSCO/Z2 D SP</t>
  </si>
  <si>
    <t xml:space="preserve">IF-SONAT/LA</t>
  </si>
  <si>
    <t xml:space="preserve">IF-SONAT/LA I PR</t>
  </si>
  <si>
    <t xml:space="preserve">GD-TRANSCO/Z3</t>
  </si>
  <si>
    <t xml:space="preserve">GD-TRANSCO/Z3 D SP</t>
  </si>
  <si>
    <t xml:space="preserve">IF-TENN/LA</t>
  </si>
  <si>
    <t xml:space="preserve">IF-TENN/LA I PR</t>
  </si>
  <si>
    <t xml:space="preserve">GD-TRANSCO/Z4</t>
  </si>
  <si>
    <t xml:space="preserve">GD-TRANSCO/Z4 D SP</t>
  </si>
  <si>
    <t xml:space="preserve">IF-TENN/LA_OFF</t>
  </si>
  <si>
    <t xml:space="preserve">IF-TENN/LA_OFF I PR</t>
  </si>
  <si>
    <t xml:space="preserve">GD-TRANSCO/Z6 D PR</t>
  </si>
  <si>
    <t xml:space="preserve">IF-TENN/TX</t>
  </si>
  <si>
    <t xml:space="preserve">IF-TENN/TX I PR</t>
  </si>
  <si>
    <t xml:space="preserve">GD-TRCOZ6/NONY</t>
  </si>
  <si>
    <t xml:space="preserve">GD-TRCOZ6/NONY D SP</t>
  </si>
  <si>
    <t xml:space="preserve">IF-TENN/Z5</t>
  </si>
  <si>
    <t xml:space="preserve">IF-TENN/Z5 I PR</t>
  </si>
  <si>
    <t xml:space="preserve">GD-TRCOZ6/NY</t>
  </si>
  <si>
    <t xml:space="preserve">GD-TRCOZ6/NY D SP</t>
  </si>
  <si>
    <t xml:space="preserve">IF-TENN/Z6</t>
  </si>
  <si>
    <t xml:space="preserve">IF-TENN/Z6 I PR</t>
  </si>
  <si>
    <t xml:space="preserve">GD-TRUNKL/ELA</t>
  </si>
  <si>
    <t xml:space="preserve">GD-TRUNKL/ELA D SP</t>
  </si>
  <si>
    <t xml:space="preserve">IF-TETCO/ELA</t>
  </si>
  <si>
    <t xml:space="preserve">IF-TETCO/ELA I PR</t>
  </si>
  <si>
    <t xml:space="preserve">GD-TRUNKL/NO</t>
  </si>
  <si>
    <t xml:space="preserve">GD-TRUNKL/NO D SP</t>
  </si>
  <si>
    <t xml:space="preserve">IF-TETCO/ETX</t>
  </si>
  <si>
    <t xml:space="preserve">IF-TETCO/ETX I PR</t>
  </si>
  <si>
    <t xml:space="preserve">GD-TRUNKL/SO</t>
  </si>
  <si>
    <t xml:space="preserve">GD-TRUNKL/SO D SP</t>
  </si>
  <si>
    <t xml:space="preserve">IF-TETCO/LA</t>
  </si>
  <si>
    <t xml:space="preserve">IF-TETCO/LA I PR</t>
  </si>
  <si>
    <t xml:space="preserve">GD-TRUNKL/WLA</t>
  </si>
  <si>
    <t xml:space="preserve">GD-TRUNKL/WLA D SP</t>
  </si>
  <si>
    <t xml:space="preserve">IF-TETCO/M1</t>
  </si>
  <si>
    <t xml:space="preserve">IF-TETCO/M1 I PR</t>
  </si>
  <si>
    <t xml:space="preserve">GD-TW/PERMIAN</t>
  </si>
  <si>
    <t xml:space="preserve">GD-TW/PERMIAN D SP</t>
  </si>
  <si>
    <t xml:space="preserve">IF-TETCO/M3</t>
  </si>
  <si>
    <t xml:space="preserve">IF-TETCO/M3 I PR</t>
  </si>
  <si>
    <t xml:space="preserve">GD-TW/SJ</t>
  </si>
  <si>
    <t xml:space="preserve">GD-TW/SJ D SP</t>
  </si>
  <si>
    <t xml:space="preserve">IF-TETCO/STX</t>
  </si>
  <si>
    <t xml:space="preserve">IF-TETCO/STX I PR</t>
  </si>
  <si>
    <t xml:space="preserve">GD-TXINT/KATYTX</t>
  </si>
  <si>
    <t xml:space="preserve">GD-TXINT/KATYTX D SP</t>
  </si>
  <si>
    <t xml:space="preserve">IF-TETCO/WLA</t>
  </si>
  <si>
    <t xml:space="preserve">IF-TETCO/WLA I PR</t>
  </si>
  <si>
    <t xml:space="preserve">GD-WADDINGTON</t>
  </si>
  <si>
    <t xml:space="preserve">GD-WADDINGTON D SP</t>
  </si>
  <si>
    <t xml:space="preserve">IF-TEXOMA</t>
  </si>
  <si>
    <t xml:space="preserve">IF-TEXOMA I PR</t>
  </si>
  <si>
    <t xml:space="preserve">GD-WAHA</t>
  </si>
  <si>
    <t xml:space="preserve">GD-WAHA D SP</t>
  </si>
  <si>
    <t xml:space="preserve">IF-TEXOMA OFFER</t>
  </si>
  <si>
    <t xml:space="preserve">IF-TEXOMA OFFER I PR</t>
  </si>
  <si>
    <t xml:space="preserve">GD-WNG/TOK</t>
  </si>
  <si>
    <t xml:space="preserve">GD-WNG/TOK D SP</t>
  </si>
  <si>
    <t xml:space="preserve">IF-TGT/Z1</t>
  </si>
  <si>
    <t xml:space="preserve">IF-TGT/Z1 I PR</t>
  </si>
  <si>
    <t xml:space="preserve">GDAH-HPL/SHPCH</t>
  </si>
  <si>
    <t xml:space="preserve">GDAH-HPL/SHPCH D SP</t>
  </si>
  <si>
    <t xml:space="preserve">IF-TGT/ZSL</t>
  </si>
  <si>
    <t xml:space="preserve">IF-TGT/ZSL I PR</t>
  </si>
  <si>
    <t xml:space="preserve">GDAH-TXINT/KATY</t>
  </si>
  <si>
    <t xml:space="preserve">GDAH-TXINT/KATY D SP</t>
  </si>
  <si>
    <t xml:space="preserve">IF-THOMPSONVILL</t>
  </si>
  <si>
    <t xml:space="preserve">IF-THOMPSONVILL I PR</t>
  </si>
  <si>
    <t xml:space="preserve">GDAL-HPL/SHPCH</t>
  </si>
  <si>
    <t xml:space="preserve">GDAL-HPL/SHPCH D SP</t>
  </si>
  <si>
    <t xml:space="preserve">IF-TRANSCO/Z1</t>
  </si>
  <si>
    <t xml:space="preserve">IF-TRANSCO/Z1 I PR</t>
  </si>
  <si>
    <t xml:space="preserve">GDAL-TXINT/KATY</t>
  </si>
  <si>
    <t xml:space="preserve">GDAL-TXINT/KATY D SP</t>
  </si>
  <si>
    <t xml:space="preserve">IF-TRANSCO/Z2</t>
  </si>
  <si>
    <t xml:space="preserve">IF-TRANSCO/Z2 I PR</t>
  </si>
  <si>
    <t xml:space="preserve">GDH-CIG/RKYMTN</t>
  </si>
  <si>
    <t xml:space="preserve">GDH-CIG/RKYMTN D SP</t>
  </si>
  <si>
    <t xml:space="preserve">IF-TRANSCO/Z3</t>
  </si>
  <si>
    <t xml:space="preserve">IF-TRANSCO/Z3 I PR</t>
  </si>
  <si>
    <t xml:space="preserve">GDH-DJ/BASIN</t>
  </si>
  <si>
    <t xml:space="preserve">GDH-DJ/BASIN D SP</t>
  </si>
  <si>
    <t xml:space="preserve">IF-TRANSCO/Z4</t>
  </si>
  <si>
    <t xml:space="preserve">IF-TRANSCO/Z4 I PR</t>
  </si>
  <si>
    <t xml:space="preserve">GDH-ELPO/PERM</t>
  </si>
  <si>
    <t xml:space="preserve">GDH-ELPO/PERM D SP</t>
  </si>
  <si>
    <t xml:space="preserve">IF-TRANSCO/Z5</t>
  </si>
  <si>
    <t xml:space="preserve">IF-TRANSCO/Z5 I PR</t>
  </si>
  <si>
    <t xml:space="preserve">GDH-ELPO/SJ</t>
  </si>
  <si>
    <t xml:space="preserve">GDH-ELPO/SJ D SP</t>
  </si>
  <si>
    <t xml:space="preserve">IF-TRANSCO/Z6</t>
  </si>
  <si>
    <t xml:space="preserve">IF-TRANSCO/Z6 I PR</t>
  </si>
  <si>
    <t xml:space="preserve">GDH-HEHUB</t>
  </si>
  <si>
    <t xml:space="preserve">GDH-HEHUB D SP</t>
  </si>
  <si>
    <t xml:space="preserve">IF-TRUNK/AVG</t>
  </si>
  <si>
    <t xml:space="preserve">IF-TRUNK/AVG I PR</t>
  </si>
  <si>
    <t xml:space="preserve">GDH-HPL/SHPCH</t>
  </si>
  <si>
    <t xml:space="preserve">GDH-HPL/SHPCH D SP</t>
  </si>
  <si>
    <t xml:space="preserve">IF-TRUNKL/FLDZN</t>
  </si>
  <si>
    <t xml:space="preserve">IF-TRUNKL/FLDZN I PR</t>
  </si>
  <si>
    <t xml:space="preserve">GDH-PAN/TX/OK</t>
  </si>
  <si>
    <t xml:space="preserve">GDH-PAN/TX/OK D SP</t>
  </si>
  <si>
    <t xml:space="preserve">IF-TRUNKL/LA</t>
  </si>
  <si>
    <t xml:space="preserve">IF-TRUNKL/LA I PR</t>
  </si>
  <si>
    <t xml:space="preserve">GDH-SUMAS</t>
  </si>
  <si>
    <t xml:space="preserve">GDH-SUMAS D SP</t>
  </si>
  <si>
    <t xml:space="preserve">IF-TRUNKL/TX</t>
  </si>
  <si>
    <t xml:space="preserve">IF-TRUNKL/TX I PR</t>
  </si>
  <si>
    <t xml:space="preserve">GDH-TXINT/KATY</t>
  </si>
  <si>
    <t xml:space="preserve">GDH-TXINT/KATY D SP</t>
  </si>
  <si>
    <t xml:space="preserve">IF-TW/PERMIAN</t>
  </si>
  <si>
    <t xml:space="preserve">IF-TW/PERMIAN I PR</t>
  </si>
  <si>
    <t xml:space="preserve">GDL-ELPO/PERM</t>
  </si>
  <si>
    <t xml:space="preserve">GDL-ELPO/PERM D SP</t>
  </si>
  <si>
    <t xml:space="preserve">IF-TX CITY LOOP</t>
  </si>
  <si>
    <t xml:space="preserve">IF-TX CITY LOOP I PR</t>
  </si>
  <si>
    <t xml:space="preserve">GDL-ELPO/SJ</t>
  </si>
  <si>
    <t xml:space="preserve">GDL-ELPO/SJ D SP</t>
  </si>
  <si>
    <t xml:space="preserve">IF-VALERO/TX</t>
  </si>
  <si>
    <t xml:space="preserve">IF-VALERO/TX I PR</t>
  </si>
  <si>
    <t xml:space="preserve">GDL-HEHUB</t>
  </si>
  <si>
    <t xml:space="preserve">GDL-HEHUB D SP</t>
  </si>
  <si>
    <t xml:space="preserve">IF-VALLEY</t>
  </si>
  <si>
    <t xml:space="preserve">IF-VALLEY I PR</t>
  </si>
  <si>
    <t xml:space="preserve">GDL-HPL/SHPCH</t>
  </si>
  <si>
    <t xml:space="preserve">GDL-HPL/SHPCH D SP</t>
  </si>
  <si>
    <t xml:space="preserve">IF-WAHA</t>
  </si>
  <si>
    <t xml:space="preserve">IF-WAHA I PR</t>
  </si>
  <si>
    <t xml:space="preserve">GDL-NNG/TOK/PAN</t>
  </si>
  <si>
    <t xml:space="preserve">GDL-NNG/TOK/PAN D SP</t>
  </si>
  <si>
    <t xml:space="preserve">IF-WNG/TOK</t>
  </si>
  <si>
    <t xml:space="preserve">IF-WNG/TOK I PR</t>
  </si>
  <si>
    <t xml:space="preserve">GDL-PAN/TX/OK</t>
  </si>
  <si>
    <t xml:space="preserve">GDL-PAN/TX/OK D SP</t>
  </si>
  <si>
    <t xml:space="preserve">KING/C$/IDX</t>
  </si>
  <si>
    <t xml:space="preserve">KING/C$/IDX I PR</t>
  </si>
  <si>
    <t xml:space="preserve">GDL-TXINT/KATY</t>
  </si>
  <si>
    <t xml:space="preserve">GDL-TXINT/KATY D SP</t>
  </si>
  <si>
    <t xml:space="preserve">MICH-ST.CLAIR/I</t>
  </si>
  <si>
    <t xml:space="preserve">MICH-ST.CLAIR/I I PR</t>
  </si>
  <si>
    <t xml:space="preserve">GDP-AGUADULCE</t>
  </si>
  <si>
    <t xml:space="preserve">GDP-AGUADULCE D SP</t>
  </si>
  <si>
    <t xml:space="preserve">MICH/CONS</t>
  </si>
  <si>
    <t xml:space="preserve">MICH/CONS I PR</t>
  </si>
  <si>
    <t xml:space="preserve">GDP-ALGONQUIN</t>
  </si>
  <si>
    <t xml:space="preserve">GDP-ALGONQUIN D SP</t>
  </si>
  <si>
    <t xml:space="preserve">MICH_CG-GD</t>
  </si>
  <si>
    <t xml:space="preserve">MICH_CG-GD I PR</t>
  </si>
  <si>
    <t xml:space="preserve">GDP-ANR/LA_ONSH</t>
  </si>
  <si>
    <t xml:space="preserve">GDP-ANR/LA_ONSH D SP</t>
  </si>
  <si>
    <t xml:space="preserve">ML7/CG</t>
  </si>
  <si>
    <t xml:space="preserve">ML7/CG I PR</t>
  </si>
  <si>
    <t xml:space="preserve">GDP-ANR/OK</t>
  </si>
  <si>
    <t xml:space="preserve">GDP-ANR/OK D SP</t>
  </si>
  <si>
    <t xml:space="preserve">NAT/FUEL/LEIDY</t>
  </si>
  <si>
    <t xml:space="preserve">NAT/FUEL/LEIDY I PR</t>
  </si>
  <si>
    <t xml:space="preserve">GDP-CAL BORDER</t>
  </si>
  <si>
    <t xml:space="preserve">GDP-CAL BORDER D SP</t>
  </si>
  <si>
    <t xml:space="preserve">NGI-HPL/ETX</t>
  </si>
  <si>
    <t xml:space="preserve">NGI-HPL/ETX I PR</t>
  </si>
  <si>
    <t xml:space="preserve">GDP-CARTHAGE</t>
  </si>
  <si>
    <t xml:space="preserve">GDP-CARTHAGE D SP</t>
  </si>
  <si>
    <t xml:space="preserve">NGI-HPL/STEX</t>
  </si>
  <si>
    <t xml:space="preserve">NGI-HPL/STEX I PR</t>
  </si>
  <si>
    <t xml:space="preserve">GDP-CGT/APPALAC</t>
  </si>
  <si>
    <t xml:space="preserve">GDP-CGT/APPALAC D SP</t>
  </si>
  <si>
    <t xml:space="preserve">NGI-LIG/NO.LA</t>
  </si>
  <si>
    <t xml:space="preserve">NGI-LIG/NO.LA I PR</t>
  </si>
  <si>
    <t xml:space="preserve">GDP-CHI. GATE</t>
  </si>
  <si>
    <t xml:space="preserve">GDP-CHI. GATE D SP</t>
  </si>
  <si>
    <t xml:space="preserve">NGI-MALIN</t>
  </si>
  <si>
    <t xml:space="preserve">NGI-MALIN I PR</t>
  </si>
  <si>
    <t xml:space="preserve">GDP-CIG/RKYMTN</t>
  </si>
  <si>
    <t xml:space="preserve">GDP-CIG/RKYMTN D SP</t>
  </si>
  <si>
    <t xml:space="preserve">NGI-MICH_CG</t>
  </si>
  <si>
    <t xml:space="preserve">NGI-MICH_CG I PR</t>
  </si>
  <si>
    <t xml:space="preserve">GDP-CNG/NORTH</t>
  </si>
  <si>
    <t xml:space="preserve">GDP-CNG/NORTH D SP</t>
  </si>
  <si>
    <t xml:space="preserve">NGI-NGPL/ETXG7</t>
  </si>
  <si>
    <t xml:space="preserve">NGI-NGPL/ETXG7 I PR</t>
  </si>
  <si>
    <t xml:space="preserve">GDP-CNG/SOUTH</t>
  </si>
  <si>
    <t xml:space="preserve">GDP-CNG/SOUTH D SP</t>
  </si>
  <si>
    <t xml:space="preserve">NGI-NGPL/TX_G2</t>
  </si>
  <si>
    <t xml:space="preserve">NGI-NGPL/TX_G2 I PR</t>
  </si>
  <si>
    <t xml:space="preserve">GDP-COLGULF/LA</t>
  </si>
  <si>
    <t xml:space="preserve">GDP-COLGULF/LA D SP</t>
  </si>
  <si>
    <t xml:space="preserve">NGI-NOCAL</t>
  </si>
  <si>
    <t xml:space="preserve">NGI-NOCAL I PR</t>
  </si>
  <si>
    <t xml:space="preserve">GDP-COLGULF/RAY</t>
  </si>
  <si>
    <t xml:space="preserve">GDP-COLGULF/RAY D SP</t>
  </si>
  <si>
    <t xml:space="preserve">NGI-PGE/CG</t>
  </si>
  <si>
    <t xml:space="preserve">NGI-PGE/CG I PR</t>
  </si>
  <si>
    <t xml:space="preserve">GDP-CONSUMERS</t>
  </si>
  <si>
    <t xml:space="preserve">GDP-CONSUMERS D SP</t>
  </si>
  <si>
    <t xml:space="preserve">NGI-SOC/MAL(34/</t>
  </si>
  <si>
    <t xml:space="preserve">NGI-SOC/MAL(34/ I PR</t>
  </si>
  <si>
    <t xml:space="preserve">GDP-CORPUS/SHPC</t>
  </si>
  <si>
    <t xml:space="preserve">GDP-CORPUS/SHPC D SP</t>
  </si>
  <si>
    <t xml:space="preserve">NGI-SOCAL</t>
  </si>
  <si>
    <t xml:space="preserve">NGI-SOCAL I PR</t>
  </si>
  <si>
    <t xml:space="preserve">GDP-DAWN</t>
  </si>
  <si>
    <t xml:space="preserve">GDP-DAWN D SP</t>
  </si>
  <si>
    <t xml:space="preserve">NGI-SOCAL(KRS)</t>
  </si>
  <si>
    <t xml:space="preserve">NGI-SOCAL(KRS) I PR</t>
  </si>
  <si>
    <t xml:space="preserve">GDP-DJ/BASIN</t>
  </si>
  <si>
    <t xml:space="preserve">GDP-DJ/BASIN D SP</t>
  </si>
  <si>
    <t xml:space="preserve">NGI-TENN/NO_LA</t>
  </si>
  <si>
    <t xml:space="preserve">NGI-TENN/NO_LA I PR</t>
  </si>
  <si>
    <t xml:space="preserve">GDP-ELPO/PERM2</t>
  </si>
  <si>
    <t xml:space="preserve">GDP-ELPO/PERM2 D SP</t>
  </si>
  <si>
    <t xml:space="preserve">NGI-TGT/NO.LA</t>
  </si>
  <si>
    <t xml:space="preserve">NGI-TGT/NO.LA I PR</t>
  </si>
  <si>
    <t xml:space="preserve">GDP-ELPO/SANJUA</t>
  </si>
  <si>
    <t xml:space="preserve">GDP-ELPO/SANJUA D SP</t>
  </si>
  <si>
    <t xml:space="preserve">NGI-WHEELER</t>
  </si>
  <si>
    <t xml:space="preserve">NGI-WHEELER I PR</t>
  </si>
  <si>
    <t xml:space="preserve">GDP-ELPO/SJBOND</t>
  </si>
  <si>
    <t xml:space="preserve">GDP-ELPO/SJBOND D SP</t>
  </si>
  <si>
    <t xml:space="preserve">NGI/CHI. GATE</t>
  </si>
  <si>
    <t xml:space="preserve">NGI/CHI. GATE I PR</t>
  </si>
  <si>
    <t xml:space="preserve">GDP-FGT/MOBILE</t>
  </si>
  <si>
    <t xml:space="preserve">GDP-FGT/MOBILE D SP</t>
  </si>
  <si>
    <t xml:space="preserve">NGINDEX</t>
  </si>
  <si>
    <t xml:space="preserve">NGINDEX I PR</t>
  </si>
  <si>
    <t xml:space="preserve">GDP-FGT/Z1</t>
  </si>
  <si>
    <t xml:space="preserve">GDP-FGT/Z1 D SP</t>
  </si>
  <si>
    <t xml:space="preserve">NGMR-AECO/IDX</t>
  </si>
  <si>
    <t xml:space="preserve">NGMR-AECO/IDX I PR</t>
  </si>
  <si>
    <t xml:space="preserve">GDP-FGT/Z1/CORP</t>
  </si>
  <si>
    <t xml:space="preserve">GDP-FGT/Z1/CORP D SP</t>
  </si>
  <si>
    <t xml:space="preserve">NGMR-ALBDR/IDX</t>
  </si>
  <si>
    <t xml:space="preserve">NGMR-ALBDR/IDX I PR</t>
  </si>
  <si>
    <t xml:space="preserve">GDP-FGT/Z2</t>
  </si>
  <si>
    <t xml:space="preserve">GDP-FGT/Z2 D SP</t>
  </si>
  <si>
    <t xml:space="preserve">NGPL/AMARILO-GD</t>
  </si>
  <si>
    <t xml:space="preserve">NGPL/AMARILO-GD I PR</t>
  </si>
  <si>
    <t xml:space="preserve">GDP-FGT/Z3</t>
  </si>
  <si>
    <t xml:space="preserve">GDP-FGT/Z3 D SP</t>
  </si>
  <si>
    <t xml:space="preserve">NGPL/IA-IL-GDM</t>
  </si>
  <si>
    <t xml:space="preserve">NGPL/IA-IL-GDM I PR</t>
  </si>
  <si>
    <t xml:space="preserve">GDP-HEHUB</t>
  </si>
  <si>
    <t xml:space="preserve">GDP-HEHUB D SP</t>
  </si>
  <si>
    <t xml:space="preserve">NGPL/PER/1ST-GD</t>
  </si>
  <si>
    <t xml:space="preserve">NGPL/PER/1ST-GD I PR</t>
  </si>
  <si>
    <t xml:space="preserve">GDP-HPL+1AFTA</t>
  </si>
  <si>
    <t xml:space="preserve">GDP-HPL+1AFTA D SP</t>
  </si>
  <si>
    <t xml:space="preserve">NGW-ALGO/CITY</t>
  </si>
  <si>
    <t xml:space="preserve">NGW-ALGO/CITY I PR</t>
  </si>
  <si>
    <t xml:space="preserve">GDP-HPL+1AFTH</t>
  </si>
  <si>
    <t xml:space="preserve">GDP-HPL+1AFTH D SP</t>
  </si>
  <si>
    <t xml:space="preserve">NGW-ALGONQUIN</t>
  </si>
  <si>
    <t xml:space="preserve">NGW-ALGONQUIN I PR</t>
  </si>
  <si>
    <t xml:space="preserve">GDP-HPL+2AFTA</t>
  </si>
  <si>
    <t xml:space="preserve">GDP-HPL+2AFTA D SP</t>
  </si>
  <si>
    <t xml:space="preserve">NGW-CGE</t>
  </si>
  <si>
    <t xml:space="preserve">NGW-CGE I PR</t>
  </si>
  <si>
    <t xml:space="preserve">GDP-HPL+2AFTH</t>
  </si>
  <si>
    <t xml:space="preserve">GDP-HPL+2AFTH D SP</t>
  </si>
  <si>
    <t xml:space="preserve">NGW-CGKY</t>
  </si>
  <si>
    <t xml:space="preserve">NGW-CGKY I PR</t>
  </si>
  <si>
    <t xml:space="preserve">GDP-HPL/SHPCH</t>
  </si>
  <si>
    <t xml:space="preserve">GDP-HPL/SHPCH D SP</t>
  </si>
  <si>
    <t xml:space="preserve">NGW-CHIPPEWA</t>
  </si>
  <si>
    <t xml:space="preserve">NGW-CHIPPEWA I PR</t>
  </si>
  <si>
    <t xml:space="preserve">GDP-HPLABS+1AH</t>
  </si>
  <si>
    <t xml:space="preserve">GDP-HPLABS+1AH D SP</t>
  </si>
  <si>
    <t xml:space="preserve">NGW-FGT/Z1</t>
  </si>
  <si>
    <t xml:space="preserve">NGW-FGT/Z1 I PR</t>
  </si>
  <si>
    <t xml:space="preserve">GDP-HPLABSHIGH</t>
  </si>
  <si>
    <t xml:space="preserve">GDP-HPLABSHIGH D SP</t>
  </si>
  <si>
    <t xml:space="preserve">NGW-FGT/Z2</t>
  </si>
  <si>
    <t xml:space="preserve">NGW-FGT/Z2 I PR</t>
  </si>
  <si>
    <t xml:space="preserve">GDP-HPLRAFTA</t>
  </si>
  <si>
    <t xml:space="preserve">GDP-HPLRAFTA D SP</t>
  </si>
  <si>
    <t xml:space="preserve">NGW-FGT/Z3</t>
  </si>
  <si>
    <t xml:space="preserve">NGW-FGT/Z3 I PR</t>
  </si>
  <si>
    <t xml:space="preserve">GDP-HPLU2AFTH</t>
  </si>
  <si>
    <t xml:space="preserve">GDP-HPLU2AFTH D SP</t>
  </si>
  <si>
    <t xml:space="preserve">NGW-GB23</t>
  </si>
  <si>
    <t xml:space="preserve">NGW-GB23 I PR</t>
  </si>
  <si>
    <t xml:space="preserve">GDP-HPLV2AFTH</t>
  </si>
  <si>
    <t xml:space="preserve">GDP-HPLV2AFTH D SP</t>
  </si>
  <si>
    <t xml:space="preserve">NGW-HEHUB</t>
  </si>
  <si>
    <t xml:space="preserve">NGW-HEHUB I PR</t>
  </si>
  <si>
    <t xml:space="preserve">GDP-IROQUOIS</t>
  </si>
  <si>
    <t xml:space="preserve">GDP-IROQUOIS D SP</t>
  </si>
  <si>
    <t xml:space="preserve">NGW-IROQ/WADD</t>
  </si>
  <si>
    <t xml:space="preserve">NGW-IROQ/WADD I PR</t>
  </si>
  <si>
    <t xml:space="preserve">GDP-KERN/RIVER</t>
  </si>
  <si>
    <t xml:space="preserve">GDP-KERN/RIVER D SP</t>
  </si>
  <si>
    <t xml:space="preserve">NGW-IROQ/Z1</t>
  </si>
  <si>
    <t xml:space="preserve">NGW-IROQ/Z1 I PR</t>
  </si>
  <si>
    <t xml:space="preserve">GDP-KOCH</t>
  </si>
  <si>
    <t xml:space="preserve">GDP-KOCH D SP</t>
  </si>
  <si>
    <t xml:space="preserve">NGW-IROQ/Z2</t>
  </si>
  <si>
    <t xml:space="preserve">NGW-IROQ/Z2 I PR</t>
  </si>
  <si>
    <t xml:space="preserve">GDP-KOCH/CORPUS</t>
  </si>
  <si>
    <t xml:space="preserve">GDP-KOCH/CORPUS D SP</t>
  </si>
  <si>
    <t xml:space="preserve">NGW-ONS/TXDTP</t>
  </si>
  <si>
    <t xml:space="preserve">NGW-ONS/TXDTP I PR</t>
  </si>
  <si>
    <t xml:space="preserve">GDP-KOCH/TX</t>
  </si>
  <si>
    <t xml:space="preserve">GDP-KOCH/TX D SP</t>
  </si>
  <si>
    <t xml:space="preserve">NGW-ONS/TXDTPTW</t>
  </si>
  <si>
    <t xml:space="preserve">NGW-ONS/TXDTPTW I PR</t>
  </si>
  <si>
    <t xml:space="preserve">GDP-LONESTAR</t>
  </si>
  <si>
    <t xml:space="preserve">GDP-LONESTAR D SP</t>
  </si>
  <si>
    <t xml:space="preserve">NGW-ONSLA</t>
  </si>
  <si>
    <t xml:space="preserve">NGW-ONSLA I PR</t>
  </si>
  <si>
    <t xml:space="preserve">GDP-MALIN-CTYGA</t>
  </si>
  <si>
    <t xml:space="preserve">GDP-MALIN-CTYGA D SP</t>
  </si>
  <si>
    <t xml:space="preserve">NGW-ONSLA1</t>
  </si>
  <si>
    <t xml:space="preserve">NGW-ONSLA1 I PR</t>
  </si>
  <si>
    <t xml:space="preserve">GDP-MICHCON</t>
  </si>
  <si>
    <t xml:space="preserve">GDP-MICHCON D SP</t>
  </si>
  <si>
    <t xml:space="preserve">NGW/HH/BIDWEEK</t>
  </si>
  <si>
    <t xml:space="preserve">NGW/HH/BIDWEEK I PR</t>
  </si>
  <si>
    <t xml:space="preserve">GDP-ML7/CG</t>
  </si>
  <si>
    <t xml:space="preserve">GDP-ML7/CG D SP</t>
  </si>
  <si>
    <t xml:space="preserve">NW STANF/1ST-GD</t>
  </si>
  <si>
    <t xml:space="preserve">NW STANF/1ST-GD I PR</t>
  </si>
  <si>
    <t xml:space="preserve">GDP-MRT/MAINLIN</t>
  </si>
  <si>
    <t xml:space="preserve">GDP-MRT/MAINLIN D SP</t>
  </si>
  <si>
    <t xml:space="preserve">NX3D</t>
  </si>
  <si>
    <t xml:space="preserve">NX3D I PR</t>
  </si>
  <si>
    <t xml:space="preserve">GDP-MRT/WEST</t>
  </si>
  <si>
    <t xml:space="preserve">GDP-MRT/WEST D SP</t>
  </si>
  <si>
    <t xml:space="preserve">T/STX-VAL-AVG</t>
  </si>
  <si>
    <t xml:space="preserve">T/STX-VAL-AVG I PR</t>
  </si>
  <si>
    <t xml:space="preserve">GDP-NGPL/(IA-IL</t>
  </si>
  <si>
    <t xml:space="preserve">GDP-NGPL/(IA-IL D SP</t>
  </si>
  <si>
    <t xml:space="preserve">TRUNKL/WLA-GD</t>
  </si>
  <si>
    <t xml:space="preserve">TRUNKL/WLA-GD I PR</t>
  </si>
  <si>
    <t xml:space="preserve">GDP-NGPL/AMARIL</t>
  </si>
  <si>
    <t xml:space="preserve">GDP-NGPL/AMARIL D SP</t>
  </si>
  <si>
    <t xml:space="preserve">WAHA KCBT</t>
  </si>
  <si>
    <t xml:space="preserve">WAHA KCBT I PR</t>
  </si>
  <si>
    <t xml:space="preserve">GDP-NGPL/CORPUS</t>
  </si>
  <si>
    <t xml:space="preserve">GDP-NGPL/CORPUS D SP</t>
  </si>
  <si>
    <t xml:space="preserve">GDP-NGPL/LA</t>
  </si>
  <si>
    <t xml:space="preserve">GDP-NGPL/LA D SP</t>
  </si>
  <si>
    <t xml:space="preserve">GDP-NGPL/OK</t>
  </si>
  <si>
    <t xml:space="preserve">GDP-NGPL/OK D SP</t>
  </si>
  <si>
    <t xml:space="preserve">GDP-NGPL/PAN/PR</t>
  </si>
  <si>
    <t xml:space="preserve">GDP-NGPL/PAN/PR D SP</t>
  </si>
  <si>
    <t xml:space="preserve">GDP-NGPL/TXOK-E</t>
  </si>
  <si>
    <t xml:space="preserve">GDP-NGPL/TXOK-E D SP</t>
  </si>
  <si>
    <t xml:space="preserve">GDP-NGPL/TXOK-W</t>
  </si>
  <si>
    <t xml:space="preserve">GDP-NGPL/TXOK-W D SP</t>
  </si>
  <si>
    <t xml:space="preserve">GDP-NIAGARA</t>
  </si>
  <si>
    <t xml:space="preserve">GDP-NIAGARA D SP</t>
  </si>
  <si>
    <t xml:space="preserve">GDP-NNG/DEMARCA</t>
  </si>
  <si>
    <t xml:space="preserve">GDP-NNG/DEMARCA D SP</t>
  </si>
  <si>
    <t xml:space="preserve">GDP-NNG/TOK</t>
  </si>
  <si>
    <t xml:space="preserve">GDP-NNG/TOK D SP</t>
  </si>
  <si>
    <t xml:space="preserve">GDP-NNG/TOK(1-6</t>
  </si>
  <si>
    <t xml:space="preserve">GDP-NNG/TOK(1-6 D SP</t>
  </si>
  <si>
    <t xml:space="preserve">GDP-NNG/TOK(13)</t>
  </si>
  <si>
    <t xml:space="preserve">GDP-NNG/TOK(13) D SP</t>
  </si>
  <si>
    <t xml:space="preserve">GDP-NNG/TOK/PAN</t>
  </si>
  <si>
    <t xml:space="preserve">GDP-NNG/TOK/PAN D SP</t>
  </si>
  <si>
    <t xml:space="preserve">GDP-NNG/VENT</t>
  </si>
  <si>
    <t xml:space="preserve">GDP-NNG/VENT D SP</t>
  </si>
  <si>
    <t xml:space="preserve">GDP-NORAM-N/S</t>
  </si>
  <si>
    <t xml:space="preserve">GDP-NORAM-N/S D SP</t>
  </si>
  <si>
    <t xml:space="preserve">GDP-NORAM/WEST</t>
  </si>
  <si>
    <t xml:space="preserve">GDP-NORAM/WEST D SP</t>
  </si>
  <si>
    <t xml:space="preserve">GDP-NTHWST/CANB</t>
  </si>
  <si>
    <t xml:space="preserve">GDP-NTHWST/CANB D SP</t>
  </si>
  <si>
    <t xml:space="preserve">GDP-NW STANFIEL</t>
  </si>
  <si>
    <t xml:space="preserve">GDP-NW STANFIEL D SP</t>
  </si>
  <si>
    <t xml:space="preserve">GDP-NWPL_ROCKYM</t>
  </si>
  <si>
    <t xml:space="preserve">GDP-NWPL_ROCKYM D SP</t>
  </si>
  <si>
    <t xml:space="preserve">GDP-PAN/TX/OK</t>
  </si>
  <si>
    <t xml:space="preserve">GDP-PAN/TX/OK D SP</t>
  </si>
  <si>
    <t xml:space="preserve">GDP-PG&amp;E/CITIGA</t>
  </si>
  <si>
    <t xml:space="preserve">GDP-PG&amp;E/CITIGA D SP</t>
  </si>
  <si>
    <t xml:space="preserve">GDP-PG&amp;E/LG-PKG</t>
  </si>
  <si>
    <t xml:space="preserve">GDP-PG&amp;E/LG-PKG D SP</t>
  </si>
  <si>
    <t xml:space="preserve">GDP-PGT/KINGSGA</t>
  </si>
  <si>
    <t xml:space="preserve">GDP-PGT/KINGSGA D SP</t>
  </si>
  <si>
    <t xml:space="preserve">GDP-QUESTAR</t>
  </si>
  <si>
    <t xml:space="preserve">GDP-QUESTAR D SP</t>
  </si>
  <si>
    <t xml:space="preserve">GDP-SONAT/LA</t>
  </si>
  <si>
    <t xml:space="preserve">GDP-SONAT/LA D SP</t>
  </si>
  <si>
    <t xml:space="preserve">GDP-TENN/100</t>
  </si>
  <si>
    <t xml:space="preserve">GDP-TENN/100 D SP</t>
  </si>
  <si>
    <t xml:space="preserve">GDP-TENN/500</t>
  </si>
  <si>
    <t xml:space="preserve">GDP-TENN/500 D SP</t>
  </si>
  <si>
    <t xml:space="preserve">GDP-TENN/800</t>
  </si>
  <si>
    <t xml:space="preserve">GDP-TENN/800 D SP</t>
  </si>
  <si>
    <t xml:space="preserve">GDP-TENN/CORPUS</t>
  </si>
  <si>
    <t xml:space="preserve">GDP-TENN/CORPUS D SP</t>
  </si>
  <si>
    <t xml:space="preserve">GDP-TETCO/ELA</t>
  </si>
  <si>
    <t xml:space="preserve">GDP-TETCO/ELA D SP</t>
  </si>
  <si>
    <t xml:space="preserve">GDP-TETCO/ETX/C</t>
  </si>
  <si>
    <t xml:space="preserve">GDP-TETCO/ETX/C D SP</t>
  </si>
  <si>
    <t xml:space="preserve">GDP-TETCO/M1</t>
  </si>
  <si>
    <t xml:space="preserve">GDP-TETCO/M1 D SP</t>
  </si>
  <si>
    <t xml:space="preserve">GDP-TETCO/M3</t>
  </si>
  <si>
    <t xml:space="preserve">GDP-TETCO/M3 D SP</t>
  </si>
  <si>
    <t xml:space="preserve">GDP-TETCO/STX</t>
  </si>
  <si>
    <t xml:space="preserve">GDP-TETCO/STX D SP</t>
  </si>
  <si>
    <t xml:space="preserve">GDP-TETCO/WLA</t>
  </si>
  <si>
    <t xml:space="preserve">GDP-TETCO/WLA D SP</t>
  </si>
  <si>
    <t xml:space="preserve">GDP-TGT/Z1</t>
  </si>
  <si>
    <t xml:space="preserve">GDP-TGT/Z1 D SP</t>
  </si>
  <si>
    <t xml:space="preserve">GDP-TGT/ZSL</t>
  </si>
  <si>
    <t xml:space="preserve">GDP-TGT/ZSL D SP</t>
  </si>
  <si>
    <t xml:space="preserve">GDP-TRANSCO/Z1</t>
  </si>
  <si>
    <t xml:space="preserve">GDP-TRANSCO/Z1 D SP</t>
  </si>
  <si>
    <t xml:space="preserve">GDP-TRANSCO/Z2</t>
  </si>
  <si>
    <t xml:space="preserve">GDP-TRANSCO/Z2 D SP</t>
  </si>
  <si>
    <t xml:space="preserve">GDP-TRANSCO/Z3</t>
  </si>
  <si>
    <t xml:space="preserve">GDP-TRANSCO/Z3 D SP</t>
  </si>
  <si>
    <t xml:space="preserve">GDP-TRANSCO/Z4</t>
  </si>
  <si>
    <t xml:space="preserve">GDP-TRANSCO/Z4 D SP</t>
  </si>
  <si>
    <t xml:space="preserve">GDP-TRCOZ6/NONY</t>
  </si>
  <si>
    <t xml:space="preserve">GDP-TRCOZ6/NONY D SP</t>
  </si>
  <si>
    <t xml:space="preserve">GDP-TRCOZ6/NY</t>
  </si>
  <si>
    <t xml:space="preserve">GDP-TRCOZ6/NY D SP</t>
  </si>
  <si>
    <t xml:space="preserve">GDP-TRUNKL/ELA</t>
  </si>
  <si>
    <t xml:space="preserve">GDP-TRUNKL/ELA D SP</t>
  </si>
  <si>
    <t xml:space="preserve">GDP-TRUNKL/NO</t>
  </si>
  <si>
    <t xml:space="preserve">GDP-TRUNKL/NO D SP</t>
  </si>
  <si>
    <t xml:space="preserve">GDP-TRUNKL/SO</t>
  </si>
  <si>
    <t xml:space="preserve">GDP-TRUNKL/SO D SP</t>
  </si>
  <si>
    <t xml:space="preserve">GDP-TRUNKL/WLA</t>
  </si>
  <si>
    <t xml:space="preserve">GDP-TRUNKL/WLA D SP</t>
  </si>
  <si>
    <t xml:space="preserve">GDP-TW/PERMIAN</t>
  </si>
  <si>
    <t xml:space="preserve">GDP-TW/PERMIAN D SP</t>
  </si>
  <si>
    <t xml:space="preserve">GDP-TW/SJ</t>
  </si>
  <si>
    <t xml:space="preserve">GDP-TW/SJ D SP</t>
  </si>
  <si>
    <t xml:space="preserve">GDP-TXINT+1AFTA</t>
  </si>
  <si>
    <t xml:space="preserve">GDP-TXINT+1AFTA D SP</t>
  </si>
  <si>
    <t xml:space="preserve">GDP-TXINT+2AFTA</t>
  </si>
  <si>
    <t xml:space="preserve">GDP-TXINT+2AFTA D SP</t>
  </si>
  <si>
    <t xml:space="preserve">GDP-TXINT+2AFTH</t>
  </si>
  <si>
    <t xml:space="preserve">GDP-TXINT+2AFTH D SP</t>
  </si>
  <si>
    <t xml:space="preserve">GDP-TXINT+2AFTL</t>
  </si>
  <si>
    <t xml:space="preserve">GDP-TXINT+2AFTL D SP</t>
  </si>
  <si>
    <t xml:space="preserve">GDP-TXINT/KATYH</t>
  </si>
  <si>
    <t xml:space="preserve">GDP-TXINT/KATYH D SP</t>
  </si>
  <si>
    <t xml:space="preserve">GDP-TXINT/KATYL</t>
  </si>
  <si>
    <t xml:space="preserve">GDP-TXINT/KATYL D SP</t>
  </si>
  <si>
    <t xml:space="preserve">GDP-TXINT/KATYT</t>
  </si>
  <si>
    <t xml:space="preserve">GDP-TXINT/KATYT D SP</t>
  </si>
  <si>
    <t xml:space="preserve">GDP-TXINTFRWKA</t>
  </si>
  <si>
    <t xml:space="preserve">GDP-TXINTFRWKA D SP</t>
  </si>
  <si>
    <t xml:space="preserve">GDP-TXINTH+2FTH</t>
  </si>
  <si>
    <t xml:space="preserve">GDP-TXINTH+2FTH D SP</t>
  </si>
  <si>
    <t xml:space="preserve">GDP-TXINTL+2FTH</t>
  </si>
  <si>
    <t xml:space="preserve">GDP-TXINTL+2FTH D SP</t>
  </si>
  <si>
    <t xml:space="preserve">GDP-WAHA</t>
  </si>
  <si>
    <t xml:space="preserve">GDP-WAHA D SP</t>
  </si>
  <si>
    <t xml:space="preserve">GDP-WNG/TOK</t>
  </si>
  <si>
    <t xml:space="preserve">GDP-WNG/TOK D SP</t>
  </si>
  <si>
    <t xml:space="preserve">HPL/SHPCHAN-GD D PR</t>
  </si>
  <si>
    <t xml:space="preserve">IF-A/S E.BEAUM D PR</t>
  </si>
  <si>
    <t xml:space="preserve">IF-A/S EAST OFF D PR</t>
  </si>
  <si>
    <t xml:space="preserve">IF-AGUA DULCE D PR</t>
  </si>
  <si>
    <t xml:space="preserve">IF-ANR/LA D PR</t>
  </si>
  <si>
    <t xml:space="preserve">IF-ANR/LA_OFFSH D PR</t>
  </si>
  <si>
    <t xml:space="preserve">IF-ANR/LA_ONSHO D PR</t>
  </si>
  <si>
    <t xml:space="preserve">IF-ANR/OK D PR</t>
  </si>
  <si>
    <t xml:space="preserve">IF-ARKLA/ARK-OK D PR</t>
  </si>
  <si>
    <t xml:space="preserve">IF-B/M OFFSHORE D PR</t>
  </si>
  <si>
    <t xml:space="preserve">IF-BONDAD(100%) D PR</t>
  </si>
  <si>
    <t xml:space="preserve">IF-CARTHAGE D PR</t>
  </si>
  <si>
    <t xml:space="preserve">IF-CGT/APPALAC D PR</t>
  </si>
  <si>
    <t xml:space="preserve">IF-CGT/CITYGATE D PR</t>
  </si>
  <si>
    <t xml:space="preserve">IF-CIG/RKYMTN D PR</t>
  </si>
  <si>
    <t xml:space="preserve">IF-CIG/TOMAHAWK D PR</t>
  </si>
  <si>
    <t xml:space="preserve">IF-CIG/WIC D PR</t>
  </si>
  <si>
    <t xml:space="preserve">IF-CIG/WINDRVR D PR</t>
  </si>
  <si>
    <t xml:space="preserve">IF-CNG/APPALACH D PR</t>
  </si>
  <si>
    <t xml:space="preserve">IF-CNG/NORTH D PR</t>
  </si>
  <si>
    <t xml:space="preserve">IF-CNG/N_CITYGA D PR</t>
  </si>
  <si>
    <t xml:space="preserve">IF-COLGUL/ERATH D PR</t>
  </si>
  <si>
    <t xml:space="preserve">IF-COLGUL/RAYNE D PR</t>
  </si>
  <si>
    <t xml:space="preserve">IF-COLGULF/LA D PR</t>
  </si>
  <si>
    <t xml:space="preserve">IF-COLGULF/LAOF D PR</t>
  </si>
  <si>
    <t xml:space="preserve">IF-CORPUS D PR</t>
  </si>
  <si>
    <t xml:space="preserve">IF-ELPO/ANADARK D PR</t>
  </si>
  <si>
    <t xml:space="preserve">IF-ELPO/PERMIAN D PR</t>
  </si>
  <si>
    <t xml:space="preserve">IF-ELPO/SJ D PR</t>
  </si>
  <si>
    <t xml:space="preserve">IF-ELPO/SJ/KC D PR</t>
  </si>
  <si>
    <t xml:space="preserve">IF-EPSJ(BONDAD) D PR</t>
  </si>
  <si>
    <t xml:space="preserve">IF-EPSJ(MILAGR) D PR</t>
  </si>
  <si>
    <t xml:space="preserve">IF-EPSJ/TWBLANC D PR</t>
  </si>
  <si>
    <t xml:space="preserve">IF-FGT/CTYGATE D PR</t>
  </si>
  <si>
    <t xml:space="preserve">IF-FGT/MKTAREA D PR</t>
  </si>
  <si>
    <t xml:space="preserve">IF-FGT/Z1 D PR</t>
  </si>
  <si>
    <t xml:space="preserve">IF-FGT/Z2 D PR</t>
  </si>
  <si>
    <t xml:space="preserve">IF-FGT/Z3 D PR</t>
  </si>
  <si>
    <t xml:space="preserve">IF-FREEPORT D PR</t>
  </si>
  <si>
    <t xml:space="preserve">IF-HEHUB D PR</t>
  </si>
  <si>
    <t xml:space="preserve">IF-HPL/SHPCHAN D PR</t>
  </si>
  <si>
    <t xml:space="preserve">IF-IOWA_IL D PR</t>
  </si>
  <si>
    <t xml:space="preserve">IF-K/COL/TN/LA D PR</t>
  </si>
  <si>
    <t xml:space="preserve">IF-KATY D PR</t>
  </si>
  <si>
    <t xml:space="preserve">IF-KATY/OASIS D PR</t>
  </si>
  <si>
    <t xml:space="preserve">IF-KATY/TAIL D PR</t>
  </si>
  <si>
    <t xml:space="preserve">IF-KATY/WOFLEX D PR</t>
  </si>
  <si>
    <t xml:space="preserve">IF-KERN/QUEST D PR</t>
  </si>
  <si>
    <t xml:space="preserve">IF-KERN/RIVER D PR</t>
  </si>
  <si>
    <t xml:space="preserve">IF-KING RANCH D PR</t>
  </si>
  <si>
    <t xml:space="preserve">IF-KOCH D PR</t>
  </si>
  <si>
    <t xml:space="preserve">IF-KOCH/LA D PR</t>
  </si>
  <si>
    <t xml:space="preserve">IF-KOCH/TX D PR</t>
  </si>
  <si>
    <t xml:space="preserve">IF-LONESTAR D PR</t>
  </si>
  <si>
    <t xml:space="preserve">IF-LRC D PR</t>
  </si>
  <si>
    <t xml:space="preserve">IF-LRC/Z1 D PR</t>
  </si>
  <si>
    <t xml:space="preserve">IF-LRC/Z2 D PR</t>
  </si>
  <si>
    <t xml:space="preserve">IF-LRC/Z3 D PR</t>
  </si>
  <si>
    <t xml:space="preserve">IF-LRC/Z4 D PR</t>
  </si>
  <si>
    <t xml:space="preserve">IF-LRC/Z5 D PR</t>
  </si>
  <si>
    <t xml:space="preserve">IF-MONCHY D PR</t>
  </si>
  <si>
    <t xml:space="preserve">IF-NGPL/HARPER D PR</t>
  </si>
  <si>
    <t xml:space="preserve">IF-NGPL/LA D PR</t>
  </si>
  <si>
    <t xml:space="preserve">IF-NGPL/LA-STNG D PR</t>
  </si>
  <si>
    <t xml:space="preserve">IF-NGPL/MIDCON D PR</t>
  </si>
  <si>
    <t xml:space="preserve">IF-NGPL/OK-NW D PR</t>
  </si>
  <si>
    <t xml:space="preserve">IF-NGPL/STX D PR</t>
  </si>
  <si>
    <t xml:space="preserve">IF-NGPL/TX D PR</t>
  </si>
  <si>
    <t xml:space="preserve">IF-NGPLTXOK D PR</t>
  </si>
  <si>
    <t xml:space="preserve">IF-NNG/DEMARCAT D PR</t>
  </si>
  <si>
    <t xml:space="preserve">IF-NNG/TOK D PR</t>
  </si>
  <si>
    <t xml:space="preserve">IF-NNG/VENT D PR</t>
  </si>
  <si>
    <t xml:space="preserve">IF-NORAM/EAST D PR</t>
  </si>
  <si>
    <t xml:space="preserve">IF-NORAM/WEST D PR</t>
  </si>
  <si>
    <t xml:space="preserve">IF-NTHWST/CANBR D PR</t>
  </si>
  <si>
    <t xml:space="preserve">IF-NWPL_ROCKY_M D PR</t>
  </si>
  <si>
    <t xml:space="preserve">IF-ONG/OKLAHOMA D PR</t>
  </si>
  <si>
    <t xml:space="preserve">IF-PAN/TX/OK D PR</t>
  </si>
  <si>
    <t xml:space="preserve">IF-QUESTAR D PR</t>
  </si>
  <si>
    <t xml:space="preserve">IF-SONAT/LA D PR</t>
  </si>
  <si>
    <t xml:space="preserve">IF-TENN/LA D PR</t>
  </si>
  <si>
    <t xml:space="preserve">IF-TENN/LA_OFF D PR</t>
  </si>
  <si>
    <t xml:space="preserve">IF-TENN/TX D PR</t>
  </si>
  <si>
    <t xml:space="preserve">IF-TENN/Z5 D PR</t>
  </si>
  <si>
    <t xml:space="preserve">IF-TENN/Z6 D PR</t>
  </si>
  <si>
    <t xml:space="preserve">IF-TETCO/ELA D PR</t>
  </si>
  <si>
    <t xml:space="preserve">IF-TETCO/ETX D PR</t>
  </si>
  <si>
    <t xml:space="preserve">IF-TETCO/LA D PR</t>
  </si>
  <si>
    <t xml:space="preserve">IF-TETCO/M1 D PR</t>
  </si>
  <si>
    <t xml:space="preserve">IF-TETCO/M3 D PR</t>
  </si>
  <si>
    <t xml:space="preserve">IF-TETCO/STX D PR</t>
  </si>
  <si>
    <t xml:space="preserve">IF-TETCO/WLA D PR</t>
  </si>
  <si>
    <t xml:space="preserve">IF-TEXOMA D PR</t>
  </si>
  <si>
    <t xml:space="preserve">IF-TEXOMA OFFER D PR</t>
  </si>
  <si>
    <t xml:space="preserve">IF-TGT/Z1 D PR</t>
  </si>
  <si>
    <t xml:space="preserve">IF-TGT/ZSL D PR</t>
  </si>
  <si>
    <t xml:space="preserve">IF-THOMPSONVILL D PR</t>
  </si>
  <si>
    <t xml:space="preserve">IF-TRANSCO/Z1 D PR</t>
  </si>
  <si>
    <t xml:space="preserve">IF-TRANSCO/Z2 D PR</t>
  </si>
  <si>
    <t xml:space="preserve">IF-TRANSCO/Z3 D PR</t>
  </si>
  <si>
    <t xml:space="preserve">IF-TRANSCO/Z4 D PR</t>
  </si>
  <si>
    <t xml:space="preserve">IF-TRANSCO/Z5 D PR</t>
  </si>
  <si>
    <t xml:space="preserve">IF-TRANSCO/Z6 D PR</t>
  </si>
  <si>
    <t xml:space="preserve">IF-TRUNK/AVG D PR</t>
  </si>
  <si>
    <t xml:space="preserve">IF-TRUNKL/FLDZN D PR</t>
  </si>
  <si>
    <t xml:space="preserve">IF-TRUNKL/LA D PR</t>
  </si>
  <si>
    <t xml:space="preserve">IF-TRUNKL/TX D PR</t>
  </si>
  <si>
    <t xml:space="preserve">IF-TW/PERMIAN D PR</t>
  </si>
  <si>
    <t xml:space="preserve">IF-TX CITY LOOP D PR</t>
  </si>
  <si>
    <t xml:space="preserve">IF-VALERO/TX D PR</t>
  </si>
  <si>
    <t xml:space="preserve">IF-VALLEY D PR</t>
  </si>
  <si>
    <t xml:space="preserve">IF-WAHA D PR</t>
  </si>
  <si>
    <t xml:space="preserve">IF-WNG/TOK D PR</t>
  </si>
  <si>
    <t xml:space="preserve">MICH-ST.CLAIR</t>
  </si>
  <si>
    <t xml:space="preserve">MICH-ST.CLAIR D PR</t>
  </si>
  <si>
    <t xml:space="preserve">MICH/CONS D PR</t>
  </si>
  <si>
    <t xml:space="preserve">MICH_CG-GD D PR</t>
  </si>
  <si>
    <t xml:space="preserve">ML7/CG D PR</t>
  </si>
  <si>
    <t xml:space="preserve">NAT/FUEL/LEIDY D PR</t>
  </si>
  <si>
    <t xml:space="preserve">NGI-HPL/ETX D PR</t>
  </si>
  <si>
    <t xml:space="preserve">NGI-HPL/STEX D PR</t>
  </si>
  <si>
    <t xml:space="preserve">NGI-LIG/NO.LA D PR</t>
  </si>
  <si>
    <t xml:space="preserve">NGI-MALIN D PR</t>
  </si>
  <si>
    <t xml:space="preserve">NGI-MICH_CG D PR</t>
  </si>
  <si>
    <t xml:space="preserve">NGI-NGPL/ETXG7 D PR</t>
  </si>
  <si>
    <t xml:space="preserve">NGI-NGPL/TX_G2 D PR</t>
  </si>
  <si>
    <t xml:space="preserve">NGI-NOCAL D PR</t>
  </si>
  <si>
    <t xml:space="preserve">NGI-PGE/CG D PR</t>
  </si>
  <si>
    <t xml:space="preserve">NGI-SOC/MAL(34/ D PR</t>
  </si>
  <si>
    <t xml:space="preserve">NGI-SOCAL D PR</t>
  </si>
  <si>
    <t xml:space="preserve">NGI-SOCAL(KRS) D PR</t>
  </si>
  <si>
    <t xml:space="preserve">NGI-TENN/NO_LA D PR</t>
  </si>
  <si>
    <t xml:space="preserve">NGI-TGT/NO.LA D PR</t>
  </si>
  <si>
    <t xml:space="preserve">NGI-WHEELER D PR</t>
  </si>
  <si>
    <t xml:space="preserve">NGI/CHI. GATE D PR</t>
  </si>
  <si>
    <t xml:space="preserve">NGPL/AMARILO-GD D PR</t>
  </si>
  <si>
    <t xml:space="preserve">NGPL/IA-IL-GDM D PR</t>
  </si>
  <si>
    <t xml:space="preserve">NGPL/PER/1ST-GD D PR</t>
  </si>
  <si>
    <t xml:space="preserve">NGW-ALGO/CITY D PR</t>
  </si>
  <si>
    <t xml:space="preserve">NGW-ALGONQUIN D PR</t>
  </si>
  <si>
    <t xml:space="preserve">NGW-CGE D PR</t>
  </si>
  <si>
    <t xml:space="preserve">NGW-CGKY D PR</t>
  </si>
  <si>
    <t xml:space="preserve">NGW-CHIPPEWA D PR</t>
  </si>
  <si>
    <t xml:space="preserve">NGW-FGT/Z1 D PR</t>
  </si>
  <si>
    <t xml:space="preserve">NGW-FGT/Z2 D PR</t>
  </si>
  <si>
    <t xml:space="preserve">NGW-FGT/Z3 D PR</t>
  </si>
  <si>
    <t xml:space="preserve">NGW-GB23 D PR</t>
  </si>
  <si>
    <t xml:space="preserve">NGW-HEHUB D PR</t>
  </si>
  <si>
    <t xml:space="preserve">NGW-IROQ/WADD D PR</t>
  </si>
  <si>
    <t xml:space="preserve">NGW-IROQ/Z1 D PR</t>
  </si>
  <si>
    <t xml:space="preserve">NGW-IROQ/Z2 D PR</t>
  </si>
  <si>
    <t xml:space="preserve">NGW-ONS/TXDTP D PR</t>
  </si>
  <si>
    <t xml:space="preserve">NGW-ONS/TXDTPTW D PR</t>
  </si>
  <si>
    <t xml:space="preserve">NGW-ONSLA D PR</t>
  </si>
  <si>
    <t xml:space="preserve">NGW-ONSLA1 D PR</t>
  </si>
  <si>
    <t xml:space="preserve">NGW/HH/BIDWEEK D PR</t>
  </si>
  <si>
    <t xml:space="preserve">NIAGARA-GDM</t>
  </si>
  <si>
    <t xml:space="preserve">NIAGARA-GDM D PR</t>
  </si>
  <si>
    <t xml:space="preserve">NW STANF/1ST-GD D PR</t>
  </si>
  <si>
    <t xml:space="preserve">NX3D D PR</t>
  </si>
  <si>
    <t xml:space="preserve">STORAGE/B</t>
  </si>
  <si>
    <t xml:space="preserve">STORAGE/B D PR</t>
  </si>
  <si>
    <t xml:space="preserve">T/STX-VAL-AVG D PR</t>
  </si>
  <si>
    <t xml:space="preserve">TRUNKL/WLA-GD D PR</t>
  </si>
  <si>
    <t xml:space="preserve">WADD-GDM</t>
  </si>
  <si>
    <t xml:space="preserve">WADD-GDM D PR</t>
  </si>
  <si>
    <t xml:space="preserve">WAHA KCBT D PR</t>
  </si>
  <si>
    <t xml:space="preserve">Generation Components</t>
  </si>
  <si>
    <t xml:space="preserve">Scaled Power Prices</t>
  </si>
  <si>
    <t xml:space="preserve">Max Run Option Premium Section</t>
  </si>
  <si>
    <t xml:space="preserve">Run Hours (Delta)</t>
  </si>
  <si>
    <t xml:space="preserve">Ranking Section</t>
  </si>
  <si>
    <t xml:space="preserve">Max Run Hours</t>
  </si>
  <si>
    <t xml:space="preserve">Value (Intrinsic or Sprd Option Depending on Input)</t>
  </si>
  <si>
    <t xml:space="preserve">Revenues/Expenses</t>
  </si>
  <si>
    <t xml:space="preserve">Option Inputs</t>
  </si>
  <si>
    <t xml:space="preserve">Minimum Run Swap Section $$$'s (Only works in Combined Cycle Mode)</t>
  </si>
  <si>
    <t xml:space="preserve">Run Hours</t>
  </si>
  <si>
    <t xml:space="preserve">Swap Value</t>
  </si>
  <si>
    <t xml:space="preserve">Total</t>
  </si>
  <si>
    <t xml:space="preserve">Per </t>
  </si>
  <si>
    <t xml:space="preserve">Holidays have been added to Sundays</t>
  </si>
  <si>
    <t xml:space="preserve">(Gas-TP)</t>
  </si>
  <si>
    <t xml:space="preserve">Per</t>
  </si>
  <si>
    <t xml:space="preserve">Generation </t>
  </si>
  <si>
    <t xml:space="preserve">Sat </t>
  </si>
  <si>
    <t xml:space="preserve">Guess:</t>
  </si>
  <si>
    <t xml:space="preserve">Energy</t>
  </si>
  <si>
    <t xml:space="preserve">Fuel</t>
  </si>
  <si>
    <t xml:space="preserve">VOM</t>
  </si>
  <si>
    <t xml:space="preserve">Gas-Pwr</t>
  </si>
  <si>
    <t xml:space="preserve">Strike</t>
  </si>
  <si>
    <t xml:space="preserve">Interest </t>
  </si>
  <si>
    <t xml:space="preserve">Discount</t>
  </si>
  <si>
    <t xml:space="preserve">Generation</t>
  </si>
  <si>
    <t xml:space="preserve">Swap</t>
  </si>
  <si>
    <t xml:space="preserve">Week</t>
  </si>
  <si>
    <t xml:space="preserve">Date</t>
  </si>
  <si>
    <t xml:space="preserve">Year</t>
  </si>
  <si>
    <t xml:space="preserve">X HR</t>
  </si>
  <si>
    <t xml:space="preserve">Cost</t>
  </si>
  <si>
    <t xml:space="preserve">MW</t>
  </si>
  <si>
    <t xml:space="preserve">$$$</t>
  </si>
  <si>
    <t xml:space="preserve">Revenue</t>
  </si>
  <si>
    <t xml:space="preserve">Expense</t>
  </si>
  <si>
    <t xml:space="preserve">Monthly</t>
  </si>
  <si>
    <t xml:space="preserve">Daily </t>
  </si>
  <si>
    <t xml:space="preserve">Blended </t>
  </si>
  <si>
    <t xml:space="preserve">Daily</t>
  </si>
  <si>
    <t xml:space="preserve">Blended</t>
  </si>
  <si>
    <t xml:space="preserve">Price</t>
  </si>
  <si>
    <t xml:space="preserve">Rate</t>
  </si>
  <si>
    <t xml:space="preserve">Super</t>
  </si>
  <si>
    <t xml:space="preserve">Shoulder</t>
  </si>
  <si>
    <t xml:space="preserve">Value</t>
  </si>
  <si>
    <t xml:space="preserve">-Hol</t>
  </si>
  <si>
    <t xml:space="preserve">+Hol</t>
  </si>
  <si>
    <t xml:space="preserve">Resid Hours</t>
  </si>
  <si>
    <t xml:space="preserve">Regular Scalars</t>
  </si>
  <si>
    <t xml:space="preserve">Checks</t>
  </si>
  <si>
    <t xml:space="preserve">Must = 1</t>
  </si>
  <si>
    <t xml:space="preserve">16Hr</t>
  </si>
  <si>
    <t xml:space="preserve">Hol</t>
  </si>
  <si>
    <t xml:space="preserve">24Hr</t>
  </si>
  <si>
    <t xml:space="preserve">Control #</t>
  </si>
  <si>
    <t xml:space="preserve">control #</t>
  </si>
  <si>
    <t xml:space="preserve">Scalar Matrix</t>
  </si>
  <si>
    <t xml:space="preserve">Super Peak Sorter</t>
  </si>
  <si>
    <t xml:space="preserve">Spread Option Pricing</t>
  </si>
  <si>
    <t xml:space="preserve">Mon-Fri 5X24</t>
  </si>
  <si>
    <t xml:space="preserve">Notional</t>
  </si>
  <si>
    <t xml:space="preserve">Intrinsic Only Pricing</t>
  </si>
  <si>
    <t xml:space="preserve">Mon-Sat 6X24</t>
  </si>
  <si>
    <t xml:space="preserve">Present Value (Libor AA)</t>
  </si>
  <si>
    <t xml:space="preserve">Copy/Paste Special Here, Make sure Checks = 1</t>
  </si>
  <si>
    <t xml:space="preserve">Swap Pricing</t>
  </si>
  <si>
    <t xml:space="preserve">Mon-Sun 7X24</t>
  </si>
  <si>
    <t xml:space="preserve">Mon-Fri 5X16</t>
  </si>
  <si>
    <t xml:space="preserve">Control for Vol Smile</t>
  </si>
  <si>
    <t xml:space="preserve">Mon-Sat 6X16</t>
  </si>
  <si>
    <t xml:space="preserve">Simple Cycle (Peaker)</t>
  </si>
  <si>
    <t xml:space="preserve">Mon-Sun 7X16</t>
  </si>
  <si>
    <t xml:space="preserve">8 Hr Block Pricing (M-F)</t>
  </si>
  <si>
    <t xml:space="preserve">Gas Basis Check Box</t>
  </si>
  <si>
    <t xml:space="preserve">8 Hr Block Pricing (M-Sat)</t>
  </si>
  <si>
    <t xml:space="preserve">8 Hr Block Pricing (M-Sun)</t>
  </si>
  <si>
    <t xml:space="preserve">As of 2/2000 Dynamic Scalars are in effect for REGIONS:  2,2A,2B,3,3A,3B,3C,4,4B,4C,5,5A  </t>
  </si>
  <si>
    <t xml:space="preserve">Super Peak Scalars (Dynamic Scalars, if applicable)</t>
  </si>
  <si>
    <t xml:space="preserve">Copy/Paste Special Here, Match Dates with A37</t>
  </si>
  <si>
    <t xml:space="preserve">16Hr WD</t>
  </si>
  <si>
    <t xml:space="preserve">8Hr WD</t>
  </si>
  <si>
    <t xml:space="preserve">16Hr Sat</t>
  </si>
  <si>
    <t xml:space="preserve">8Hr Sat</t>
  </si>
  <si>
    <t xml:space="preserve">16Hr Sun</t>
  </si>
  <si>
    <t xml:space="preserve">8Hr Sun</t>
  </si>
  <si>
    <t xml:space="preserve">M-F,Sat,Sun</t>
  </si>
  <si>
    <t xml:space="preserve">All-in-Gas</t>
  </si>
  <si>
    <t xml:space="preserve">Nymex</t>
  </si>
  <si>
    <t xml:space="preserve">Basis </t>
  </si>
  <si>
    <t xml:space="preserve">5X16 Pwr</t>
  </si>
  <si>
    <t xml:space="preserve">Sat Peak</t>
  </si>
  <si>
    <t xml:space="preserve">Sun Peak</t>
  </si>
  <si>
    <t xml:space="preserve">Transport</t>
  </si>
  <si>
    <t xml:space="preserve">Libor AA</t>
  </si>
  <si>
    <t xml:space="preserve">Mid Curve</t>
  </si>
  <si>
    <t xml:space="preserve">Scalar</t>
  </si>
  <si>
    <t xml:space="preserve">OP Price</t>
  </si>
  <si>
    <t xml:space="preserve">Prices</t>
  </si>
  <si>
    <t xml:space="preserve">Adder</t>
  </si>
  <si>
    <t xml:space="preserve">Tolling Agreement</t>
  </si>
  <si>
    <t xml:space="preserve">Annualized Capacity Revenue</t>
  </si>
  <si>
    <t xml:space="preserve">Capacity Revenue ($/Kwm)</t>
  </si>
  <si>
    <t xml:space="preserve">Energy Revenue ($'s)</t>
  </si>
  <si>
    <t xml:space="preserve">Expenses</t>
  </si>
  <si>
    <t xml:space="preserve">    Fuel</t>
  </si>
  <si>
    <t xml:space="preserve">    Variable O&amp;M</t>
  </si>
  <si>
    <t xml:space="preserve">    Per Start</t>
  </si>
  <si>
    <t xml:space="preserve">Check</t>
  </si>
  <si>
    <t xml:space="preserve">To Be fixed:</t>
  </si>
  <si>
    <t xml:space="preserve">=Done</t>
  </si>
  <si>
    <t xml:space="preserve">=Not Done, but doesn't need to be done just yet</t>
  </si>
  <si>
    <t xml:space="preserve"> - Fix Sat and Sun Super Peak Scalars to be price dependent on Sat, Sun prices not WD prices</t>
  </si>
  <si>
    <t xml:space="preserve">      Enpower doesn't treat as separate</t>
  </si>
  <si>
    <t xml:space="preserve"> - Go thru one iteration add Sprd Opt, then take Delta and run thru another iteration for run Hours</t>
  </si>
  <si>
    <t xml:space="preserve">Probably Don't need</t>
  </si>
  <si>
    <t xml:space="preserve"> - Move TP adder to Strike Price for Sprd Opt.</t>
  </si>
  <si>
    <t xml:space="preserve"> - Spropt needs:</t>
  </si>
  <si>
    <t xml:space="preserve">     - Strike which includes gas transport adder</t>
  </si>
  <si>
    <t xml:space="preserve">     - days to expiry</t>
  </si>
  <si>
    <t xml:space="preserve">     - 16 hr vs. two 8hr options</t>
  </si>
  <si>
    <t xml:space="preserve"> - Make Gas curve pull for seasonality (winter prices/summer prices)</t>
  </si>
  <si>
    <t xml:space="preserve"> - Put toggle in for week days only or weekends/weekdays.</t>
  </si>
  <si>
    <t xml:space="preserve"> - Vol Scalar!!!!! For Hourly Vol Simulation</t>
  </si>
  <si>
    <t xml:space="preserve"> - Bid/Mid/Offer Toggle!!!!!!!!!!!!!!!!!!!!!!!!!!!!!!</t>
  </si>
  <si>
    <t xml:space="preserve">Does not work yet Fix Pwr Daily, gas monthly and daily</t>
  </si>
  <si>
    <t xml:space="preserve"> - Add Toggle for PPA situation (5X16, etc…)</t>
  </si>
  <si>
    <t xml:space="preserve"> - Make Woulfe Special Work</t>
  </si>
  <si>
    <t xml:space="preserve"> - Curve (Back end) with an escalator, Also to work for Vols </t>
  </si>
  <si>
    <t xml:space="preserve">Need to fix for Vols</t>
  </si>
  <si>
    <t xml:space="preserve"> - Add toggle for Genco Scalars and find out what curves use them and do not use them</t>
  </si>
  <si>
    <t xml:space="preserve"> - Availability Factor</t>
  </si>
  <si>
    <t xml:space="preserve"> - Per Start</t>
  </si>
  <si>
    <t xml:space="preserve"> - Add Holidays Somewhere</t>
  </si>
  <si>
    <t xml:space="preserve"> - Fix Bid, Mid, Offer for Nymex</t>
  </si>
  <si>
    <t xml:space="preserve"> - Fix 7X24 to use Off-peak vols</t>
  </si>
  <si>
    <t xml:space="preserve">OP is never treated as an option</t>
  </si>
  <si>
    <t xml:space="preserve"> - Add Vol Smile</t>
  </si>
  <si>
    <t xml:space="preserve"> - Excess Run Hours must be calculated!!!!!!!!!!!!!!!!!!!!!!!!!!!!!!!!!!!</t>
  </si>
  <si>
    <t xml:space="preserve">Works for Intrinsic Only</t>
  </si>
  <si>
    <t xml:space="preserve"> - Need Hourly limitation for each year</t>
  </si>
  <si>
    <t xml:space="preserve">Add one for each year, but link to top one</t>
  </si>
  <si>
    <t xml:space="preserve">  Not necessary right now</t>
  </si>
  <si>
    <t xml:space="preserve"> - Put in Implied HR</t>
  </si>
  <si>
    <t xml:space="preserve"> - Demand Charge Divisor</t>
  </si>
  <si>
    <t xml:space="preserve"> - HR Degradation</t>
  </si>
  <si>
    <t xml:space="preserve"> - Combine Cycle Calculations</t>
  </si>
  <si>
    <t xml:space="preserve">refine HR assumptions for Swap section</t>
  </si>
  <si>
    <t xml:space="preserve"> - Put in Extrinsic line on Output</t>
  </si>
  <si>
    <t xml:space="preserve"> - Need to add winter Omicron Vol Section</t>
  </si>
  <si>
    <t xml:space="preserve"> - Fuel, Commodity</t>
  </si>
  <si>
    <t xml:space="preserve">*** ON Run hours or in Ranking section Put in Logic for Combined Cycle Rev&gt;=Per Start (Opportunity Cost)</t>
  </si>
  <si>
    <t xml:space="preserve"> - Extend Gas Vols out for 30 yrs</t>
  </si>
  <si>
    <t xml:space="preserve"> - Per Start assumptions</t>
  </si>
  <si>
    <t xml:space="preserve"> - Add Headers and Footers (Footer = Name of file/Date)</t>
  </si>
</sst>
</file>

<file path=xl/styles.xml><?xml version="1.0" encoding="utf-8"?>
<styleSheet xmlns="http://schemas.openxmlformats.org/spreadsheetml/2006/main">
  <numFmts count="45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#,##0.00"/>
    <numFmt numFmtId="170" formatCode="\$#,##0_);[RED]&quot;($&quot;#,##0\)"/>
    <numFmt numFmtId="171" formatCode="_(\$* #,##0_);_(\$* \(#,##0\);_(\$* \-_);_(@_)"/>
    <numFmt numFmtId="172" formatCode="\$#,##0.00_);[RED]&quot;($&quot;#,##0.00\)"/>
    <numFmt numFmtId="173" formatCode="_(\$* #,##0.00_);_(\$* \(#,##0.00\);_(\$* \-??_);_(@_)"/>
    <numFmt numFmtId="174" formatCode="[$-409]#,##0_);\(#,##0\)"/>
    <numFmt numFmtId="175" formatCode="General_)"/>
    <numFmt numFmtId="176" formatCode="0.000000_)"/>
    <numFmt numFmtId="177" formatCode="#,##0"/>
    <numFmt numFmtId="178" formatCode="0_);[RED]\-0_)"/>
    <numFmt numFmtId="179" formatCode="mm/dd/yy"/>
    <numFmt numFmtId="180" formatCode="[$-409]mmm\-yy"/>
    <numFmt numFmtId="181" formatCode="_(\$* #,##0.000_);_(\$* \(#,##0.000\);_(\$* \-???_);_(@_)"/>
    <numFmt numFmtId="182" formatCode="0.0"/>
    <numFmt numFmtId="183" formatCode="0%"/>
    <numFmt numFmtId="184" formatCode="0.0%"/>
    <numFmt numFmtId="185" formatCode="_(\$* #,##0_);_(\$* \(#,##0\);_(\$* \-??_);_(@_)"/>
    <numFmt numFmtId="186" formatCode="_(* #,##0_);_(* \(#,##0\);_(* \-??_);_(@_)"/>
    <numFmt numFmtId="187" formatCode="mmm"/>
    <numFmt numFmtId="188" formatCode="_(\$* #,##0.000_);_(\$* \(#,##0.000\);_(\$* \-??_);_(@_)"/>
    <numFmt numFmtId="189" formatCode="mmmmm"/>
    <numFmt numFmtId="190" formatCode="mmm\-yy_)"/>
    <numFmt numFmtId="191" formatCode="0.00%"/>
    <numFmt numFmtId="192" formatCode="[$-409]m/d/yyyy"/>
    <numFmt numFmtId="193" formatCode="mm/dd/yy_)"/>
    <numFmt numFmtId="194" formatCode="dd\-mmm\-yy_)"/>
    <numFmt numFmtId="195" formatCode="[$-409]h:mm"/>
    <numFmt numFmtId="196" formatCode="dd\-mmm\-yy_);[RED]dd\-mmm\-yy_)"/>
    <numFmt numFmtId="197" formatCode="0.00"/>
    <numFmt numFmtId="198" formatCode="[$-409]#,##0.00_);\(#,##0.00\)"/>
    <numFmt numFmtId="199" formatCode="#,##0.0000_);\(#,##0.0000\)"/>
    <numFmt numFmtId="200" formatCode="\$#,##0.00_);&quot;($&quot;#,##0.00\)"/>
    <numFmt numFmtId="201" formatCode="0.000"/>
    <numFmt numFmtId="202" formatCode="_(\$* #,##0.0000_);_(\$* \(#,##0.0000\);_(\$* \-??_);_(@_)"/>
    <numFmt numFmtId="203" formatCode="0"/>
    <numFmt numFmtId="204" formatCode="dd\-mmm\-yy"/>
    <numFmt numFmtId="205" formatCode="0.0000"/>
    <numFmt numFmtId="206" formatCode="0E+00;\ᱨ"/>
    <numFmt numFmtId="207" formatCode="0_);\(0\)"/>
    <numFmt numFmtId="208" formatCode="0.000%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2"/>
      <color rgb="FF000000"/>
      <name val="Arial MT"/>
      <family val="0"/>
    </font>
    <font>
      <sz val="10"/>
      <name val="Courier New"/>
      <family val="0"/>
    </font>
    <font>
      <sz val="11"/>
      <name val="Arial"/>
      <family val="0"/>
    </font>
    <font>
      <sz val="10"/>
      <name val="MS Sans Serif"/>
      <family val="0"/>
    </font>
    <font>
      <sz val="8"/>
      <name val="Arial"/>
      <family val="2"/>
    </font>
    <font>
      <sz val="8"/>
      <color rgb="FF0000FF"/>
      <name val="Arial"/>
      <family val="2"/>
    </font>
    <font>
      <b val="true"/>
      <sz val="10"/>
      <color rgb="FF000000"/>
      <name val="Arial"/>
      <family val="0"/>
    </font>
    <font>
      <b val="true"/>
      <i val="true"/>
      <sz val="10"/>
      <color rgb="FF000000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b val="true"/>
      <sz val="8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9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80"/>
      <name val="Arial"/>
      <family val="2"/>
    </font>
    <font>
      <sz val="10"/>
      <color rgb="FF000000"/>
      <name val="Arial"/>
      <family val="2"/>
    </font>
    <font>
      <sz val="18"/>
      <color rgb="FF0000FF"/>
      <name val="Arial"/>
      <family val="0"/>
    </font>
    <font>
      <sz val="10"/>
      <color rgb="FF0000FF"/>
      <name val="Courier New"/>
      <family val="0"/>
    </font>
    <font>
      <b val="true"/>
      <sz val="10"/>
      <color rgb="FF000000"/>
      <name val="Courier New"/>
      <family val="0"/>
    </font>
    <font>
      <b val="true"/>
      <sz val="10"/>
      <name val="Arial"/>
      <family val="0"/>
    </font>
    <font>
      <sz val="10"/>
      <color rgb="FF000000"/>
      <name val="Arial"/>
      <family val="0"/>
    </font>
    <font>
      <b val="true"/>
      <sz val="10"/>
      <color rgb="FF000000"/>
      <name val="Courier New"/>
      <family val="3"/>
    </font>
    <font>
      <sz val="10"/>
      <color rgb="FF000000"/>
      <name val="Courier New"/>
      <family val="0"/>
    </font>
    <font>
      <sz val="10"/>
      <color rgb="FF000000"/>
      <name val="Courier New"/>
      <family val="3"/>
    </font>
    <font>
      <sz val="8"/>
      <color rgb="FF000000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8"/>
      <color rgb="FFFFFFFF"/>
      <name val="Arial"/>
      <family val="2"/>
    </font>
    <font>
      <b val="true"/>
      <sz val="12"/>
      <name val="Arial"/>
      <family val="2"/>
    </font>
    <font>
      <b val="true"/>
      <i val="true"/>
      <sz val="9"/>
      <color rgb="FFFF0000"/>
      <name val="Arial"/>
      <family val="2"/>
    </font>
    <font>
      <b val="true"/>
      <u val="single"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99CC00"/>
        <bgColor rgb="FFFFCC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2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applyFont="true" applyBorder="false" applyAlignment="false" applyProtection="false"/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4" borderId="1" applyFont="true" applyBorder="true" applyAlignment="true" applyProtection="false">
      <alignment horizontal="general" vertical="bottom" textRotation="0" wrapText="false" indent="0" shrinkToFit="false"/>
    </xf>
  </cellStyleXfs>
  <cellXfs count="4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1" fillId="5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1" fillId="5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2" fillId="5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1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1" fillId="5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0" fillId="5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5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5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1" fillId="5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5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1" fillId="5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4" fillId="5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8" fillId="5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19" fillId="5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5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1" fillId="5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1" fillId="5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1" fillId="5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1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0" fillId="5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1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0" fillId="5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7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2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29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2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93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2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3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0" fillId="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2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33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2" fontId="3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9" fontId="3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0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3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3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0" fillId="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2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4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1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3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3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20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3" fontId="19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1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4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9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1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9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2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1" fillId="0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9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8" fillId="0" borderId="0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36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1" fillId="0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4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9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5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7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1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1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1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0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20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0" fillId="11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20" fillId="11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11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20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11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20" fillId="1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0" fillId="1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0" fillId="1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0" fillId="1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0" fillId="16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0" fillId="1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0" fillId="16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9" fillId="1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1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1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9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20" fillId="11" borderId="2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11" borderId="2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11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1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9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2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2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0" fillId="6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9" fontId="4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4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4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4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41" fillId="1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3" fontId="41" fillId="1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9" fontId="40" fillId="1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40" fillId="1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40" fillId="1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40" fillId="1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1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20" fillId="1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0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0" fillId="1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03" fontId="0" fillId="7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3" fontId="0" fillId="7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3" fontId="0" fillId="7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8.4.98 New GE 2" xfId="20"/>
    <cellStyle name="Comma [0]_A" xfId="21"/>
    <cellStyle name="Comma [0]_B" xfId="22"/>
    <cellStyle name="Comma [0]_H" xfId="23"/>
    <cellStyle name="Comma [0]_PriceCurve" xfId="24"/>
    <cellStyle name="Comma [0]_West501f-hcentrifugal15posco_revised2.xls Chart 1" xfId="25"/>
    <cellStyle name="Comma_8.4.98 New GE 2" xfId="26"/>
    <cellStyle name="Comma_A" xfId="27"/>
    <cellStyle name="Comma_B" xfId="28"/>
    <cellStyle name="Comma_GASDATA1" xfId="29"/>
    <cellStyle name="Comma_H" xfId="30"/>
    <cellStyle name="Comma_OFFDATA1" xfId="31"/>
    <cellStyle name="Comma_PKDATA1" xfId="32"/>
    <cellStyle name="Comma_PriceCurve" xfId="33"/>
    <cellStyle name="Comma_TESTDATA" xfId="34"/>
    <cellStyle name="Comma_West501f-hcentrifugal15posco_revised2.xls Chart 1" xfId="35"/>
    <cellStyle name="Currency [0]_8.4.98 New GE 2" xfId="36"/>
    <cellStyle name="Currency [0]_A" xfId="37"/>
    <cellStyle name="Currency [0]_B" xfId="38"/>
    <cellStyle name="Currency [0]_H" xfId="39"/>
    <cellStyle name="Currency [0]_PriceCurve" xfId="40"/>
    <cellStyle name="Currency [0]_West501f-hcentrifugal15posco_revised2.xls Chart 1" xfId="41"/>
    <cellStyle name="Currency_8.4.98 New GE 2" xfId="42"/>
    <cellStyle name="Currency_A" xfId="43"/>
    <cellStyle name="Currency_B" xfId="44"/>
    <cellStyle name="Currency_H" xfId="45"/>
    <cellStyle name="Currency_PriceCurve" xfId="46"/>
    <cellStyle name="Currency_West501f-hcentrifugal15posco_revised2.xls Chart 1" xfId="47"/>
    <cellStyle name="Normal_8.4.98 New GE 2" xfId="48"/>
    <cellStyle name="Normal_A" xfId="49"/>
    <cellStyle name="Normal_A_PriceCurve" xfId="50"/>
    <cellStyle name="Normal_A_West501f-hcentrifugal15posco_revised2.xls Chart 1" xfId="51"/>
    <cellStyle name="Normal_B" xfId="52"/>
    <cellStyle name="Normal_BASMARY" xfId="53"/>
    <cellStyle name="Normal_CFTEST49" xfId="54"/>
    <cellStyle name="Normal_Curves" xfId="55"/>
    <cellStyle name="Normal_GASDATA1" xfId="56"/>
    <cellStyle name="Normal_H" xfId="57"/>
    <cellStyle name="Normal_INT" xfId="58"/>
    <cellStyle name="Normal_June Options 97" xfId="59"/>
    <cellStyle name="Normal_OFFDATA1" xfId="60"/>
    <cellStyle name="Normal_OPCALC" xfId="61"/>
    <cellStyle name="Normal_OPCALC_1" xfId="62"/>
    <cellStyle name="Normal_PKDATA1" xfId="63"/>
    <cellStyle name="Normal_PriceCurve" xfId="64"/>
    <cellStyle name="Normal_PriceSheet" xfId="65"/>
    <cellStyle name="Normal_PriceSheet_1" xfId="66"/>
    <cellStyle name="Normal_Sheet1" xfId="67"/>
    <cellStyle name="Normal_Spread" xfId="68"/>
    <cellStyle name="Normal_Spread_1" xfId="69"/>
    <cellStyle name="Normal_TESTDATA" xfId="70"/>
    <cellStyle name="Normal_West501f-hcentrifugal15posco_revised2.xls Chart 1" xfId="71"/>
    <cellStyle name="Unprot" xfId="72"/>
    <cellStyle name="Unprot$" xfId="73"/>
    <cellStyle name="Unprotect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checked="Checked" autoLine="false" print="true" fmlaLink="Pricing Inputs!$AX$10" lockText="1" noThreeD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CheckBox" autoLine="false" print="true" fmlaLink="Pricing Inputs!$AX$7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241200</xdr:colOff>
          <xdr:row>2</xdr:row>
          <xdr:rowOff>0</xdr:rowOff>
        </xdr:from>
        <xdr:to>
          <xdr:col>4</xdr:col>
          <xdr:colOff>293040</xdr:colOff>
          <xdr:row>3</xdr:row>
          <xdr:rowOff>-85320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261360</xdr:colOff>
          <xdr:row>2</xdr:row>
          <xdr:rowOff>228240</xdr:rowOff>
        </xdr:from>
        <xdr:to>
          <xdr:col>4</xdr:col>
          <xdr:colOff>293040</xdr:colOff>
          <xdr:row>3</xdr:row>
          <xdr:rowOff>142560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764280</xdr:colOff>
          <xdr:row>5</xdr:row>
          <xdr:rowOff>104400</xdr:rowOff>
        </xdr:from>
        <xdr:to>
          <xdr:col>3</xdr:col>
          <xdr:colOff>977040</xdr:colOff>
          <xdr:row>6</xdr:row>
          <xdr:rowOff>142920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764280</xdr:colOff>
          <xdr:row>7</xdr:row>
          <xdr:rowOff>123840</xdr:rowOff>
        </xdr:from>
        <xdr:to>
          <xdr:col>3</xdr:col>
          <xdr:colOff>987120</xdr:colOff>
          <xdr:row>8</xdr:row>
          <xdr:rowOff>161640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764280</xdr:colOff>
          <xdr:row>8</xdr:row>
          <xdr:rowOff>161640</xdr:rowOff>
        </xdr:from>
        <xdr:to>
          <xdr:col>3</xdr:col>
          <xdr:colOff>977040</xdr:colOff>
          <xdr:row>10</xdr:row>
          <xdr:rowOff>37800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589320</xdr:colOff>
          <xdr:row>10</xdr:row>
          <xdr:rowOff>161640</xdr:rowOff>
        </xdr:from>
        <xdr:to>
          <xdr:col>13</xdr:col>
          <xdr:colOff>349920</xdr:colOff>
          <xdr:row>12</xdr:row>
          <xdr:rowOff>38160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523800</xdr:colOff>
          <xdr:row>10</xdr:row>
          <xdr:rowOff>37800</xdr:rowOff>
        </xdr:from>
        <xdr:to>
          <xdr:col>4</xdr:col>
          <xdr:colOff>294120</xdr:colOff>
          <xdr:row>11</xdr:row>
          <xdr:rowOff>94680</xdr:rowOff>
        </xdr:to>
        <xdr:sp>
          <xdr:nvSpPr>
            <xdr:cNvPr id="1001" name="Check Box 9" descr="Use Gas 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Gas 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599040</xdr:colOff>
          <xdr:row>14</xdr:row>
          <xdr:rowOff>19080</xdr:rowOff>
        </xdr:from>
        <xdr:to>
          <xdr:col>13</xdr:col>
          <xdr:colOff>339840</xdr:colOff>
          <xdr:row>15</xdr:row>
          <xdr:rowOff>56880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599040</xdr:colOff>
          <xdr:row>17</xdr:row>
          <xdr:rowOff>38160</xdr:rowOff>
        </xdr:from>
        <xdr:to>
          <xdr:col>13</xdr:col>
          <xdr:colOff>330120</xdr:colOff>
          <xdr:row>18</xdr:row>
          <xdr:rowOff>76320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589320</xdr:colOff>
          <xdr:row>20</xdr:row>
          <xdr:rowOff>56880</xdr:rowOff>
        </xdr:from>
        <xdr:to>
          <xdr:col>13</xdr:col>
          <xdr:colOff>349920</xdr:colOff>
          <xdr:row>21</xdr:row>
          <xdr:rowOff>95040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589320</xdr:colOff>
          <xdr:row>23</xdr:row>
          <xdr:rowOff>57240</xdr:rowOff>
        </xdr:from>
        <xdr:to>
          <xdr:col>13</xdr:col>
          <xdr:colOff>349920</xdr:colOff>
          <xdr:row>24</xdr:row>
          <xdr:rowOff>95400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9</xdr:col>
      <xdr:colOff>0</xdr:colOff>
      <xdr:row>23</xdr:row>
      <xdr:rowOff>47520</xdr:rowOff>
    </xdr:from>
    <xdr:to>
      <xdr:col>9</xdr:col>
      <xdr:colOff>111960</xdr:colOff>
      <xdr:row>25</xdr:row>
      <xdr:rowOff>37800</xdr:rowOff>
    </xdr:to>
    <xdr:sp>
      <xdr:nvSpPr>
        <xdr:cNvPr id="0" name="Line 16"/>
        <xdr:cNvSpPr/>
      </xdr:nvSpPr>
      <xdr:spPr>
        <a:xfrm flipV="1">
          <a:off x="7102440" y="4019400"/>
          <a:ext cx="111960" cy="333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80280</xdr:colOff>
      <xdr:row>24</xdr:row>
      <xdr:rowOff>66960</xdr:rowOff>
    </xdr:from>
    <xdr:to>
      <xdr:col>4</xdr:col>
      <xdr:colOff>584640</xdr:colOff>
      <xdr:row>25</xdr:row>
      <xdr:rowOff>95400</xdr:rowOff>
    </xdr:to>
    <xdr:sp>
      <xdr:nvSpPr>
        <xdr:cNvPr id="1" name="AutoShape 17"/>
        <xdr:cNvSpPr/>
      </xdr:nvSpPr>
      <xdr:spPr>
        <a:xfrm>
          <a:off x="3390480" y="4210200"/>
          <a:ext cx="504360" cy="200160"/>
        </a:xfrm>
        <a:custGeom>
          <a:avLst/>
          <a:gdLst/>
          <a:ahLst/>
          <a:rect l="l" t="t" r="r" b="b"/>
          <a:pathLst>
            <a:path w="50" h="21">
              <a:moveTo>
                <a:pt x="15" y="21"/>
              </a:moveTo>
              <a:cubicBezTo>
                <a:pt x="7" y="13"/>
                <a:pt x="0" y="6"/>
                <a:pt x="6" y="3"/>
              </a:cubicBezTo>
              <a:cubicBezTo>
                <a:pt x="12" y="0"/>
                <a:pt x="43" y="1"/>
                <a:pt x="50" y="1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543600</xdr:colOff>
      <xdr:row>24</xdr:row>
      <xdr:rowOff>86040</xdr:rowOff>
    </xdr:from>
    <xdr:to>
      <xdr:col>4</xdr:col>
      <xdr:colOff>655200</xdr:colOff>
      <xdr:row>24</xdr:row>
      <xdr:rowOff>86040</xdr:rowOff>
    </xdr:to>
    <xdr:sp>
      <xdr:nvSpPr>
        <xdr:cNvPr id="2" name="Line 18"/>
        <xdr:cNvSpPr/>
      </xdr:nvSpPr>
      <xdr:spPr>
        <a:xfrm>
          <a:off x="3853800" y="4229280"/>
          <a:ext cx="111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291960</xdr:colOff>
          <xdr:row>0</xdr:row>
          <xdr:rowOff>76320</xdr:rowOff>
        </xdr:from>
        <xdr:to>
          <xdr:col>2</xdr:col>
          <xdr:colOff>714960</xdr:colOff>
          <xdr:row>1</xdr:row>
          <xdr:rowOff>104400</xdr:rowOff>
        </xdr:to>
        <xdr:sp>
          <xdr:nvSpPr>
            <xdr:cNvPr id="1002" name="Button 19" descr="Power Curve Refres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Power Curve Refresh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100440</xdr:colOff>
          <xdr:row>0</xdr:row>
          <xdr:rowOff>47520</xdr:rowOff>
        </xdr:from>
        <xdr:to>
          <xdr:col>5</xdr:col>
          <xdr:colOff>564840</xdr:colOff>
          <xdr:row>2</xdr:row>
          <xdr:rowOff>76320</xdr:rowOff>
        </xdr:to>
        <xdr:sp>
          <xdr:nvSpPr>
            <xdr:cNvPr id="1003" name="Button 20" descr="Gas Curve Pull/Refres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Gas Curve Pull/Refresh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302040</xdr:colOff>
          <xdr:row>26</xdr:row>
          <xdr:rowOff>47520</xdr:rowOff>
        </xdr:from>
        <xdr:to>
          <xdr:col>3</xdr:col>
          <xdr:colOff>37080</xdr:colOff>
          <xdr:row>27</xdr:row>
          <xdr:rowOff>104760</xdr:rowOff>
        </xdr:to>
        <xdr:sp>
          <xdr:nvSpPr>
            <xdr:cNvPr id="1004" name="Check Box 22" descr="Use Vol Sm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Vol Smile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209160</xdr:colOff>
      <xdr:row>33</xdr:row>
      <xdr:rowOff>66600</xdr:rowOff>
    </xdr:from>
    <xdr:to>
      <xdr:col>13</xdr:col>
      <xdr:colOff>720</xdr:colOff>
      <xdr:row>35</xdr:row>
      <xdr:rowOff>104760</xdr:rowOff>
    </xdr:to>
    <xdr:sp>
      <xdr:nvSpPr>
        <xdr:cNvPr id="3" name="AutoShape 3"/>
        <xdr:cNvSpPr/>
      </xdr:nvSpPr>
      <xdr:spPr>
        <a:xfrm>
          <a:off x="8085240" y="5429160"/>
          <a:ext cx="429480" cy="362160"/>
        </a:xfrm>
        <a:custGeom>
          <a:avLst/>
          <a:gdLst/>
          <a:ahLst/>
          <a:rect l="l" t="t" r="r" b="b"/>
          <a:pathLst>
            <a:path w="47" h="38">
              <a:moveTo>
                <a:pt x="47" y="0"/>
              </a:moveTo>
              <a:cubicBezTo>
                <a:pt x="27" y="3"/>
                <a:pt x="8" y="7"/>
                <a:pt x="4" y="11"/>
              </a:cubicBezTo>
              <a:cubicBezTo>
                <a:pt x="0" y="15"/>
                <a:pt x="22" y="20"/>
                <a:pt x="23" y="23"/>
              </a:cubicBezTo>
              <a:cubicBezTo>
                <a:pt x="24" y="26"/>
                <a:pt x="14" y="27"/>
                <a:pt x="12" y="30"/>
              </a:cubicBezTo>
              <a:cubicBezTo>
                <a:pt x="10" y="33"/>
                <a:pt x="11" y="37"/>
                <a:pt x="11" y="38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318960</xdr:colOff>
      <xdr:row>35</xdr:row>
      <xdr:rowOff>56880</xdr:rowOff>
    </xdr:from>
    <xdr:to>
      <xdr:col>12</xdr:col>
      <xdr:colOff>319680</xdr:colOff>
      <xdr:row>35</xdr:row>
      <xdr:rowOff>152280</xdr:rowOff>
    </xdr:to>
    <xdr:sp>
      <xdr:nvSpPr>
        <xdr:cNvPr id="4" name="Line 4"/>
        <xdr:cNvSpPr/>
      </xdr:nvSpPr>
      <xdr:spPr>
        <a:xfrm>
          <a:off x="8195040" y="5743440"/>
          <a:ext cx="720" cy="95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0.85"/>
    <col collapsed="false" customWidth="true" hidden="false" outlineLevel="0" max="3" min="3" style="0" width="11.28"/>
    <col collapsed="false" customWidth="true" hidden="false" outlineLevel="0" max="4" min="4" style="0" width="9.28"/>
    <col collapsed="false" customWidth="true" hidden="false" outlineLevel="0" max="5" min="5" style="0" width="10.13"/>
    <col collapsed="false" customWidth="true" hidden="false" outlineLevel="0" max="6" min="6" style="0" width="16.42"/>
    <col collapsed="false" customWidth="true" hidden="false" outlineLevel="0" max="7" min="7" style="0" width="9.85"/>
    <col collapsed="false" customWidth="true" hidden="false" outlineLevel="0" max="8" min="8" style="0" width="12.42"/>
    <col collapsed="false" customWidth="true" hidden="false" outlineLevel="0" max="9" min="9" style="0" width="4.99"/>
    <col collapsed="false" customWidth="true" hidden="false" outlineLevel="0" max="10" min="10" style="0" width="14.28"/>
    <col collapsed="false" customWidth="true" hidden="false" outlineLevel="0" max="11" min="11" style="0" width="10.71"/>
    <col collapsed="false" customWidth="true" hidden="true" outlineLevel="0" max="17" min="16" style="0" width="0.99"/>
    <col collapsed="false" customWidth="true" hidden="false" outlineLevel="0" max="19" min="19" style="0" width="9.85"/>
    <col collapsed="false" customWidth="true" hidden="false" outlineLevel="0" max="20" min="20" style="0" width="12.14"/>
    <col collapsed="false" customWidth="true" hidden="false" outlineLevel="0" max="21" min="21" style="0" width="6.7"/>
    <col collapsed="false" customWidth="true" hidden="false" outlineLevel="0" max="22" min="22" style="0" width="9.85"/>
    <col collapsed="false" customWidth="true" hidden="false" outlineLevel="0" max="23" min="23" style="0" width="12.14"/>
    <col collapsed="false" customWidth="true" hidden="false" outlineLevel="0" max="24" min="24" style="0" width="3.7"/>
    <col collapsed="false" customWidth="true" hidden="false" outlineLevel="0" max="25" min="25" style="0" width="9.85"/>
    <col collapsed="false" customWidth="true" hidden="false" outlineLevel="0" max="26" min="26" style="0" width="12.14"/>
    <col collapsed="false" customWidth="true" hidden="false" outlineLevel="0" max="27" min="27" style="0" width="4.14"/>
  </cols>
  <sheetData>
    <row r="1" customFormat="false" ht="13.5" hidden="false" customHeight="false" outlineLevel="0" collapsed="false">
      <c r="A1" s="1" t="s">
        <v>0</v>
      </c>
      <c r="B1" s="2"/>
      <c r="C1" s="2"/>
      <c r="D1" s="3" t="n">
        <f aca="true">TODAY()</f>
        <v>45926</v>
      </c>
      <c r="G1" s="4" t="s">
        <v>1</v>
      </c>
      <c r="H1" s="5"/>
      <c r="K1" s="0" t="s">
        <v>2</v>
      </c>
    </row>
    <row r="2" customFormat="false" ht="13.5" hidden="false" customHeight="false" outlineLevel="0" collapsed="false">
      <c r="A2" s="6" t="s">
        <v>3</v>
      </c>
      <c r="B2" s="7"/>
      <c r="C2" s="7"/>
      <c r="D2" s="8" t="n">
        <f aca="false">DateToday-1-IF(WEEKDAY(DateToday)&lt;3,WEEKDAY(DateToday),0)</f>
        <v>45925</v>
      </c>
      <c r="G2" s="5" t="s">
        <v>4</v>
      </c>
      <c r="H2" s="9" t="n">
        <v>0.5</v>
      </c>
      <c r="J2" s="10" t="s">
        <v>5</v>
      </c>
      <c r="K2" s="11" t="n">
        <v>36892</v>
      </c>
    </row>
    <row r="3" customFormat="false" ht="15.75" hidden="false" customHeight="true" outlineLevel="0" collapsed="false">
      <c r="A3" s="12" t="s">
        <v>6</v>
      </c>
      <c r="B3" s="13"/>
      <c r="C3" s="14"/>
      <c r="D3" s="15"/>
      <c r="G3" s="5" t="s">
        <v>7</v>
      </c>
      <c r="H3" s="16" t="n">
        <v>0.5</v>
      </c>
      <c r="J3" s="10" t="s">
        <v>8</v>
      </c>
      <c r="K3" s="11" t="n">
        <v>36950</v>
      </c>
    </row>
    <row r="4" customFormat="false" ht="14.25" hidden="false" customHeight="true" outlineLevel="0" collapsed="false">
      <c r="A4" s="17" t="s">
        <v>9</v>
      </c>
      <c r="B4" s="18"/>
      <c r="C4" s="19"/>
      <c r="D4" s="15"/>
      <c r="F4" s="20" t="s">
        <v>10</v>
      </c>
      <c r="K4" s="21" t="s">
        <v>11</v>
      </c>
    </row>
    <row r="5" customFormat="false" ht="14.25" hidden="false" customHeight="true" outlineLevel="0" collapsed="false">
      <c r="A5" s="6" t="s">
        <v>12</v>
      </c>
      <c r="B5" s="22"/>
      <c r="C5" s="7"/>
      <c r="D5" s="8" t="n">
        <f aca="false">CurveDate</f>
        <v>45925</v>
      </c>
      <c r="F5" s="23" t="n">
        <v>2.5</v>
      </c>
      <c r="K5" s="24" t="n">
        <f aca="false">(K3-K2)/365</f>
        <v>0.158904109589041</v>
      </c>
    </row>
    <row r="6" customFormat="false" ht="15" hidden="false" customHeight="true" outlineLevel="0" collapsed="false">
      <c r="A6" s="25" t="s">
        <v>13</v>
      </c>
      <c r="B6" s="22"/>
      <c r="C6" s="22"/>
      <c r="D6" s="26"/>
      <c r="F6" s="27" t="s">
        <v>14</v>
      </c>
      <c r="J6" s="28" t="s">
        <v>15</v>
      </c>
      <c r="K6" s="29"/>
      <c r="L6" s="29"/>
      <c r="M6" s="29"/>
      <c r="N6" s="29"/>
      <c r="O6" s="29"/>
      <c r="P6" s="29"/>
      <c r="Q6" s="29"/>
      <c r="R6" s="29"/>
      <c r="S6" s="29"/>
    </row>
    <row r="7" customFormat="false" ht="14.25" hidden="false" customHeight="true" outlineLevel="0" collapsed="false">
      <c r="A7" s="6" t="s">
        <v>16</v>
      </c>
      <c r="B7" s="7"/>
      <c r="C7" s="7"/>
      <c r="D7" s="8" t="n">
        <f aca="false">CurveDate</f>
        <v>45925</v>
      </c>
      <c r="F7" s="30" t="n">
        <v>0</v>
      </c>
      <c r="G7" s="31" t="s">
        <v>17</v>
      </c>
      <c r="J7" s="28" t="s">
        <v>18</v>
      </c>
      <c r="W7" s="32" t="s">
        <v>19</v>
      </c>
    </row>
    <row r="8" customFormat="false" ht="13.5" hidden="false" customHeight="true" outlineLevel="0" collapsed="false">
      <c r="A8" s="33" t="s">
        <v>20</v>
      </c>
      <c r="B8" s="7"/>
      <c r="C8" s="7"/>
      <c r="D8" s="8"/>
      <c r="F8" s="21" t="s">
        <v>21</v>
      </c>
      <c r="J8" s="28" t="s">
        <v>22</v>
      </c>
      <c r="W8" s="32" t="s">
        <v>23</v>
      </c>
    </row>
    <row r="9" customFormat="false" ht="14.25" hidden="false" customHeight="true" outlineLevel="0" collapsed="false">
      <c r="A9" s="33" t="s">
        <v>24</v>
      </c>
      <c r="B9" s="7"/>
      <c r="C9" s="7"/>
      <c r="D9" s="8"/>
      <c r="F9" s="34" t="n">
        <v>0</v>
      </c>
      <c r="J9" s="28" t="s">
        <v>25</v>
      </c>
      <c r="R9" s="35" t="s">
        <v>26</v>
      </c>
      <c r="S9" s="35"/>
      <c r="T9" s="35"/>
      <c r="U9" s="35"/>
      <c r="V9" s="35"/>
      <c r="W9" s="35"/>
      <c r="X9" s="35"/>
      <c r="Y9" s="35"/>
      <c r="Z9" s="35"/>
      <c r="AA9" s="35"/>
    </row>
    <row r="10" customFormat="false" ht="12.75" hidden="false" customHeight="false" outlineLevel="0" collapsed="false">
      <c r="A10" s="25"/>
      <c r="B10" s="7"/>
      <c r="C10" s="7"/>
      <c r="D10" s="8"/>
      <c r="J10" s="36" t="s">
        <v>27</v>
      </c>
      <c r="R10" s="37"/>
      <c r="S10" s="38" t="s">
        <v>28</v>
      </c>
      <c r="T10" s="38" t="s">
        <v>28</v>
      </c>
      <c r="U10" s="38" t="s">
        <v>28</v>
      </c>
      <c r="V10" s="38" t="s">
        <v>29</v>
      </c>
      <c r="W10" s="38" t="s">
        <v>29</v>
      </c>
      <c r="X10" s="38" t="s">
        <v>29</v>
      </c>
      <c r="Y10" s="38" t="s">
        <v>30</v>
      </c>
      <c r="Z10" s="38" t="s">
        <v>30</v>
      </c>
      <c r="AA10" s="39" t="s">
        <v>30</v>
      </c>
    </row>
    <row r="11" customFormat="false" ht="13.5" hidden="false" customHeight="false" outlineLevel="0" collapsed="false">
      <c r="A11" s="40"/>
      <c r="B11" s="41"/>
      <c r="C11" s="41"/>
      <c r="D11" s="42"/>
      <c r="L11" s="28"/>
      <c r="R11" s="43" t="s">
        <v>31</v>
      </c>
      <c r="S11" s="44" t="s">
        <v>32</v>
      </c>
      <c r="T11" s="44" t="s">
        <v>33</v>
      </c>
      <c r="U11" s="44" t="s">
        <v>34</v>
      </c>
      <c r="V11" s="44" t="s">
        <v>32</v>
      </c>
      <c r="W11" s="44" t="s">
        <v>33</v>
      </c>
      <c r="X11" s="44" t="s">
        <v>34</v>
      </c>
      <c r="Y11" s="44" t="s">
        <v>32</v>
      </c>
      <c r="Z11" s="44" t="s">
        <v>33</v>
      </c>
      <c r="AA11" s="45" t="s">
        <v>34</v>
      </c>
    </row>
    <row r="12" customFormat="false" ht="13.5" hidden="false" customHeight="false" outlineLevel="0" collapsed="false">
      <c r="A12" s="46"/>
      <c r="B12" s="47" t="s">
        <v>35</v>
      </c>
      <c r="C12" s="47" t="s">
        <v>36</v>
      </c>
      <c r="D12" s="48"/>
      <c r="F12" s="21" t="s">
        <v>37</v>
      </c>
      <c r="G12" s="21" t="s">
        <v>38</v>
      </c>
      <c r="R12" s="49" t="n">
        <v>1</v>
      </c>
      <c r="S12" s="50" t="n">
        <v>1</v>
      </c>
      <c r="T12" s="51" t="n">
        <v>1</v>
      </c>
      <c r="U12" s="50" t="n">
        <v>1</v>
      </c>
      <c r="V12" s="51" t="n">
        <v>1</v>
      </c>
      <c r="W12" s="50" t="n">
        <v>1</v>
      </c>
      <c r="X12" s="51" t="n">
        <v>1</v>
      </c>
      <c r="Y12" s="50" t="n">
        <v>1</v>
      </c>
      <c r="Z12" s="52" t="n">
        <v>1</v>
      </c>
      <c r="AA12" s="50" t="n">
        <v>1</v>
      </c>
    </row>
    <row r="13" customFormat="false" ht="13.5" hidden="false" customHeight="false" outlineLevel="0" collapsed="false">
      <c r="A13" s="53" t="s">
        <v>31</v>
      </c>
      <c r="B13" s="54" t="s">
        <v>39</v>
      </c>
      <c r="C13" s="55" t="s">
        <v>39</v>
      </c>
      <c r="E13" s="21" t="s">
        <v>4</v>
      </c>
      <c r="F13" s="56" t="n">
        <v>25</v>
      </c>
      <c r="G13" s="56" t="n">
        <v>0</v>
      </c>
      <c r="H13" s="29" t="s">
        <v>40</v>
      </c>
      <c r="J13" s="36" t="s">
        <v>41</v>
      </c>
      <c r="R13" s="49" t="n">
        <v>2</v>
      </c>
      <c r="S13" s="50" t="n">
        <v>1</v>
      </c>
      <c r="T13" s="51" t="n">
        <v>1</v>
      </c>
      <c r="U13" s="50" t="n">
        <v>1</v>
      </c>
      <c r="V13" s="51" t="n">
        <v>1</v>
      </c>
      <c r="W13" s="50" t="n">
        <v>1</v>
      </c>
      <c r="X13" s="51" t="n">
        <v>1</v>
      </c>
      <c r="Y13" s="50" t="n">
        <v>1</v>
      </c>
      <c r="Z13" s="52" t="n">
        <v>1</v>
      </c>
      <c r="AA13" s="50" t="n">
        <v>1</v>
      </c>
    </row>
    <row r="14" customFormat="false" ht="13.5" hidden="false" customHeight="false" outlineLevel="0" collapsed="false">
      <c r="A14" s="57" t="n">
        <v>1</v>
      </c>
      <c r="B14" s="58" t="n">
        <v>10000</v>
      </c>
      <c r="C14" s="59" t="n">
        <v>0</v>
      </c>
      <c r="D14" s="60"/>
      <c r="E14" s="61" t="s">
        <v>7</v>
      </c>
      <c r="F14" s="56" t="n">
        <v>25</v>
      </c>
      <c r="G14" s="62" t="n">
        <v>0</v>
      </c>
      <c r="H14" s="63" t="s">
        <v>42</v>
      </c>
      <c r="I14" s="60"/>
      <c r="J14" s="60"/>
      <c r="K14" s="60"/>
      <c r="L14" s="64"/>
      <c r="M14" s="60"/>
      <c r="R14" s="49" t="n">
        <v>3</v>
      </c>
      <c r="S14" s="50" t="n">
        <v>1</v>
      </c>
      <c r="T14" s="51" t="n">
        <v>1</v>
      </c>
      <c r="U14" s="50" t="n">
        <v>1</v>
      </c>
      <c r="V14" s="51" t="n">
        <v>1</v>
      </c>
      <c r="W14" s="50" t="n">
        <v>1</v>
      </c>
      <c r="X14" s="51" t="n">
        <v>1</v>
      </c>
      <c r="Y14" s="50" t="n">
        <v>1</v>
      </c>
      <c r="Z14" s="52" t="n">
        <v>1</v>
      </c>
      <c r="AA14" s="50" t="n">
        <v>1</v>
      </c>
    </row>
    <row r="15" customFormat="false" ht="12.75" hidden="false" customHeight="false" outlineLevel="0" collapsed="false">
      <c r="A15" s="57" t="n">
        <v>2</v>
      </c>
      <c r="B15" s="58" t="n">
        <v>10000</v>
      </c>
      <c r="C15" s="59" t="n">
        <v>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R15" s="49" t="n">
        <v>4</v>
      </c>
      <c r="S15" s="50" t="n">
        <v>1</v>
      </c>
      <c r="T15" s="51" t="n">
        <v>1</v>
      </c>
      <c r="U15" s="50" t="n">
        <v>1</v>
      </c>
      <c r="V15" s="51" t="n">
        <v>1</v>
      </c>
      <c r="W15" s="50" t="n">
        <v>1</v>
      </c>
      <c r="X15" s="51" t="n">
        <v>1</v>
      </c>
      <c r="Y15" s="50" t="n">
        <v>1</v>
      </c>
      <c r="Z15" s="52" t="n">
        <v>1</v>
      </c>
      <c r="AA15" s="50" t="n">
        <v>1</v>
      </c>
    </row>
    <row r="16" customFormat="false" ht="12.75" hidden="false" customHeight="false" outlineLevel="0" collapsed="false">
      <c r="A16" s="66" t="n">
        <v>3</v>
      </c>
      <c r="B16" s="58" t="n">
        <v>10000</v>
      </c>
      <c r="C16" s="59" t="n">
        <v>0</v>
      </c>
      <c r="D16" s="48"/>
      <c r="J16" s="36" t="s">
        <v>43</v>
      </c>
      <c r="R16" s="49" t="n">
        <v>5</v>
      </c>
      <c r="S16" s="50" t="n">
        <v>1</v>
      </c>
      <c r="T16" s="51" t="n">
        <v>1</v>
      </c>
      <c r="U16" s="50" t="n">
        <v>1</v>
      </c>
      <c r="V16" s="51" t="n">
        <v>1</v>
      </c>
      <c r="W16" s="50" t="n">
        <v>1</v>
      </c>
      <c r="X16" s="51" t="n">
        <v>1</v>
      </c>
      <c r="Y16" s="50" t="n">
        <v>1</v>
      </c>
      <c r="Z16" s="52" t="n">
        <v>1</v>
      </c>
      <c r="AA16" s="50" t="n">
        <v>1</v>
      </c>
    </row>
    <row r="17" customFormat="false" ht="12.75" hidden="false" customHeight="false" outlineLevel="0" collapsed="false">
      <c r="A17" s="66" t="n">
        <v>4</v>
      </c>
      <c r="B17" s="58" t="n">
        <v>10000</v>
      </c>
      <c r="C17" s="59" t="n">
        <v>0</v>
      </c>
      <c r="D17" s="48"/>
      <c r="F17" s="67" t="s">
        <v>44</v>
      </c>
      <c r="R17" s="49" t="n">
        <v>6</v>
      </c>
      <c r="S17" s="50" t="n">
        <v>1</v>
      </c>
      <c r="T17" s="51" t="n">
        <v>1</v>
      </c>
      <c r="U17" s="50" t="n">
        <v>1</v>
      </c>
      <c r="V17" s="51" t="n">
        <v>1</v>
      </c>
      <c r="W17" s="50" t="n">
        <v>1</v>
      </c>
      <c r="X17" s="51" t="n">
        <v>1</v>
      </c>
      <c r="Y17" s="50" t="n">
        <v>1</v>
      </c>
      <c r="Z17" s="52" t="n">
        <v>1</v>
      </c>
      <c r="AA17" s="50" t="n">
        <v>1</v>
      </c>
    </row>
    <row r="18" customFormat="false" ht="13.5" hidden="false" customHeight="false" outlineLevel="0" collapsed="false">
      <c r="A18" s="66" t="n">
        <v>5</v>
      </c>
      <c r="B18" s="58" t="n">
        <v>10000</v>
      </c>
      <c r="C18" s="59" t="n">
        <v>0</v>
      </c>
      <c r="D18" s="48"/>
      <c r="E18" s="68"/>
      <c r="F18" s="69" t="s">
        <v>45</v>
      </c>
      <c r="G18" s="70"/>
      <c r="R18" s="49" t="n">
        <v>7</v>
      </c>
      <c r="S18" s="50" t="n">
        <v>1</v>
      </c>
      <c r="T18" s="51" t="n">
        <v>1</v>
      </c>
      <c r="U18" s="50" t="n">
        <v>1</v>
      </c>
      <c r="V18" s="51" t="n">
        <v>1</v>
      </c>
      <c r="W18" s="50" t="n">
        <v>1</v>
      </c>
      <c r="X18" s="51" t="n">
        <v>1</v>
      </c>
      <c r="Y18" s="50" t="n">
        <v>1</v>
      </c>
      <c r="Z18" s="52" t="n">
        <v>1</v>
      </c>
      <c r="AA18" s="50" t="n">
        <v>1</v>
      </c>
    </row>
    <row r="19" customFormat="false" ht="13.5" hidden="false" customHeight="false" outlineLevel="0" collapsed="false">
      <c r="A19" s="66" t="n">
        <v>6</v>
      </c>
      <c r="B19" s="58" t="n">
        <v>10000</v>
      </c>
      <c r="C19" s="59" t="n">
        <v>0</v>
      </c>
      <c r="D19" s="48"/>
      <c r="E19" s="71" t="s">
        <v>46</v>
      </c>
      <c r="F19" s="72" t="n">
        <v>1</v>
      </c>
      <c r="G19" s="73"/>
      <c r="H19" s="74"/>
      <c r="I19" s="75"/>
      <c r="J19" s="76" t="s">
        <v>47</v>
      </c>
      <c r="K19" s="75"/>
      <c r="L19" s="77"/>
      <c r="R19" s="49" t="n">
        <v>8</v>
      </c>
      <c r="S19" s="50" t="n">
        <v>1</v>
      </c>
      <c r="T19" s="51" t="n">
        <v>1</v>
      </c>
      <c r="U19" s="50" t="n">
        <v>1</v>
      </c>
      <c r="V19" s="51" t="n">
        <v>1</v>
      </c>
      <c r="W19" s="50" t="n">
        <v>1</v>
      </c>
      <c r="X19" s="51" t="n">
        <v>1</v>
      </c>
      <c r="Y19" s="50" t="n">
        <v>1</v>
      </c>
      <c r="Z19" s="52" t="n">
        <v>1</v>
      </c>
      <c r="AA19" s="50" t="n">
        <v>1</v>
      </c>
    </row>
    <row r="20" customFormat="false" ht="12.75" hidden="false" customHeight="false" outlineLevel="0" collapsed="false">
      <c r="A20" s="66" t="n">
        <v>7</v>
      </c>
      <c r="B20" s="58" t="n">
        <v>10000</v>
      </c>
      <c r="C20" s="59" t="n">
        <v>0</v>
      </c>
      <c r="D20" s="48"/>
      <c r="E20" s="78"/>
      <c r="F20" s="79" t="s">
        <v>48</v>
      </c>
      <c r="G20" s="80"/>
      <c r="H20" s="81"/>
      <c r="I20" s="81"/>
      <c r="J20" s="81"/>
      <c r="K20" s="81"/>
      <c r="L20" s="82" t="s">
        <v>49</v>
      </c>
      <c r="R20" s="49" t="n">
        <v>9</v>
      </c>
      <c r="S20" s="50" t="n">
        <v>1</v>
      </c>
      <c r="T20" s="51" t="n">
        <v>1</v>
      </c>
      <c r="U20" s="50" t="n">
        <v>1</v>
      </c>
      <c r="V20" s="51" t="n">
        <v>1</v>
      </c>
      <c r="W20" s="50" t="n">
        <v>1</v>
      </c>
      <c r="X20" s="51" t="n">
        <v>1</v>
      </c>
      <c r="Y20" s="50" t="n">
        <v>1</v>
      </c>
      <c r="Z20" s="52" t="n">
        <v>1</v>
      </c>
      <c r="AA20" s="50" t="n">
        <v>1</v>
      </c>
    </row>
    <row r="21" customFormat="false" ht="12.75" hidden="false" customHeight="false" outlineLevel="0" collapsed="false">
      <c r="A21" s="66" t="n">
        <v>8</v>
      </c>
      <c r="B21" s="58" t="n">
        <v>10000</v>
      </c>
      <c r="C21" s="59" t="n">
        <v>0</v>
      </c>
      <c r="D21" s="48"/>
      <c r="E21" s="78"/>
      <c r="F21" s="79" t="s">
        <v>50</v>
      </c>
      <c r="G21" s="83"/>
      <c r="H21" s="81"/>
      <c r="I21" s="81"/>
      <c r="J21" s="81"/>
      <c r="K21" s="81"/>
      <c r="L21" s="82" t="s">
        <v>51</v>
      </c>
      <c r="R21" s="49" t="n">
        <v>10</v>
      </c>
      <c r="S21" s="50" t="n">
        <v>1</v>
      </c>
      <c r="T21" s="51" t="n">
        <v>1</v>
      </c>
      <c r="U21" s="50" t="n">
        <v>1</v>
      </c>
      <c r="V21" s="51" t="n">
        <v>1</v>
      </c>
      <c r="W21" s="50" t="n">
        <v>1</v>
      </c>
      <c r="X21" s="51" t="n">
        <v>1</v>
      </c>
      <c r="Y21" s="50" t="n">
        <v>1</v>
      </c>
      <c r="Z21" s="52" t="n">
        <v>1</v>
      </c>
      <c r="AA21" s="50" t="n">
        <v>1</v>
      </c>
    </row>
    <row r="22" customFormat="false" ht="13.5" hidden="false" customHeight="false" outlineLevel="0" collapsed="false">
      <c r="A22" s="66" t="n">
        <v>9</v>
      </c>
      <c r="B22" s="58" t="n">
        <v>10000</v>
      </c>
      <c r="C22" s="59" t="n">
        <v>0</v>
      </c>
      <c r="D22" s="84"/>
      <c r="E22" s="85"/>
      <c r="F22" s="86" t="s">
        <v>52</v>
      </c>
      <c r="G22" s="87"/>
      <c r="H22" s="88"/>
      <c r="I22" s="89"/>
      <c r="J22" s="76" t="s">
        <v>53</v>
      </c>
      <c r="K22" s="89"/>
      <c r="L22" s="77"/>
      <c r="R22" s="49" t="n">
        <v>11</v>
      </c>
      <c r="S22" s="50" t="n">
        <v>1</v>
      </c>
      <c r="T22" s="51" t="n">
        <v>1</v>
      </c>
      <c r="U22" s="50" t="n">
        <v>1</v>
      </c>
      <c r="V22" s="51" t="n">
        <v>1</v>
      </c>
      <c r="W22" s="50" t="n">
        <v>1</v>
      </c>
      <c r="X22" s="51" t="n">
        <v>1</v>
      </c>
      <c r="Y22" s="50" t="n">
        <v>1</v>
      </c>
      <c r="Z22" s="52" t="n">
        <v>1</v>
      </c>
      <c r="AA22" s="50" t="n">
        <v>1</v>
      </c>
    </row>
    <row r="23" customFormat="false" ht="13.5" hidden="false" customHeight="false" outlineLevel="0" collapsed="false">
      <c r="A23" s="66" t="n">
        <v>10</v>
      </c>
      <c r="B23" s="58" t="n">
        <v>10000</v>
      </c>
      <c r="C23" s="59" t="n">
        <v>0</v>
      </c>
      <c r="D23" s="84"/>
      <c r="E23" s="90" t="s">
        <v>54</v>
      </c>
      <c r="F23" s="56" t="n">
        <v>1</v>
      </c>
      <c r="G23" s="91"/>
      <c r="R23" s="49" t="n">
        <v>12</v>
      </c>
      <c r="S23" s="50" t="n">
        <v>1</v>
      </c>
      <c r="T23" s="51" t="n">
        <v>1</v>
      </c>
      <c r="U23" s="50" t="n">
        <v>1</v>
      </c>
      <c r="V23" s="51" t="n">
        <v>1</v>
      </c>
      <c r="W23" s="50" t="n">
        <v>1</v>
      </c>
      <c r="X23" s="51" t="n">
        <v>1</v>
      </c>
      <c r="Y23" s="50" t="n">
        <v>1</v>
      </c>
      <c r="Z23" s="52" t="n">
        <v>1</v>
      </c>
      <c r="AA23" s="50" t="n">
        <v>1</v>
      </c>
    </row>
    <row r="24" customFormat="false" ht="13.5" hidden="false" customHeight="false" outlineLevel="0" collapsed="false">
      <c r="A24" s="66" t="n">
        <v>11</v>
      </c>
      <c r="B24" s="58" t="n">
        <v>10000</v>
      </c>
      <c r="C24" s="59" t="n">
        <v>0</v>
      </c>
      <c r="F24" s="21" t="s">
        <v>55</v>
      </c>
    </row>
    <row r="25" customFormat="false" ht="13.5" hidden="false" customHeight="false" outlineLevel="0" collapsed="false">
      <c r="A25" s="66" t="n">
        <v>12</v>
      </c>
      <c r="B25" s="58" t="n">
        <v>10000</v>
      </c>
      <c r="C25" s="59" t="n">
        <v>0</v>
      </c>
      <c r="F25" s="92" t="n">
        <v>0.01</v>
      </c>
    </row>
    <row r="26" customFormat="false" ht="12.75" hidden="false" customHeight="false" outlineLevel="0" collapsed="false">
      <c r="A26" s="93"/>
      <c r="B26" s="94"/>
      <c r="F26" s="67" t="s">
        <v>56</v>
      </c>
      <c r="I26" s="95" t="s">
        <v>57</v>
      </c>
      <c r="J26" s="95"/>
      <c r="K26" s="95"/>
      <c r="L26" s="95"/>
    </row>
    <row r="27" customFormat="false" ht="12.75" hidden="false" customHeight="false" outlineLevel="0" collapsed="false">
      <c r="A27" s="96" t="s">
        <v>31</v>
      </c>
      <c r="B27" s="97" t="s">
        <v>58</v>
      </c>
      <c r="C27" s="96" t="s">
        <v>59</v>
      </c>
      <c r="I27" s="98" t="s">
        <v>60</v>
      </c>
      <c r="J27" s="95"/>
      <c r="K27" s="95"/>
      <c r="L27" s="95"/>
    </row>
    <row r="28" customFormat="false" ht="12.75" hidden="false" customHeight="false" outlineLevel="0" collapsed="false">
      <c r="A28" s="57" t="n">
        <v>1</v>
      </c>
      <c r="B28" s="99" t="n">
        <v>1</v>
      </c>
      <c r="C28" s="100" t="n">
        <v>1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  <row r="29" customFormat="false" ht="13.5" hidden="false" customHeight="false" outlineLevel="0" collapsed="false">
      <c r="A29" s="57" t="n">
        <v>2</v>
      </c>
      <c r="B29" s="99" t="n">
        <f aca="false">B28</f>
        <v>1</v>
      </c>
      <c r="C29" s="100" t="n">
        <v>1</v>
      </c>
      <c r="D29" s="102"/>
      <c r="E29" s="103"/>
      <c r="F29" s="104" t="s">
        <v>61</v>
      </c>
      <c r="G29" s="103"/>
      <c r="H29" s="103"/>
      <c r="I29" s="103"/>
      <c r="J29" s="103"/>
      <c r="K29" s="103"/>
      <c r="L29" s="103"/>
      <c r="M29" s="103"/>
    </row>
    <row r="30" customFormat="false" ht="13.5" hidden="false" customHeight="false" outlineLevel="0" collapsed="false">
      <c r="A30" s="66" t="n">
        <v>3</v>
      </c>
      <c r="B30" s="99" t="n">
        <f aca="false">B29</f>
        <v>1</v>
      </c>
      <c r="C30" s="100" t="n">
        <v>1</v>
      </c>
      <c r="F30" s="105" t="n">
        <v>1</v>
      </c>
      <c r="I30" s="10" t="s">
        <v>62</v>
      </c>
      <c r="J30" s="106" t="e">
        <f aca="false">SUM(Calculations!BW4:BW255)</f>
        <v>#NAME?</v>
      </c>
    </row>
    <row r="31" customFormat="false" ht="12.75" hidden="false" customHeight="false" outlineLevel="0" collapsed="false">
      <c r="A31" s="66" t="n">
        <v>4</v>
      </c>
      <c r="B31" s="99" t="n">
        <f aca="false">B30</f>
        <v>1</v>
      </c>
      <c r="C31" s="100" t="n">
        <v>1</v>
      </c>
      <c r="F31" s="67" t="s">
        <v>63</v>
      </c>
      <c r="I31" s="10" t="s">
        <v>64</v>
      </c>
      <c r="J31" s="107" t="e">
        <f aca="false">J30/SUM(Calculations!BM4:BM255)/1000</f>
        <v>#NAME?</v>
      </c>
    </row>
    <row r="32" customFormat="false" ht="12.75" hidden="false" customHeight="false" outlineLevel="0" collapsed="false">
      <c r="A32" s="66" t="n">
        <v>5</v>
      </c>
      <c r="B32" s="99" t="n">
        <f aca="false">B31</f>
        <v>1</v>
      </c>
      <c r="C32" s="100" t="n">
        <v>1</v>
      </c>
      <c r="F32" s="108"/>
    </row>
    <row r="33" customFormat="false" ht="12.75" hidden="false" customHeight="false" outlineLevel="0" collapsed="false">
      <c r="A33" s="66" t="n">
        <v>6</v>
      </c>
      <c r="B33" s="99" t="n">
        <f aca="false">B32</f>
        <v>1</v>
      </c>
      <c r="C33" s="100" t="n">
        <v>1</v>
      </c>
      <c r="I33" s="10" t="s">
        <v>65</v>
      </c>
      <c r="J33" s="107" t="e">
        <f aca="false">J30/(F13*1000)</f>
        <v>#NAME?</v>
      </c>
      <c r="K33" s="0" t="s">
        <v>66</v>
      </c>
    </row>
    <row r="34" customFormat="false" ht="12.75" hidden="false" customHeight="false" outlineLevel="0" collapsed="false">
      <c r="A34" s="66" t="n">
        <v>7</v>
      </c>
      <c r="B34" s="99" t="n">
        <f aca="false">B33</f>
        <v>1</v>
      </c>
      <c r="C34" s="100" t="n">
        <v>1</v>
      </c>
    </row>
    <row r="35" customFormat="false" ht="12.75" hidden="false" customHeight="false" outlineLevel="0" collapsed="false">
      <c r="A35" s="66" t="n">
        <v>8</v>
      </c>
      <c r="B35" s="99" t="n">
        <f aca="false">B34</f>
        <v>1</v>
      </c>
      <c r="C35" s="100" t="n">
        <v>1</v>
      </c>
    </row>
    <row r="36" customFormat="false" ht="12.75" hidden="false" customHeight="false" outlineLevel="0" collapsed="false">
      <c r="A36" s="66" t="n">
        <v>9</v>
      </c>
      <c r="B36" s="99" t="n">
        <f aca="false">B35</f>
        <v>1</v>
      </c>
      <c r="C36" s="100" t="n">
        <v>1</v>
      </c>
    </row>
    <row r="37" customFormat="false" ht="12.75" hidden="false" customHeight="false" outlineLevel="0" collapsed="false">
      <c r="A37" s="66" t="n">
        <v>10</v>
      </c>
      <c r="B37" s="99" t="n">
        <f aca="false">B36</f>
        <v>1</v>
      </c>
      <c r="C37" s="100" t="n">
        <v>1</v>
      </c>
    </row>
    <row r="38" customFormat="false" ht="12.75" hidden="false" customHeight="false" outlineLevel="0" collapsed="false">
      <c r="A38" s="66" t="n">
        <v>11</v>
      </c>
      <c r="B38" s="99" t="n">
        <f aca="false">B37</f>
        <v>1</v>
      </c>
      <c r="C38" s="100" t="n">
        <v>1</v>
      </c>
    </row>
    <row r="39" customFormat="false" ht="12.75" hidden="false" customHeight="false" outlineLevel="0" collapsed="false">
      <c r="A39" s="66" t="n">
        <v>12</v>
      </c>
      <c r="B39" s="99" t="n">
        <f aca="false">B38</f>
        <v>1</v>
      </c>
      <c r="C39" s="100" t="n">
        <v>1</v>
      </c>
    </row>
    <row r="46" customFormat="false" ht="12.75" hidden="false" customHeight="false" outlineLevel="0" collapsed="false">
      <c r="B46" s="0" t="s">
        <v>67</v>
      </c>
    </row>
    <row r="47" customFormat="false" ht="12.75" hidden="false" customHeight="false" outlineLevel="0" collapsed="false">
      <c r="B47" s="0" t="s">
        <v>68</v>
      </c>
    </row>
    <row r="51" customFormat="false" ht="12.75" hidden="false" customHeight="false" outlineLevel="0" collapsed="false">
      <c r="A51" s="46"/>
      <c r="B51" s="109" t="s">
        <v>69</v>
      </c>
      <c r="C51" s="109" t="s">
        <v>36</v>
      </c>
    </row>
    <row r="52" customFormat="false" ht="12.75" hidden="false" customHeight="false" outlineLevel="0" collapsed="false">
      <c r="A52" s="53" t="s">
        <v>31</v>
      </c>
      <c r="B52" s="54" t="s">
        <v>39</v>
      </c>
      <c r="C52" s="55" t="s">
        <v>39</v>
      </c>
    </row>
    <row r="53" customFormat="false" ht="12.75" hidden="false" customHeight="false" outlineLevel="0" collapsed="false">
      <c r="A53" s="57" t="n">
        <v>1</v>
      </c>
      <c r="B53" s="58" t="n">
        <f aca="false">((($F$14*B14)-($G$14*C14))/($F$14-$G$14))</f>
        <v>10000</v>
      </c>
      <c r="C53" s="59" t="n">
        <f aca="false">C14</f>
        <v>0</v>
      </c>
    </row>
    <row r="54" customFormat="false" ht="12.75" hidden="false" customHeight="false" outlineLevel="0" collapsed="false">
      <c r="A54" s="57" t="n">
        <v>2</v>
      </c>
      <c r="B54" s="58" t="n">
        <f aca="false">((($F$14*B15)-($G$14*C15))/($F$14-$G$14))</f>
        <v>10000</v>
      </c>
      <c r="C54" s="59" t="n">
        <f aca="false">C15</f>
        <v>0</v>
      </c>
    </row>
    <row r="55" customFormat="false" ht="12.75" hidden="false" customHeight="false" outlineLevel="0" collapsed="false">
      <c r="A55" s="66" t="n">
        <v>3</v>
      </c>
      <c r="B55" s="58" t="n">
        <f aca="false">((($F$14*B16)-($G$14*C16))/($F$14-$G$14))</f>
        <v>10000</v>
      </c>
      <c r="C55" s="59" t="n">
        <f aca="false">C16</f>
        <v>0</v>
      </c>
    </row>
    <row r="56" customFormat="false" ht="12.75" hidden="false" customHeight="false" outlineLevel="0" collapsed="false">
      <c r="A56" s="66" t="n">
        <v>4</v>
      </c>
      <c r="B56" s="58" t="n">
        <f aca="false">((($F$13*B17)-($G$13*C17))/($F$13-$G$13))</f>
        <v>10000</v>
      </c>
      <c r="C56" s="59" t="n">
        <f aca="false">C17</f>
        <v>0</v>
      </c>
    </row>
    <row r="57" customFormat="false" ht="12.75" hidden="false" customHeight="false" outlineLevel="0" collapsed="false">
      <c r="A57" s="66" t="n">
        <v>5</v>
      </c>
      <c r="B57" s="58" t="n">
        <f aca="false">((($F$13*B18)-($G$13*C18))/($F$13-$G$13))</f>
        <v>10000</v>
      </c>
      <c r="C57" s="59" t="n">
        <f aca="false">C18</f>
        <v>0</v>
      </c>
    </row>
    <row r="58" customFormat="false" ht="12.75" hidden="false" customHeight="false" outlineLevel="0" collapsed="false">
      <c r="A58" s="66" t="n">
        <v>6</v>
      </c>
      <c r="B58" s="58" t="n">
        <f aca="false">((($F$13*B19)-($G$13*C19))/($F$13-$G$13))</f>
        <v>10000</v>
      </c>
      <c r="C58" s="59" t="n">
        <f aca="false">C19</f>
        <v>0</v>
      </c>
    </row>
    <row r="59" customFormat="false" ht="12.75" hidden="false" customHeight="false" outlineLevel="0" collapsed="false">
      <c r="A59" s="66" t="n">
        <v>7</v>
      </c>
      <c r="B59" s="58" t="n">
        <f aca="false">((($F$13*B20)-($G$13*C20))/($F$13-$G$13))</f>
        <v>10000</v>
      </c>
      <c r="C59" s="59" t="n">
        <f aca="false">C20</f>
        <v>0</v>
      </c>
    </row>
    <row r="60" customFormat="false" ht="12.75" hidden="false" customHeight="false" outlineLevel="0" collapsed="false">
      <c r="A60" s="66" t="n">
        <v>8</v>
      </c>
      <c r="B60" s="58" t="n">
        <f aca="false">((($F$13*B21)-($G$13*C21))/($F$13-$G$13))</f>
        <v>10000</v>
      </c>
      <c r="C60" s="59" t="n">
        <f aca="false">C21</f>
        <v>0</v>
      </c>
    </row>
    <row r="61" customFormat="false" ht="12.75" hidden="false" customHeight="false" outlineLevel="0" collapsed="false">
      <c r="A61" s="66" t="n">
        <v>9</v>
      </c>
      <c r="B61" s="58" t="n">
        <f aca="false">((($F$13*B22)-($G$13*C22))/($F$13-$G$13))</f>
        <v>10000</v>
      </c>
      <c r="C61" s="59" t="n">
        <f aca="false">C22</f>
        <v>0</v>
      </c>
    </row>
    <row r="62" customFormat="false" ht="12.75" hidden="false" customHeight="false" outlineLevel="0" collapsed="false">
      <c r="A62" s="66" t="n">
        <v>10</v>
      </c>
      <c r="B62" s="58" t="n">
        <f aca="false">((($F$13*B23)-($G$13*C23))/($F$13-$G$13))</f>
        <v>10000</v>
      </c>
      <c r="C62" s="59" t="n">
        <f aca="false">C23</f>
        <v>0</v>
      </c>
    </row>
    <row r="63" customFormat="false" ht="12.75" hidden="false" customHeight="false" outlineLevel="0" collapsed="false">
      <c r="A63" s="66" t="n">
        <v>11</v>
      </c>
      <c r="B63" s="58" t="n">
        <f aca="false">((($F$14*B24)-($G$14*C24))/($F$14-$G$14))</f>
        <v>10000</v>
      </c>
      <c r="C63" s="59" t="n">
        <f aca="false">C24</f>
        <v>0</v>
      </c>
    </row>
    <row r="64" customFormat="false" ht="12.75" hidden="false" customHeight="false" outlineLevel="0" collapsed="false">
      <c r="A64" s="66" t="n">
        <v>12</v>
      </c>
      <c r="B64" s="58" t="n">
        <f aca="false">((($F$14*B25)-($G$14*C25))/($F$14-$G$14))</f>
        <v>10000</v>
      </c>
      <c r="C64" s="59" t="n">
        <f aca="false">C25</f>
        <v>0</v>
      </c>
    </row>
  </sheetData>
  <mergeCells count="1">
    <mergeCell ref="R9:AA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Use Gas Basis">
              <controlPr defaultSize="0" locked="1" autoFill="0" autoLine="0" autoPict="0" print="true" altText="Check Box 9">
                <anchor moveWithCells="true" sizeWithCells="false">
                  <from>
                    <xdr:col>2</xdr:col>
                    <xdr:colOff>523800</xdr:colOff>
                    <xdr:row>10</xdr:row>
                    <xdr:rowOff>37800</xdr:rowOff>
                  </from>
                  <to>
                    <xdr:col>4</xdr:col>
                    <xdr:colOff>294120</xdr:colOff>
                    <xdr:row>11</xdr:row>
                    <xdr:rowOff>94680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9">
              <controlPr defaultSize="0" print="false" autoFill="0" autoPict="0" macro="Module1.Curverefresh">
                <anchor moveWithCells="true" sizeWithCells="false">
                  <from>
                    <xdr:col>1</xdr:col>
                    <xdr:colOff>291960</xdr:colOff>
                    <xdr:row>0</xdr:row>
                    <xdr:rowOff>76320</xdr:rowOff>
                  </from>
                  <to>
                    <xdr:col>2</xdr:col>
                    <xdr:colOff>714960</xdr:colOff>
                    <xdr:row>1</xdr:row>
                    <xdr:rowOff>104400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0">
              <controlPr defaultSize="0" print="false" autoFill="0" autoPict="0" macro="Module1.LoadInTheCurves">
                <anchor moveWithCells="true" sizeWithCells="false">
                  <from>
                    <xdr:col>4</xdr:col>
                    <xdr:colOff>100440</xdr:colOff>
                    <xdr:row>0</xdr:row>
                    <xdr:rowOff>47520</xdr:rowOff>
                  </from>
                  <to>
                    <xdr:col>5</xdr:col>
                    <xdr:colOff>564840</xdr:colOff>
                    <xdr:row>2</xdr:row>
                    <xdr:rowOff>76320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Use Vol Smile">
              <controlPr defaultSize="0" locked="1" autoFill="0" autoLine="0" autoPict="0" print="true" altText="Check Box 22">
                <anchor moveWithCells="true" sizeWithCells="false">
                  <from>
                    <xdr:col>1</xdr:col>
                    <xdr:colOff>302040</xdr:colOff>
                    <xdr:row>26</xdr:row>
                    <xdr:rowOff>47520</xdr:rowOff>
                  </from>
                  <to>
                    <xdr:col>3</xdr:col>
                    <xdr:colOff>37080</xdr:colOff>
                    <xdr:row>27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D51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10" width="15.13"/>
    <col collapsed="false" customWidth="true" hidden="false" outlineLevel="0" max="2" min="2" style="110" width="9.41"/>
    <col collapsed="false" customWidth="true" hidden="false" outlineLevel="0" max="3" min="3" style="19" width="6.7"/>
    <col collapsed="false" customWidth="true" hidden="false" outlineLevel="0" max="4" min="4" style="19" width="10.99"/>
    <col collapsed="false" customWidth="true" hidden="false" outlineLevel="0" max="5" min="5" style="5" width="8.56"/>
    <col collapsed="false" customWidth="true" hidden="false" outlineLevel="0" max="6" min="6" style="5" width="8.41"/>
    <col collapsed="false" customWidth="true" hidden="false" outlineLevel="0" max="7" min="7" style="5" width="9.14"/>
    <col collapsed="false" customWidth="true" hidden="false" outlineLevel="0" max="9" min="8" style="5" width="7.85"/>
    <col collapsed="false" customWidth="true" hidden="false" outlineLevel="0" max="10" min="10" style="5" width="9.56"/>
    <col collapsed="false" customWidth="true" hidden="false" outlineLevel="0" max="12" min="11" style="5" width="7.85"/>
    <col collapsed="false" customWidth="true" hidden="false" outlineLevel="0" max="13" min="13" style="5" width="9.14"/>
    <col collapsed="false" customWidth="true" hidden="false" outlineLevel="0" max="22" min="14" style="5" width="7.85"/>
    <col collapsed="false" customWidth="true" hidden="false" outlineLevel="0" max="23" min="23" style="5" width="9.14"/>
    <col collapsed="false" customWidth="true" hidden="false" outlineLevel="0" max="59" min="24" style="5" width="7.85"/>
    <col collapsed="false" customWidth="true" hidden="false" outlineLevel="0" max="60" min="60" style="5" width="9.14"/>
    <col collapsed="false" customWidth="true" hidden="false" outlineLevel="0" max="77" min="61" style="5" width="7.85"/>
    <col collapsed="false" customWidth="true" hidden="false" outlineLevel="0" max="86" min="78" style="5" width="9.14"/>
    <col collapsed="false" customWidth="true" hidden="false" outlineLevel="0" max="87" min="87" style="5" width="14.99"/>
    <col collapsed="false" customWidth="true" hidden="false" outlineLevel="0" max="89" min="88" style="5" width="11.42"/>
    <col collapsed="false" customWidth="true" hidden="false" outlineLevel="0" max="90" min="90" style="110" width="9.14"/>
    <col collapsed="false" customWidth="true" hidden="false" outlineLevel="0" max="91" min="91" style="0" width="10.71"/>
    <col collapsed="false" customWidth="true" hidden="false" outlineLevel="0" max="93" min="93" style="110" width="9.14"/>
    <col collapsed="false" customWidth="true" hidden="false" outlineLevel="0" max="94" min="94" style="19" width="9.14"/>
    <col collapsed="false" customWidth="true" hidden="false" outlineLevel="0" max="95" min="95" style="19" width="18.99"/>
    <col collapsed="false" customWidth="true" hidden="false" outlineLevel="0" max="99" min="96" style="19" width="9.14"/>
    <col collapsed="false" customWidth="true" hidden="false" outlineLevel="0" max="100" min="100" style="0" width="13.56"/>
    <col collapsed="false" customWidth="true" hidden="false" outlineLevel="0" max="109" min="101" style="0" width="10.28"/>
    <col collapsed="false" customWidth="true" hidden="false" outlineLevel="0" max="110" min="110" style="0" width="10.85"/>
    <col collapsed="false" customWidth="true" hidden="false" outlineLevel="0" max="111" min="111" style="0" width="11.85"/>
    <col collapsed="false" customWidth="true" hidden="false" outlineLevel="0" max="113" min="112" style="0" width="11.7"/>
    <col collapsed="false" customWidth="true" hidden="false" outlineLevel="0" max="124" min="114" style="0" width="10.99"/>
    <col collapsed="false" customWidth="true" hidden="false" outlineLevel="0" max="125" min="125" style="0" width="16.42"/>
    <col collapsed="false" customWidth="true" hidden="false" outlineLevel="0" max="129" min="126" style="0" width="10.99"/>
    <col collapsed="false" customWidth="true" hidden="false" outlineLevel="0" max="134" min="130" style="0" width="10.28"/>
  </cols>
  <sheetData>
    <row r="1" customFormat="false" ht="12.75" hidden="false" customHeight="false" outlineLevel="0" collapsed="false">
      <c r="H1" s="111"/>
      <c r="I1" s="112"/>
      <c r="J1" s="113"/>
      <c r="K1" s="111"/>
      <c r="CX1" s="114"/>
      <c r="CY1" s="65"/>
    </row>
    <row r="2" customFormat="false" ht="12.75" hidden="false" customHeight="false" outlineLevel="0" collapsed="false">
      <c r="CX2" s="65"/>
      <c r="CY2" s="65"/>
      <c r="DU2" s="84"/>
      <c r="DV2" s="84"/>
      <c r="DW2" s="84"/>
      <c r="DX2" s="84"/>
      <c r="DY2" s="84"/>
    </row>
    <row r="3" customFormat="false" ht="22.5" hidden="false" customHeight="true" outlineLevel="0" collapsed="false">
      <c r="CX3" s="65"/>
      <c r="CY3" s="65"/>
      <c r="DW3" s="84"/>
    </row>
    <row r="4" customFormat="false" ht="22.5" hidden="false" customHeight="true" outlineLevel="0" collapsed="false">
      <c r="DW4" s="84"/>
    </row>
    <row r="5" customFormat="false" ht="22.5" hidden="false" customHeight="true" outlineLevel="0" collapsed="false"/>
    <row r="7" customFormat="false" ht="18.75" hidden="false" customHeight="true" outlineLevel="0" collapsed="false"/>
    <row r="8" customFormat="false" ht="21.75" hidden="false" customHeight="true" outlineLevel="0" collapsed="false"/>
    <row r="11" customFormat="false" ht="24" hidden="false" customHeight="false" outlineLevel="0" collapsed="false">
      <c r="A11" s="115" t="s">
        <v>70</v>
      </c>
      <c r="C11" s="110"/>
      <c r="D11" s="115" t="s">
        <v>71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P11" s="115"/>
    </row>
    <row r="12" customFormat="false" ht="27" hidden="false" customHeight="true" outlineLevel="0" collapsed="false">
      <c r="A12" s="110" t="s">
        <v>72</v>
      </c>
      <c r="C12" s="118"/>
      <c r="D12" s="119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6"/>
      <c r="P12" s="117"/>
      <c r="Q12" s="117"/>
      <c r="R12" s="117"/>
      <c r="S12" s="120" t="s">
        <v>73</v>
      </c>
      <c r="T12" s="121"/>
      <c r="U12" s="121"/>
      <c r="V12" s="122"/>
      <c r="W12" s="123" t="n">
        <f aca="false">MAX(D19:D271)</f>
        <v>43556</v>
      </c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0"/>
      <c r="AX12" s="0"/>
      <c r="AY12" s="117"/>
      <c r="AZ12" s="117"/>
      <c r="BA12" s="117"/>
      <c r="BB12" s="117"/>
      <c r="BC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0"/>
      <c r="BZ12" s="117"/>
      <c r="CA12" s="117"/>
      <c r="CB12" s="117"/>
      <c r="CC12" s="117"/>
      <c r="CD12" s="117"/>
      <c r="CE12" s="117"/>
      <c r="CF12" s="117"/>
      <c r="CG12" s="117"/>
      <c r="CH12" s="124"/>
      <c r="CI12" s="110"/>
      <c r="CJ12" s="124"/>
      <c r="CK12" s="124"/>
      <c r="CM12" s="125"/>
      <c r="CN12" s="125"/>
      <c r="DJ12" s="124"/>
      <c r="DK12" s="124"/>
      <c r="DU12" s="126" t="s">
        <v>74</v>
      </c>
      <c r="DV12" s="126"/>
    </row>
    <row r="13" customFormat="false" ht="13.5" hidden="false" customHeight="false" outlineLevel="0" collapsed="false">
      <c r="A13" s="127" t="n">
        <f aca="false">IF(MONTH(CurveDate)=12,DATE(YEAR(CurveDate)+1,1,1),DATE(YEAR(CurveDate),MONTH(CurveDate)+1,1))</f>
        <v>45931</v>
      </c>
      <c r="B13" s="128" t="n">
        <f aca="false">'Gas Curves'!C17</f>
        <v>0.061210621866435</v>
      </c>
      <c r="C13" s="128"/>
      <c r="D13" s="129" t="s">
        <v>75</v>
      </c>
      <c r="E13" s="130" t="s">
        <v>76</v>
      </c>
      <c r="F13" s="131"/>
      <c r="G13" s="132" t="n">
        <v>36805</v>
      </c>
      <c r="H13" s="133"/>
      <c r="I13" s="65"/>
      <c r="J13" s="65"/>
      <c r="K13" s="65"/>
      <c r="L13" s="134"/>
      <c r="M13" s="13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13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19"/>
      <c r="CI13" s="110"/>
      <c r="CJ13" s="110"/>
      <c r="CK13" s="110"/>
      <c r="CM13" s="125"/>
      <c r="CN13" s="125"/>
      <c r="DJ13" s="124"/>
      <c r="DK13" s="124"/>
      <c r="DU13" s="136" t="str">
        <f aca="false">INDEX(DU15:DU28,DV13)</f>
        <v>1  BUSBAR</v>
      </c>
      <c r="DV13" s="137" t="n">
        <v>2</v>
      </c>
      <c r="DZ13" s="110"/>
      <c r="EA13" s="110"/>
      <c r="EB13" s="110"/>
      <c r="EC13" s="110"/>
    </row>
    <row r="14" customFormat="false" ht="12.75" hidden="false" customHeight="false" outlineLevel="0" collapsed="false">
      <c r="A14" s="138" t="n">
        <f aca="false">EOMONTH(A13,0)+1</f>
        <v>45962</v>
      </c>
      <c r="B14" s="128" t="n">
        <f aca="false">'Gas Curves'!C18</f>
        <v>0.059682982997529</v>
      </c>
      <c r="C14" s="128"/>
      <c r="D14" s="139"/>
      <c r="E14" s="131"/>
      <c r="F14" s="131"/>
      <c r="G14" s="131"/>
      <c r="H14" s="134"/>
      <c r="I14" s="65"/>
      <c r="J14" s="65"/>
      <c r="K14" s="65"/>
      <c r="L14" s="134"/>
      <c r="M14" s="13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 t="s">
        <v>77</v>
      </c>
      <c r="AA14" s="65"/>
      <c r="AB14" s="65"/>
      <c r="AC14" s="65"/>
      <c r="AD14" s="65"/>
      <c r="AE14" s="65"/>
      <c r="AF14" s="65"/>
      <c r="AG14" s="65"/>
      <c r="AH14" s="65" t="s">
        <v>78</v>
      </c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13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19"/>
      <c r="CI14" s="140"/>
      <c r="CJ14" s="141"/>
      <c r="CK14" s="141"/>
      <c r="CM14" s="141"/>
      <c r="CN14" s="141"/>
      <c r="CO14" s="142"/>
      <c r="CP14" s="0"/>
      <c r="CQ14" s="0"/>
      <c r="CR14" s="0"/>
      <c r="CS14" s="0"/>
      <c r="CT14" s="0"/>
      <c r="DJ14" s="124"/>
      <c r="DK14" s="124"/>
      <c r="DU14" s="143" t="s">
        <v>79</v>
      </c>
      <c r="DV14" s="144" t="s">
        <v>80</v>
      </c>
      <c r="DZ14" s="110"/>
      <c r="EA14" s="110"/>
      <c r="EB14" s="110"/>
      <c r="EC14" s="110"/>
    </row>
    <row r="15" customFormat="false" ht="12.75" hidden="false" customHeight="false" outlineLevel="0" collapsed="false">
      <c r="A15" s="138" t="n">
        <f aca="false">EOMONTH(A14,0)+1</f>
        <v>45992</v>
      </c>
      <c r="B15" s="128" t="n">
        <f aca="false">'Gas Curves'!C19</f>
        <v>0.058415947446133</v>
      </c>
      <c r="C15" s="128"/>
      <c r="D15" s="134"/>
      <c r="E15" s="134"/>
      <c r="F15" s="134" t="s">
        <v>81</v>
      </c>
      <c r="G15" s="134"/>
      <c r="H15" s="134"/>
      <c r="I15" s="134"/>
      <c r="J15" s="134" t="s">
        <v>82</v>
      </c>
      <c r="K15" s="134"/>
      <c r="L15" s="134"/>
      <c r="M15" s="135"/>
      <c r="N15" s="134"/>
      <c r="O15" s="134" t="s">
        <v>83</v>
      </c>
      <c r="P15" s="134"/>
      <c r="Q15" s="134"/>
      <c r="R15" s="134"/>
      <c r="S15" s="134" t="s">
        <v>84</v>
      </c>
      <c r="T15" s="134"/>
      <c r="U15" s="134"/>
      <c r="V15" s="134"/>
      <c r="W15" s="134" t="s">
        <v>85</v>
      </c>
      <c r="X15" s="134"/>
      <c r="Y15" s="65"/>
      <c r="Z15" s="134"/>
      <c r="AA15" s="134" t="s">
        <v>86</v>
      </c>
      <c r="AB15" s="134"/>
      <c r="AC15" s="65"/>
      <c r="AD15" s="134"/>
      <c r="AE15" s="134" t="s">
        <v>87</v>
      </c>
      <c r="AF15" s="134"/>
      <c r="AG15" s="65"/>
      <c r="AH15" s="134"/>
      <c r="AI15" s="134" t="s">
        <v>86</v>
      </c>
      <c r="AJ15" s="134"/>
      <c r="AK15" s="65"/>
      <c r="AL15" s="134"/>
      <c r="AM15" s="134" t="s">
        <v>87</v>
      </c>
      <c r="AN15" s="134"/>
      <c r="AO15" s="65"/>
      <c r="AP15" s="134" t="s">
        <v>88</v>
      </c>
      <c r="AQ15" s="134" t="s">
        <v>89</v>
      </c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135"/>
      <c r="BI15" s="134" t="s">
        <v>90</v>
      </c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19"/>
      <c r="CI15" s="145"/>
      <c r="CJ15" s="145"/>
      <c r="CK15" s="145"/>
      <c r="CM15" s="146"/>
      <c r="CN15" s="147"/>
      <c r="CO15" s="19"/>
      <c r="CP15" s="0"/>
      <c r="CQ15" s="0"/>
      <c r="CR15" s="0"/>
      <c r="CS15" s="0"/>
      <c r="CT15" s="0"/>
      <c r="DJ15" s="119"/>
      <c r="DK15" s="119"/>
      <c r="DU15" s="148" t="s">
        <v>91</v>
      </c>
      <c r="DV15" s="149"/>
      <c r="DY15" s="81"/>
      <c r="DZ15" s="119"/>
      <c r="EA15" s="119"/>
      <c r="EB15" s="119"/>
      <c r="EC15" s="119"/>
      <c r="ED15" s="119"/>
    </row>
    <row r="16" customFormat="false" ht="12.75" hidden="false" customHeight="false" outlineLevel="0" collapsed="false">
      <c r="A16" s="138" t="n">
        <f aca="false">EOMONTH(A15,0)+1</f>
        <v>46023</v>
      </c>
      <c r="B16" s="128" t="n">
        <f aca="false">'Gas Curves'!C20</f>
        <v>0.057620465192262</v>
      </c>
      <c r="C16" s="128"/>
      <c r="D16" s="150"/>
      <c r="E16" s="151" t="s">
        <v>92</v>
      </c>
      <c r="F16" s="151" t="s">
        <v>93</v>
      </c>
      <c r="G16" s="152" t="s">
        <v>94</v>
      </c>
      <c r="H16" s="153"/>
      <c r="I16" s="131" t="s">
        <v>92</v>
      </c>
      <c r="J16" s="131" t="s">
        <v>93</v>
      </c>
      <c r="K16" s="131" t="s">
        <v>94</v>
      </c>
      <c r="L16" s="134"/>
      <c r="M16" s="135"/>
      <c r="N16" s="151" t="s">
        <v>92</v>
      </c>
      <c r="O16" s="151" t="s">
        <v>93</v>
      </c>
      <c r="P16" s="152" t="s">
        <v>94</v>
      </c>
      <c r="Q16" s="152"/>
      <c r="R16" s="151" t="s">
        <v>92</v>
      </c>
      <c r="S16" s="151" t="s">
        <v>93</v>
      </c>
      <c r="T16" s="152" t="s">
        <v>94</v>
      </c>
      <c r="U16" s="152"/>
      <c r="V16" s="151" t="s">
        <v>92</v>
      </c>
      <c r="W16" s="151" t="s">
        <v>93</v>
      </c>
      <c r="X16" s="152" t="s">
        <v>94</v>
      </c>
      <c r="Y16" s="65"/>
      <c r="Z16" s="151" t="s">
        <v>92</v>
      </c>
      <c r="AA16" s="151" t="s">
        <v>93</v>
      </c>
      <c r="AB16" s="152" t="s">
        <v>94</v>
      </c>
      <c r="AC16" s="65"/>
      <c r="AD16" s="151" t="s">
        <v>92</v>
      </c>
      <c r="AE16" s="151" t="s">
        <v>93</v>
      </c>
      <c r="AF16" s="152" t="s">
        <v>94</v>
      </c>
      <c r="AG16" s="65"/>
      <c r="AH16" s="151" t="s">
        <v>92</v>
      </c>
      <c r="AI16" s="151" t="s">
        <v>93</v>
      </c>
      <c r="AJ16" s="152" t="s">
        <v>94</v>
      </c>
      <c r="AK16" s="65"/>
      <c r="AL16" s="151" t="s">
        <v>92</v>
      </c>
      <c r="AM16" s="151" t="s">
        <v>93</v>
      </c>
      <c r="AN16" s="152" t="s">
        <v>94</v>
      </c>
      <c r="AO16" s="65"/>
      <c r="AP16" s="134" t="s">
        <v>95</v>
      </c>
      <c r="AQ16" s="134" t="s">
        <v>96</v>
      </c>
      <c r="AR16" s="65"/>
      <c r="AS16" s="134"/>
      <c r="AT16" s="131" t="s">
        <v>97</v>
      </c>
      <c r="AU16" s="131" t="s">
        <v>98</v>
      </c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65"/>
      <c r="BH16" s="135"/>
      <c r="BI16" s="134" t="s">
        <v>99</v>
      </c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19"/>
      <c r="CI16" s="145"/>
      <c r="CJ16" s="145"/>
      <c r="CK16" s="145"/>
      <c r="CM16" s="146"/>
      <c r="CN16" s="147"/>
      <c r="CO16" s="19"/>
      <c r="CP16" s="0"/>
      <c r="CQ16" s="0"/>
      <c r="CR16" s="0"/>
      <c r="CS16" s="0"/>
      <c r="CT16" s="0"/>
      <c r="DA16" s="154" t="s">
        <v>100</v>
      </c>
      <c r="DD16" s="0" t="s">
        <v>101</v>
      </c>
      <c r="DI16" s="154" t="s">
        <v>101</v>
      </c>
      <c r="DJ16" s="155"/>
      <c r="DK16" s="155"/>
      <c r="DU16" s="156" t="s">
        <v>102</v>
      </c>
      <c r="DV16" s="157" t="n">
        <v>1</v>
      </c>
      <c r="DY16" s="158"/>
      <c r="DZ16" s="155"/>
      <c r="EA16" s="155"/>
      <c r="EB16" s="155"/>
      <c r="EC16" s="155"/>
      <c r="ED16" s="155"/>
    </row>
    <row r="17" customFormat="false" ht="13.5" hidden="false" customHeight="false" outlineLevel="0" collapsed="false">
      <c r="A17" s="138" t="n">
        <f aca="false">EOMONTH(A16,0)+1</f>
        <v>46054</v>
      </c>
      <c r="B17" s="128" t="n">
        <f aca="false">'Gas Curves'!C21</f>
        <v>0.056951683570872</v>
      </c>
      <c r="C17" s="128"/>
      <c r="D17" s="134"/>
      <c r="E17" s="134" t="s">
        <v>103</v>
      </c>
      <c r="F17" s="134" t="s">
        <v>103</v>
      </c>
      <c r="G17" s="134" t="s">
        <v>103</v>
      </c>
      <c r="H17" s="153"/>
      <c r="I17" s="153" t="s">
        <v>103</v>
      </c>
      <c r="J17" s="153" t="s">
        <v>103</v>
      </c>
      <c r="K17" s="153" t="s">
        <v>103</v>
      </c>
      <c r="L17" s="134"/>
      <c r="M17" s="135"/>
      <c r="N17" s="134" t="s">
        <v>103</v>
      </c>
      <c r="O17" s="134" t="s">
        <v>103</v>
      </c>
      <c r="P17" s="134" t="s">
        <v>103</v>
      </c>
      <c r="Q17" s="134"/>
      <c r="R17" s="134" t="s">
        <v>103</v>
      </c>
      <c r="S17" s="134" t="s">
        <v>103</v>
      </c>
      <c r="T17" s="134" t="s">
        <v>103</v>
      </c>
      <c r="U17" s="134"/>
      <c r="V17" s="134" t="s">
        <v>103</v>
      </c>
      <c r="W17" s="134" t="s">
        <v>103</v>
      </c>
      <c r="X17" s="134" t="s">
        <v>103</v>
      </c>
      <c r="Y17" s="65"/>
      <c r="Z17" s="134"/>
      <c r="AA17" s="134"/>
      <c r="AB17" s="134"/>
      <c r="AC17" s="65"/>
      <c r="AD17" s="134"/>
      <c r="AE17" s="134"/>
      <c r="AF17" s="134"/>
      <c r="AG17" s="65"/>
      <c r="AH17" s="134"/>
      <c r="AI17" s="134"/>
      <c r="AJ17" s="134"/>
      <c r="AK17" s="65"/>
      <c r="AL17" s="134"/>
      <c r="AM17" s="134"/>
      <c r="AN17" s="134"/>
      <c r="AO17" s="65"/>
      <c r="AP17" s="65"/>
      <c r="AQ17" s="65"/>
      <c r="AR17" s="65"/>
      <c r="AS17" s="152" t="s">
        <v>86</v>
      </c>
      <c r="AT17" s="159" t="n">
        <v>800</v>
      </c>
      <c r="AU17" s="159" t="n">
        <v>2300</v>
      </c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65"/>
      <c r="BH17" s="13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19"/>
      <c r="CI17" s="160"/>
      <c r="CJ17" s="160"/>
      <c r="CK17" s="160"/>
      <c r="CM17" s="146"/>
      <c r="CN17" s="147"/>
      <c r="CO17" s="161"/>
      <c r="CP17" s="0"/>
      <c r="CQ17" s="0"/>
      <c r="CR17" s="0"/>
      <c r="CS17" s="0"/>
      <c r="CT17" s="0"/>
      <c r="CZ17" s="162" t="s">
        <v>104</v>
      </c>
      <c r="DA17" s="162"/>
      <c r="DB17" s="162"/>
      <c r="DE17" s="0" t="s">
        <v>105</v>
      </c>
      <c r="DI17" s="154" t="s">
        <v>90</v>
      </c>
      <c r="DJ17" s="19"/>
      <c r="DK17" s="19"/>
      <c r="DU17" s="156" t="s">
        <v>106</v>
      </c>
      <c r="DV17" s="157" t="n">
        <v>2</v>
      </c>
      <c r="DY17" s="158"/>
      <c r="DZ17" s="19"/>
      <c r="EA17" s="19"/>
      <c r="EB17" s="19"/>
      <c r="EC17" s="19"/>
      <c r="ED17" s="19"/>
    </row>
    <row r="18" customFormat="false" ht="13.5" hidden="false" customHeight="false" outlineLevel="0" collapsed="false">
      <c r="A18" s="138" t="n">
        <f aca="false">EOMONTH(A17,0)+1</f>
        <v>46082</v>
      </c>
      <c r="B18" s="128" t="n">
        <f aca="false">'Gas Curves'!C22</f>
        <v>0.056350655408428</v>
      </c>
      <c r="C18" s="128"/>
      <c r="D18" s="131" t="s">
        <v>31</v>
      </c>
      <c r="E18" s="131"/>
      <c r="F18" s="131"/>
      <c r="G18" s="131"/>
      <c r="H18" s="152"/>
      <c r="I18" s="131"/>
      <c r="J18" s="152"/>
      <c r="K18" s="152"/>
      <c r="L18" s="134"/>
      <c r="M18" s="135" t="s">
        <v>31</v>
      </c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163" t="s">
        <v>107</v>
      </c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65"/>
      <c r="BH18" s="135" t="s">
        <v>31</v>
      </c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19"/>
      <c r="CI18" s="160"/>
      <c r="CJ18" s="160"/>
      <c r="CK18" s="160"/>
      <c r="CM18" s="146"/>
      <c r="CN18" s="147"/>
      <c r="CO18" s="161"/>
      <c r="CP18" s="0"/>
      <c r="CQ18" s="0"/>
      <c r="CR18" s="0"/>
      <c r="CS18" s="0"/>
      <c r="CT18" s="0"/>
      <c r="CZ18" s="154" t="s">
        <v>92</v>
      </c>
      <c r="DA18" s="154" t="s">
        <v>93</v>
      </c>
      <c r="DB18" s="154" t="s">
        <v>94</v>
      </c>
      <c r="DD18" s="154" t="s">
        <v>92</v>
      </c>
      <c r="DE18" s="154" t="s">
        <v>93</v>
      </c>
      <c r="DF18" s="154" t="s">
        <v>94</v>
      </c>
      <c r="DJ18" s="19"/>
      <c r="DK18" s="19"/>
      <c r="DQ18" s="164" t="s">
        <v>108</v>
      </c>
      <c r="DR18" s="165" t="s">
        <v>79</v>
      </c>
      <c r="DS18" s="166" t="n">
        <v>3</v>
      </c>
      <c r="DT18" s="65"/>
      <c r="DU18" s="156" t="s">
        <v>109</v>
      </c>
      <c r="DV18" s="157" t="n">
        <v>3</v>
      </c>
      <c r="DY18" s="158"/>
      <c r="DZ18" s="19"/>
      <c r="EA18" s="19"/>
      <c r="EB18" s="19"/>
      <c r="EC18" s="19"/>
      <c r="ED18" s="19"/>
    </row>
    <row r="19" customFormat="false" ht="12.75" hidden="false" customHeight="false" outlineLevel="0" collapsed="false">
      <c r="A19" s="138" t="n">
        <f aca="false">EOMONTH(A18,0)+1</f>
        <v>46113</v>
      </c>
      <c r="B19" s="128" t="n">
        <f aca="false">'Gas Curves'!C23</f>
        <v>0.055818790797591</v>
      </c>
      <c r="C19" s="128"/>
      <c r="D19" s="167" t="n">
        <v>36806</v>
      </c>
      <c r="E19" s="168" t="n">
        <v>55.5</v>
      </c>
      <c r="F19" s="168" t="n">
        <v>56</v>
      </c>
      <c r="G19" s="168" t="n">
        <v>56.6</v>
      </c>
      <c r="H19" s="152"/>
      <c r="I19" s="168" t="n">
        <v>26.75</v>
      </c>
      <c r="J19" s="168" t="n">
        <v>27</v>
      </c>
      <c r="K19" s="168" t="n">
        <v>27.3</v>
      </c>
      <c r="L19" s="134"/>
      <c r="M19" s="135" t="n">
        <v>36770</v>
      </c>
      <c r="N19" s="169" t="n">
        <v>0</v>
      </c>
      <c r="O19" s="169" t="n">
        <v>0</v>
      </c>
      <c r="P19" s="169" t="n">
        <v>0</v>
      </c>
      <c r="Q19" s="65"/>
      <c r="R19" s="169" t="n">
        <v>0</v>
      </c>
      <c r="S19" s="169" t="n">
        <v>0</v>
      </c>
      <c r="T19" s="169" t="n">
        <v>0</v>
      </c>
      <c r="U19" s="65"/>
      <c r="V19" s="169" t="n">
        <v>2.75</v>
      </c>
      <c r="W19" s="169" t="n">
        <v>2.75</v>
      </c>
      <c r="X19" s="169" t="n">
        <v>2.75</v>
      </c>
      <c r="Y19" s="65"/>
      <c r="Z19" s="169" t="n">
        <v>0.28525</v>
      </c>
      <c r="AA19" s="169" t="n">
        <v>0.5705</v>
      </c>
      <c r="AB19" s="169" t="n">
        <v>0.85575</v>
      </c>
      <c r="AC19" s="65"/>
      <c r="AD19" s="169" t="n">
        <v>0.04</v>
      </c>
      <c r="AE19" s="169" t="n">
        <v>0.08</v>
      </c>
      <c r="AF19" s="169" t="n">
        <v>0.12</v>
      </c>
      <c r="AG19" s="65"/>
      <c r="AH19" s="169" t="n">
        <v>-0.5</v>
      </c>
      <c r="AI19" s="169" t="n">
        <v>3</v>
      </c>
      <c r="AJ19" s="169" t="n">
        <v>0.5</v>
      </c>
      <c r="AK19" s="65"/>
      <c r="AL19" s="169" t="n">
        <v>-0.15</v>
      </c>
      <c r="AM19" s="169" t="n">
        <v>0.4</v>
      </c>
      <c r="AN19" s="169" t="n">
        <v>0.2</v>
      </c>
      <c r="AO19" s="65"/>
      <c r="AP19" s="134" t="n">
        <v>1</v>
      </c>
      <c r="AQ19" s="170" t="n">
        <v>0</v>
      </c>
      <c r="AR19" s="65"/>
      <c r="AS19" s="171"/>
      <c r="AT19" s="171" t="s">
        <v>110</v>
      </c>
      <c r="AU19" s="171" t="s">
        <v>111</v>
      </c>
      <c r="AV19" s="171" t="s">
        <v>112</v>
      </c>
      <c r="AW19" s="171" t="s">
        <v>113</v>
      </c>
      <c r="AX19" s="171" t="s">
        <v>114</v>
      </c>
      <c r="AY19" s="171" t="s">
        <v>115</v>
      </c>
      <c r="AZ19" s="171" t="s">
        <v>116</v>
      </c>
      <c r="BA19" s="171" t="s">
        <v>117</v>
      </c>
      <c r="BB19" s="171" t="s">
        <v>118</v>
      </c>
      <c r="BC19" s="171" t="s">
        <v>119</v>
      </c>
      <c r="BD19" s="171" t="s">
        <v>120</v>
      </c>
      <c r="BE19" s="171" t="s">
        <v>121</v>
      </c>
      <c r="BF19" s="171"/>
      <c r="BG19" s="65"/>
      <c r="BH19" s="135" t="n">
        <v>36770</v>
      </c>
      <c r="BI19" s="172" t="n">
        <v>0.9</v>
      </c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19"/>
      <c r="CI19" s="160"/>
      <c r="CJ19" s="160"/>
      <c r="CK19" s="160"/>
      <c r="CM19" s="146"/>
      <c r="CN19" s="147"/>
      <c r="CO19" s="173"/>
      <c r="CP19" s="0"/>
      <c r="CQ19" s="0"/>
      <c r="CR19" s="0"/>
      <c r="CS19" s="0"/>
      <c r="CT19" s="0"/>
      <c r="CY19" s="174" t="n">
        <f aca="false">M19</f>
        <v>36770</v>
      </c>
      <c r="CZ19" s="175" t="n">
        <f aca="false">AI19+AH19</f>
        <v>2.5</v>
      </c>
      <c r="DA19" s="175" t="n">
        <f aca="false">AI19</f>
        <v>3</v>
      </c>
      <c r="DB19" s="175" t="n">
        <f aca="false">AI19+AJ19</f>
        <v>3.5</v>
      </c>
      <c r="DD19" s="175" t="n">
        <f aca="false">Z19</f>
        <v>0.28525</v>
      </c>
      <c r="DE19" s="175" t="n">
        <f aca="false">AA19</f>
        <v>0.5705</v>
      </c>
      <c r="DF19" s="175" t="n">
        <f aca="false">AB19</f>
        <v>0.85575</v>
      </c>
      <c r="DH19" s="174" t="n">
        <f aca="false">BH19</f>
        <v>36770</v>
      </c>
      <c r="DI19" s="128" t="n">
        <f aca="false">BI19</f>
        <v>0.9</v>
      </c>
      <c r="DJ19" s="19"/>
      <c r="DK19" s="19"/>
      <c r="DP19" s="0" t="n">
        <v>1</v>
      </c>
      <c r="DQ19" s="176" t="s">
        <v>122</v>
      </c>
      <c r="DR19" s="177" t="s">
        <v>123</v>
      </c>
      <c r="DS19" s="178" t="s">
        <v>124</v>
      </c>
      <c r="DT19" s="179"/>
      <c r="DU19" s="156" t="s">
        <v>125</v>
      </c>
      <c r="DV19" s="157" t="n">
        <v>4</v>
      </c>
      <c r="DY19" s="158"/>
      <c r="DZ19" s="19"/>
      <c r="EA19" s="19"/>
      <c r="EB19" s="19"/>
      <c r="EC19" s="19"/>
      <c r="ED19" s="19"/>
    </row>
    <row r="20" customFormat="false" ht="12.75" hidden="false" customHeight="false" outlineLevel="0" collapsed="false">
      <c r="A20" s="138" t="n">
        <f aca="false">EOMONTH(A19,0)+1</f>
        <v>46143</v>
      </c>
      <c r="B20" s="128" t="n">
        <f aca="false">'Gas Curves'!C24</f>
        <v>0.055286926280937</v>
      </c>
      <c r="C20" s="128"/>
      <c r="D20" s="167" t="n">
        <v>36807</v>
      </c>
      <c r="E20" s="168" t="n">
        <v>55.5</v>
      </c>
      <c r="F20" s="168" t="n">
        <v>56</v>
      </c>
      <c r="G20" s="168" t="n">
        <v>56.6</v>
      </c>
      <c r="H20" s="152"/>
      <c r="I20" s="168" t="n">
        <v>26.75</v>
      </c>
      <c r="J20" s="168" t="n">
        <v>27</v>
      </c>
      <c r="K20" s="168" t="n">
        <v>27.3</v>
      </c>
      <c r="L20" s="134"/>
      <c r="M20" s="135" t="n">
        <v>36800</v>
      </c>
      <c r="N20" s="169" t="n">
        <v>0</v>
      </c>
      <c r="O20" s="169" t="n">
        <v>0</v>
      </c>
      <c r="P20" s="169" t="n">
        <v>0</v>
      </c>
      <c r="Q20" s="65"/>
      <c r="R20" s="169" t="n">
        <v>0</v>
      </c>
      <c r="S20" s="169" t="n">
        <v>0</v>
      </c>
      <c r="T20" s="169" t="n">
        <v>0</v>
      </c>
      <c r="U20" s="65"/>
      <c r="V20" s="169" t="n">
        <v>2.75</v>
      </c>
      <c r="W20" s="169" t="n">
        <v>2.75</v>
      </c>
      <c r="X20" s="169" t="n">
        <v>2.75</v>
      </c>
      <c r="Y20" s="65"/>
      <c r="Z20" s="169" t="n">
        <v>0.21275</v>
      </c>
      <c r="AA20" s="169" t="n">
        <v>0.4255</v>
      </c>
      <c r="AB20" s="169" t="n">
        <v>0.63825</v>
      </c>
      <c r="AC20" s="65"/>
      <c r="AD20" s="169" t="n">
        <v>0.03</v>
      </c>
      <c r="AE20" s="169" t="n">
        <v>0.06</v>
      </c>
      <c r="AF20" s="169" t="n">
        <v>0.09</v>
      </c>
      <c r="AG20" s="65"/>
      <c r="AH20" s="169" t="n">
        <v>-0.25</v>
      </c>
      <c r="AI20" s="169" t="n">
        <v>1.5</v>
      </c>
      <c r="AJ20" s="169" t="n">
        <v>0.3</v>
      </c>
      <c r="AK20" s="65"/>
      <c r="AL20" s="169" t="n">
        <v>-0.15</v>
      </c>
      <c r="AM20" s="169" t="n">
        <v>0.35</v>
      </c>
      <c r="AN20" s="169" t="n">
        <v>0.2</v>
      </c>
      <c r="AO20" s="65"/>
      <c r="AP20" s="134" t="n">
        <v>1</v>
      </c>
      <c r="AQ20" s="170" t="n">
        <v>0</v>
      </c>
      <c r="AR20" s="65"/>
      <c r="AS20" s="152" t="s">
        <v>126</v>
      </c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 t="s">
        <v>127</v>
      </c>
      <c r="BG20" s="65"/>
      <c r="BH20" s="135" t="n">
        <v>36800</v>
      </c>
      <c r="BI20" s="172" t="n">
        <v>0.9</v>
      </c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141"/>
      <c r="CI20" s="160"/>
      <c r="CJ20" s="160"/>
      <c r="CK20" s="160"/>
      <c r="CM20" s="146"/>
      <c r="CN20" s="147"/>
      <c r="CO20" s="173"/>
      <c r="CP20" s="0"/>
      <c r="CQ20" s="0"/>
      <c r="CR20" s="0"/>
      <c r="CS20" s="0"/>
      <c r="CT20" s="0"/>
      <c r="CY20" s="174" t="n">
        <f aca="false">M20</f>
        <v>36800</v>
      </c>
      <c r="CZ20" s="175" t="n">
        <f aca="false">AI20+AH20</f>
        <v>1.25</v>
      </c>
      <c r="DA20" s="175" t="n">
        <f aca="false">AI20</f>
        <v>1.5</v>
      </c>
      <c r="DB20" s="175" t="n">
        <f aca="false">AI20+AJ20</f>
        <v>1.8</v>
      </c>
      <c r="DD20" s="175" t="n">
        <f aca="false">Z20</f>
        <v>0.21275</v>
      </c>
      <c r="DE20" s="175" t="n">
        <f aca="false">AA20</f>
        <v>0.4255</v>
      </c>
      <c r="DF20" s="175" t="n">
        <f aca="false">AB20</f>
        <v>0.63825</v>
      </c>
      <c r="DH20" s="174" t="n">
        <f aca="false">BH20</f>
        <v>36800</v>
      </c>
      <c r="DI20" s="128" t="n">
        <f aca="false">BI20</f>
        <v>0.9</v>
      </c>
      <c r="DJ20" s="155"/>
      <c r="DK20" s="155"/>
      <c r="DP20" s="0" t="n">
        <v>2</v>
      </c>
      <c r="DQ20" s="180" t="s">
        <v>128</v>
      </c>
      <c r="DR20" s="181" t="s">
        <v>129</v>
      </c>
      <c r="DS20" s="182" t="s">
        <v>130</v>
      </c>
      <c r="DT20" s="84"/>
      <c r="DU20" s="156" t="s">
        <v>131</v>
      </c>
      <c r="DV20" s="157" t="n">
        <v>5</v>
      </c>
      <c r="DY20" s="158"/>
      <c r="DZ20" s="155"/>
      <c r="EA20" s="155"/>
      <c r="EB20" s="155"/>
      <c r="EC20" s="155"/>
      <c r="ED20" s="155"/>
    </row>
    <row r="21" customFormat="false" ht="12.75" hidden="false" customHeight="false" outlineLevel="0" collapsed="false">
      <c r="A21" s="138" t="n">
        <f aca="false">EOMONTH(A20,0)+1</f>
        <v>46174</v>
      </c>
      <c r="B21" s="128" t="n">
        <f aca="false">'Gas Curves'!C25</f>
        <v>0.054847843829286</v>
      </c>
      <c r="C21" s="128"/>
      <c r="D21" s="167" t="n">
        <v>36808</v>
      </c>
      <c r="E21" s="168" t="n">
        <v>60.5</v>
      </c>
      <c r="F21" s="168" t="n">
        <v>61</v>
      </c>
      <c r="G21" s="168" t="n">
        <v>61.6</v>
      </c>
      <c r="H21" s="152"/>
      <c r="I21" s="168" t="n">
        <v>26.75</v>
      </c>
      <c r="J21" s="168" t="n">
        <v>27</v>
      </c>
      <c r="K21" s="168" t="n">
        <v>27.3</v>
      </c>
      <c r="L21" s="134"/>
      <c r="M21" s="135" t="n">
        <v>36831</v>
      </c>
      <c r="N21" s="169" t="n">
        <v>29.7000007629395</v>
      </c>
      <c r="O21" s="169" t="n">
        <v>30.0750007629395</v>
      </c>
      <c r="P21" s="169" t="n">
        <v>30.5250007629395</v>
      </c>
      <c r="Q21" s="65"/>
      <c r="R21" s="169" t="n">
        <v>22.8999996185303</v>
      </c>
      <c r="S21" s="169" t="n">
        <v>26.8999996185303</v>
      </c>
      <c r="T21" s="169" t="n">
        <v>27.1249996185303</v>
      </c>
      <c r="U21" s="65"/>
      <c r="V21" s="169" t="n">
        <v>2.75</v>
      </c>
      <c r="W21" s="169" t="n">
        <v>2.75</v>
      </c>
      <c r="X21" s="169" t="n">
        <v>2.75</v>
      </c>
      <c r="Y21" s="65"/>
      <c r="Z21" s="169" t="n">
        <v>0.20125</v>
      </c>
      <c r="AA21" s="169" t="n">
        <v>0.4025</v>
      </c>
      <c r="AB21" s="169" t="n">
        <v>0.60375</v>
      </c>
      <c r="AC21" s="65"/>
      <c r="AD21" s="169" t="n">
        <v>0.03</v>
      </c>
      <c r="AE21" s="169" t="n">
        <v>0.06</v>
      </c>
      <c r="AF21" s="169" t="n">
        <v>0.09</v>
      </c>
      <c r="AG21" s="65"/>
      <c r="AH21" s="169" t="n">
        <v>-0.25</v>
      </c>
      <c r="AI21" s="169" t="n">
        <v>1.7</v>
      </c>
      <c r="AJ21" s="169" t="n">
        <v>0.3</v>
      </c>
      <c r="AK21" s="65"/>
      <c r="AL21" s="169" t="n">
        <v>-0.15</v>
      </c>
      <c r="AM21" s="169" t="n">
        <v>0.3</v>
      </c>
      <c r="AN21" s="169" t="n">
        <v>0.2</v>
      </c>
      <c r="AO21" s="65"/>
      <c r="AP21" s="134" t="n">
        <v>2</v>
      </c>
      <c r="AQ21" s="170" t="n">
        <v>0</v>
      </c>
      <c r="AR21" s="65"/>
      <c r="AS21" s="134" t="n">
        <v>100</v>
      </c>
      <c r="AT21" s="183" t="n">
        <v>0.840091403608595</v>
      </c>
      <c r="AU21" s="183" t="n">
        <v>0.840091403608595</v>
      </c>
      <c r="AV21" s="183" t="n">
        <v>0.880091403608595</v>
      </c>
      <c r="AW21" s="183" t="n">
        <v>0.930091403608595</v>
      </c>
      <c r="AX21" s="183" t="n">
        <v>0.994874138887982</v>
      </c>
      <c r="AY21" s="183" t="n">
        <v>1.15660153937241</v>
      </c>
      <c r="AZ21" s="183" t="n">
        <v>1.11512120882705</v>
      </c>
      <c r="BA21" s="183" t="n">
        <v>1.09161161660227</v>
      </c>
      <c r="BB21" s="183" t="n">
        <v>0.996645781912536</v>
      </c>
      <c r="BC21" s="183" t="n">
        <v>0.9495</v>
      </c>
      <c r="BD21" s="183" t="n">
        <v>0.9295</v>
      </c>
      <c r="BE21" s="183" t="n">
        <v>0.9295</v>
      </c>
      <c r="BF21" s="134" t="s">
        <v>132</v>
      </c>
      <c r="BG21" s="65"/>
      <c r="BH21" s="135" t="n">
        <v>36831</v>
      </c>
      <c r="BI21" s="172" t="n">
        <v>0.9</v>
      </c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160"/>
      <c r="CI21" s="160"/>
      <c r="CJ21" s="160"/>
      <c r="CK21" s="160"/>
      <c r="CM21" s="146"/>
      <c r="CN21" s="147"/>
      <c r="CO21" s="173"/>
      <c r="CP21" s="0"/>
      <c r="CQ21" s="0"/>
      <c r="CR21" s="0"/>
      <c r="CS21" s="0"/>
      <c r="CT21" s="0"/>
      <c r="CY21" s="174" t="n">
        <f aca="false">M21</f>
        <v>36831</v>
      </c>
      <c r="CZ21" s="175" t="n">
        <f aca="false">AI21+AH21</f>
        <v>1.45</v>
      </c>
      <c r="DA21" s="175" t="n">
        <f aca="false">AI21</f>
        <v>1.7</v>
      </c>
      <c r="DB21" s="175" t="n">
        <f aca="false">AI21+AJ21</f>
        <v>2</v>
      </c>
      <c r="DD21" s="175" t="n">
        <f aca="false">Z21</f>
        <v>0.20125</v>
      </c>
      <c r="DE21" s="175" t="n">
        <f aca="false">AA21</f>
        <v>0.4025</v>
      </c>
      <c r="DF21" s="175" t="n">
        <f aca="false">AB21</f>
        <v>0.60375</v>
      </c>
      <c r="DH21" s="174" t="n">
        <f aca="false">BH21</f>
        <v>36831</v>
      </c>
      <c r="DI21" s="128" t="n">
        <f aca="false">BI21</f>
        <v>0.9</v>
      </c>
      <c r="DJ21" s="19"/>
      <c r="DK21" s="19"/>
      <c r="DP21" s="0" t="n">
        <v>3</v>
      </c>
      <c r="DQ21" s="180" t="s">
        <v>133</v>
      </c>
      <c r="DR21" s="181" t="s">
        <v>134</v>
      </c>
      <c r="DS21" s="182" t="s">
        <v>135</v>
      </c>
      <c r="DT21" s="84"/>
      <c r="DU21" s="156" t="s">
        <v>136</v>
      </c>
      <c r="DV21" s="157" t="n">
        <v>6</v>
      </c>
      <c r="DY21" s="158"/>
      <c r="DZ21" s="19"/>
      <c r="EA21" s="19"/>
      <c r="EB21" s="19"/>
      <c r="EC21" s="19"/>
      <c r="ED21" s="19"/>
    </row>
    <row r="22" customFormat="false" ht="12.75" hidden="false" customHeight="false" outlineLevel="0" collapsed="false">
      <c r="A22" s="138" t="n">
        <f aca="false">EOMONTH(A21,0)+1</f>
        <v>46204</v>
      </c>
      <c r="B22" s="128" t="n">
        <f aca="false">'Gas Curves'!C26</f>
        <v>0.05451670929084</v>
      </c>
      <c r="C22" s="128"/>
      <c r="D22" s="167" t="n">
        <v>36809</v>
      </c>
      <c r="E22" s="168" t="n">
        <v>61.5</v>
      </c>
      <c r="F22" s="168" t="n">
        <v>62</v>
      </c>
      <c r="G22" s="168" t="n">
        <v>62.6</v>
      </c>
      <c r="H22" s="152"/>
      <c r="I22" s="168" t="n">
        <v>26.75</v>
      </c>
      <c r="J22" s="168" t="n">
        <v>27</v>
      </c>
      <c r="K22" s="168" t="n">
        <v>27.3</v>
      </c>
      <c r="L22" s="134"/>
      <c r="M22" s="135" t="n">
        <v>36861</v>
      </c>
      <c r="N22" s="169" t="n">
        <v>30.6000003814697</v>
      </c>
      <c r="O22" s="169" t="n">
        <v>30.9750003814697</v>
      </c>
      <c r="P22" s="169" t="n">
        <v>31.4250003814697</v>
      </c>
      <c r="Q22" s="65"/>
      <c r="R22" s="169" t="n">
        <v>23.7000007629395</v>
      </c>
      <c r="S22" s="169" t="n">
        <v>27.7000007629395</v>
      </c>
      <c r="T22" s="169" t="n">
        <v>27.9250007629395</v>
      </c>
      <c r="U22" s="65"/>
      <c r="V22" s="169" t="n">
        <v>2.75</v>
      </c>
      <c r="W22" s="169" t="n">
        <v>2.75</v>
      </c>
      <c r="X22" s="169" t="n">
        <v>2.75</v>
      </c>
      <c r="Y22" s="65"/>
      <c r="Z22" s="169" t="n">
        <v>0.21275</v>
      </c>
      <c r="AA22" s="169" t="n">
        <v>0.4255</v>
      </c>
      <c r="AB22" s="169" t="n">
        <v>0.63825</v>
      </c>
      <c r="AC22" s="65"/>
      <c r="AD22" s="169" t="n">
        <v>0.03</v>
      </c>
      <c r="AE22" s="169" t="n">
        <v>0.06</v>
      </c>
      <c r="AF22" s="169" t="n">
        <v>0.09</v>
      </c>
      <c r="AG22" s="65"/>
      <c r="AH22" s="169" t="n">
        <v>-0.25</v>
      </c>
      <c r="AI22" s="169" t="n">
        <v>1.7</v>
      </c>
      <c r="AJ22" s="169" t="n">
        <v>0.35</v>
      </c>
      <c r="AK22" s="65"/>
      <c r="AL22" s="169" t="n">
        <v>-0.15</v>
      </c>
      <c r="AM22" s="169" t="n">
        <v>0.3</v>
      </c>
      <c r="AN22" s="169" t="n">
        <v>0.2</v>
      </c>
      <c r="AO22" s="65"/>
      <c r="AP22" s="134" t="n">
        <v>2</v>
      </c>
      <c r="AQ22" s="170" t="n">
        <v>0</v>
      </c>
      <c r="AR22" s="65"/>
      <c r="AS22" s="134" t="n">
        <v>200</v>
      </c>
      <c r="AT22" s="183" t="n">
        <v>0.822165459676005</v>
      </c>
      <c r="AU22" s="183" t="n">
        <v>0.822165459676005</v>
      </c>
      <c r="AV22" s="183" t="n">
        <v>0.832165459676005</v>
      </c>
      <c r="AW22" s="183" t="n">
        <v>0.882165459676005</v>
      </c>
      <c r="AX22" s="183" t="n">
        <v>0.896144177087074</v>
      </c>
      <c r="AY22" s="183" t="n">
        <v>0.958259325044405</v>
      </c>
      <c r="AZ22" s="183" t="n">
        <v>1.01858897706272</v>
      </c>
      <c r="BA22" s="183" t="n">
        <v>0.985416926336782</v>
      </c>
      <c r="BB22" s="183" t="n">
        <v>0.874375039554458</v>
      </c>
      <c r="BC22" s="183" t="n">
        <v>0.9012</v>
      </c>
      <c r="BD22" s="183" t="n">
        <v>0.8812</v>
      </c>
      <c r="BE22" s="183" t="n">
        <v>0.8812</v>
      </c>
      <c r="BF22" s="134" t="s">
        <v>132</v>
      </c>
      <c r="BG22" s="65"/>
      <c r="BH22" s="135" t="n">
        <v>36861</v>
      </c>
      <c r="BI22" s="172" t="n">
        <v>0.9</v>
      </c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160"/>
      <c r="CI22" s="160"/>
      <c r="CJ22" s="160"/>
      <c r="CK22" s="160"/>
      <c r="CM22" s="146"/>
      <c r="CN22" s="147"/>
      <c r="CO22" s="173"/>
      <c r="CP22" s="0"/>
      <c r="CQ22" s="0"/>
      <c r="CR22" s="0"/>
      <c r="CS22" s="0"/>
      <c r="CT22" s="0"/>
      <c r="CY22" s="174" t="n">
        <f aca="false">M22</f>
        <v>36861</v>
      </c>
      <c r="CZ22" s="175" t="n">
        <f aca="false">AI22+AH22</f>
        <v>1.45</v>
      </c>
      <c r="DA22" s="175" t="n">
        <f aca="false">AI22</f>
        <v>1.7</v>
      </c>
      <c r="DB22" s="175" t="n">
        <f aca="false">AI22+AJ22</f>
        <v>2.05</v>
      </c>
      <c r="DD22" s="175" t="n">
        <f aca="false">Z22</f>
        <v>0.21275</v>
      </c>
      <c r="DE22" s="175" t="n">
        <f aca="false">AA22</f>
        <v>0.4255</v>
      </c>
      <c r="DF22" s="175" t="n">
        <f aca="false">AB22</f>
        <v>0.63825</v>
      </c>
      <c r="DH22" s="174" t="n">
        <f aca="false">BH22</f>
        <v>36861</v>
      </c>
      <c r="DI22" s="128" t="n">
        <f aca="false">BI22</f>
        <v>0.9</v>
      </c>
      <c r="DJ22" s="155"/>
      <c r="DK22" s="155"/>
      <c r="DP22" s="0" t="n">
        <v>4</v>
      </c>
      <c r="DQ22" s="180" t="s">
        <v>137</v>
      </c>
      <c r="DR22" s="181" t="s">
        <v>138</v>
      </c>
      <c r="DS22" s="182" t="s">
        <v>139</v>
      </c>
      <c r="DT22" s="84"/>
      <c r="DU22" s="156" t="s">
        <v>140</v>
      </c>
      <c r="DV22" s="157" t="n">
        <v>7</v>
      </c>
      <c r="DY22" s="158"/>
      <c r="DZ22" s="155"/>
      <c r="EA22" s="155"/>
      <c r="EB22" s="155"/>
      <c r="EC22" s="155"/>
      <c r="ED22" s="155"/>
    </row>
    <row r="23" customFormat="false" ht="12.75" hidden="false" customHeight="false" outlineLevel="0" collapsed="false">
      <c r="A23" s="138" t="n">
        <f aca="false">EOMONTH(A22,0)+1</f>
        <v>46235</v>
      </c>
      <c r="B23" s="128" t="n">
        <f aca="false">'Gas Curves'!C27</f>
        <v>0.05419625654648</v>
      </c>
      <c r="C23" s="128"/>
      <c r="D23" s="167" t="n">
        <v>36810</v>
      </c>
      <c r="E23" s="168" t="n">
        <v>61.5</v>
      </c>
      <c r="F23" s="168" t="n">
        <v>62</v>
      </c>
      <c r="G23" s="168" t="n">
        <v>62.6</v>
      </c>
      <c r="H23" s="152"/>
      <c r="I23" s="168" t="n">
        <v>26.75</v>
      </c>
      <c r="J23" s="168" t="n">
        <v>27</v>
      </c>
      <c r="K23" s="168" t="n">
        <v>27.3</v>
      </c>
      <c r="L23" s="134"/>
      <c r="M23" s="135" t="n">
        <v>36892</v>
      </c>
      <c r="N23" s="169" t="n">
        <v>59.6294967651367</v>
      </c>
      <c r="O23" s="169" t="n">
        <v>60.3044967651367</v>
      </c>
      <c r="P23" s="169" t="n">
        <v>60.9044967651367</v>
      </c>
      <c r="Q23" s="65"/>
      <c r="R23" s="169" t="n">
        <v>52.6039962768555</v>
      </c>
      <c r="S23" s="169" t="n">
        <v>56.6039962768555</v>
      </c>
      <c r="T23" s="169" t="n">
        <v>56.9039962768555</v>
      </c>
      <c r="U23" s="65"/>
      <c r="V23" s="169" t="n">
        <v>2.50499796867371</v>
      </c>
      <c r="W23" s="169" t="n">
        <v>2.50499796867371</v>
      </c>
      <c r="X23" s="169" t="n">
        <v>2.50499796867371</v>
      </c>
      <c r="Y23" s="65"/>
      <c r="Z23" s="169" t="n">
        <v>0.2505</v>
      </c>
      <c r="AA23" s="169" t="n">
        <v>0.501</v>
      </c>
      <c r="AB23" s="169" t="n">
        <v>0.7515</v>
      </c>
      <c r="AC23" s="65"/>
      <c r="AD23" s="169" t="n">
        <v>0.0343</v>
      </c>
      <c r="AE23" s="169" t="n">
        <v>0.0686</v>
      </c>
      <c r="AF23" s="169" t="n">
        <v>0.1029</v>
      </c>
      <c r="AG23" s="65"/>
      <c r="AH23" s="169" t="n">
        <v>-0.75</v>
      </c>
      <c r="AI23" s="169" t="n">
        <v>2.75</v>
      </c>
      <c r="AJ23" s="169" t="n">
        <v>0.75</v>
      </c>
      <c r="AK23" s="65"/>
      <c r="AL23" s="169" t="n">
        <v>-0.15</v>
      </c>
      <c r="AM23" s="169" t="n">
        <v>0.5</v>
      </c>
      <c r="AN23" s="169" t="n">
        <v>0.2</v>
      </c>
      <c r="AO23" s="65"/>
      <c r="AP23" s="134" t="n">
        <v>2</v>
      </c>
      <c r="AQ23" s="170" t="n">
        <v>0</v>
      </c>
      <c r="AR23" s="65"/>
      <c r="AS23" s="134" t="n">
        <v>300</v>
      </c>
      <c r="AT23" s="183" t="n">
        <v>0.746699835535835</v>
      </c>
      <c r="AU23" s="183" t="n">
        <v>0.746699835535835</v>
      </c>
      <c r="AV23" s="183" t="n">
        <v>0.796699835535835</v>
      </c>
      <c r="AW23" s="183" t="n">
        <v>0.846699835535835</v>
      </c>
      <c r="AX23" s="183" t="n">
        <v>0.848085148062294</v>
      </c>
      <c r="AY23" s="183" t="n">
        <v>0.80550621669627</v>
      </c>
      <c r="AZ23" s="183" t="n">
        <v>0.970540276116969</v>
      </c>
      <c r="BA23" s="183" t="n">
        <v>0.884955752212389</v>
      </c>
      <c r="BB23" s="183" t="n">
        <v>0.819948104550344</v>
      </c>
      <c r="BC23" s="183" t="n">
        <v>0.8657</v>
      </c>
      <c r="BD23" s="183" t="n">
        <v>0.8457</v>
      </c>
      <c r="BE23" s="183" t="n">
        <v>0.8457</v>
      </c>
      <c r="BF23" s="134" t="s">
        <v>132</v>
      </c>
      <c r="BG23" s="65"/>
      <c r="BH23" s="135" t="n">
        <v>36892</v>
      </c>
      <c r="BI23" s="172" t="n">
        <v>0.9</v>
      </c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160"/>
      <c r="CI23" s="160"/>
      <c r="CJ23" s="160"/>
      <c r="CK23" s="160"/>
      <c r="CM23" s="146"/>
      <c r="CN23" s="147"/>
      <c r="CO23" s="173"/>
      <c r="CP23" s="0"/>
      <c r="CQ23" s="0"/>
      <c r="CR23" s="0"/>
      <c r="CS23" s="0"/>
      <c r="CT23" s="0"/>
      <c r="CY23" s="174" t="n">
        <f aca="false">M23</f>
        <v>36892</v>
      </c>
      <c r="CZ23" s="175" t="n">
        <f aca="false">AI23+AH23</f>
        <v>2</v>
      </c>
      <c r="DA23" s="175" t="n">
        <f aca="false">AI23</f>
        <v>2.75</v>
      </c>
      <c r="DB23" s="175" t="n">
        <f aca="false">AI23+AJ23</f>
        <v>3.5</v>
      </c>
      <c r="DD23" s="175" t="n">
        <f aca="false">Z23</f>
        <v>0.2505</v>
      </c>
      <c r="DE23" s="175" t="n">
        <f aca="false">AA23</f>
        <v>0.501</v>
      </c>
      <c r="DF23" s="175" t="n">
        <f aca="false">AB23</f>
        <v>0.7515</v>
      </c>
      <c r="DH23" s="174" t="n">
        <f aca="false">BH23</f>
        <v>36892</v>
      </c>
      <c r="DI23" s="128" t="n">
        <f aca="false">BI23</f>
        <v>0.9</v>
      </c>
      <c r="DJ23" s="19"/>
      <c r="DK23" s="19"/>
      <c r="DP23" s="0" t="n">
        <v>5</v>
      </c>
      <c r="DQ23" s="180"/>
      <c r="DR23" s="181" t="s">
        <v>141</v>
      </c>
      <c r="DS23" s="182" t="s">
        <v>142</v>
      </c>
      <c r="DT23" s="84"/>
      <c r="DU23" s="156" t="s">
        <v>143</v>
      </c>
      <c r="DV23" s="157" t="n">
        <v>8</v>
      </c>
      <c r="DY23" s="158"/>
      <c r="DZ23" s="19"/>
      <c r="EA23" s="19"/>
      <c r="EB23" s="19"/>
      <c r="EC23" s="19"/>
      <c r="ED23" s="19"/>
    </row>
    <row r="24" customFormat="false" ht="12.75" hidden="false" customHeight="false" outlineLevel="0" collapsed="false">
      <c r="A24" s="138" t="n">
        <f aca="false">EOMONTH(A23,0)+1</f>
        <v>46266</v>
      </c>
      <c r="B24" s="128" t="n">
        <f aca="false">'Gas Curves'!C28</f>
        <v>0.053977796992254</v>
      </c>
      <c r="C24" s="128"/>
      <c r="D24" s="167" t="n">
        <v>36811</v>
      </c>
      <c r="E24" s="168" t="n">
        <v>61.5</v>
      </c>
      <c r="F24" s="168" t="n">
        <v>62</v>
      </c>
      <c r="G24" s="168" t="n">
        <v>62.6</v>
      </c>
      <c r="H24" s="152"/>
      <c r="I24" s="168" t="n">
        <v>26.75</v>
      </c>
      <c r="J24" s="168" t="n">
        <v>27</v>
      </c>
      <c r="K24" s="168" t="n">
        <v>27.3</v>
      </c>
      <c r="L24" s="134"/>
      <c r="M24" s="135" t="n">
        <v>36923</v>
      </c>
      <c r="N24" s="169" t="n">
        <v>59.1044937133789</v>
      </c>
      <c r="O24" s="169" t="n">
        <v>59.6294937133789</v>
      </c>
      <c r="P24" s="169" t="n">
        <v>60.2294937133789</v>
      </c>
      <c r="Q24" s="65"/>
      <c r="R24" s="169" t="n">
        <v>52.0039978027344</v>
      </c>
      <c r="S24" s="169" t="n">
        <v>56.0039978027344</v>
      </c>
      <c r="T24" s="169" t="n">
        <v>56.3039978027344</v>
      </c>
      <c r="U24" s="65"/>
      <c r="V24" s="169" t="n">
        <v>2.50499796867371</v>
      </c>
      <c r="W24" s="169" t="n">
        <v>2.50499796867371</v>
      </c>
      <c r="X24" s="169" t="n">
        <v>2.50499796867371</v>
      </c>
      <c r="Y24" s="65"/>
      <c r="Z24" s="169" t="n">
        <v>0.242</v>
      </c>
      <c r="AA24" s="169" t="n">
        <v>0.484</v>
      </c>
      <c r="AB24" s="169" t="n">
        <v>0.726</v>
      </c>
      <c r="AC24" s="65"/>
      <c r="AD24" s="169" t="n">
        <v>0.0343</v>
      </c>
      <c r="AE24" s="169" t="n">
        <v>0.0686</v>
      </c>
      <c r="AF24" s="169" t="n">
        <v>0.1029</v>
      </c>
      <c r="AG24" s="65"/>
      <c r="AH24" s="169" t="n">
        <v>-0.75</v>
      </c>
      <c r="AI24" s="169" t="n">
        <v>2.75</v>
      </c>
      <c r="AJ24" s="169" t="n">
        <v>0.75</v>
      </c>
      <c r="AK24" s="65"/>
      <c r="AL24" s="169" t="n">
        <v>-0.15</v>
      </c>
      <c r="AM24" s="169" t="n">
        <v>0.5</v>
      </c>
      <c r="AN24" s="169" t="n">
        <v>0.2</v>
      </c>
      <c r="AO24" s="65"/>
      <c r="AP24" s="134" t="n">
        <v>3</v>
      </c>
      <c r="AQ24" s="170" t="n">
        <v>0.15</v>
      </c>
      <c r="AR24" s="65"/>
      <c r="AS24" s="134" t="n">
        <v>400</v>
      </c>
      <c r="AT24" s="183" t="n">
        <v>0.7462</v>
      </c>
      <c r="AU24" s="183" t="n">
        <v>0.7462</v>
      </c>
      <c r="AV24" s="183" t="n">
        <v>0.797199950847743</v>
      </c>
      <c r="AW24" s="183" t="n">
        <v>0.847199950847743</v>
      </c>
      <c r="AX24" s="183" t="n">
        <v>0.822227300923961</v>
      </c>
      <c r="AY24" s="183" t="n">
        <v>0.747779751332149</v>
      </c>
      <c r="AZ24" s="183" t="n">
        <v>0.874008044352647</v>
      </c>
      <c r="BA24" s="183" t="n">
        <v>0.832606257011093</v>
      </c>
      <c r="BB24" s="183" t="n">
        <v>0.832099234225682</v>
      </c>
      <c r="BC24" s="183" t="n">
        <v>0.8662</v>
      </c>
      <c r="BD24" s="183" t="n">
        <v>0.8462</v>
      </c>
      <c r="BE24" s="183" t="n">
        <v>0.8462</v>
      </c>
      <c r="BF24" s="134" t="s">
        <v>132</v>
      </c>
      <c r="BG24" s="65"/>
      <c r="BH24" s="135" t="n">
        <v>36923</v>
      </c>
      <c r="BI24" s="172" t="n">
        <v>0.9</v>
      </c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160"/>
      <c r="CI24" s="160"/>
      <c r="CJ24" s="160"/>
      <c r="CK24" s="160"/>
      <c r="CM24" s="146"/>
      <c r="CN24" s="147"/>
      <c r="CO24" s="173"/>
      <c r="CP24" s="0"/>
      <c r="CQ24" s="0"/>
      <c r="CR24" s="0"/>
      <c r="CS24" s="0"/>
      <c r="CT24" s="0"/>
      <c r="CY24" s="174" t="n">
        <f aca="false">M24</f>
        <v>36923</v>
      </c>
      <c r="CZ24" s="175" t="n">
        <f aca="false">AI24+AH24</f>
        <v>2</v>
      </c>
      <c r="DA24" s="175" t="n">
        <f aca="false">AI24</f>
        <v>2.75</v>
      </c>
      <c r="DB24" s="175" t="n">
        <f aca="false">AI24+AJ24</f>
        <v>3.5</v>
      </c>
      <c r="DD24" s="175" t="n">
        <f aca="false">Z24</f>
        <v>0.242</v>
      </c>
      <c r="DE24" s="175" t="n">
        <f aca="false">AA24</f>
        <v>0.484</v>
      </c>
      <c r="DF24" s="175" t="n">
        <f aca="false">AB24</f>
        <v>0.726</v>
      </c>
      <c r="DH24" s="174" t="n">
        <f aca="false">BH24</f>
        <v>36923</v>
      </c>
      <c r="DI24" s="128" t="n">
        <f aca="false">BI24</f>
        <v>0.9</v>
      </c>
      <c r="DJ24" s="155"/>
      <c r="DK24" s="155"/>
      <c r="DP24" s="0" t="n">
        <v>6</v>
      </c>
      <c r="DQ24" s="180"/>
      <c r="DR24" s="181" t="s">
        <v>144</v>
      </c>
      <c r="DS24" s="182" t="s">
        <v>145</v>
      </c>
      <c r="DU24" s="156" t="s">
        <v>146</v>
      </c>
      <c r="DV24" s="157" t="n">
        <v>10</v>
      </c>
      <c r="DY24" s="158"/>
      <c r="DZ24" s="155"/>
      <c r="EA24" s="155"/>
      <c r="EB24" s="155"/>
      <c r="EC24" s="155"/>
      <c r="ED24" s="155"/>
    </row>
    <row r="25" customFormat="false" ht="12.75" hidden="false" customHeight="false" outlineLevel="0" collapsed="false">
      <c r="A25" s="138" t="n">
        <f aca="false">EOMONTH(A24,0)+1</f>
        <v>46296</v>
      </c>
      <c r="B25" s="128" t="n">
        <f aca="false">'Gas Curves'!C29</f>
        <v>0.053915348866635</v>
      </c>
      <c r="C25" s="128"/>
      <c r="D25" s="167" t="n">
        <v>36812</v>
      </c>
      <c r="E25" s="168" t="n">
        <v>61.5</v>
      </c>
      <c r="F25" s="168" t="n">
        <v>62</v>
      </c>
      <c r="G25" s="168" t="n">
        <v>62.6</v>
      </c>
      <c r="H25" s="152"/>
      <c r="I25" s="168" t="n">
        <v>26.75</v>
      </c>
      <c r="J25" s="168" t="n">
        <v>27</v>
      </c>
      <c r="K25" s="168" t="n">
        <v>27.3</v>
      </c>
      <c r="L25" s="134"/>
      <c r="M25" s="135" t="n">
        <v>36951</v>
      </c>
      <c r="N25" s="169" t="n">
        <v>43.2499938964844</v>
      </c>
      <c r="O25" s="169" t="n">
        <v>43.7749938964844</v>
      </c>
      <c r="P25" s="169" t="n">
        <v>44.3749938964844</v>
      </c>
      <c r="Q25" s="65"/>
      <c r="R25" s="169" t="n">
        <v>36.7999954223633</v>
      </c>
      <c r="S25" s="169" t="n">
        <v>40.7999954223633</v>
      </c>
      <c r="T25" s="169" t="n">
        <v>41.0999954223633</v>
      </c>
      <c r="U25" s="65"/>
      <c r="V25" s="169" t="n">
        <v>1.99999856948853</v>
      </c>
      <c r="W25" s="169" t="n">
        <v>1.99999856948853</v>
      </c>
      <c r="X25" s="169" t="n">
        <v>1.99999856948853</v>
      </c>
      <c r="Y25" s="65"/>
      <c r="Z25" s="169" t="n">
        <v>0.18175</v>
      </c>
      <c r="AA25" s="169" t="n">
        <v>0.3635</v>
      </c>
      <c r="AB25" s="169" t="n">
        <v>0.54525</v>
      </c>
      <c r="AC25" s="65"/>
      <c r="AD25" s="169" t="n">
        <v>0.03</v>
      </c>
      <c r="AE25" s="169" t="n">
        <v>0.06</v>
      </c>
      <c r="AF25" s="169" t="n">
        <v>0.09</v>
      </c>
      <c r="AG25" s="65"/>
      <c r="AH25" s="169" t="n">
        <v>-0.25</v>
      </c>
      <c r="AI25" s="169" t="n">
        <v>1.6</v>
      </c>
      <c r="AJ25" s="169" t="n">
        <v>0.3</v>
      </c>
      <c r="AK25" s="65"/>
      <c r="AL25" s="169" t="n">
        <v>-0.15</v>
      </c>
      <c r="AM25" s="169" t="n">
        <v>0.35</v>
      </c>
      <c r="AN25" s="169" t="n">
        <v>0.2</v>
      </c>
      <c r="AO25" s="65"/>
      <c r="AP25" s="134" t="n">
        <v>3</v>
      </c>
      <c r="AQ25" s="170" t="n">
        <v>0.15</v>
      </c>
      <c r="AR25" s="65"/>
      <c r="AS25" s="134" t="n">
        <v>500</v>
      </c>
      <c r="AT25" s="183" t="n">
        <v>0.7665</v>
      </c>
      <c r="AU25" s="183" t="n">
        <v>0.7665</v>
      </c>
      <c r="AV25" s="183" t="n">
        <v>0.857490447810899</v>
      </c>
      <c r="AW25" s="183" t="n">
        <v>0.907490447810899</v>
      </c>
      <c r="AX25" s="183" t="n">
        <v>0.890136798458977</v>
      </c>
      <c r="AY25" s="183" t="n">
        <v>0.811130846654825</v>
      </c>
      <c r="AZ25" s="183" t="n">
        <v>0.829655397325796</v>
      </c>
      <c r="BA25" s="183" t="n">
        <v>0.864265237442353</v>
      </c>
      <c r="BB25" s="183" t="n">
        <v>0.898424150370229</v>
      </c>
      <c r="BC25" s="183" t="n">
        <v>0.9265</v>
      </c>
      <c r="BD25" s="183" t="n">
        <v>0.9065</v>
      </c>
      <c r="BE25" s="183" t="n">
        <v>0.9065</v>
      </c>
      <c r="BF25" s="134" t="s">
        <v>132</v>
      </c>
      <c r="BG25" s="65"/>
      <c r="BH25" s="135" t="n">
        <v>36951</v>
      </c>
      <c r="BI25" s="172" t="n">
        <v>0.9</v>
      </c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160"/>
      <c r="CI25" s="160"/>
      <c r="CJ25" s="160"/>
      <c r="CK25" s="160"/>
      <c r="CM25" s="146"/>
      <c r="CN25" s="147"/>
      <c r="CO25" s="173"/>
      <c r="CP25" s="0"/>
      <c r="CQ25" s="0"/>
      <c r="CR25" s="0"/>
      <c r="CS25" s="0"/>
      <c r="CT25" s="0"/>
      <c r="CY25" s="174" t="n">
        <f aca="false">M25</f>
        <v>36951</v>
      </c>
      <c r="CZ25" s="175" t="n">
        <f aca="false">AI25+AH25</f>
        <v>1.35</v>
      </c>
      <c r="DA25" s="175" t="n">
        <f aca="false">AI25</f>
        <v>1.6</v>
      </c>
      <c r="DB25" s="175" t="n">
        <f aca="false">AI25+AJ25</f>
        <v>1.9</v>
      </c>
      <c r="DD25" s="175" t="n">
        <f aca="false">Z25</f>
        <v>0.18175</v>
      </c>
      <c r="DE25" s="175" t="n">
        <f aca="false">AA25</f>
        <v>0.3635</v>
      </c>
      <c r="DF25" s="175" t="n">
        <f aca="false">AB25</f>
        <v>0.54525</v>
      </c>
      <c r="DH25" s="174" t="n">
        <f aca="false">BH25</f>
        <v>36951</v>
      </c>
      <c r="DI25" s="128" t="n">
        <f aca="false">BI25</f>
        <v>0.9</v>
      </c>
      <c r="DJ25" s="19"/>
      <c r="DK25" s="19"/>
      <c r="DP25" s="0" t="n">
        <v>7</v>
      </c>
      <c r="DQ25" s="180"/>
      <c r="DR25" s="181" t="s">
        <v>147</v>
      </c>
      <c r="DS25" s="182" t="s">
        <v>148</v>
      </c>
      <c r="DU25" s="156" t="s">
        <v>149</v>
      </c>
      <c r="DV25" s="157" t="n">
        <v>11</v>
      </c>
      <c r="DY25" s="158"/>
      <c r="DZ25" s="19"/>
      <c r="EA25" s="19"/>
      <c r="EB25" s="19"/>
      <c r="EC25" s="19"/>
      <c r="ED25" s="19"/>
    </row>
    <row r="26" customFormat="false" ht="12.75" hidden="false" customHeight="false" outlineLevel="0" collapsed="false">
      <c r="A26" s="138" t="n">
        <f aca="false">EOMONTH(A25,0)+1</f>
        <v>46327</v>
      </c>
      <c r="B26" s="128" t="n">
        <f aca="false">'Gas Curves'!C30</f>
        <v>0.053858944109129</v>
      </c>
      <c r="C26" s="128"/>
      <c r="D26" s="167" t="n">
        <v>36813</v>
      </c>
      <c r="E26" s="168" t="n">
        <v>47.5</v>
      </c>
      <c r="F26" s="168" t="n">
        <v>48</v>
      </c>
      <c r="G26" s="168" t="n">
        <v>48.6</v>
      </c>
      <c r="H26" s="152"/>
      <c r="I26" s="168" t="n">
        <v>26.75</v>
      </c>
      <c r="J26" s="168" t="n">
        <v>27</v>
      </c>
      <c r="K26" s="168" t="n">
        <v>27.3</v>
      </c>
      <c r="L26" s="134"/>
      <c r="M26" s="135" t="n">
        <v>36982</v>
      </c>
      <c r="N26" s="169" t="n">
        <v>42.4249984741211</v>
      </c>
      <c r="O26" s="169" t="n">
        <v>43.0999984741211</v>
      </c>
      <c r="P26" s="169" t="n">
        <v>43.6999984741211</v>
      </c>
      <c r="Q26" s="65"/>
      <c r="R26" s="169" t="n">
        <v>36.1999969482422</v>
      </c>
      <c r="S26" s="169" t="n">
        <v>40.1999969482422</v>
      </c>
      <c r="T26" s="169" t="n">
        <v>40.4999969482422</v>
      </c>
      <c r="U26" s="65"/>
      <c r="V26" s="169" t="n">
        <v>2.15000057220459</v>
      </c>
      <c r="W26" s="169" t="n">
        <v>2.15000057220459</v>
      </c>
      <c r="X26" s="169" t="n">
        <v>2.15000057220459</v>
      </c>
      <c r="Y26" s="65"/>
      <c r="Z26" s="169" t="n">
        <v>0.1815</v>
      </c>
      <c r="AA26" s="169" t="n">
        <v>0.363</v>
      </c>
      <c r="AB26" s="169" t="n">
        <v>0.5445</v>
      </c>
      <c r="AC26" s="65"/>
      <c r="AD26" s="169" t="n">
        <v>0.03</v>
      </c>
      <c r="AE26" s="169" t="n">
        <v>0.06</v>
      </c>
      <c r="AF26" s="169" t="n">
        <v>0.09</v>
      </c>
      <c r="AG26" s="65"/>
      <c r="AH26" s="169" t="n">
        <v>-0.25</v>
      </c>
      <c r="AI26" s="169" t="n">
        <v>1.7</v>
      </c>
      <c r="AJ26" s="169" t="n">
        <v>0.3</v>
      </c>
      <c r="AK26" s="65"/>
      <c r="AL26" s="169" t="n">
        <v>-0.15</v>
      </c>
      <c r="AM26" s="169" t="n">
        <v>0.35</v>
      </c>
      <c r="AN26" s="169" t="n">
        <v>0.2</v>
      </c>
      <c r="AO26" s="65"/>
      <c r="AP26" s="134" t="n">
        <v>3</v>
      </c>
      <c r="AQ26" s="170" t="n">
        <v>0.15</v>
      </c>
      <c r="AR26" s="65"/>
      <c r="AS26" s="134" t="n">
        <v>600</v>
      </c>
      <c r="AT26" s="183" t="n">
        <v>0.8234</v>
      </c>
      <c r="AU26" s="183" t="n">
        <v>0.8234</v>
      </c>
      <c r="AV26" s="183" t="n">
        <v>0.99535202187632</v>
      </c>
      <c r="AW26" s="183" t="n">
        <v>1.04535202187632</v>
      </c>
      <c r="AX26" s="183" t="n">
        <v>1.07923863005648</v>
      </c>
      <c r="AY26" s="183" t="n">
        <v>0.98963883955003</v>
      </c>
      <c r="AZ26" s="183" t="n">
        <v>0.914664637460593</v>
      </c>
      <c r="BA26" s="183" t="n">
        <v>0.960239311978063</v>
      </c>
      <c r="BB26" s="183" t="n">
        <v>1.03968103284602</v>
      </c>
      <c r="BC26" s="183" t="n">
        <v>1.0644</v>
      </c>
      <c r="BD26" s="183" t="n">
        <v>1.0444</v>
      </c>
      <c r="BE26" s="183" t="n">
        <v>1.0444</v>
      </c>
      <c r="BF26" s="134" t="s">
        <v>132</v>
      </c>
      <c r="BG26" s="65"/>
      <c r="BH26" s="135" t="n">
        <v>36982</v>
      </c>
      <c r="BI26" s="172" t="n">
        <v>0.9</v>
      </c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160"/>
      <c r="CI26" s="160"/>
      <c r="CJ26" s="160"/>
      <c r="CK26" s="160"/>
      <c r="CM26" s="184"/>
      <c r="CN26" s="147"/>
      <c r="CO26" s="173"/>
      <c r="CP26" s="0"/>
      <c r="CQ26" s="0"/>
      <c r="CR26" s="0"/>
      <c r="CS26" s="0"/>
      <c r="CT26" s="0"/>
      <c r="CY26" s="174" t="n">
        <f aca="false">M26</f>
        <v>36982</v>
      </c>
      <c r="CZ26" s="175" t="n">
        <f aca="false">AI26+AH26</f>
        <v>1.45</v>
      </c>
      <c r="DA26" s="175" t="n">
        <f aca="false">AI26</f>
        <v>1.7</v>
      </c>
      <c r="DB26" s="175" t="n">
        <f aca="false">AI26+AJ26</f>
        <v>2</v>
      </c>
      <c r="DD26" s="175" t="n">
        <f aca="false">Z26</f>
        <v>0.1815</v>
      </c>
      <c r="DE26" s="175" t="n">
        <f aca="false">AA26</f>
        <v>0.363</v>
      </c>
      <c r="DF26" s="175" t="n">
        <f aca="false">AB26</f>
        <v>0.5445</v>
      </c>
      <c r="DH26" s="174" t="n">
        <f aca="false">BH26</f>
        <v>36982</v>
      </c>
      <c r="DI26" s="128" t="n">
        <f aca="false">BI26</f>
        <v>0.9</v>
      </c>
      <c r="DJ26" s="155"/>
      <c r="DK26" s="155"/>
      <c r="DP26" s="0" t="n">
        <v>8</v>
      </c>
      <c r="DQ26" s="185"/>
      <c r="DR26" s="186" t="s">
        <v>150</v>
      </c>
      <c r="DS26" s="187" t="s">
        <v>151</v>
      </c>
      <c r="DT26" s="134"/>
      <c r="DU26" s="156" t="s">
        <v>152</v>
      </c>
      <c r="DV26" s="157" t="n">
        <v>12</v>
      </c>
      <c r="DY26" s="158"/>
      <c r="DZ26" s="155"/>
      <c r="EA26" s="155"/>
      <c r="EB26" s="155"/>
      <c r="EC26" s="155"/>
      <c r="ED26" s="155"/>
    </row>
    <row r="27" customFormat="false" ht="12.75" hidden="false" customHeight="false" outlineLevel="0" collapsed="false">
      <c r="A27" s="138" t="n">
        <f aca="false">EOMONTH(A26,0)+1</f>
        <v>46357</v>
      </c>
      <c r="B27" s="128" t="n">
        <f aca="false">'Gas Curves'!C31</f>
        <v>0.053811179361892</v>
      </c>
      <c r="C27" s="128"/>
      <c r="D27" s="167" t="n">
        <v>36814</v>
      </c>
      <c r="E27" s="168" t="n">
        <v>47.5</v>
      </c>
      <c r="F27" s="168" t="n">
        <v>48</v>
      </c>
      <c r="G27" s="168" t="n">
        <v>48.6</v>
      </c>
      <c r="H27" s="152"/>
      <c r="I27" s="168" t="n">
        <v>26.75</v>
      </c>
      <c r="J27" s="168" t="n">
        <v>27</v>
      </c>
      <c r="K27" s="168" t="n">
        <v>27.3</v>
      </c>
      <c r="L27" s="134"/>
      <c r="M27" s="135" t="n">
        <v>37012</v>
      </c>
      <c r="N27" s="169" t="n">
        <v>46.0249969482422</v>
      </c>
      <c r="O27" s="169" t="n">
        <v>46.6999969482422</v>
      </c>
      <c r="P27" s="169" t="n">
        <v>47.8249969482422</v>
      </c>
      <c r="Q27" s="65"/>
      <c r="R27" s="169" t="n">
        <v>39.3999977111816</v>
      </c>
      <c r="S27" s="169" t="n">
        <v>43.3999977111816</v>
      </c>
      <c r="T27" s="169" t="n">
        <v>43.9624977111816</v>
      </c>
      <c r="U27" s="65"/>
      <c r="V27" s="169" t="n">
        <v>2.25000047683716</v>
      </c>
      <c r="W27" s="169" t="n">
        <v>2.25000047683716</v>
      </c>
      <c r="X27" s="169" t="n">
        <v>2.25000047683716</v>
      </c>
      <c r="Y27" s="65"/>
      <c r="Z27" s="169" t="n">
        <v>0.2085</v>
      </c>
      <c r="AA27" s="169" t="n">
        <v>0.417</v>
      </c>
      <c r="AB27" s="169" t="n">
        <v>0.6255</v>
      </c>
      <c r="AC27" s="65"/>
      <c r="AD27" s="169" t="n">
        <v>0.0343</v>
      </c>
      <c r="AE27" s="169" t="n">
        <v>0.0686</v>
      </c>
      <c r="AF27" s="169" t="n">
        <v>0.1029</v>
      </c>
      <c r="AG27" s="65"/>
      <c r="AH27" s="169" t="n">
        <v>-0.25</v>
      </c>
      <c r="AI27" s="169" t="n">
        <v>2</v>
      </c>
      <c r="AJ27" s="169" t="n">
        <v>0.3</v>
      </c>
      <c r="AK27" s="65"/>
      <c r="AL27" s="169" t="n">
        <v>-0.15</v>
      </c>
      <c r="AM27" s="169" t="n">
        <v>0.5</v>
      </c>
      <c r="AN27" s="169" t="n">
        <v>0.2</v>
      </c>
      <c r="AO27" s="65"/>
      <c r="AP27" s="134" t="n">
        <v>4</v>
      </c>
      <c r="AQ27" s="170" t="n">
        <v>0.15</v>
      </c>
      <c r="AR27" s="65"/>
      <c r="AS27" s="134" t="n">
        <v>700</v>
      </c>
      <c r="AT27" s="183" t="n">
        <v>2.03</v>
      </c>
      <c r="AU27" s="183" t="n">
        <v>2.03</v>
      </c>
      <c r="AV27" s="183" t="n">
        <v>1.796</v>
      </c>
      <c r="AW27" s="183" t="n">
        <v>1.49097568120843</v>
      </c>
      <c r="AX27" s="183" t="n">
        <v>1.29132521466584</v>
      </c>
      <c r="AY27" s="183" t="n">
        <v>1.13469508584962</v>
      </c>
      <c r="AZ27" s="183" t="n">
        <v>1.01576258288944</v>
      </c>
      <c r="BA27" s="183" t="n">
        <v>1.11728779758195</v>
      </c>
      <c r="BB27" s="183" t="n">
        <v>1.41383456743244</v>
      </c>
      <c r="BC27" s="183" t="n">
        <v>1.376</v>
      </c>
      <c r="BD27" s="183" t="n">
        <v>1.496</v>
      </c>
      <c r="BE27" s="183" t="n">
        <v>1.496</v>
      </c>
      <c r="BF27" s="134" t="s">
        <v>132</v>
      </c>
      <c r="BG27" s="65"/>
      <c r="BH27" s="135" t="n">
        <v>37012</v>
      </c>
      <c r="BI27" s="172" t="n">
        <v>0.9</v>
      </c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160"/>
      <c r="CI27" s="160"/>
      <c r="CJ27" s="160"/>
      <c r="CK27" s="160"/>
      <c r="CM27" s="184"/>
      <c r="CN27" s="147"/>
      <c r="CO27" s="173"/>
      <c r="CP27" s="0"/>
      <c r="CQ27" s="0"/>
      <c r="CR27" s="0"/>
      <c r="CS27" s="0"/>
      <c r="CT27" s="0"/>
      <c r="CY27" s="174" t="n">
        <f aca="false">M27</f>
        <v>37012</v>
      </c>
      <c r="CZ27" s="175" t="n">
        <f aca="false">AI27+AH27</f>
        <v>1.75</v>
      </c>
      <c r="DA27" s="175" t="n">
        <f aca="false">AI27</f>
        <v>2</v>
      </c>
      <c r="DB27" s="175" t="n">
        <f aca="false">AI27+AJ27</f>
        <v>2.3</v>
      </c>
      <c r="DD27" s="175" t="n">
        <f aca="false">Z27</f>
        <v>0.2085</v>
      </c>
      <c r="DE27" s="175" t="n">
        <f aca="false">AA27</f>
        <v>0.417</v>
      </c>
      <c r="DF27" s="175" t="n">
        <f aca="false">AB27</f>
        <v>0.6255</v>
      </c>
      <c r="DH27" s="174" t="n">
        <f aca="false">BH27</f>
        <v>37012</v>
      </c>
      <c r="DI27" s="128" t="n">
        <f aca="false">BI27</f>
        <v>0.9</v>
      </c>
      <c r="DJ27" s="155"/>
      <c r="DK27" s="155"/>
      <c r="DP27" s="0" t="n">
        <v>9</v>
      </c>
      <c r="DQ27" s="148"/>
      <c r="DR27" s="188" t="s">
        <v>153</v>
      </c>
      <c r="DS27" s="189" t="s">
        <v>154</v>
      </c>
      <c r="DT27" s="134"/>
      <c r="DU27" s="156" t="s">
        <v>155</v>
      </c>
      <c r="DV27" s="157" t="n">
        <v>14</v>
      </c>
      <c r="DY27" s="158"/>
      <c r="DZ27" s="155"/>
      <c r="EA27" s="155"/>
      <c r="EB27" s="155"/>
      <c r="EC27" s="155"/>
      <c r="ED27" s="155"/>
    </row>
    <row r="28" customFormat="false" ht="13.5" hidden="false" customHeight="false" outlineLevel="0" collapsed="false">
      <c r="A28" s="138" t="n">
        <f aca="false">EOMONTH(A27,0)+1</f>
        <v>46388</v>
      </c>
      <c r="B28" s="128" t="n">
        <f aca="false">'Gas Curves'!C32</f>
        <v>0.053783211531939</v>
      </c>
      <c r="C28" s="128"/>
      <c r="D28" s="167" t="n">
        <v>36815</v>
      </c>
      <c r="E28" s="168" t="n">
        <v>63.25</v>
      </c>
      <c r="F28" s="168" t="n">
        <v>63.75</v>
      </c>
      <c r="G28" s="168" t="n">
        <v>64.35</v>
      </c>
      <c r="H28" s="152"/>
      <c r="I28" s="168" t="n">
        <v>26.75</v>
      </c>
      <c r="J28" s="168" t="n">
        <v>27</v>
      </c>
      <c r="K28" s="168" t="n">
        <v>27.3</v>
      </c>
      <c r="L28" s="134"/>
      <c r="M28" s="135" t="n">
        <v>37043</v>
      </c>
      <c r="N28" s="169" t="n">
        <v>53.0500015258789</v>
      </c>
      <c r="O28" s="169" t="n">
        <v>54.4000015258789</v>
      </c>
      <c r="P28" s="169" t="n">
        <v>56.1250015258789</v>
      </c>
      <c r="Q28" s="65"/>
      <c r="R28" s="169" t="n">
        <v>45.8000030517578</v>
      </c>
      <c r="S28" s="169" t="n">
        <v>49.8000030517578</v>
      </c>
      <c r="T28" s="169" t="n">
        <v>50.6625030517578</v>
      </c>
      <c r="U28" s="65"/>
      <c r="V28" s="169" t="n">
        <v>2.45000052452087</v>
      </c>
      <c r="W28" s="169" t="n">
        <v>2.45000052452087</v>
      </c>
      <c r="X28" s="169" t="n">
        <v>2.45000052452087</v>
      </c>
      <c r="Y28" s="65"/>
      <c r="Z28" s="169" t="n">
        <v>0.25525</v>
      </c>
      <c r="AA28" s="169" t="n">
        <v>0.5105</v>
      </c>
      <c r="AB28" s="169" t="n">
        <v>0.76575</v>
      </c>
      <c r="AC28" s="65"/>
      <c r="AD28" s="169" t="n">
        <v>0.0441</v>
      </c>
      <c r="AE28" s="169" t="n">
        <v>0.0882</v>
      </c>
      <c r="AF28" s="169" t="n">
        <v>0.1323</v>
      </c>
      <c r="AG28" s="65"/>
      <c r="AH28" s="169" t="n">
        <v>-0.35</v>
      </c>
      <c r="AI28" s="169" t="n">
        <v>3.25</v>
      </c>
      <c r="AJ28" s="169" t="n">
        <v>0.3</v>
      </c>
      <c r="AK28" s="65"/>
      <c r="AL28" s="169" t="n">
        <v>-0.15</v>
      </c>
      <c r="AM28" s="169" t="n">
        <v>0.65</v>
      </c>
      <c r="AN28" s="169" t="n">
        <v>0.2</v>
      </c>
      <c r="AO28" s="65"/>
      <c r="AP28" s="134" t="n">
        <v>4</v>
      </c>
      <c r="AQ28" s="170" t="n">
        <v>0.15</v>
      </c>
      <c r="AR28" s="65"/>
      <c r="AS28" s="134" t="n">
        <v>800</v>
      </c>
      <c r="AT28" s="183" t="n">
        <v>1.1</v>
      </c>
      <c r="AU28" s="183" t="n">
        <v>1.1</v>
      </c>
      <c r="AV28" s="183" t="n">
        <v>1.1359</v>
      </c>
      <c r="AW28" s="183" t="n">
        <v>1.1232726508202</v>
      </c>
      <c r="AX28" s="183" t="n">
        <v>0.75</v>
      </c>
      <c r="AY28" s="183" t="n">
        <v>0.55</v>
      </c>
      <c r="AZ28" s="183" t="n">
        <v>0.4</v>
      </c>
      <c r="BA28" s="183" t="n">
        <v>0.4</v>
      </c>
      <c r="BB28" s="183" t="n">
        <v>0.65</v>
      </c>
      <c r="BC28" s="183" t="n">
        <v>1.0615</v>
      </c>
      <c r="BD28" s="183" t="n">
        <v>1.0715</v>
      </c>
      <c r="BE28" s="183" t="n">
        <v>1.0875</v>
      </c>
      <c r="BF28" s="134" t="s">
        <v>124</v>
      </c>
      <c r="BG28" s="65"/>
      <c r="BH28" s="135" t="n">
        <v>37043</v>
      </c>
      <c r="BI28" s="172" t="n">
        <v>0.9</v>
      </c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160"/>
      <c r="CI28" s="160"/>
      <c r="CJ28" s="160"/>
      <c r="CK28" s="160"/>
      <c r="CM28" s="184"/>
      <c r="CN28" s="147"/>
      <c r="CO28" s="173"/>
      <c r="CP28" s="0"/>
      <c r="CQ28" s="0"/>
      <c r="CR28" s="0"/>
      <c r="CS28" s="0"/>
      <c r="CT28" s="0"/>
      <c r="CY28" s="174" t="n">
        <f aca="false">M28</f>
        <v>37043</v>
      </c>
      <c r="CZ28" s="175" t="n">
        <f aca="false">AI28+AH28</f>
        <v>2.9</v>
      </c>
      <c r="DA28" s="175" t="n">
        <f aca="false">AI28</f>
        <v>3.25</v>
      </c>
      <c r="DB28" s="175" t="n">
        <f aca="false">AI28+AJ28</f>
        <v>3.55</v>
      </c>
      <c r="DD28" s="175" t="n">
        <f aca="false">Z28</f>
        <v>0.25525</v>
      </c>
      <c r="DE28" s="175" t="n">
        <f aca="false">AA28</f>
        <v>0.5105</v>
      </c>
      <c r="DF28" s="175" t="n">
        <f aca="false">AB28</f>
        <v>0.76575</v>
      </c>
      <c r="DH28" s="174" t="n">
        <f aca="false">BH28</f>
        <v>37043</v>
      </c>
      <c r="DI28" s="128" t="n">
        <f aca="false">BI28</f>
        <v>0.9</v>
      </c>
      <c r="DP28" s="0" t="n">
        <v>10</v>
      </c>
      <c r="DQ28" s="190" t="s">
        <v>156</v>
      </c>
      <c r="DR28" s="191" t="s">
        <v>157</v>
      </c>
      <c r="DS28" s="192" t="s">
        <v>132</v>
      </c>
      <c r="DT28" s="134"/>
      <c r="DU28" s="193" t="s">
        <v>158</v>
      </c>
      <c r="DV28" s="194" t="n">
        <v>15</v>
      </c>
      <c r="DY28" s="158"/>
    </row>
    <row r="29" customFormat="false" ht="13.5" hidden="false" customHeight="false" outlineLevel="0" collapsed="false">
      <c r="A29" s="138" t="n">
        <f aca="false">EOMONTH(A28,0)+1</f>
        <v>46419</v>
      </c>
      <c r="B29" s="128" t="n">
        <f aca="false">'Gas Curves'!C33</f>
        <v>0.053754311441261</v>
      </c>
      <c r="C29" s="128"/>
      <c r="D29" s="167" t="n">
        <v>36816</v>
      </c>
      <c r="E29" s="168" t="n">
        <v>63.25</v>
      </c>
      <c r="F29" s="168" t="n">
        <v>63.75</v>
      </c>
      <c r="G29" s="168" t="n">
        <v>64.35</v>
      </c>
      <c r="H29" s="152"/>
      <c r="I29" s="168" t="n">
        <v>26.75</v>
      </c>
      <c r="J29" s="168" t="n">
        <v>27</v>
      </c>
      <c r="K29" s="168" t="n">
        <v>27.3</v>
      </c>
      <c r="L29" s="134"/>
      <c r="M29" s="135" t="n">
        <v>37073</v>
      </c>
      <c r="N29" s="169" t="n">
        <v>61.2</v>
      </c>
      <c r="O29" s="169" t="n">
        <v>64.5</v>
      </c>
      <c r="P29" s="169" t="n">
        <v>68.175</v>
      </c>
      <c r="Q29" s="65"/>
      <c r="R29" s="169" t="n">
        <v>54</v>
      </c>
      <c r="S29" s="169" t="n">
        <v>58</v>
      </c>
      <c r="T29" s="169" t="n">
        <v>59.8375</v>
      </c>
      <c r="U29" s="65"/>
      <c r="V29" s="169" t="n">
        <v>2.7499988079071</v>
      </c>
      <c r="W29" s="169" t="n">
        <v>2.7499988079071</v>
      </c>
      <c r="X29" s="169" t="n">
        <v>2.7499988079071</v>
      </c>
      <c r="Y29" s="65"/>
      <c r="Z29" s="169" t="n">
        <v>0.28525</v>
      </c>
      <c r="AA29" s="169" t="n">
        <v>0.5705</v>
      </c>
      <c r="AB29" s="169" t="n">
        <v>0.85575</v>
      </c>
      <c r="AC29" s="65"/>
      <c r="AD29" s="169" t="n">
        <v>0.0588</v>
      </c>
      <c r="AE29" s="169" t="n">
        <v>0.1176</v>
      </c>
      <c r="AF29" s="169" t="n">
        <v>0.1764</v>
      </c>
      <c r="AG29" s="65"/>
      <c r="AH29" s="169" t="n">
        <v>-0.35</v>
      </c>
      <c r="AI29" s="169" t="n">
        <v>5</v>
      </c>
      <c r="AJ29" s="169" t="n">
        <v>0.5</v>
      </c>
      <c r="AK29" s="65"/>
      <c r="AL29" s="169" t="n">
        <v>-0.15</v>
      </c>
      <c r="AM29" s="169" t="n">
        <v>0.75</v>
      </c>
      <c r="AN29" s="169" t="n">
        <v>0.2</v>
      </c>
      <c r="AO29" s="65"/>
      <c r="AP29" s="134" t="n">
        <v>4</v>
      </c>
      <c r="AQ29" s="170" t="n">
        <v>0.15</v>
      </c>
      <c r="AR29" s="65"/>
      <c r="AS29" s="134" t="n">
        <v>900</v>
      </c>
      <c r="AT29" s="183" t="n">
        <v>1.3</v>
      </c>
      <c r="AU29" s="183" t="n">
        <v>1.3</v>
      </c>
      <c r="AV29" s="183" t="n">
        <v>1.1898</v>
      </c>
      <c r="AW29" s="183" t="n">
        <v>1.14131544612562</v>
      </c>
      <c r="AX29" s="183" t="n">
        <v>0.75</v>
      </c>
      <c r="AY29" s="183" t="n">
        <v>0.55</v>
      </c>
      <c r="AZ29" s="183" t="n">
        <v>0.4</v>
      </c>
      <c r="BA29" s="183" t="n">
        <v>0.4</v>
      </c>
      <c r="BB29" s="183" t="n">
        <v>0.65</v>
      </c>
      <c r="BC29" s="183" t="n">
        <v>1.1326</v>
      </c>
      <c r="BD29" s="183" t="n">
        <v>1.1426</v>
      </c>
      <c r="BE29" s="183" t="n">
        <v>1.1638</v>
      </c>
      <c r="BF29" s="134" t="s">
        <v>124</v>
      </c>
      <c r="BG29" s="65"/>
      <c r="BH29" s="135" t="n">
        <v>37073</v>
      </c>
      <c r="BI29" s="172" t="n">
        <v>0.9</v>
      </c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160"/>
      <c r="CI29" s="19"/>
      <c r="CJ29" s="19"/>
      <c r="CK29" s="19"/>
      <c r="CM29" s="184"/>
      <c r="CN29" s="147"/>
      <c r="CO29" s="173"/>
      <c r="CP29" s="0"/>
      <c r="CQ29" s="0"/>
      <c r="CR29" s="0"/>
      <c r="CS29" s="0"/>
      <c r="CT29" s="0"/>
      <c r="CY29" s="174" t="n">
        <f aca="false">M29</f>
        <v>37073</v>
      </c>
      <c r="CZ29" s="175" t="n">
        <f aca="false">AI29+AH29</f>
        <v>4.65</v>
      </c>
      <c r="DA29" s="175" t="n">
        <f aca="false">AI29</f>
        <v>5</v>
      </c>
      <c r="DB29" s="175" t="n">
        <f aca="false">AI29+AJ29</f>
        <v>5.5</v>
      </c>
      <c r="DD29" s="175" t="n">
        <f aca="false">Z29</f>
        <v>0.28525</v>
      </c>
      <c r="DE29" s="175" t="n">
        <f aca="false">AA29</f>
        <v>0.5705</v>
      </c>
      <c r="DF29" s="175" t="n">
        <f aca="false">AB29</f>
        <v>0.85575</v>
      </c>
      <c r="DH29" s="174" t="n">
        <f aca="false">BH29</f>
        <v>37073</v>
      </c>
      <c r="DI29" s="128" t="n">
        <f aca="false">BI29</f>
        <v>0.9</v>
      </c>
      <c r="DP29" s="0" t="n">
        <v>11</v>
      </c>
      <c r="DQ29" s="180" t="s">
        <v>159</v>
      </c>
      <c r="DR29" s="181" t="s">
        <v>160</v>
      </c>
      <c r="DS29" s="182" t="s">
        <v>161</v>
      </c>
      <c r="DT29" s="134"/>
      <c r="DU29" s="195" t="s">
        <v>162</v>
      </c>
      <c r="DY29" s="158"/>
    </row>
    <row r="30" customFormat="false" ht="12.75" hidden="false" customHeight="false" outlineLevel="0" collapsed="false">
      <c r="A30" s="138" t="n">
        <f aca="false">EOMONTH(A29,0)+1</f>
        <v>46447</v>
      </c>
      <c r="B30" s="128" t="n">
        <f aca="false">'Gas Curves'!C34</f>
        <v>0.053753867875072</v>
      </c>
      <c r="C30" s="128"/>
      <c r="D30" s="167" t="n">
        <v>36817</v>
      </c>
      <c r="E30" s="168" t="n">
        <v>63.25</v>
      </c>
      <c r="F30" s="168" t="n">
        <v>63.75</v>
      </c>
      <c r="G30" s="168" t="n">
        <v>64.35</v>
      </c>
      <c r="H30" s="152"/>
      <c r="I30" s="168" t="n">
        <v>26.75</v>
      </c>
      <c r="J30" s="168" t="n">
        <v>27</v>
      </c>
      <c r="K30" s="168" t="n">
        <v>27.3</v>
      </c>
      <c r="L30" s="134"/>
      <c r="M30" s="135" t="n">
        <v>37104</v>
      </c>
      <c r="N30" s="169" t="n">
        <v>58.8500015258789</v>
      </c>
      <c r="O30" s="169" t="n">
        <v>62.1500015258789</v>
      </c>
      <c r="P30" s="169" t="n">
        <v>65.8250015258789</v>
      </c>
      <c r="Q30" s="65"/>
      <c r="R30" s="169" t="n">
        <v>51.7000007629395</v>
      </c>
      <c r="S30" s="169" t="n">
        <v>55.7000007629395</v>
      </c>
      <c r="T30" s="169" t="n">
        <v>57.5375007629395</v>
      </c>
      <c r="U30" s="65"/>
      <c r="V30" s="169" t="n">
        <v>2.75</v>
      </c>
      <c r="W30" s="169" t="n">
        <v>2.75</v>
      </c>
      <c r="X30" s="169" t="n">
        <v>2.75</v>
      </c>
      <c r="Y30" s="65"/>
      <c r="Z30" s="169" t="n">
        <v>0.279</v>
      </c>
      <c r="AA30" s="169" t="n">
        <v>0.558</v>
      </c>
      <c r="AB30" s="169" t="n">
        <v>0.837</v>
      </c>
      <c r="AC30" s="65"/>
      <c r="AD30" s="169" t="n">
        <v>0.0588</v>
      </c>
      <c r="AE30" s="169" t="n">
        <v>0.1176</v>
      </c>
      <c r="AF30" s="169" t="n">
        <v>0.1764</v>
      </c>
      <c r="AG30" s="65"/>
      <c r="AH30" s="169" t="n">
        <v>-0.35</v>
      </c>
      <c r="AI30" s="169" t="n">
        <v>5</v>
      </c>
      <c r="AJ30" s="169" t="n">
        <v>0.5</v>
      </c>
      <c r="AK30" s="65"/>
      <c r="AL30" s="169" t="n">
        <v>-0.15</v>
      </c>
      <c r="AM30" s="169" t="n">
        <v>0.75</v>
      </c>
      <c r="AN30" s="169" t="n">
        <v>0.2</v>
      </c>
      <c r="AO30" s="65"/>
      <c r="AP30" s="134" t="n">
        <v>5</v>
      </c>
      <c r="AQ30" s="170" t="n">
        <v>0.15</v>
      </c>
      <c r="AR30" s="65"/>
      <c r="AS30" s="134" t="n">
        <v>1000</v>
      </c>
      <c r="AT30" s="183" t="n">
        <v>1.3</v>
      </c>
      <c r="AU30" s="183" t="n">
        <v>1.3</v>
      </c>
      <c r="AV30" s="183" t="n">
        <v>1.1862</v>
      </c>
      <c r="AW30" s="183" t="n">
        <v>1.09378612004454</v>
      </c>
      <c r="AX30" s="183" t="n">
        <v>0.75</v>
      </c>
      <c r="AY30" s="183" t="n">
        <v>0.55</v>
      </c>
      <c r="AZ30" s="183" t="n">
        <v>0.4</v>
      </c>
      <c r="BA30" s="183" t="n">
        <v>0.4</v>
      </c>
      <c r="BB30" s="183" t="n">
        <v>0.65</v>
      </c>
      <c r="BC30" s="183" t="n">
        <v>1.1291</v>
      </c>
      <c r="BD30" s="183" t="n">
        <v>1.1352</v>
      </c>
      <c r="BE30" s="183" t="n">
        <v>1.1579</v>
      </c>
      <c r="BF30" s="134" t="s">
        <v>124</v>
      </c>
      <c r="BG30" s="65"/>
      <c r="BH30" s="135" t="n">
        <v>37104</v>
      </c>
      <c r="BI30" s="172" t="n">
        <v>0.9</v>
      </c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160"/>
      <c r="CI30" s="19"/>
      <c r="CJ30" s="19"/>
      <c r="CK30" s="19"/>
      <c r="CM30" s="184"/>
      <c r="CN30" s="147"/>
      <c r="CO30" s="173"/>
      <c r="CP30" s="0"/>
      <c r="CQ30" s="0"/>
      <c r="CR30" s="0"/>
      <c r="CS30" s="0"/>
      <c r="CT30" s="0"/>
      <c r="CY30" s="174" t="n">
        <f aca="false">M30</f>
        <v>37104</v>
      </c>
      <c r="CZ30" s="175" t="n">
        <f aca="false">AI30+AH30</f>
        <v>4.65</v>
      </c>
      <c r="DA30" s="175" t="n">
        <f aca="false">AI30</f>
        <v>5</v>
      </c>
      <c r="DB30" s="175" t="n">
        <f aca="false">AI30+AJ30</f>
        <v>5.5</v>
      </c>
      <c r="DD30" s="175" t="n">
        <f aca="false">Z30</f>
        <v>0.279</v>
      </c>
      <c r="DE30" s="175" t="n">
        <f aca="false">AA30</f>
        <v>0.558</v>
      </c>
      <c r="DF30" s="175" t="n">
        <f aca="false">AB30</f>
        <v>0.837</v>
      </c>
      <c r="DH30" s="174" t="n">
        <f aca="false">BH30</f>
        <v>37104</v>
      </c>
      <c r="DI30" s="128" t="n">
        <f aca="false">BI30</f>
        <v>0.9</v>
      </c>
      <c r="DP30" s="0" t="n">
        <v>12</v>
      </c>
      <c r="DQ30" s="180" t="s">
        <v>163</v>
      </c>
      <c r="DR30" s="181" t="s">
        <v>164</v>
      </c>
      <c r="DS30" s="182" t="s">
        <v>165</v>
      </c>
      <c r="DT30" s="134"/>
      <c r="DY30" s="158"/>
    </row>
    <row r="31" customFormat="false" ht="12.75" hidden="false" customHeight="false" outlineLevel="0" collapsed="false">
      <c r="A31" s="138" t="n">
        <f aca="false">EOMONTH(A30,0)+1</f>
        <v>46478</v>
      </c>
      <c r="B31" s="128" t="n">
        <f aca="false">'Gas Curves'!C35</f>
        <v>0.053798596544218</v>
      </c>
      <c r="C31" s="128"/>
      <c r="D31" s="167" t="n">
        <v>36818</v>
      </c>
      <c r="E31" s="168" t="n">
        <v>63.25</v>
      </c>
      <c r="F31" s="168" t="n">
        <v>63.75</v>
      </c>
      <c r="G31" s="168" t="n">
        <v>64.35</v>
      </c>
      <c r="H31" s="152"/>
      <c r="I31" s="168" t="n">
        <v>26.75</v>
      </c>
      <c r="J31" s="168" t="n">
        <v>27</v>
      </c>
      <c r="K31" s="168" t="n">
        <v>27.3</v>
      </c>
      <c r="L31" s="134"/>
      <c r="M31" s="135" t="n">
        <v>37135</v>
      </c>
      <c r="N31" s="169" t="n">
        <v>30.5750011444092</v>
      </c>
      <c r="O31" s="169" t="n">
        <v>31.9250011444092</v>
      </c>
      <c r="P31" s="169" t="n">
        <v>33.0500011444092</v>
      </c>
      <c r="Q31" s="65"/>
      <c r="R31" s="169" t="n">
        <v>25.4000015258789</v>
      </c>
      <c r="S31" s="169" t="n">
        <v>29.4000015258789</v>
      </c>
      <c r="T31" s="169" t="n">
        <v>29.9625015258789</v>
      </c>
      <c r="U31" s="65"/>
      <c r="V31" s="169" t="n">
        <v>2.25000047683716</v>
      </c>
      <c r="W31" s="169" t="n">
        <v>2.25000047683716</v>
      </c>
      <c r="X31" s="169" t="n">
        <v>2.25000047683716</v>
      </c>
      <c r="Y31" s="65"/>
      <c r="Z31" s="169" t="n">
        <v>0.19025</v>
      </c>
      <c r="AA31" s="169" t="n">
        <v>0.3805</v>
      </c>
      <c r="AB31" s="169" t="n">
        <v>0.57075</v>
      </c>
      <c r="AC31" s="65"/>
      <c r="AD31" s="169" t="n">
        <v>0.0392</v>
      </c>
      <c r="AE31" s="169" t="n">
        <v>0.0784</v>
      </c>
      <c r="AF31" s="169" t="n">
        <v>0.1176</v>
      </c>
      <c r="AG31" s="65"/>
      <c r="AH31" s="169" t="n">
        <v>-0.35</v>
      </c>
      <c r="AI31" s="169" t="n">
        <v>2.2</v>
      </c>
      <c r="AJ31" s="169" t="n">
        <v>0.3</v>
      </c>
      <c r="AK31" s="65"/>
      <c r="AL31" s="169" t="n">
        <v>-0.15</v>
      </c>
      <c r="AM31" s="169" t="n">
        <v>0.4</v>
      </c>
      <c r="AN31" s="169" t="n">
        <v>0.2</v>
      </c>
      <c r="AO31" s="65"/>
      <c r="AP31" s="134" t="n">
        <v>5</v>
      </c>
      <c r="AQ31" s="170" t="n">
        <v>0.15</v>
      </c>
      <c r="AR31" s="65"/>
      <c r="AS31" s="134" t="n">
        <v>1100</v>
      </c>
      <c r="AT31" s="183" t="n">
        <v>0.8</v>
      </c>
      <c r="AU31" s="183" t="n">
        <v>0.8</v>
      </c>
      <c r="AV31" s="183" t="n">
        <v>1.1653</v>
      </c>
      <c r="AW31" s="183" t="n">
        <v>1.11633559035934</v>
      </c>
      <c r="AX31" s="183" t="n">
        <v>0.75</v>
      </c>
      <c r="AY31" s="183" t="n">
        <v>0.55</v>
      </c>
      <c r="AZ31" s="183" t="n">
        <v>0.4</v>
      </c>
      <c r="BA31" s="183" t="n">
        <v>0.4</v>
      </c>
      <c r="BB31" s="183" t="n">
        <v>0.65</v>
      </c>
      <c r="BC31" s="183" t="n">
        <v>1.1227</v>
      </c>
      <c r="BD31" s="183" t="n">
        <v>1.1133</v>
      </c>
      <c r="BE31" s="183" t="n">
        <v>1.1327</v>
      </c>
      <c r="BF31" s="134" t="s">
        <v>124</v>
      </c>
      <c r="BG31" s="65"/>
      <c r="BH31" s="135" t="n">
        <v>37135</v>
      </c>
      <c r="BI31" s="172" t="n">
        <v>0.9</v>
      </c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160"/>
      <c r="CI31" s="19"/>
      <c r="CJ31" s="19"/>
      <c r="CK31" s="19"/>
      <c r="CM31" s="184"/>
      <c r="CN31" s="147"/>
      <c r="CO31" s="173"/>
      <c r="CP31" s="0"/>
      <c r="CQ31" s="0"/>
      <c r="CR31" s="0"/>
      <c r="CS31" s="0"/>
      <c r="CT31" s="0"/>
      <c r="CY31" s="174" t="n">
        <f aca="false">M31</f>
        <v>37135</v>
      </c>
      <c r="CZ31" s="175" t="n">
        <f aca="false">AI31+AH31</f>
        <v>1.85</v>
      </c>
      <c r="DA31" s="175" t="n">
        <f aca="false">AI31</f>
        <v>2.2</v>
      </c>
      <c r="DB31" s="175" t="n">
        <f aca="false">AI31+AJ31</f>
        <v>2.5</v>
      </c>
      <c r="DD31" s="175" t="n">
        <f aca="false">Z31</f>
        <v>0.19025</v>
      </c>
      <c r="DE31" s="175" t="n">
        <f aca="false">AA31</f>
        <v>0.3805</v>
      </c>
      <c r="DF31" s="175" t="n">
        <f aca="false">AB31</f>
        <v>0.57075</v>
      </c>
      <c r="DH31" s="174" t="n">
        <f aca="false">BH31</f>
        <v>37135</v>
      </c>
      <c r="DI31" s="128" t="n">
        <f aca="false">BI31</f>
        <v>0.9</v>
      </c>
      <c r="DP31" s="0" t="n">
        <v>13</v>
      </c>
      <c r="DQ31" s="180" t="s">
        <v>166</v>
      </c>
      <c r="DR31" s="181" t="s">
        <v>167</v>
      </c>
      <c r="DS31" s="182" t="s">
        <v>168</v>
      </c>
      <c r="DT31" s="134"/>
      <c r="DU31" s="125"/>
      <c r="DV31" s="125"/>
      <c r="DW31" s="196"/>
      <c r="DX31" s="196"/>
      <c r="DY31" s="158"/>
    </row>
    <row r="32" customFormat="false" ht="12.75" hidden="false" customHeight="false" outlineLevel="0" collapsed="false">
      <c r="A32" s="138" t="n">
        <f aca="false">EOMONTH(A31,0)+1</f>
        <v>46508</v>
      </c>
      <c r="B32" s="128" t="n">
        <f aca="false">'Gas Curves'!C36</f>
        <v>0.053843325214032</v>
      </c>
      <c r="C32" s="128"/>
      <c r="D32" s="167" t="n">
        <v>36819</v>
      </c>
      <c r="E32" s="168" t="n">
        <v>63.25</v>
      </c>
      <c r="F32" s="168" t="n">
        <v>63.75</v>
      </c>
      <c r="G32" s="168" t="n">
        <v>64.35</v>
      </c>
      <c r="H32" s="152"/>
      <c r="I32" s="168" t="n">
        <v>26.75</v>
      </c>
      <c r="J32" s="168" t="n">
        <v>27</v>
      </c>
      <c r="K32" s="168" t="n">
        <v>27.3</v>
      </c>
      <c r="L32" s="134"/>
      <c r="M32" s="135" t="n">
        <v>37165</v>
      </c>
      <c r="N32" s="169" t="n">
        <v>27.2500011444092</v>
      </c>
      <c r="O32" s="169" t="n">
        <v>27.9250011444092</v>
      </c>
      <c r="P32" s="169" t="n">
        <v>28.6000011444092</v>
      </c>
      <c r="Q32" s="65"/>
      <c r="R32" s="169" t="n">
        <v>20.9000015258789</v>
      </c>
      <c r="S32" s="169" t="n">
        <v>24.9000015258789</v>
      </c>
      <c r="T32" s="169" t="n">
        <v>25.2375015258789</v>
      </c>
      <c r="U32" s="65"/>
      <c r="V32" s="169" t="n">
        <v>2.25</v>
      </c>
      <c r="W32" s="169" t="n">
        <v>2.25</v>
      </c>
      <c r="X32" s="169" t="n">
        <v>2.25</v>
      </c>
      <c r="Y32" s="65"/>
      <c r="Z32" s="169" t="n">
        <v>0.16925</v>
      </c>
      <c r="AA32" s="169" t="n">
        <v>0.3385</v>
      </c>
      <c r="AB32" s="169" t="n">
        <v>0.50775</v>
      </c>
      <c r="AC32" s="65"/>
      <c r="AD32" s="169" t="n">
        <v>0.0294</v>
      </c>
      <c r="AE32" s="169" t="n">
        <v>0.0588</v>
      </c>
      <c r="AF32" s="169" t="n">
        <v>0.0882</v>
      </c>
      <c r="AG32" s="65"/>
      <c r="AH32" s="169" t="n">
        <v>-0.25</v>
      </c>
      <c r="AI32" s="169" t="n">
        <v>1.4</v>
      </c>
      <c r="AJ32" s="169" t="n">
        <v>0.3</v>
      </c>
      <c r="AK32" s="65"/>
      <c r="AL32" s="169" t="n">
        <v>-0.15</v>
      </c>
      <c r="AM32" s="169" t="n">
        <v>0.35</v>
      </c>
      <c r="AN32" s="169" t="n">
        <v>0.2</v>
      </c>
      <c r="AO32" s="65"/>
      <c r="AP32" s="134" t="n">
        <v>5</v>
      </c>
      <c r="AQ32" s="170" t="n">
        <v>0.15</v>
      </c>
      <c r="AR32" s="65"/>
      <c r="AS32" s="134" t="n">
        <v>1200</v>
      </c>
      <c r="AT32" s="183" t="n">
        <v>0.8</v>
      </c>
      <c r="AU32" s="183" t="n">
        <v>0.8</v>
      </c>
      <c r="AV32" s="183" t="n">
        <v>0.8904</v>
      </c>
      <c r="AW32" s="183" t="n">
        <v>1.11852454679246</v>
      </c>
      <c r="AX32" s="183" t="n">
        <v>1</v>
      </c>
      <c r="AY32" s="183" t="n">
        <v>1.2</v>
      </c>
      <c r="AZ32" s="183" t="n">
        <v>1.3</v>
      </c>
      <c r="BA32" s="183" t="n">
        <v>1.3</v>
      </c>
      <c r="BB32" s="183" t="n">
        <v>1.3</v>
      </c>
      <c r="BC32" s="183" t="n">
        <v>0.9474</v>
      </c>
      <c r="BD32" s="183" t="n">
        <v>0.9374</v>
      </c>
      <c r="BE32" s="183" t="n">
        <v>0.9204</v>
      </c>
      <c r="BF32" s="134" t="s">
        <v>124</v>
      </c>
      <c r="BG32" s="65"/>
      <c r="BH32" s="135" t="n">
        <v>37165</v>
      </c>
      <c r="BI32" s="172" t="n">
        <v>0.9</v>
      </c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160"/>
      <c r="CI32" s="19"/>
      <c r="CJ32" s="19"/>
      <c r="CK32" s="19"/>
      <c r="CM32" s="184"/>
      <c r="CN32" s="147"/>
      <c r="CO32" s="173"/>
      <c r="CP32" s="0"/>
      <c r="CQ32" s="0"/>
      <c r="CR32" s="0"/>
      <c r="CS32" s="0"/>
      <c r="CT32" s="0"/>
      <c r="CY32" s="174" t="n">
        <f aca="false">M32</f>
        <v>37165</v>
      </c>
      <c r="CZ32" s="175" t="n">
        <f aca="false">AI32+AH32</f>
        <v>1.15</v>
      </c>
      <c r="DA32" s="175" t="n">
        <f aca="false">AI32</f>
        <v>1.4</v>
      </c>
      <c r="DB32" s="175" t="n">
        <f aca="false">AI32+AJ32</f>
        <v>1.7</v>
      </c>
      <c r="DD32" s="175" t="n">
        <f aca="false">Z32</f>
        <v>0.16925</v>
      </c>
      <c r="DE32" s="175" t="n">
        <f aca="false">AA32</f>
        <v>0.3385</v>
      </c>
      <c r="DF32" s="175" t="n">
        <f aca="false">AB32</f>
        <v>0.50775</v>
      </c>
      <c r="DH32" s="174" t="n">
        <f aca="false">BH32</f>
        <v>37165</v>
      </c>
      <c r="DI32" s="128" t="n">
        <f aca="false">BI32</f>
        <v>0.9</v>
      </c>
      <c r="DP32" s="0" t="n">
        <v>14</v>
      </c>
      <c r="DQ32" s="180" t="s">
        <v>169</v>
      </c>
      <c r="DR32" s="181" t="s">
        <v>170</v>
      </c>
      <c r="DS32" s="182" t="s">
        <v>171</v>
      </c>
      <c r="DT32" s="134"/>
      <c r="DU32" s="197"/>
      <c r="DV32" s="198"/>
      <c r="DW32" s="110"/>
      <c r="DX32" s="65"/>
      <c r="DY32" s="158"/>
    </row>
    <row r="33" customFormat="false" ht="12.75" hidden="false" customHeight="false" outlineLevel="0" collapsed="false">
      <c r="A33" s="138" t="n">
        <f aca="false">EOMONTH(A32,0)+1</f>
        <v>46539</v>
      </c>
      <c r="B33" s="128" t="n">
        <f aca="false">'Gas Curves'!C37</f>
        <v>0.053898883775665</v>
      </c>
      <c r="C33" s="128"/>
      <c r="D33" s="167" t="n">
        <v>36820</v>
      </c>
      <c r="E33" s="168" t="n">
        <v>47.5</v>
      </c>
      <c r="F33" s="168" t="n">
        <v>48</v>
      </c>
      <c r="G33" s="168" t="n">
        <v>48.6</v>
      </c>
      <c r="H33" s="152"/>
      <c r="I33" s="168" t="n">
        <v>26.75</v>
      </c>
      <c r="J33" s="168" t="n">
        <v>27</v>
      </c>
      <c r="K33" s="168" t="n">
        <v>27.3</v>
      </c>
      <c r="L33" s="134"/>
      <c r="M33" s="135" t="n">
        <v>37196</v>
      </c>
      <c r="N33" s="169" t="n">
        <v>29.6000015258789</v>
      </c>
      <c r="O33" s="169" t="n">
        <v>30.2750015258789</v>
      </c>
      <c r="P33" s="169" t="n">
        <v>30.9500015258789</v>
      </c>
      <c r="Q33" s="65"/>
      <c r="R33" s="169" t="n">
        <v>23.1000003814697</v>
      </c>
      <c r="S33" s="169" t="n">
        <v>27.1000003814697</v>
      </c>
      <c r="T33" s="169" t="n">
        <v>27.4375003814697</v>
      </c>
      <c r="U33" s="65"/>
      <c r="V33" s="169" t="n">
        <v>2.25</v>
      </c>
      <c r="W33" s="169" t="n">
        <v>2.25</v>
      </c>
      <c r="X33" s="169" t="n">
        <v>2.25</v>
      </c>
      <c r="Y33" s="65"/>
      <c r="Z33" s="169" t="n">
        <v>0.16925</v>
      </c>
      <c r="AA33" s="169" t="n">
        <v>0.3385</v>
      </c>
      <c r="AB33" s="169" t="n">
        <v>0.50775</v>
      </c>
      <c r="AC33" s="65"/>
      <c r="AD33" s="169" t="n">
        <v>0.0294</v>
      </c>
      <c r="AE33" s="169" t="n">
        <v>0.0588</v>
      </c>
      <c r="AF33" s="169" t="n">
        <v>0.0882</v>
      </c>
      <c r="AG33" s="65"/>
      <c r="AH33" s="169" t="n">
        <v>-0.25</v>
      </c>
      <c r="AI33" s="169" t="n">
        <v>1.4</v>
      </c>
      <c r="AJ33" s="169" t="n">
        <v>0.3</v>
      </c>
      <c r="AK33" s="65"/>
      <c r="AL33" s="169" t="n">
        <v>-0.15</v>
      </c>
      <c r="AM33" s="169" t="n">
        <v>0.3</v>
      </c>
      <c r="AN33" s="169" t="n">
        <v>0.2</v>
      </c>
      <c r="AO33" s="65"/>
      <c r="AP33" s="134" t="n">
        <v>6</v>
      </c>
      <c r="AQ33" s="170" t="n">
        <v>0.15</v>
      </c>
      <c r="AR33" s="65"/>
      <c r="AS33" s="134" t="n">
        <v>1300</v>
      </c>
      <c r="AT33" s="183" t="n">
        <v>0.8</v>
      </c>
      <c r="AU33" s="183" t="n">
        <v>0.8</v>
      </c>
      <c r="AV33" s="183" t="n">
        <v>0.8648</v>
      </c>
      <c r="AW33" s="183" t="n">
        <v>1.01643226256211</v>
      </c>
      <c r="AX33" s="183" t="n">
        <v>1</v>
      </c>
      <c r="AY33" s="183" t="n">
        <v>1.2</v>
      </c>
      <c r="AZ33" s="183" t="n">
        <v>1.3</v>
      </c>
      <c r="BA33" s="183" t="n">
        <v>1.3</v>
      </c>
      <c r="BB33" s="183" t="n">
        <v>1.3</v>
      </c>
      <c r="BC33" s="183" t="n">
        <v>0.8899</v>
      </c>
      <c r="BD33" s="183" t="n">
        <v>0.8829</v>
      </c>
      <c r="BE33" s="183" t="n">
        <v>0.8749</v>
      </c>
      <c r="BF33" s="134" t="s">
        <v>124</v>
      </c>
      <c r="BG33" s="65"/>
      <c r="BH33" s="135" t="n">
        <v>37196</v>
      </c>
      <c r="BI33" s="172" t="n">
        <v>0.9</v>
      </c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19"/>
      <c r="CI33" s="110"/>
      <c r="CJ33" s="110"/>
      <c r="CK33" s="110"/>
      <c r="CM33" s="184"/>
      <c r="CN33" s="147"/>
      <c r="CO33" s="173"/>
      <c r="CP33" s="0"/>
      <c r="CQ33" s="0"/>
      <c r="CR33" s="0"/>
      <c r="CS33" s="0"/>
      <c r="CT33" s="0"/>
      <c r="CY33" s="174" t="n">
        <f aca="false">M33</f>
        <v>37196</v>
      </c>
      <c r="CZ33" s="175" t="n">
        <f aca="false">AI33+AH33</f>
        <v>1.15</v>
      </c>
      <c r="DA33" s="175" t="n">
        <f aca="false">AI33</f>
        <v>1.4</v>
      </c>
      <c r="DB33" s="175" t="n">
        <f aca="false">AI33+AJ33</f>
        <v>1.7</v>
      </c>
      <c r="DD33" s="175" t="n">
        <f aca="false">Z33</f>
        <v>0.16925</v>
      </c>
      <c r="DE33" s="175" t="n">
        <f aca="false">AA33</f>
        <v>0.3385</v>
      </c>
      <c r="DF33" s="175" t="n">
        <f aca="false">AB33</f>
        <v>0.50775</v>
      </c>
      <c r="DH33" s="174" t="n">
        <f aca="false">BH33</f>
        <v>37196</v>
      </c>
      <c r="DI33" s="128" t="n">
        <f aca="false">BI33</f>
        <v>0.9</v>
      </c>
      <c r="DP33" s="0" t="n">
        <v>15</v>
      </c>
      <c r="DQ33" s="180" t="s">
        <v>172</v>
      </c>
      <c r="DR33" s="181" t="s">
        <v>173</v>
      </c>
      <c r="DS33" s="182" t="s">
        <v>174</v>
      </c>
      <c r="DT33" s="134"/>
      <c r="DU33" s="197"/>
      <c r="DV33" s="198"/>
      <c r="DW33" s="110"/>
      <c r="DX33" s="65"/>
      <c r="DY33" s="158"/>
    </row>
    <row r="34" customFormat="false" ht="12.75" hidden="false" customHeight="false" outlineLevel="0" collapsed="false">
      <c r="A34" s="138" t="n">
        <f aca="false">EOMONTH(A33,0)+1</f>
        <v>46569</v>
      </c>
      <c r="B34" s="128" t="n">
        <f aca="false">'Gas Curves'!C38</f>
        <v>0.053973871330399</v>
      </c>
      <c r="C34" s="128"/>
      <c r="D34" s="167" t="n">
        <v>36821</v>
      </c>
      <c r="E34" s="168" t="n">
        <v>47.5</v>
      </c>
      <c r="F34" s="168" t="n">
        <v>48</v>
      </c>
      <c r="G34" s="168" t="n">
        <v>48.6</v>
      </c>
      <c r="H34" s="152"/>
      <c r="I34" s="168" t="n">
        <v>26.75</v>
      </c>
      <c r="J34" s="168" t="n">
        <v>27</v>
      </c>
      <c r="K34" s="168" t="n">
        <v>27.3</v>
      </c>
      <c r="L34" s="134"/>
      <c r="M34" s="135" t="n">
        <v>37226</v>
      </c>
      <c r="N34" s="169" t="n">
        <v>30.2</v>
      </c>
      <c r="O34" s="169" t="n">
        <v>30.875</v>
      </c>
      <c r="P34" s="169" t="n">
        <v>31.55</v>
      </c>
      <c r="Q34" s="65"/>
      <c r="R34" s="169" t="n">
        <v>23.6000003814697</v>
      </c>
      <c r="S34" s="169" t="n">
        <v>27.6000003814697</v>
      </c>
      <c r="T34" s="169" t="n">
        <v>27.9375003814697</v>
      </c>
      <c r="U34" s="65"/>
      <c r="V34" s="169" t="n">
        <v>2.25</v>
      </c>
      <c r="W34" s="169" t="n">
        <v>2.25</v>
      </c>
      <c r="X34" s="169" t="n">
        <v>2.25</v>
      </c>
      <c r="Y34" s="65"/>
      <c r="Z34" s="169" t="n">
        <v>0.17075</v>
      </c>
      <c r="AA34" s="169" t="n">
        <v>0.3415</v>
      </c>
      <c r="AB34" s="169" t="n">
        <v>0.51225</v>
      </c>
      <c r="AC34" s="65"/>
      <c r="AD34" s="169" t="n">
        <v>0.0294</v>
      </c>
      <c r="AE34" s="169" t="n">
        <v>0.0588</v>
      </c>
      <c r="AF34" s="169" t="n">
        <v>0.0882</v>
      </c>
      <c r="AG34" s="65"/>
      <c r="AH34" s="169" t="n">
        <v>-0.25</v>
      </c>
      <c r="AI34" s="169" t="n">
        <v>1.4</v>
      </c>
      <c r="AJ34" s="169" t="n">
        <v>0.35</v>
      </c>
      <c r="AK34" s="65"/>
      <c r="AL34" s="169" t="n">
        <v>-0.15</v>
      </c>
      <c r="AM34" s="169" t="n">
        <v>0.3</v>
      </c>
      <c r="AN34" s="169" t="n">
        <v>0.2</v>
      </c>
      <c r="AO34" s="65"/>
      <c r="AP34" s="134" t="n">
        <v>6</v>
      </c>
      <c r="AQ34" s="170" t="n">
        <v>0.15</v>
      </c>
      <c r="AR34" s="65"/>
      <c r="AS34" s="134" t="n">
        <v>1400</v>
      </c>
      <c r="AT34" s="183" t="n">
        <v>0.8</v>
      </c>
      <c r="AU34" s="183" t="n">
        <v>0.8</v>
      </c>
      <c r="AV34" s="183" t="n">
        <v>0.8372</v>
      </c>
      <c r="AW34" s="183" t="n">
        <v>1.01752674077867</v>
      </c>
      <c r="AX34" s="183" t="n">
        <v>1.5</v>
      </c>
      <c r="AY34" s="183" t="n">
        <v>1.7</v>
      </c>
      <c r="AZ34" s="183" t="n">
        <v>1.9</v>
      </c>
      <c r="BA34" s="183" t="n">
        <v>1.9</v>
      </c>
      <c r="BB34" s="183" t="n">
        <v>1.4</v>
      </c>
      <c r="BC34" s="183" t="n">
        <v>0.8652</v>
      </c>
      <c r="BD34" s="183" t="n">
        <v>0.8592</v>
      </c>
      <c r="BE34" s="183" t="n">
        <v>0.8372</v>
      </c>
      <c r="BF34" s="134" t="s">
        <v>124</v>
      </c>
      <c r="BG34" s="65"/>
      <c r="BH34" s="135" t="n">
        <v>37226</v>
      </c>
      <c r="BI34" s="172" t="n">
        <v>0.9</v>
      </c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19"/>
      <c r="CI34" s="199"/>
      <c r="CJ34" s="141"/>
      <c r="CK34" s="141"/>
      <c r="CM34" s="184"/>
      <c r="CN34" s="147"/>
      <c r="CO34" s="173"/>
      <c r="CP34" s="0"/>
      <c r="CQ34" s="0"/>
      <c r="CR34" s="0"/>
      <c r="CS34" s="0"/>
      <c r="CT34" s="0"/>
      <c r="CY34" s="174" t="n">
        <f aca="false">M34</f>
        <v>37226</v>
      </c>
      <c r="CZ34" s="175" t="n">
        <f aca="false">AI34+AH34</f>
        <v>1.15</v>
      </c>
      <c r="DA34" s="175" t="n">
        <f aca="false">AI34</f>
        <v>1.4</v>
      </c>
      <c r="DB34" s="175" t="n">
        <f aca="false">AI34+AJ34</f>
        <v>1.75</v>
      </c>
      <c r="DD34" s="175" t="n">
        <f aca="false">Z34</f>
        <v>0.17075</v>
      </c>
      <c r="DE34" s="175" t="n">
        <f aca="false">AA34</f>
        <v>0.3415</v>
      </c>
      <c r="DF34" s="175" t="n">
        <f aca="false">AB34</f>
        <v>0.51225</v>
      </c>
      <c r="DH34" s="174" t="n">
        <f aca="false">BH34</f>
        <v>37226</v>
      </c>
      <c r="DI34" s="128" t="n">
        <f aca="false">BI34</f>
        <v>0.9</v>
      </c>
      <c r="DP34" s="0" t="n">
        <v>16</v>
      </c>
      <c r="DQ34" s="180" t="s">
        <v>175</v>
      </c>
      <c r="DR34" s="181" t="s">
        <v>176</v>
      </c>
      <c r="DS34" s="182" t="s">
        <v>177</v>
      </c>
      <c r="DT34" s="134"/>
      <c r="DU34" s="197"/>
      <c r="DV34" s="198"/>
      <c r="DW34" s="110"/>
      <c r="DX34" s="65"/>
      <c r="DY34" s="158"/>
    </row>
    <row r="35" customFormat="false" ht="12.75" hidden="false" customHeight="false" outlineLevel="0" collapsed="false">
      <c r="A35" s="138" t="n">
        <f aca="false">EOMONTH(A34,0)+1</f>
        <v>46600</v>
      </c>
      <c r="B35" s="128" t="n">
        <f aca="false">'Gas Curves'!C39</f>
        <v>0.054046439933537</v>
      </c>
      <c r="C35" s="128"/>
      <c r="D35" s="167" t="n">
        <v>36822</v>
      </c>
      <c r="E35" s="168" t="n">
        <v>63.25</v>
      </c>
      <c r="F35" s="168" t="n">
        <v>63.75</v>
      </c>
      <c r="G35" s="168" t="n">
        <v>64.35</v>
      </c>
      <c r="H35" s="152"/>
      <c r="I35" s="168" t="n">
        <v>26.75</v>
      </c>
      <c r="J35" s="168" t="n">
        <v>27</v>
      </c>
      <c r="K35" s="168" t="n">
        <v>27.3</v>
      </c>
      <c r="L35" s="134"/>
      <c r="M35" s="135" t="n">
        <v>37257</v>
      </c>
      <c r="N35" s="169" t="n">
        <v>32.0544960021973</v>
      </c>
      <c r="O35" s="169" t="n">
        <v>33.1044960021973</v>
      </c>
      <c r="P35" s="169" t="n">
        <v>33.8544960021973</v>
      </c>
      <c r="Q35" s="65"/>
      <c r="R35" s="169" t="n">
        <v>25.4039974212647</v>
      </c>
      <c r="S35" s="169" t="n">
        <v>29.4039974212647</v>
      </c>
      <c r="T35" s="169" t="n">
        <v>29.7789974212647</v>
      </c>
      <c r="U35" s="65"/>
      <c r="V35" s="169" t="n">
        <v>2</v>
      </c>
      <c r="W35" s="169" t="n">
        <v>2</v>
      </c>
      <c r="X35" s="169" t="n">
        <v>2</v>
      </c>
      <c r="Y35" s="65"/>
      <c r="Z35" s="169" t="n">
        <v>0.22545</v>
      </c>
      <c r="AA35" s="169" t="n">
        <v>0.4509</v>
      </c>
      <c r="AB35" s="169" t="n">
        <v>0.67635</v>
      </c>
      <c r="AC35" s="65"/>
      <c r="AD35" s="169" t="n">
        <v>0.033614</v>
      </c>
      <c r="AE35" s="169" t="n">
        <v>0.067228</v>
      </c>
      <c r="AF35" s="169" t="n">
        <v>0.100842</v>
      </c>
      <c r="AG35" s="65"/>
      <c r="AH35" s="169" t="n">
        <v>-0.75</v>
      </c>
      <c r="AI35" s="169" t="n">
        <v>2.5</v>
      </c>
      <c r="AJ35" s="169" t="n">
        <v>0.75</v>
      </c>
      <c r="AK35" s="65"/>
      <c r="AL35" s="169" t="n">
        <v>-0.15</v>
      </c>
      <c r="AM35" s="169" t="n">
        <v>0.5</v>
      </c>
      <c r="AN35" s="169" t="n">
        <v>0.2</v>
      </c>
      <c r="AO35" s="65"/>
      <c r="AP35" s="134" t="n">
        <v>6</v>
      </c>
      <c r="AQ35" s="170" t="n">
        <v>0.15</v>
      </c>
      <c r="AR35" s="65"/>
      <c r="AS35" s="134" t="n">
        <v>1500</v>
      </c>
      <c r="AT35" s="183" t="n">
        <v>0.8</v>
      </c>
      <c r="AU35" s="183" t="n">
        <v>0.8</v>
      </c>
      <c r="AV35" s="183" t="n">
        <v>0.7951</v>
      </c>
      <c r="AW35" s="183" t="n">
        <v>0.954368909575779</v>
      </c>
      <c r="AX35" s="183" t="n">
        <v>1.5</v>
      </c>
      <c r="AY35" s="183" t="n">
        <v>1.7</v>
      </c>
      <c r="AZ35" s="183" t="n">
        <v>1.9</v>
      </c>
      <c r="BA35" s="183" t="n">
        <v>1.9</v>
      </c>
      <c r="BB35" s="183" t="n">
        <v>1.4</v>
      </c>
      <c r="BC35" s="183" t="n">
        <v>0.8451</v>
      </c>
      <c r="BD35" s="183" t="n">
        <v>0.8391</v>
      </c>
      <c r="BE35" s="183" t="n">
        <v>0.7951</v>
      </c>
      <c r="BF35" s="134" t="s">
        <v>124</v>
      </c>
      <c r="BG35" s="65"/>
      <c r="BH35" s="135" t="n">
        <v>37257</v>
      </c>
      <c r="BI35" s="172" t="n">
        <v>0.9</v>
      </c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19"/>
      <c r="CI35" s="145"/>
      <c r="CJ35" s="145"/>
      <c r="CK35" s="145"/>
      <c r="CM35" s="184"/>
      <c r="CN35" s="147"/>
      <c r="CO35" s="173"/>
      <c r="CP35" s="0"/>
      <c r="CQ35" s="0"/>
      <c r="CR35" s="0"/>
      <c r="CS35" s="0"/>
      <c r="CT35" s="0"/>
      <c r="CY35" s="174" t="n">
        <f aca="false">M35</f>
        <v>37257</v>
      </c>
      <c r="CZ35" s="175" t="n">
        <f aca="false">AI35+AH35</f>
        <v>1.75</v>
      </c>
      <c r="DA35" s="175" t="n">
        <f aca="false">AI35</f>
        <v>2.5</v>
      </c>
      <c r="DB35" s="175" t="n">
        <f aca="false">AI35+AJ35</f>
        <v>3.25</v>
      </c>
      <c r="DD35" s="175" t="n">
        <f aca="false">Z35</f>
        <v>0.22545</v>
      </c>
      <c r="DE35" s="175" t="n">
        <f aca="false">AA35</f>
        <v>0.4509</v>
      </c>
      <c r="DF35" s="175" t="n">
        <f aca="false">AB35</f>
        <v>0.67635</v>
      </c>
      <c r="DH35" s="174" t="n">
        <f aca="false">BH35</f>
        <v>37257</v>
      </c>
      <c r="DI35" s="128" t="n">
        <f aca="false">BI35</f>
        <v>0.9</v>
      </c>
      <c r="DP35" s="0" t="n">
        <v>17</v>
      </c>
      <c r="DQ35" s="180" t="s">
        <v>178</v>
      </c>
      <c r="DR35" s="181" t="s">
        <v>179</v>
      </c>
      <c r="DS35" s="182" t="s">
        <v>180</v>
      </c>
      <c r="DT35" s="134"/>
      <c r="DU35" s="197"/>
      <c r="DV35" s="198"/>
      <c r="DW35" s="110"/>
      <c r="DX35" s="65"/>
      <c r="DY35" s="158"/>
    </row>
    <row r="36" customFormat="false" ht="12.75" hidden="false" customHeight="false" outlineLevel="0" collapsed="false">
      <c r="A36" s="138" t="n">
        <f aca="false">EOMONTH(A35,0)+1</f>
        <v>46631</v>
      </c>
      <c r="B36" s="128" t="n">
        <f aca="false">'Gas Curves'!C40</f>
        <v>0.054138502291509</v>
      </c>
      <c r="C36" s="128"/>
      <c r="D36" s="167" t="n">
        <v>36823</v>
      </c>
      <c r="E36" s="168" t="n">
        <v>63.25</v>
      </c>
      <c r="F36" s="168" t="n">
        <v>63.75</v>
      </c>
      <c r="G36" s="168" t="n">
        <v>64.35</v>
      </c>
      <c r="H36" s="152"/>
      <c r="I36" s="168" t="n">
        <v>26.75</v>
      </c>
      <c r="J36" s="168" t="n">
        <v>27</v>
      </c>
      <c r="K36" s="168" t="n">
        <v>27.3</v>
      </c>
      <c r="L36" s="134"/>
      <c r="M36" s="135" t="n">
        <v>37288</v>
      </c>
      <c r="N36" s="169" t="n">
        <v>31.6044967651367</v>
      </c>
      <c r="O36" s="169" t="n">
        <v>32.4294967651367</v>
      </c>
      <c r="P36" s="169" t="n">
        <v>33.1794967651367</v>
      </c>
      <c r="Q36" s="65"/>
      <c r="R36" s="169" t="n">
        <v>24.8039970397949</v>
      </c>
      <c r="S36" s="169" t="n">
        <v>28.8039970397949</v>
      </c>
      <c r="T36" s="169" t="n">
        <v>29.1789970397949</v>
      </c>
      <c r="U36" s="65"/>
      <c r="V36" s="169" t="n">
        <v>2</v>
      </c>
      <c r="W36" s="169" t="n">
        <v>2</v>
      </c>
      <c r="X36" s="169" t="n">
        <v>2</v>
      </c>
      <c r="Y36" s="65"/>
      <c r="Z36" s="169" t="n">
        <v>0.2178</v>
      </c>
      <c r="AA36" s="169" t="n">
        <v>0.4356</v>
      </c>
      <c r="AB36" s="169" t="n">
        <v>0.6534</v>
      </c>
      <c r="AC36" s="65"/>
      <c r="AD36" s="169" t="n">
        <v>0.033614</v>
      </c>
      <c r="AE36" s="169" t="n">
        <v>0.067228</v>
      </c>
      <c r="AF36" s="169" t="n">
        <v>0.100842</v>
      </c>
      <c r="AG36" s="65"/>
      <c r="AH36" s="169" t="n">
        <v>-0.75</v>
      </c>
      <c r="AI36" s="169" t="n">
        <v>2.5</v>
      </c>
      <c r="AJ36" s="169" t="n">
        <v>0.75</v>
      </c>
      <c r="AK36" s="65"/>
      <c r="AL36" s="169" t="n">
        <v>-0.15</v>
      </c>
      <c r="AM36" s="169" t="n">
        <v>0.5</v>
      </c>
      <c r="AN36" s="169" t="n">
        <v>0.2</v>
      </c>
      <c r="AO36" s="65"/>
      <c r="AP36" s="134" t="n">
        <v>7</v>
      </c>
      <c r="AQ36" s="170" t="n">
        <v>0.2</v>
      </c>
      <c r="AR36" s="65"/>
      <c r="AS36" s="134" t="n">
        <v>1600</v>
      </c>
      <c r="AT36" s="183" t="n">
        <v>0.8</v>
      </c>
      <c r="AU36" s="183" t="n">
        <v>0.8</v>
      </c>
      <c r="AV36" s="183" t="n">
        <v>0.7793</v>
      </c>
      <c r="AW36" s="183" t="n">
        <v>0.891967555963749</v>
      </c>
      <c r="AX36" s="183" t="n">
        <v>1.5</v>
      </c>
      <c r="AY36" s="183" t="n">
        <v>1.7</v>
      </c>
      <c r="AZ36" s="183" t="n">
        <v>1.9</v>
      </c>
      <c r="BA36" s="183" t="n">
        <v>1.9</v>
      </c>
      <c r="BB36" s="183" t="n">
        <v>1.4</v>
      </c>
      <c r="BC36" s="183" t="n">
        <v>0.8393</v>
      </c>
      <c r="BD36" s="183" t="n">
        <v>0.8253</v>
      </c>
      <c r="BE36" s="183" t="n">
        <v>0.7813</v>
      </c>
      <c r="BF36" s="134" t="s">
        <v>124</v>
      </c>
      <c r="BG36" s="65"/>
      <c r="BH36" s="135" t="n">
        <v>37288</v>
      </c>
      <c r="BI36" s="172" t="n">
        <v>0.9</v>
      </c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19"/>
      <c r="CI36" s="145"/>
      <c r="CJ36" s="145"/>
      <c r="CK36" s="145"/>
      <c r="CM36" s="200"/>
      <c r="CN36" s="200"/>
      <c r="CO36" s="173"/>
      <c r="CP36" s="0"/>
      <c r="CQ36" s="0"/>
      <c r="CR36" s="0"/>
      <c r="CS36" s="0"/>
      <c r="CT36" s="0"/>
      <c r="CY36" s="174" t="n">
        <f aca="false">M36</f>
        <v>37288</v>
      </c>
      <c r="CZ36" s="175" t="n">
        <f aca="false">AI36+AH36</f>
        <v>1.75</v>
      </c>
      <c r="DA36" s="175" t="n">
        <f aca="false">AI36</f>
        <v>2.5</v>
      </c>
      <c r="DB36" s="175" t="n">
        <f aca="false">AI36+AJ36</f>
        <v>3.25</v>
      </c>
      <c r="DD36" s="175" t="n">
        <f aca="false">Z36</f>
        <v>0.2178</v>
      </c>
      <c r="DE36" s="175" t="n">
        <f aca="false">AA36</f>
        <v>0.4356</v>
      </c>
      <c r="DF36" s="175" t="n">
        <f aca="false">AB36</f>
        <v>0.6534</v>
      </c>
      <c r="DH36" s="174" t="n">
        <f aca="false">BH36</f>
        <v>37288</v>
      </c>
      <c r="DI36" s="128" t="n">
        <f aca="false">BI36</f>
        <v>0.9</v>
      </c>
      <c r="DP36" s="0" t="n">
        <v>18</v>
      </c>
      <c r="DQ36" s="180" t="s">
        <v>181</v>
      </c>
      <c r="DR36" s="181" t="s">
        <v>182</v>
      </c>
      <c r="DS36" s="182" t="s">
        <v>183</v>
      </c>
      <c r="DT36" s="134"/>
      <c r="DU36" s="197"/>
      <c r="DV36" s="198"/>
      <c r="DW36" s="110"/>
      <c r="DX36" s="65"/>
      <c r="DY36" s="158"/>
    </row>
    <row r="37" customFormat="false" ht="12.75" hidden="false" customHeight="false" outlineLevel="0" collapsed="false">
      <c r="A37" s="138" t="n">
        <f aca="false">EOMONTH(A36,0)+1</f>
        <v>46661</v>
      </c>
      <c r="B37" s="128" t="n">
        <f aca="false">'Gas Curves'!C41</f>
        <v>0.05425129833824</v>
      </c>
      <c r="C37" s="128"/>
      <c r="D37" s="167" t="n">
        <v>36824</v>
      </c>
      <c r="E37" s="168" t="n">
        <v>63.25</v>
      </c>
      <c r="F37" s="168" t="n">
        <v>63.75</v>
      </c>
      <c r="G37" s="168" t="n">
        <v>64.35</v>
      </c>
      <c r="H37" s="152"/>
      <c r="I37" s="168" t="n">
        <v>26.75</v>
      </c>
      <c r="J37" s="168" t="n">
        <v>27</v>
      </c>
      <c r="K37" s="168" t="n">
        <v>27.3</v>
      </c>
      <c r="L37" s="134"/>
      <c r="M37" s="135" t="n">
        <v>37316</v>
      </c>
      <c r="N37" s="169" t="n">
        <v>25.7499969482422</v>
      </c>
      <c r="O37" s="169" t="n">
        <v>26.5749969482422</v>
      </c>
      <c r="P37" s="169" t="n">
        <v>27.3249969482422</v>
      </c>
      <c r="Q37" s="65"/>
      <c r="R37" s="169" t="n">
        <v>19.5999984741211</v>
      </c>
      <c r="S37" s="169" t="n">
        <v>23.5999984741211</v>
      </c>
      <c r="T37" s="169" t="n">
        <v>23.9749984741211</v>
      </c>
      <c r="U37" s="65"/>
      <c r="V37" s="169" t="n">
        <v>2</v>
      </c>
      <c r="W37" s="169" t="n">
        <v>2</v>
      </c>
      <c r="X37" s="169" t="n">
        <v>2</v>
      </c>
      <c r="Y37" s="65"/>
      <c r="Z37" s="169" t="n">
        <v>0.1726625</v>
      </c>
      <c r="AA37" s="169" t="n">
        <v>0.345325</v>
      </c>
      <c r="AB37" s="169" t="n">
        <v>0.5179875</v>
      </c>
      <c r="AC37" s="65"/>
      <c r="AD37" s="169" t="n">
        <v>0.0294</v>
      </c>
      <c r="AE37" s="169" t="n">
        <v>0.0588</v>
      </c>
      <c r="AF37" s="169" t="n">
        <v>0.0882</v>
      </c>
      <c r="AG37" s="65"/>
      <c r="AH37" s="169" t="n">
        <v>-0.25</v>
      </c>
      <c r="AI37" s="169" t="n">
        <v>1.4</v>
      </c>
      <c r="AJ37" s="169" t="n">
        <v>0.3</v>
      </c>
      <c r="AK37" s="65"/>
      <c r="AL37" s="169" t="n">
        <v>-0.15</v>
      </c>
      <c r="AM37" s="169" t="n">
        <v>0.35</v>
      </c>
      <c r="AN37" s="169" t="n">
        <v>0.2</v>
      </c>
      <c r="AO37" s="65"/>
      <c r="AP37" s="134" t="n">
        <v>7</v>
      </c>
      <c r="AQ37" s="170" t="n">
        <v>0.2</v>
      </c>
      <c r="AR37" s="65"/>
      <c r="AS37" s="134" t="n">
        <v>1700</v>
      </c>
      <c r="AT37" s="183" t="n">
        <v>1.2</v>
      </c>
      <c r="AU37" s="183" t="n">
        <v>1.2</v>
      </c>
      <c r="AV37" s="183" t="n">
        <v>0.8496</v>
      </c>
      <c r="AW37" s="183" t="n">
        <v>0.87001361056091</v>
      </c>
      <c r="AX37" s="183" t="n">
        <v>1.5</v>
      </c>
      <c r="AY37" s="183" t="n">
        <v>1.7</v>
      </c>
      <c r="AZ37" s="183" t="n">
        <v>1.9</v>
      </c>
      <c r="BA37" s="183" t="n">
        <v>1.9</v>
      </c>
      <c r="BB37" s="183" t="n">
        <v>1.4</v>
      </c>
      <c r="BC37" s="183" t="n">
        <v>0.8896</v>
      </c>
      <c r="BD37" s="183" t="n">
        <v>0.8866</v>
      </c>
      <c r="BE37" s="183" t="n">
        <v>0.8796</v>
      </c>
      <c r="BF37" s="134" t="s">
        <v>124</v>
      </c>
      <c r="BG37" s="65"/>
      <c r="BH37" s="135" t="n">
        <v>37316</v>
      </c>
      <c r="BI37" s="172" t="n">
        <v>0.9</v>
      </c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19"/>
      <c r="CI37" s="160"/>
      <c r="CJ37" s="160"/>
      <c r="CK37" s="160"/>
      <c r="CM37" s="200"/>
      <c r="CN37" s="200"/>
      <c r="CO37" s="173"/>
      <c r="CP37" s="0"/>
      <c r="CQ37" s="0"/>
      <c r="CR37" s="0"/>
      <c r="CS37" s="0"/>
      <c r="CT37" s="0"/>
      <c r="CY37" s="174" t="n">
        <f aca="false">M37</f>
        <v>37316</v>
      </c>
      <c r="CZ37" s="175" t="n">
        <f aca="false">AI37+AH37</f>
        <v>1.15</v>
      </c>
      <c r="DA37" s="175" t="n">
        <f aca="false">AI37</f>
        <v>1.4</v>
      </c>
      <c r="DB37" s="175" t="n">
        <f aca="false">AI37+AJ37</f>
        <v>1.7</v>
      </c>
      <c r="DD37" s="175" t="n">
        <f aca="false">Z37</f>
        <v>0.1726625</v>
      </c>
      <c r="DE37" s="175" t="n">
        <f aca="false">AA37</f>
        <v>0.345325</v>
      </c>
      <c r="DF37" s="175" t="n">
        <f aca="false">AB37</f>
        <v>0.5179875</v>
      </c>
      <c r="DH37" s="174" t="n">
        <f aca="false">BH37</f>
        <v>37316</v>
      </c>
      <c r="DI37" s="128" t="n">
        <f aca="false">BI37</f>
        <v>0.9</v>
      </c>
      <c r="DP37" s="0" t="n">
        <v>19</v>
      </c>
      <c r="DQ37" s="180" t="s">
        <v>184</v>
      </c>
      <c r="DR37" s="181" t="s">
        <v>185</v>
      </c>
      <c r="DS37" s="182" t="s">
        <v>186</v>
      </c>
      <c r="DT37" s="134"/>
      <c r="DU37" s="197"/>
      <c r="DV37" s="198"/>
      <c r="DW37" s="110"/>
      <c r="DX37" s="65"/>
      <c r="DY37" s="158"/>
    </row>
    <row r="38" customFormat="false" ht="12.75" hidden="false" customHeight="false" outlineLevel="0" collapsed="false">
      <c r="A38" s="138" t="n">
        <f aca="false">EOMONTH(A37,0)+1</f>
        <v>46692</v>
      </c>
      <c r="B38" s="128" t="n">
        <f aca="false">'Gas Curves'!C42</f>
        <v>0.054353178642157</v>
      </c>
      <c r="C38" s="128"/>
      <c r="D38" s="167" t="n">
        <v>36825</v>
      </c>
      <c r="E38" s="168" t="n">
        <v>63.25</v>
      </c>
      <c r="F38" s="168" t="n">
        <v>63.75</v>
      </c>
      <c r="G38" s="168" t="n">
        <v>64.35</v>
      </c>
      <c r="H38" s="152"/>
      <c r="I38" s="168" t="n">
        <v>26.75</v>
      </c>
      <c r="J38" s="168" t="n">
        <v>27</v>
      </c>
      <c r="K38" s="168" t="n">
        <v>27.3</v>
      </c>
      <c r="L38" s="134"/>
      <c r="M38" s="135" t="n">
        <v>37347</v>
      </c>
      <c r="N38" s="169" t="n">
        <v>24.8499996185303</v>
      </c>
      <c r="O38" s="169" t="n">
        <v>25.8999996185303</v>
      </c>
      <c r="P38" s="169" t="n">
        <v>26.6499996185303</v>
      </c>
      <c r="Q38" s="65"/>
      <c r="R38" s="169" t="n">
        <v>19</v>
      </c>
      <c r="S38" s="169" t="n">
        <v>23</v>
      </c>
      <c r="T38" s="169" t="n">
        <v>23.375</v>
      </c>
      <c r="U38" s="65"/>
      <c r="V38" s="169" t="n">
        <v>2</v>
      </c>
      <c r="W38" s="169" t="n">
        <v>2</v>
      </c>
      <c r="X38" s="169" t="n">
        <v>2</v>
      </c>
      <c r="Y38" s="65"/>
      <c r="Z38" s="169" t="n">
        <v>0.172425</v>
      </c>
      <c r="AA38" s="169" t="n">
        <v>0.34485</v>
      </c>
      <c r="AB38" s="169" t="n">
        <v>0.517275</v>
      </c>
      <c r="AC38" s="65"/>
      <c r="AD38" s="169" t="n">
        <v>0.0294</v>
      </c>
      <c r="AE38" s="169" t="n">
        <v>0.0588</v>
      </c>
      <c r="AF38" s="169" t="n">
        <v>0.0882</v>
      </c>
      <c r="AG38" s="65"/>
      <c r="AH38" s="169" t="n">
        <v>-0.25</v>
      </c>
      <c r="AI38" s="169" t="n">
        <v>1.4</v>
      </c>
      <c r="AJ38" s="169" t="n">
        <v>0.3</v>
      </c>
      <c r="AK38" s="65"/>
      <c r="AL38" s="169" t="n">
        <v>-0.15</v>
      </c>
      <c r="AM38" s="169" t="n">
        <v>0.35</v>
      </c>
      <c r="AN38" s="169" t="n">
        <v>0.2</v>
      </c>
      <c r="AO38" s="65"/>
      <c r="AP38" s="134" t="n">
        <v>7</v>
      </c>
      <c r="AQ38" s="170" t="n">
        <v>0.2</v>
      </c>
      <c r="AR38" s="65"/>
      <c r="AS38" s="134" t="n">
        <v>1800</v>
      </c>
      <c r="AT38" s="183" t="n">
        <v>1.2</v>
      </c>
      <c r="AU38" s="183" t="n">
        <v>1.2</v>
      </c>
      <c r="AV38" s="183" t="n">
        <v>1.1583</v>
      </c>
      <c r="AW38" s="183" t="n">
        <v>0.858698637233787</v>
      </c>
      <c r="AX38" s="183" t="n">
        <v>1</v>
      </c>
      <c r="AY38" s="183" t="n">
        <v>1.2</v>
      </c>
      <c r="AZ38" s="183" t="n">
        <v>1.3</v>
      </c>
      <c r="BA38" s="183" t="n">
        <v>1.3</v>
      </c>
      <c r="BB38" s="183" t="n">
        <v>1.3</v>
      </c>
      <c r="BC38" s="183" t="n">
        <v>1.2001</v>
      </c>
      <c r="BD38" s="183" t="n">
        <v>1.2171</v>
      </c>
      <c r="BE38" s="183" t="n">
        <v>1.23965925286319</v>
      </c>
      <c r="BF38" s="134" t="s">
        <v>124</v>
      </c>
      <c r="BG38" s="65"/>
      <c r="BH38" s="135" t="n">
        <v>37347</v>
      </c>
      <c r="BI38" s="172" t="n">
        <v>0.9</v>
      </c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19"/>
      <c r="CI38" s="160"/>
      <c r="CJ38" s="160"/>
      <c r="CK38" s="160"/>
      <c r="CM38" s="200"/>
      <c r="CN38" s="200"/>
      <c r="CO38" s="173"/>
      <c r="CP38" s="0"/>
      <c r="CQ38" s="0"/>
      <c r="CR38" s="0"/>
      <c r="CS38" s="0"/>
      <c r="CT38" s="0"/>
      <c r="CY38" s="174" t="n">
        <f aca="false">M38</f>
        <v>37347</v>
      </c>
      <c r="CZ38" s="175" t="n">
        <f aca="false">AI38+AH38</f>
        <v>1.15</v>
      </c>
      <c r="DA38" s="175" t="n">
        <f aca="false">AI38</f>
        <v>1.4</v>
      </c>
      <c r="DB38" s="175" t="n">
        <f aca="false">AI38+AJ38</f>
        <v>1.7</v>
      </c>
      <c r="DD38" s="175" t="n">
        <f aca="false">Z38</f>
        <v>0.172425</v>
      </c>
      <c r="DE38" s="175" t="n">
        <f aca="false">AA38</f>
        <v>0.34485</v>
      </c>
      <c r="DF38" s="175" t="n">
        <f aca="false">AB38</f>
        <v>0.517275</v>
      </c>
      <c r="DH38" s="174" t="n">
        <f aca="false">BH38</f>
        <v>37347</v>
      </c>
      <c r="DI38" s="128" t="n">
        <f aca="false">BI38</f>
        <v>0.9</v>
      </c>
      <c r="DP38" s="0" t="n">
        <v>20</v>
      </c>
      <c r="DQ38" s="180" t="s">
        <v>187</v>
      </c>
      <c r="DR38" s="181" t="s">
        <v>188</v>
      </c>
      <c r="DS38" s="182" t="s">
        <v>189</v>
      </c>
      <c r="DT38" s="134"/>
      <c r="DU38" s="197"/>
      <c r="DV38" s="198"/>
      <c r="DW38" s="110"/>
      <c r="DX38" s="65"/>
      <c r="DY38" s="158"/>
    </row>
    <row r="39" customFormat="false" ht="12.75" hidden="false" customHeight="false" outlineLevel="0" collapsed="false">
      <c r="A39" s="138" t="n">
        <f aca="false">EOMONTH(A38,0)+1</f>
        <v>46722</v>
      </c>
      <c r="B39" s="128" t="n">
        <f aca="false">'Gas Curves'!C43</f>
        <v>0.054454190075276</v>
      </c>
      <c r="C39" s="128"/>
      <c r="D39" s="167" t="n">
        <v>36826</v>
      </c>
      <c r="E39" s="168" t="n">
        <v>63.25</v>
      </c>
      <c r="F39" s="168" t="n">
        <v>63.75</v>
      </c>
      <c r="G39" s="168" t="n">
        <v>64.35</v>
      </c>
      <c r="H39" s="152"/>
      <c r="I39" s="168" t="n">
        <v>26.75</v>
      </c>
      <c r="J39" s="168" t="n">
        <v>27</v>
      </c>
      <c r="K39" s="168" t="n">
        <v>27.3</v>
      </c>
      <c r="L39" s="134"/>
      <c r="M39" s="135" t="n">
        <v>37377</v>
      </c>
      <c r="N39" s="169" t="n">
        <v>28.45</v>
      </c>
      <c r="O39" s="169" t="n">
        <v>29.5</v>
      </c>
      <c r="P39" s="169" t="n">
        <v>30.925</v>
      </c>
      <c r="Q39" s="65"/>
      <c r="R39" s="169" t="n">
        <v>22.1999988555908</v>
      </c>
      <c r="S39" s="169" t="n">
        <v>26.1999988555908</v>
      </c>
      <c r="T39" s="169" t="n">
        <v>26.9124988555908</v>
      </c>
      <c r="U39" s="65"/>
      <c r="V39" s="169" t="n">
        <v>2</v>
      </c>
      <c r="W39" s="169" t="n">
        <v>2</v>
      </c>
      <c r="X39" s="169" t="n">
        <v>2</v>
      </c>
      <c r="Y39" s="65"/>
      <c r="Z39" s="169" t="n">
        <v>0.181395</v>
      </c>
      <c r="AA39" s="169" t="n">
        <v>0.36279</v>
      </c>
      <c r="AB39" s="169" t="n">
        <v>0.544185</v>
      </c>
      <c r="AC39" s="65"/>
      <c r="AD39" s="169" t="n">
        <v>0.033614</v>
      </c>
      <c r="AE39" s="169" t="n">
        <v>0.067228</v>
      </c>
      <c r="AF39" s="169" t="n">
        <v>0.100842</v>
      </c>
      <c r="AG39" s="65"/>
      <c r="AH39" s="169" t="n">
        <v>-0.25</v>
      </c>
      <c r="AI39" s="169" t="n">
        <v>1.5</v>
      </c>
      <c r="AJ39" s="169" t="n">
        <v>0.3</v>
      </c>
      <c r="AK39" s="65"/>
      <c r="AL39" s="169" t="n">
        <v>-0.15</v>
      </c>
      <c r="AM39" s="169" t="n">
        <v>0.5</v>
      </c>
      <c r="AN39" s="169" t="n">
        <v>0.2</v>
      </c>
      <c r="AO39" s="65"/>
      <c r="AP39" s="134" t="n">
        <v>8</v>
      </c>
      <c r="AQ39" s="170" t="n">
        <v>0.2</v>
      </c>
      <c r="AR39" s="65"/>
      <c r="AS39" s="134" t="n">
        <v>1900</v>
      </c>
      <c r="AT39" s="183" t="n">
        <v>1.2</v>
      </c>
      <c r="AU39" s="183" t="n">
        <v>1.2</v>
      </c>
      <c r="AV39" s="183" t="n">
        <v>1.2719</v>
      </c>
      <c r="AW39" s="183" t="n">
        <v>0.854095390617062</v>
      </c>
      <c r="AX39" s="183" t="n">
        <v>1</v>
      </c>
      <c r="AY39" s="183" t="n">
        <v>1.2</v>
      </c>
      <c r="AZ39" s="183" t="n">
        <v>1.3</v>
      </c>
      <c r="BA39" s="183" t="n">
        <v>1.3</v>
      </c>
      <c r="BB39" s="183" t="n">
        <v>1.3</v>
      </c>
      <c r="BC39" s="183" t="n">
        <v>1.2095</v>
      </c>
      <c r="BD39" s="183" t="n">
        <v>1.2269</v>
      </c>
      <c r="BE39" s="183" t="n">
        <v>1.2314</v>
      </c>
      <c r="BF39" s="134" t="s">
        <v>124</v>
      </c>
      <c r="BG39" s="65"/>
      <c r="BH39" s="135" t="n">
        <v>37377</v>
      </c>
      <c r="BI39" s="172" t="n">
        <v>0.9</v>
      </c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19"/>
      <c r="CI39" s="160"/>
      <c r="CJ39" s="160"/>
      <c r="CK39" s="160"/>
      <c r="CM39" s="200"/>
      <c r="CN39" s="200"/>
      <c r="CO39" s="173"/>
      <c r="CP39" s="0"/>
      <c r="CQ39" s="0"/>
      <c r="CR39" s="0"/>
      <c r="CS39" s="0"/>
      <c r="CT39" s="0"/>
      <c r="CY39" s="174" t="n">
        <f aca="false">M39</f>
        <v>37377</v>
      </c>
      <c r="CZ39" s="175" t="n">
        <f aca="false">AI39+AH39</f>
        <v>1.25</v>
      </c>
      <c r="DA39" s="175" t="n">
        <f aca="false">AI39</f>
        <v>1.5</v>
      </c>
      <c r="DB39" s="175" t="n">
        <f aca="false">AI39+AJ39</f>
        <v>1.8</v>
      </c>
      <c r="DD39" s="175" t="n">
        <f aca="false">Z39</f>
        <v>0.181395</v>
      </c>
      <c r="DE39" s="175" t="n">
        <f aca="false">AA39</f>
        <v>0.36279</v>
      </c>
      <c r="DF39" s="175" t="n">
        <f aca="false">AB39</f>
        <v>0.544185</v>
      </c>
      <c r="DH39" s="174" t="n">
        <f aca="false">BH39</f>
        <v>37377</v>
      </c>
      <c r="DI39" s="128" t="n">
        <f aca="false">BI39</f>
        <v>0.9</v>
      </c>
      <c r="DP39" s="0" t="n">
        <v>21</v>
      </c>
      <c r="DQ39" s="180" t="s">
        <v>190</v>
      </c>
      <c r="DR39" s="181" t="s">
        <v>191</v>
      </c>
      <c r="DS39" s="182" t="s">
        <v>192</v>
      </c>
      <c r="DT39" s="84"/>
      <c r="DU39" s="197"/>
      <c r="DV39" s="198"/>
      <c r="DW39" s="110"/>
      <c r="DX39" s="65"/>
      <c r="DY39" s="158"/>
    </row>
    <row r="40" customFormat="false" ht="12.75" hidden="false" customHeight="false" outlineLevel="0" collapsed="false">
      <c r="A40" s="138" t="n">
        <f aca="false">EOMONTH(A39,0)+1</f>
        <v>46753</v>
      </c>
      <c r="B40" s="128" t="n">
        <f aca="false">'Gas Curves'!C44</f>
        <v>0.054536343531129</v>
      </c>
      <c r="C40" s="128"/>
      <c r="D40" s="167" t="n">
        <v>36827</v>
      </c>
      <c r="E40" s="168" t="n">
        <v>47.5</v>
      </c>
      <c r="F40" s="168" t="n">
        <v>48</v>
      </c>
      <c r="G40" s="168" t="n">
        <v>48.6</v>
      </c>
      <c r="H40" s="152"/>
      <c r="I40" s="168" t="n">
        <v>26.75</v>
      </c>
      <c r="J40" s="168" t="n">
        <v>27</v>
      </c>
      <c r="K40" s="168" t="n">
        <v>27.3</v>
      </c>
      <c r="L40" s="134"/>
      <c r="M40" s="135" t="n">
        <v>37408</v>
      </c>
      <c r="N40" s="169" t="n">
        <v>34.2750030517578</v>
      </c>
      <c r="O40" s="169" t="n">
        <v>36.3000030517578</v>
      </c>
      <c r="P40" s="169" t="n">
        <v>38.4750030517578</v>
      </c>
      <c r="Q40" s="65"/>
      <c r="R40" s="169" t="n">
        <v>27.7000026702881</v>
      </c>
      <c r="S40" s="169" t="n">
        <v>31.7000026702881</v>
      </c>
      <c r="T40" s="169" t="n">
        <v>32.7875026702881</v>
      </c>
      <c r="U40" s="65"/>
      <c r="V40" s="169" t="n">
        <v>2</v>
      </c>
      <c r="W40" s="169" t="n">
        <v>2</v>
      </c>
      <c r="X40" s="169" t="n">
        <v>2</v>
      </c>
      <c r="Y40" s="65"/>
      <c r="Z40" s="169" t="n">
        <v>0.19399</v>
      </c>
      <c r="AA40" s="169" t="n">
        <v>0.38798</v>
      </c>
      <c r="AB40" s="169" t="n">
        <v>0.58197</v>
      </c>
      <c r="AC40" s="65"/>
      <c r="AD40" s="169" t="n">
        <v>0.043218</v>
      </c>
      <c r="AE40" s="169" t="n">
        <v>0.086436</v>
      </c>
      <c r="AF40" s="169" t="n">
        <v>0.129654</v>
      </c>
      <c r="AG40" s="65"/>
      <c r="AH40" s="169" t="n">
        <v>-0.35</v>
      </c>
      <c r="AI40" s="169" t="n">
        <v>3</v>
      </c>
      <c r="AJ40" s="169" t="n">
        <v>0.3</v>
      </c>
      <c r="AK40" s="65"/>
      <c r="AL40" s="169" t="n">
        <v>-0.15</v>
      </c>
      <c r="AM40" s="169" t="n">
        <v>0.65</v>
      </c>
      <c r="AN40" s="169" t="n">
        <v>0.2</v>
      </c>
      <c r="AO40" s="65"/>
      <c r="AP40" s="134" t="n">
        <v>8</v>
      </c>
      <c r="AQ40" s="170" t="n">
        <v>0.2</v>
      </c>
      <c r="AR40" s="65"/>
      <c r="AS40" s="134" t="n">
        <v>2000</v>
      </c>
      <c r="AT40" s="183" t="n">
        <v>1.2</v>
      </c>
      <c r="AU40" s="183" t="n">
        <v>1.2</v>
      </c>
      <c r="AV40" s="183" t="n">
        <v>1.217</v>
      </c>
      <c r="AW40" s="183" t="n">
        <v>0.936808972307086</v>
      </c>
      <c r="AX40" s="183" t="n">
        <v>0.75</v>
      </c>
      <c r="AY40" s="183" t="n">
        <v>0.55</v>
      </c>
      <c r="AZ40" s="183" t="n">
        <v>0.4</v>
      </c>
      <c r="BA40" s="183" t="n">
        <v>0.4</v>
      </c>
      <c r="BB40" s="183" t="n">
        <v>0.65</v>
      </c>
      <c r="BC40" s="183" t="n">
        <v>1.1567</v>
      </c>
      <c r="BD40" s="183" t="n">
        <v>1.1767</v>
      </c>
      <c r="BE40" s="183" t="n">
        <v>1.18899630831453</v>
      </c>
      <c r="BF40" s="134" t="s">
        <v>124</v>
      </c>
      <c r="BG40" s="65"/>
      <c r="BH40" s="135" t="n">
        <v>37408</v>
      </c>
      <c r="BI40" s="172" t="n">
        <v>0.9</v>
      </c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19"/>
      <c r="CI40" s="160"/>
      <c r="CJ40" s="160"/>
      <c r="CK40" s="160"/>
      <c r="CM40" s="200"/>
      <c r="CN40" s="200"/>
      <c r="CO40" s="173"/>
      <c r="CP40" s="0"/>
      <c r="CQ40" s="0"/>
      <c r="CR40" s="0"/>
      <c r="CS40" s="0"/>
      <c r="CT40" s="0"/>
      <c r="CY40" s="174" t="n">
        <f aca="false">M40</f>
        <v>37408</v>
      </c>
      <c r="CZ40" s="175" t="n">
        <f aca="false">AI40+AH40</f>
        <v>2.65</v>
      </c>
      <c r="DA40" s="175" t="n">
        <f aca="false">AI40</f>
        <v>3</v>
      </c>
      <c r="DB40" s="175" t="n">
        <f aca="false">AI40+AJ40</f>
        <v>3.3</v>
      </c>
      <c r="DD40" s="175" t="n">
        <f aca="false">Z40</f>
        <v>0.19399</v>
      </c>
      <c r="DE40" s="175" t="n">
        <f aca="false">AA40</f>
        <v>0.38798</v>
      </c>
      <c r="DF40" s="175" t="n">
        <f aca="false">AB40</f>
        <v>0.58197</v>
      </c>
      <c r="DH40" s="174" t="n">
        <f aca="false">BH40</f>
        <v>37408</v>
      </c>
      <c r="DI40" s="128" t="n">
        <f aca="false">BI40</f>
        <v>0.9</v>
      </c>
      <c r="DP40" s="0" t="n">
        <v>22</v>
      </c>
      <c r="DQ40" s="180" t="s">
        <v>193</v>
      </c>
      <c r="DR40" s="181" t="s">
        <v>194</v>
      </c>
      <c r="DS40" s="182" t="s">
        <v>195</v>
      </c>
      <c r="DT40" s="84"/>
      <c r="DU40" s="197"/>
      <c r="DV40" s="198"/>
      <c r="DW40" s="110"/>
      <c r="DX40" s="65"/>
      <c r="DY40" s="158"/>
    </row>
    <row r="41" customFormat="false" ht="12.75" hidden="false" customHeight="false" outlineLevel="0" collapsed="false">
      <c r="A41" s="138" t="n">
        <f aca="false">EOMONTH(A40,0)+1</f>
        <v>46784</v>
      </c>
      <c r="B41" s="128" t="n">
        <f aca="false">'Gas Curves'!C45</f>
        <v>0.054621235437872</v>
      </c>
      <c r="C41" s="128"/>
      <c r="D41" s="167" t="n">
        <v>36828</v>
      </c>
      <c r="E41" s="168" t="n">
        <v>47.5</v>
      </c>
      <c r="F41" s="168" t="n">
        <v>48</v>
      </c>
      <c r="G41" s="168" t="n">
        <v>48.6</v>
      </c>
      <c r="H41" s="152"/>
      <c r="I41" s="168" t="n">
        <v>26.75</v>
      </c>
      <c r="J41" s="168" t="n">
        <v>27</v>
      </c>
      <c r="K41" s="168" t="n">
        <v>27.3</v>
      </c>
      <c r="L41" s="134"/>
      <c r="M41" s="135" t="n">
        <v>37438</v>
      </c>
      <c r="N41" s="169" t="n">
        <v>40.4500015258789</v>
      </c>
      <c r="O41" s="169" t="n">
        <v>45.4000015258789</v>
      </c>
      <c r="P41" s="169" t="n">
        <v>50.0500015258789</v>
      </c>
      <c r="Q41" s="65"/>
      <c r="R41" s="169" t="n">
        <v>34.9000015258789</v>
      </c>
      <c r="S41" s="169" t="n">
        <v>38.9000015258789</v>
      </c>
      <c r="T41" s="169" t="n">
        <v>41.2250015258789</v>
      </c>
      <c r="U41" s="65"/>
      <c r="V41" s="169" t="n">
        <v>2</v>
      </c>
      <c r="W41" s="169" t="n">
        <v>2</v>
      </c>
      <c r="X41" s="169" t="n">
        <v>2</v>
      </c>
      <c r="Y41" s="65"/>
      <c r="Z41" s="169" t="n">
        <v>0.2310525</v>
      </c>
      <c r="AA41" s="169" t="n">
        <v>0.462105</v>
      </c>
      <c r="AB41" s="169" t="n">
        <v>0.6931575</v>
      </c>
      <c r="AC41" s="65"/>
      <c r="AD41" s="169" t="n">
        <v>0.057624</v>
      </c>
      <c r="AE41" s="169" t="n">
        <v>0.115248</v>
      </c>
      <c r="AF41" s="169" t="n">
        <v>0.172872</v>
      </c>
      <c r="AG41" s="65"/>
      <c r="AH41" s="169" t="n">
        <v>-0.35</v>
      </c>
      <c r="AI41" s="169" t="n">
        <v>3.75</v>
      </c>
      <c r="AJ41" s="169" t="n">
        <v>0.5</v>
      </c>
      <c r="AK41" s="65"/>
      <c r="AL41" s="169" t="n">
        <v>-0.15</v>
      </c>
      <c r="AM41" s="169" t="n">
        <v>0.75</v>
      </c>
      <c r="AN41" s="169" t="n">
        <v>0.2</v>
      </c>
      <c r="AO41" s="65"/>
      <c r="AP41" s="134" t="n">
        <v>8</v>
      </c>
      <c r="AQ41" s="170" t="n">
        <v>0.2</v>
      </c>
      <c r="AR41" s="65"/>
      <c r="AS41" s="134" t="n">
        <v>2100</v>
      </c>
      <c r="AT41" s="183" t="n">
        <v>1.1</v>
      </c>
      <c r="AU41" s="183" t="n">
        <v>1.1</v>
      </c>
      <c r="AV41" s="183" t="n">
        <v>1.1451</v>
      </c>
      <c r="AW41" s="183" t="n">
        <v>1.15433651784915</v>
      </c>
      <c r="AX41" s="183" t="n">
        <v>0.75</v>
      </c>
      <c r="AY41" s="183" t="n">
        <v>0.55</v>
      </c>
      <c r="AZ41" s="183" t="n">
        <v>0.4</v>
      </c>
      <c r="BA41" s="183" t="n">
        <v>0.4</v>
      </c>
      <c r="BB41" s="183" t="n">
        <v>0.65</v>
      </c>
      <c r="BC41" s="183" t="n">
        <v>1.0689</v>
      </c>
      <c r="BD41" s="183" t="n">
        <v>1.0889</v>
      </c>
      <c r="BE41" s="183" t="n">
        <v>1.15505237327277</v>
      </c>
      <c r="BF41" s="134" t="s">
        <v>124</v>
      </c>
      <c r="BG41" s="65"/>
      <c r="BH41" s="135" t="n">
        <v>37438</v>
      </c>
      <c r="BI41" s="172" t="n">
        <v>0.9</v>
      </c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19"/>
      <c r="CI41" s="160"/>
      <c r="CJ41" s="160"/>
      <c r="CK41" s="160"/>
      <c r="CM41" s="200"/>
      <c r="CN41" s="200"/>
      <c r="CO41" s="173"/>
      <c r="CP41" s="0"/>
      <c r="CQ41" s="0"/>
      <c r="CR41" s="0"/>
      <c r="CS41" s="0"/>
      <c r="CT41" s="0"/>
      <c r="CY41" s="174" t="n">
        <f aca="false">M41</f>
        <v>37438</v>
      </c>
      <c r="CZ41" s="175" t="n">
        <f aca="false">AI41+AH41</f>
        <v>3.4</v>
      </c>
      <c r="DA41" s="175" t="n">
        <f aca="false">AI41</f>
        <v>3.75</v>
      </c>
      <c r="DB41" s="175" t="n">
        <f aca="false">AI41+AJ41</f>
        <v>4.25</v>
      </c>
      <c r="DD41" s="175" t="n">
        <f aca="false">Z41</f>
        <v>0.2310525</v>
      </c>
      <c r="DE41" s="175" t="n">
        <f aca="false">AA41</f>
        <v>0.462105</v>
      </c>
      <c r="DF41" s="175" t="n">
        <f aca="false">AB41</f>
        <v>0.6931575</v>
      </c>
      <c r="DH41" s="174" t="n">
        <f aca="false">BH41</f>
        <v>37438</v>
      </c>
      <c r="DI41" s="128" t="n">
        <f aca="false">BI41</f>
        <v>0.9</v>
      </c>
      <c r="DP41" s="0" t="n">
        <v>23</v>
      </c>
      <c r="DQ41" s="180" t="s">
        <v>196</v>
      </c>
      <c r="DR41" s="181" t="s">
        <v>197</v>
      </c>
      <c r="DS41" s="182" t="s">
        <v>198</v>
      </c>
      <c r="DT41" s="84"/>
      <c r="DU41" s="197"/>
      <c r="DV41" s="198"/>
      <c r="DW41" s="110"/>
      <c r="DX41" s="65"/>
      <c r="DY41" s="158"/>
    </row>
    <row r="42" customFormat="false" ht="12.75" hidden="false" customHeight="false" outlineLevel="0" collapsed="false">
      <c r="A42" s="138" t="n">
        <f aca="false">EOMONTH(A41,0)+1</f>
        <v>46813</v>
      </c>
      <c r="B42" s="128" t="n">
        <f aca="false">'Gas Curves'!C46</f>
        <v>0.054703194533146</v>
      </c>
      <c r="C42" s="128"/>
      <c r="D42" s="167" t="n">
        <v>36829</v>
      </c>
      <c r="E42" s="168" t="n">
        <v>63.25</v>
      </c>
      <c r="F42" s="168" t="n">
        <v>63.75</v>
      </c>
      <c r="G42" s="168" t="n">
        <v>64.35</v>
      </c>
      <c r="H42" s="152"/>
      <c r="I42" s="168" t="n">
        <v>26.75</v>
      </c>
      <c r="J42" s="168" t="n">
        <v>27</v>
      </c>
      <c r="K42" s="168" t="n">
        <v>27.3</v>
      </c>
      <c r="L42" s="134"/>
      <c r="M42" s="135" t="n">
        <v>37469</v>
      </c>
      <c r="N42" s="169" t="n">
        <v>52.2000015258789</v>
      </c>
      <c r="O42" s="169" t="n">
        <v>57.1500015258789</v>
      </c>
      <c r="P42" s="169" t="n">
        <v>61.8000015258789</v>
      </c>
      <c r="Q42" s="65"/>
      <c r="R42" s="169" t="n">
        <v>46.7000007629395</v>
      </c>
      <c r="S42" s="169" t="n">
        <v>50.7000007629395</v>
      </c>
      <c r="T42" s="169" t="n">
        <v>53.0250007629395</v>
      </c>
      <c r="U42" s="65"/>
      <c r="V42" s="169" t="n">
        <v>2</v>
      </c>
      <c r="W42" s="169" t="n">
        <v>2</v>
      </c>
      <c r="X42" s="169" t="n">
        <v>2</v>
      </c>
      <c r="Y42" s="65"/>
      <c r="Z42" s="169" t="n">
        <v>0.22599</v>
      </c>
      <c r="AA42" s="169" t="n">
        <v>0.45198</v>
      </c>
      <c r="AB42" s="169" t="n">
        <v>0.67797</v>
      </c>
      <c r="AC42" s="65"/>
      <c r="AD42" s="169" t="n">
        <v>0.057624</v>
      </c>
      <c r="AE42" s="169" t="n">
        <v>0.115248</v>
      </c>
      <c r="AF42" s="169" t="n">
        <v>0.172872</v>
      </c>
      <c r="AG42" s="65"/>
      <c r="AH42" s="169" t="n">
        <v>-0.35</v>
      </c>
      <c r="AI42" s="169" t="n">
        <v>3.75</v>
      </c>
      <c r="AJ42" s="169" t="n">
        <v>0.5</v>
      </c>
      <c r="AK42" s="65"/>
      <c r="AL42" s="169" t="n">
        <v>-0.15</v>
      </c>
      <c r="AM42" s="169" t="n">
        <v>0.75</v>
      </c>
      <c r="AN42" s="169" t="n">
        <v>0.2</v>
      </c>
      <c r="AO42" s="65"/>
      <c r="AP42" s="134" t="n">
        <v>9</v>
      </c>
      <c r="AQ42" s="170" t="n">
        <v>0.2</v>
      </c>
      <c r="AR42" s="65"/>
      <c r="AS42" s="134" t="n">
        <v>2200</v>
      </c>
      <c r="AT42" s="183" t="n">
        <v>0.8</v>
      </c>
      <c r="AU42" s="183" t="n">
        <v>0.8</v>
      </c>
      <c r="AV42" s="183" t="n">
        <v>0.8315</v>
      </c>
      <c r="AW42" s="183" t="n">
        <v>0.983581820797299</v>
      </c>
      <c r="AX42" s="183" t="n">
        <v>0.75</v>
      </c>
      <c r="AY42" s="183" t="n">
        <v>0.55</v>
      </c>
      <c r="AZ42" s="183" t="n">
        <v>0.4</v>
      </c>
      <c r="BA42" s="183" t="n">
        <v>0.4</v>
      </c>
      <c r="BB42" s="183" t="n">
        <v>0.65</v>
      </c>
      <c r="BC42" s="183" t="n">
        <v>0.8867</v>
      </c>
      <c r="BD42" s="183" t="n">
        <v>0.8662</v>
      </c>
      <c r="BE42" s="183" t="n">
        <v>0.8515</v>
      </c>
      <c r="BF42" s="134" t="s">
        <v>124</v>
      </c>
      <c r="BG42" s="65"/>
      <c r="BH42" s="135" t="n">
        <v>37469</v>
      </c>
      <c r="BI42" s="172" t="n">
        <v>0.9</v>
      </c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141"/>
      <c r="CI42" s="160"/>
      <c r="CJ42" s="160"/>
      <c r="CK42" s="160"/>
      <c r="CM42" s="200"/>
      <c r="CN42" s="200"/>
      <c r="CO42" s="173"/>
      <c r="CP42" s="0"/>
      <c r="CQ42" s="0"/>
      <c r="CR42" s="0"/>
      <c r="CS42" s="0"/>
      <c r="CT42" s="0"/>
      <c r="CY42" s="174" t="n">
        <f aca="false">M42</f>
        <v>37469</v>
      </c>
      <c r="CZ42" s="175" t="n">
        <f aca="false">AI42+AH42</f>
        <v>3.4</v>
      </c>
      <c r="DA42" s="175" t="n">
        <f aca="false">AI42</f>
        <v>3.75</v>
      </c>
      <c r="DB42" s="175" t="n">
        <f aca="false">AI42+AJ42</f>
        <v>4.25</v>
      </c>
      <c r="DD42" s="175" t="n">
        <f aca="false">Z42</f>
        <v>0.22599</v>
      </c>
      <c r="DE42" s="175" t="n">
        <f aca="false">AA42</f>
        <v>0.45198</v>
      </c>
      <c r="DF42" s="175" t="n">
        <f aca="false">AB42</f>
        <v>0.67797</v>
      </c>
      <c r="DH42" s="174" t="n">
        <f aca="false">BH42</f>
        <v>37469</v>
      </c>
      <c r="DI42" s="128" t="n">
        <f aca="false">BI42</f>
        <v>0.9</v>
      </c>
      <c r="DP42" s="0" t="n">
        <v>24</v>
      </c>
      <c r="DQ42" s="180" t="s">
        <v>199</v>
      </c>
      <c r="DR42" s="181" t="s">
        <v>200</v>
      </c>
      <c r="DS42" s="182" t="s">
        <v>201</v>
      </c>
      <c r="DT42" s="84"/>
      <c r="DV42" s="197"/>
      <c r="DW42" s="198"/>
      <c r="DX42" s="110"/>
      <c r="DY42" s="65"/>
    </row>
    <row r="43" customFormat="false" ht="12.75" hidden="false" customHeight="false" outlineLevel="0" collapsed="false">
      <c r="A43" s="138" t="n">
        <f aca="false">EOMONTH(A42,0)+1</f>
        <v>46844</v>
      </c>
      <c r="B43" s="128" t="n">
        <f aca="false">'Gas Curves'!C47</f>
        <v>0.054787606551799</v>
      </c>
      <c r="C43" s="128"/>
      <c r="D43" s="167" t="n">
        <v>36830</v>
      </c>
      <c r="E43" s="168" t="n">
        <v>63.25</v>
      </c>
      <c r="F43" s="168" t="n">
        <v>63.75</v>
      </c>
      <c r="G43" s="168" t="n">
        <v>64.35</v>
      </c>
      <c r="H43" s="152"/>
      <c r="I43" s="168" t="n">
        <v>26.75</v>
      </c>
      <c r="J43" s="168" t="n">
        <v>27</v>
      </c>
      <c r="K43" s="168" t="n">
        <v>27.3</v>
      </c>
      <c r="L43" s="134"/>
      <c r="M43" s="135" t="n">
        <v>37500</v>
      </c>
      <c r="N43" s="169" t="n">
        <v>29.8000011444092</v>
      </c>
      <c r="O43" s="169" t="n">
        <v>31.8250011444092</v>
      </c>
      <c r="P43" s="169" t="n">
        <v>33.2500011444092</v>
      </c>
      <c r="Q43" s="65"/>
      <c r="R43" s="169" t="n">
        <v>25.3000015258789</v>
      </c>
      <c r="S43" s="169" t="n">
        <v>29.3000015258789</v>
      </c>
      <c r="T43" s="169" t="n">
        <v>30.0125015258789</v>
      </c>
      <c r="U43" s="65"/>
      <c r="V43" s="169" t="n">
        <v>2</v>
      </c>
      <c r="W43" s="169" t="n">
        <v>2</v>
      </c>
      <c r="X43" s="169" t="n">
        <v>2</v>
      </c>
      <c r="Y43" s="65"/>
      <c r="Z43" s="169" t="n">
        <v>0.171225</v>
      </c>
      <c r="AA43" s="169" t="n">
        <v>0.34245</v>
      </c>
      <c r="AB43" s="169" t="n">
        <v>0.513675</v>
      </c>
      <c r="AC43" s="65"/>
      <c r="AD43" s="169" t="n">
        <v>0.038416</v>
      </c>
      <c r="AE43" s="169" t="n">
        <v>0.076832</v>
      </c>
      <c r="AF43" s="169" t="n">
        <v>0.115248</v>
      </c>
      <c r="AG43" s="65"/>
      <c r="AH43" s="169" t="n">
        <v>-0.35</v>
      </c>
      <c r="AI43" s="169" t="n">
        <v>2</v>
      </c>
      <c r="AJ43" s="169" t="n">
        <v>0.3</v>
      </c>
      <c r="AK43" s="65"/>
      <c r="AL43" s="169" t="n">
        <v>-0.15</v>
      </c>
      <c r="AM43" s="169" t="n">
        <v>0.4</v>
      </c>
      <c r="AN43" s="169" t="n">
        <v>0.2</v>
      </c>
      <c r="AO43" s="65"/>
      <c r="AP43" s="134" t="n">
        <v>9</v>
      </c>
      <c r="AQ43" s="170" t="n">
        <v>0.2</v>
      </c>
      <c r="AR43" s="65"/>
      <c r="AS43" s="134" t="n">
        <v>2300</v>
      </c>
      <c r="AT43" s="183" t="n">
        <v>0.8</v>
      </c>
      <c r="AU43" s="183" t="n">
        <v>0.8</v>
      </c>
      <c r="AV43" s="183" t="n">
        <v>0.6825</v>
      </c>
      <c r="AW43" s="183" t="n">
        <v>0.868935227612237</v>
      </c>
      <c r="AX43" s="183" t="n">
        <v>0.75</v>
      </c>
      <c r="AY43" s="183" t="n">
        <v>0.55</v>
      </c>
      <c r="AZ43" s="183" t="n">
        <v>0.4</v>
      </c>
      <c r="BA43" s="183" t="n">
        <v>0.4</v>
      </c>
      <c r="BB43" s="183" t="n">
        <v>0.65</v>
      </c>
      <c r="BC43" s="183" t="n">
        <v>0.756</v>
      </c>
      <c r="BD43" s="183" t="n">
        <v>0.7305</v>
      </c>
      <c r="BE43" s="183" t="n">
        <v>0.7025</v>
      </c>
      <c r="BF43" s="134" t="s">
        <v>124</v>
      </c>
      <c r="BG43" s="65"/>
      <c r="BH43" s="135" t="n">
        <v>37500</v>
      </c>
      <c r="BI43" s="172" t="n">
        <v>0.9</v>
      </c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160"/>
      <c r="CI43" s="160"/>
      <c r="CJ43" s="160"/>
      <c r="CK43" s="160"/>
      <c r="CM43" s="200"/>
      <c r="CN43" s="200"/>
      <c r="CO43" s="173"/>
      <c r="CP43" s="0"/>
      <c r="CQ43" s="0"/>
      <c r="CR43" s="0"/>
      <c r="CS43" s="0"/>
      <c r="CT43" s="0"/>
      <c r="CY43" s="174" t="n">
        <f aca="false">M43</f>
        <v>37500</v>
      </c>
      <c r="CZ43" s="175" t="n">
        <f aca="false">AI43+AH43</f>
        <v>1.65</v>
      </c>
      <c r="DA43" s="175" t="n">
        <f aca="false">AI43</f>
        <v>2</v>
      </c>
      <c r="DB43" s="175" t="n">
        <f aca="false">AI43+AJ43</f>
        <v>2.3</v>
      </c>
      <c r="DD43" s="175" t="n">
        <f aca="false">Z43</f>
        <v>0.171225</v>
      </c>
      <c r="DE43" s="175" t="n">
        <f aca="false">AA43</f>
        <v>0.34245</v>
      </c>
      <c r="DF43" s="175" t="n">
        <f aca="false">AB43</f>
        <v>0.513675</v>
      </c>
      <c r="DH43" s="174" t="n">
        <f aca="false">BH43</f>
        <v>37500</v>
      </c>
      <c r="DI43" s="128" t="n">
        <f aca="false">BI43</f>
        <v>0.9</v>
      </c>
      <c r="DP43" s="0" t="n">
        <v>25</v>
      </c>
      <c r="DQ43" s="185" t="s">
        <v>202</v>
      </c>
      <c r="DR43" s="186" t="s">
        <v>203</v>
      </c>
      <c r="DS43" s="187" t="s">
        <v>204</v>
      </c>
      <c r="DT43" s="84"/>
      <c r="DV43" s="197"/>
      <c r="DW43" s="198"/>
      <c r="DX43" s="110"/>
      <c r="DY43" s="65"/>
    </row>
    <row r="44" customFormat="false" ht="12.75" hidden="false" customHeight="false" outlineLevel="0" collapsed="false">
      <c r="A44" s="138" t="n">
        <f aca="false">EOMONTH(A43,0)+1</f>
        <v>46874</v>
      </c>
      <c r="B44" s="128" t="n">
        <f aca="false">'Gas Curves'!C48</f>
        <v>0.054872018572825</v>
      </c>
      <c r="C44" s="128"/>
      <c r="D44" s="167" t="n">
        <v>36831</v>
      </c>
      <c r="E44" s="168" t="n">
        <v>65.5</v>
      </c>
      <c r="F44" s="168" t="n">
        <v>66</v>
      </c>
      <c r="G44" s="168" t="n">
        <v>66.6</v>
      </c>
      <c r="H44" s="152"/>
      <c r="I44" s="168" t="n">
        <v>27.8999996185303</v>
      </c>
      <c r="J44" s="168" t="n">
        <v>28.1499996185303</v>
      </c>
      <c r="K44" s="168" t="n">
        <v>28.4499996185303</v>
      </c>
      <c r="L44" s="134"/>
      <c r="M44" s="135" t="n">
        <v>37530</v>
      </c>
      <c r="N44" s="169" t="n">
        <v>26.7750011444092</v>
      </c>
      <c r="O44" s="169" t="n">
        <v>27.8250011444092</v>
      </c>
      <c r="P44" s="169" t="n">
        <v>28.7250011444092</v>
      </c>
      <c r="Q44" s="65"/>
      <c r="R44" s="169" t="n">
        <v>20.8000015258789</v>
      </c>
      <c r="S44" s="169" t="n">
        <v>24.8000015258789</v>
      </c>
      <c r="T44" s="169" t="n">
        <v>25.2500015258789</v>
      </c>
      <c r="U44" s="65"/>
      <c r="V44" s="169" t="n">
        <v>2</v>
      </c>
      <c r="W44" s="169" t="n">
        <v>2</v>
      </c>
      <c r="X44" s="169" t="n">
        <v>2</v>
      </c>
      <c r="Y44" s="65"/>
      <c r="Z44" s="169" t="n">
        <v>0.14809375</v>
      </c>
      <c r="AA44" s="169" t="n">
        <v>0.2961875</v>
      </c>
      <c r="AB44" s="169" t="n">
        <v>0.44428125</v>
      </c>
      <c r="AC44" s="65"/>
      <c r="AD44" s="169" t="n">
        <v>0.028812</v>
      </c>
      <c r="AE44" s="169" t="n">
        <v>0.057624</v>
      </c>
      <c r="AF44" s="169" t="n">
        <v>0.086436</v>
      </c>
      <c r="AG44" s="65"/>
      <c r="AH44" s="169" t="n">
        <v>-0.25</v>
      </c>
      <c r="AI44" s="169" t="n">
        <v>1.25</v>
      </c>
      <c r="AJ44" s="169" t="n">
        <v>0.3</v>
      </c>
      <c r="AK44" s="65"/>
      <c r="AL44" s="169" t="n">
        <v>-0.15</v>
      </c>
      <c r="AM44" s="169" t="n">
        <v>0.35</v>
      </c>
      <c r="AN44" s="169" t="n">
        <v>0.2</v>
      </c>
      <c r="AO44" s="65"/>
      <c r="AP44" s="134" t="n">
        <v>9</v>
      </c>
      <c r="AQ44" s="170" t="n">
        <v>0.2</v>
      </c>
      <c r="AR44" s="65"/>
      <c r="AS44" s="134" t="n">
        <v>2400</v>
      </c>
      <c r="AT44" s="183" t="n">
        <v>1.225</v>
      </c>
      <c r="AU44" s="183" t="n">
        <v>1.225</v>
      </c>
      <c r="AV44" s="183" t="n">
        <v>1.045</v>
      </c>
      <c r="AW44" s="183" t="n">
        <v>1.04967749498905</v>
      </c>
      <c r="AX44" s="183" t="n">
        <v>1.17796859185739</v>
      </c>
      <c r="AY44" s="183" t="n">
        <v>1.3963883955003</v>
      </c>
      <c r="AZ44" s="183" t="n">
        <v>1.26165887596478</v>
      </c>
      <c r="BA44" s="183" t="n">
        <v>1.2636171008351</v>
      </c>
      <c r="BB44" s="183" t="n">
        <v>1.12499208910828</v>
      </c>
      <c r="BC44" s="183" t="n">
        <v>1.0505</v>
      </c>
      <c r="BD44" s="183" t="n">
        <v>1.0505</v>
      </c>
      <c r="BE44" s="183" t="n">
        <v>1.0505</v>
      </c>
      <c r="BF44" s="134" t="s">
        <v>132</v>
      </c>
      <c r="BG44" s="65"/>
      <c r="BH44" s="135" t="n">
        <v>37530</v>
      </c>
      <c r="BI44" s="172" t="n">
        <v>0.9</v>
      </c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160"/>
      <c r="CI44" s="160"/>
      <c r="CJ44" s="160"/>
      <c r="CK44" s="160"/>
      <c r="CM44" s="200"/>
      <c r="CN44" s="200"/>
      <c r="CO44" s="173"/>
      <c r="CP44" s="0"/>
      <c r="CQ44" s="0"/>
      <c r="CR44" s="0"/>
      <c r="CS44" s="0"/>
      <c r="CT44" s="0"/>
      <c r="CY44" s="174" t="n">
        <f aca="false">M44</f>
        <v>37530</v>
      </c>
      <c r="CZ44" s="175" t="n">
        <f aca="false">AI44+AH44</f>
        <v>1</v>
      </c>
      <c r="DA44" s="175" t="n">
        <f aca="false">AI44</f>
        <v>1.25</v>
      </c>
      <c r="DB44" s="175" t="n">
        <f aca="false">AI44+AJ44</f>
        <v>1.55</v>
      </c>
      <c r="DD44" s="175" t="n">
        <f aca="false">Z44</f>
        <v>0.14809375</v>
      </c>
      <c r="DE44" s="175" t="n">
        <f aca="false">AA44</f>
        <v>0.2961875</v>
      </c>
      <c r="DF44" s="175" t="n">
        <f aca="false">AB44</f>
        <v>0.44428125</v>
      </c>
      <c r="DH44" s="174" t="n">
        <f aca="false">BH44</f>
        <v>37530</v>
      </c>
      <c r="DI44" s="128" t="n">
        <f aca="false">BI44</f>
        <v>0.9</v>
      </c>
      <c r="DP44" s="0" t="n">
        <v>26</v>
      </c>
      <c r="DQ44" s="185" t="s">
        <v>205</v>
      </c>
      <c r="DR44" s="186" t="s">
        <v>206</v>
      </c>
      <c r="DS44" s="187" t="s">
        <v>207</v>
      </c>
      <c r="DT44" s="84"/>
      <c r="DV44" s="197"/>
      <c r="DW44" s="198"/>
      <c r="DX44" s="110"/>
      <c r="DY44" s="65"/>
    </row>
    <row r="45" customFormat="false" ht="12.75" hidden="false" customHeight="false" outlineLevel="0" collapsed="false">
      <c r="A45" s="138" t="n">
        <f aca="false">EOMONTH(A44,0)+1</f>
        <v>46905</v>
      </c>
      <c r="B45" s="128" t="n">
        <f aca="false">'Gas Curves'!C49</f>
        <v>0.054953513215957</v>
      </c>
      <c r="C45" s="128"/>
      <c r="D45" s="167" t="n">
        <v>36832</v>
      </c>
      <c r="E45" s="168" t="n">
        <v>65.5</v>
      </c>
      <c r="F45" s="168" t="n">
        <v>66</v>
      </c>
      <c r="G45" s="168" t="n">
        <v>66.6</v>
      </c>
      <c r="H45" s="152"/>
      <c r="I45" s="168" t="n">
        <v>27.8999996185303</v>
      </c>
      <c r="J45" s="168" t="n">
        <v>28.1499996185303</v>
      </c>
      <c r="K45" s="168" t="n">
        <v>28.4499996185303</v>
      </c>
      <c r="L45" s="134"/>
      <c r="M45" s="135" t="n">
        <v>37561</v>
      </c>
      <c r="N45" s="169" t="n">
        <v>29.1250015258789</v>
      </c>
      <c r="O45" s="169" t="n">
        <v>30.1750015258789</v>
      </c>
      <c r="P45" s="169" t="n">
        <v>31.0750015258789</v>
      </c>
      <c r="Q45" s="65"/>
      <c r="R45" s="169" t="n">
        <v>23.0000003814697</v>
      </c>
      <c r="S45" s="169" t="n">
        <v>27.0000003814697</v>
      </c>
      <c r="T45" s="169" t="n">
        <v>27.4500003814697</v>
      </c>
      <c r="U45" s="65"/>
      <c r="V45" s="169" t="n">
        <v>2</v>
      </c>
      <c r="W45" s="169" t="n">
        <v>2</v>
      </c>
      <c r="X45" s="169" t="n">
        <v>2</v>
      </c>
      <c r="Y45" s="65"/>
      <c r="Z45" s="169" t="n">
        <v>0.14809375</v>
      </c>
      <c r="AA45" s="169" t="n">
        <v>0.2961875</v>
      </c>
      <c r="AB45" s="169" t="n">
        <v>0.44428125</v>
      </c>
      <c r="AC45" s="65"/>
      <c r="AD45" s="169" t="n">
        <v>0.028812</v>
      </c>
      <c r="AE45" s="169" t="n">
        <v>0.057624</v>
      </c>
      <c r="AF45" s="169" t="n">
        <v>0.086436</v>
      </c>
      <c r="AG45" s="65"/>
      <c r="AH45" s="169" t="n">
        <v>-0.25</v>
      </c>
      <c r="AI45" s="169" t="n">
        <v>1.25</v>
      </c>
      <c r="AJ45" s="169" t="n">
        <v>0.3</v>
      </c>
      <c r="AK45" s="65"/>
      <c r="AL45" s="169" t="n">
        <v>-0.15</v>
      </c>
      <c r="AM45" s="169" t="n">
        <v>0.3</v>
      </c>
      <c r="AN45" s="169" t="n">
        <v>0.2</v>
      </c>
      <c r="AO45" s="65"/>
      <c r="AP45" s="134" t="n">
        <v>10</v>
      </c>
      <c r="AQ45" s="170" t="n">
        <v>0.2</v>
      </c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135" t="n">
        <v>37561</v>
      </c>
      <c r="BI45" s="172" t="n">
        <v>0.9</v>
      </c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160"/>
      <c r="CI45" s="160"/>
      <c r="CJ45" s="160"/>
      <c r="CK45" s="160"/>
      <c r="CM45" s="200"/>
      <c r="CN45" s="200"/>
      <c r="CO45" s="173"/>
      <c r="CP45" s="0"/>
      <c r="CQ45" s="0"/>
      <c r="CR45" s="0"/>
      <c r="CS45" s="0"/>
      <c r="CT45" s="0"/>
      <c r="CY45" s="174" t="n">
        <f aca="false">M45</f>
        <v>37561</v>
      </c>
      <c r="CZ45" s="175" t="n">
        <f aca="false">AI45+AH45</f>
        <v>1</v>
      </c>
      <c r="DA45" s="175" t="n">
        <f aca="false">AI45</f>
        <v>1.25</v>
      </c>
      <c r="DB45" s="175" t="n">
        <f aca="false">AI45+AJ45</f>
        <v>1.55</v>
      </c>
      <c r="DD45" s="175" t="n">
        <f aca="false">Z45</f>
        <v>0.14809375</v>
      </c>
      <c r="DE45" s="175" t="n">
        <f aca="false">AA45</f>
        <v>0.2961875</v>
      </c>
      <c r="DF45" s="175" t="n">
        <f aca="false">AB45</f>
        <v>0.44428125</v>
      </c>
      <c r="DH45" s="174" t="n">
        <f aca="false">BH45</f>
        <v>37561</v>
      </c>
      <c r="DI45" s="128" t="n">
        <f aca="false">BI45</f>
        <v>0.9</v>
      </c>
      <c r="DP45" s="0" t="n">
        <v>27</v>
      </c>
      <c r="DQ45" s="185" t="s">
        <v>208</v>
      </c>
      <c r="DR45" s="186" t="s">
        <v>209</v>
      </c>
      <c r="DS45" s="187" t="n">
        <v>9</v>
      </c>
      <c r="DT45" s="84"/>
      <c r="DV45" s="197"/>
      <c r="DW45" s="198"/>
      <c r="DX45" s="110"/>
      <c r="DY45" s="65"/>
    </row>
    <row r="46" customFormat="false" ht="12.75" hidden="false" customHeight="false" outlineLevel="0" collapsed="false">
      <c r="A46" s="138" t="n">
        <f aca="false">EOMONTH(A45,0)+1</f>
        <v>46935</v>
      </c>
      <c r="B46" s="128" t="n">
        <f aca="false">'Gas Curves'!C50</f>
        <v>0.055037480368084</v>
      </c>
      <c r="C46" s="128"/>
      <c r="D46" s="167" t="n">
        <v>36833</v>
      </c>
      <c r="E46" s="168" t="n">
        <v>65.5</v>
      </c>
      <c r="F46" s="168" t="n">
        <v>66</v>
      </c>
      <c r="G46" s="168" t="n">
        <v>66.6</v>
      </c>
      <c r="H46" s="152"/>
      <c r="I46" s="168" t="n">
        <v>27.8999996185303</v>
      </c>
      <c r="J46" s="168" t="n">
        <v>28.1499996185303</v>
      </c>
      <c r="K46" s="168" t="n">
        <v>28.4499996185303</v>
      </c>
      <c r="L46" s="134"/>
      <c r="M46" s="135" t="n">
        <v>37591</v>
      </c>
      <c r="N46" s="169" t="n">
        <v>29.725</v>
      </c>
      <c r="O46" s="169" t="n">
        <v>30.775</v>
      </c>
      <c r="P46" s="169" t="n">
        <v>31.675</v>
      </c>
      <c r="Q46" s="65"/>
      <c r="R46" s="169" t="n">
        <v>23.5000003814697</v>
      </c>
      <c r="S46" s="169" t="n">
        <v>27.5000003814697</v>
      </c>
      <c r="T46" s="169" t="n">
        <v>27.9500003814697</v>
      </c>
      <c r="U46" s="65"/>
      <c r="V46" s="169" t="n">
        <v>2</v>
      </c>
      <c r="W46" s="169" t="n">
        <v>2</v>
      </c>
      <c r="X46" s="169" t="n">
        <v>2</v>
      </c>
      <c r="Y46" s="65"/>
      <c r="Z46" s="169" t="n">
        <v>0.1451375</v>
      </c>
      <c r="AA46" s="169" t="n">
        <v>0.290275</v>
      </c>
      <c r="AB46" s="169" t="n">
        <v>0.4354125</v>
      </c>
      <c r="AC46" s="65"/>
      <c r="AD46" s="169" t="n">
        <v>0.028812</v>
      </c>
      <c r="AE46" s="169" t="n">
        <v>0.057624</v>
      </c>
      <c r="AF46" s="169" t="n">
        <v>0.086436</v>
      </c>
      <c r="AG46" s="65"/>
      <c r="AH46" s="169" t="n">
        <v>-0.25</v>
      </c>
      <c r="AI46" s="169" t="n">
        <v>1.3</v>
      </c>
      <c r="AJ46" s="169" t="n">
        <v>0.35</v>
      </c>
      <c r="AK46" s="65"/>
      <c r="AL46" s="169" t="n">
        <v>-0.15</v>
      </c>
      <c r="AM46" s="169" t="n">
        <v>0.3</v>
      </c>
      <c r="AN46" s="169" t="n">
        <v>0.2</v>
      </c>
      <c r="AO46" s="65"/>
      <c r="AP46" s="134" t="n">
        <v>10</v>
      </c>
      <c r="AQ46" s="170" t="n">
        <v>0.2</v>
      </c>
      <c r="AR46" s="65"/>
      <c r="AS46" s="134" t="s">
        <v>210</v>
      </c>
      <c r="AT46" s="65"/>
      <c r="AU46" s="65"/>
      <c r="AV46" s="134" t="s">
        <v>211</v>
      </c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135" t="n">
        <v>37591</v>
      </c>
      <c r="BI46" s="172" t="n">
        <v>0.9</v>
      </c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160"/>
      <c r="CI46" s="160"/>
      <c r="CJ46" s="160"/>
      <c r="CK46" s="160"/>
      <c r="CM46" s="200"/>
      <c r="CN46" s="200"/>
      <c r="CO46" s="173"/>
      <c r="CP46" s="0"/>
      <c r="CQ46" s="0"/>
      <c r="CR46" s="0"/>
      <c r="CS46" s="0"/>
      <c r="CT46" s="0"/>
      <c r="CY46" s="174" t="n">
        <f aca="false">M46</f>
        <v>37591</v>
      </c>
      <c r="CZ46" s="175" t="n">
        <f aca="false">AI46+AH46</f>
        <v>1.05</v>
      </c>
      <c r="DA46" s="175" t="n">
        <f aca="false">AI46</f>
        <v>1.3</v>
      </c>
      <c r="DB46" s="175" t="n">
        <f aca="false">AI46+AJ46</f>
        <v>1.65</v>
      </c>
      <c r="DD46" s="175" t="n">
        <f aca="false">Z46</f>
        <v>0.1451375</v>
      </c>
      <c r="DE46" s="175" t="n">
        <f aca="false">AA46</f>
        <v>0.290275</v>
      </c>
      <c r="DF46" s="175" t="n">
        <f aca="false">AB46</f>
        <v>0.4354125</v>
      </c>
      <c r="DH46" s="174" t="n">
        <f aca="false">BH46</f>
        <v>37591</v>
      </c>
      <c r="DI46" s="128" t="n">
        <f aca="false">BI46</f>
        <v>0.9</v>
      </c>
      <c r="DP46" s="0" t="n">
        <v>28</v>
      </c>
      <c r="DQ46" s="185" t="s">
        <v>212</v>
      </c>
      <c r="DR46" s="186" t="s">
        <v>213</v>
      </c>
      <c r="DS46" s="187" t="n">
        <v>10</v>
      </c>
      <c r="DT46" s="84"/>
      <c r="DV46" s="197"/>
      <c r="DW46" s="198"/>
      <c r="DX46" s="110"/>
      <c r="DY46" s="65"/>
    </row>
    <row r="47" customFormat="false" ht="13.5" hidden="false" customHeight="false" outlineLevel="0" collapsed="false">
      <c r="A47" s="138" t="n">
        <f aca="false">EOMONTH(A46,0)+1</f>
        <v>46966</v>
      </c>
      <c r="B47" s="128" t="n">
        <f aca="false">'Gas Curves'!C51</f>
        <v>0.055118738904638</v>
      </c>
      <c r="C47" s="128"/>
      <c r="D47" s="167" t="n">
        <v>36834</v>
      </c>
      <c r="E47" s="168" t="n">
        <v>47.5</v>
      </c>
      <c r="F47" s="168" t="n">
        <v>48</v>
      </c>
      <c r="G47" s="168" t="n">
        <v>48.6</v>
      </c>
      <c r="H47" s="152"/>
      <c r="I47" s="168" t="n">
        <v>27.8999996185303</v>
      </c>
      <c r="J47" s="168" t="n">
        <v>28.1499996185303</v>
      </c>
      <c r="K47" s="168" t="n">
        <v>28.4499996185303</v>
      </c>
      <c r="L47" s="134"/>
      <c r="M47" s="135" t="n">
        <v>37622</v>
      </c>
      <c r="N47" s="169" t="n">
        <v>30.5294960021973</v>
      </c>
      <c r="O47" s="169" t="n">
        <v>32.1044960021973</v>
      </c>
      <c r="P47" s="169" t="n">
        <v>33.0419960021973</v>
      </c>
      <c r="Q47" s="65"/>
      <c r="R47" s="169" t="n">
        <v>24.4039974212647</v>
      </c>
      <c r="S47" s="169" t="n">
        <v>28.4039974212647</v>
      </c>
      <c r="T47" s="169" t="n">
        <v>28.8727474212647</v>
      </c>
      <c r="U47" s="65"/>
      <c r="V47" s="169" t="n">
        <v>2</v>
      </c>
      <c r="W47" s="169" t="n">
        <v>2</v>
      </c>
      <c r="X47" s="169" t="n">
        <v>2</v>
      </c>
      <c r="Y47" s="65"/>
      <c r="Z47" s="169" t="n">
        <v>0.2141775</v>
      </c>
      <c r="AA47" s="169" t="n">
        <v>0.428355</v>
      </c>
      <c r="AB47" s="169" t="n">
        <v>0.6425325</v>
      </c>
      <c r="AC47" s="65"/>
      <c r="AD47" s="169" t="n">
        <v>0.03294172</v>
      </c>
      <c r="AE47" s="169" t="n">
        <v>0.06588344</v>
      </c>
      <c r="AF47" s="169" t="n">
        <v>0.09882516</v>
      </c>
      <c r="AG47" s="65"/>
      <c r="AH47" s="169" t="n">
        <v>-0.75</v>
      </c>
      <c r="AI47" s="169" t="n">
        <v>2</v>
      </c>
      <c r="AJ47" s="169" t="n">
        <v>0.75</v>
      </c>
      <c r="AK47" s="65"/>
      <c r="AL47" s="169" t="n">
        <v>-0.15</v>
      </c>
      <c r="AM47" s="169" t="n">
        <v>0.5</v>
      </c>
      <c r="AN47" s="169" t="n">
        <v>0.2</v>
      </c>
      <c r="AO47" s="65"/>
      <c r="AP47" s="134" t="n">
        <v>10</v>
      </c>
      <c r="AQ47" s="170" t="n">
        <v>0.2</v>
      </c>
      <c r="AR47" s="65"/>
      <c r="AS47" s="170" t="n">
        <v>-5</v>
      </c>
      <c r="AT47" s="201" t="n">
        <v>0.015</v>
      </c>
      <c r="AU47" s="65"/>
      <c r="AV47" s="170" t="n">
        <v>1</v>
      </c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135" t="n">
        <v>37622</v>
      </c>
      <c r="BI47" s="172" t="n">
        <v>0.9</v>
      </c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160"/>
      <c r="CI47" s="160"/>
      <c r="CJ47" s="160"/>
      <c r="CK47" s="160"/>
      <c r="CM47" s="200"/>
      <c r="CN47" s="200"/>
      <c r="CO47" s="173"/>
      <c r="CP47" s="0"/>
      <c r="CQ47" s="0"/>
      <c r="CR47" s="0"/>
      <c r="CS47" s="0"/>
      <c r="CT47" s="0"/>
      <c r="CY47" s="174" t="n">
        <f aca="false">M47</f>
        <v>37622</v>
      </c>
      <c r="CZ47" s="175" t="n">
        <f aca="false">AI47+AH47</f>
        <v>1.25</v>
      </c>
      <c r="DA47" s="175" t="n">
        <f aca="false">AI47</f>
        <v>2</v>
      </c>
      <c r="DB47" s="175" t="n">
        <f aca="false">AI47+AJ47</f>
        <v>2.75</v>
      </c>
      <c r="DD47" s="175" t="n">
        <f aca="false">Z47</f>
        <v>0.2141775</v>
      </c>
      <c r="DE47" s="175" t="n">
        <f aca="false">AA47</f>
        <v>0.428355</v>
      </c>
      <c r="DF47" s="175" t="n">
        <f aca="false">AB47</f>
        <v>0.6425325</v>
      </c>
      <c r="DH47" s="174" t="n">
        <f aca="false">BH47</f>
        <v>37622</v>
      </c>
      <c r="DI47" s="128" t="n">
        <f aca="false">BI47</f>
        <v>0.9</v>
      </c>
      <c r="DP47" s="0" t="n">
        <v>29</v>
      </c>
      <c r="DQ47" s="202" t="s">
        <v>214</v>
      </c>
      <c r="DR47" s="203" t="s">
        <v>215</v>
      </c>
      <c r="DS47" s="204" t="n">
        <v>11</v>
      </c>
      <c r="DT47" s="84"/>
      <c r="DV47" s="197"/>
      <c r="DW47" s="198"/>
      <c r="DX47" s="110"/>
      <c r="DY47" s="65"/>
    </row>
    <row r="48" customFormat="false" ht="12.75" hidden="false" customHeight="false" outlineLevel="0" collapsed="false">
      <c r="A48" s="138" t="n">
        <f aca="false">EOMONTH(A47,0)+1</f>
        <v>46997</v>
      </c>
      <c r="B48" s="128" t="n">
        <f aca="false">'Gas Curves'!C52</f>
        <v>0.055209084886415</v>
      </c>
      <c r="C48" s="128"/>
      <c r="D48" s="167" t="n">
        <v>36835</v>
      </c>
      <c r="E48" s="168" t="n">
        <v>47.5</v>
      </c>
      <c r="F48" s="168" t="n">
        <v>48</v>
      </c>
      <c r="G48" s="168" t="n">
        <v>48.6</v>
      </c>
      <c r="H48" s="152"/>
      <c r="I48" s="168" t="n">
        <v>27.8999996185303</v>
      </c>
      <c r="J48" s="168" t="n">
        <v>28.1499996185303</v>
      </c>
      <c r="K48" s="168" t="n">
        <v>28.4499996185303</v>
      </c>
      <c r="L48" s="134"/>
      <c r="M48" s="135" t="n">
        <v>37653</v>
      </c>
      <c r="N48" s="169" t="n">
        <v>30.1919967651367</v>
      </c>
      <c r="O48" s="169" t="n">
        <v>31.4294967651367</v>
      </c>
      <c r="P48" s="169" t="n">
        <v>32.3669967651367</v>
      </c>
      <c r="Q48" s="65"/>
      <c r="R48" s="169" t="n">
        <v>23.8039970397949</v>
      </c>
      <c r="S48" s="169" t="n">
        <v>27.8039970397949</v>
      </c>
      <c r="T48" s="169" t="n">
        <v>28.2727470397949</v>
      </c>
      <c r="U48" s="65"/>
      <c r="V48" s="169" t="n">
        <v>2</v>
      </c>
      <c r="W48" s="169" t="n">
        <v>2</v>
      </c>
      <c r="X48" s="169" t="n">
        <v>2</v>
      </c>
      <c r="Y48" s="65"/>
      <c r="Z48" s="169" t="n">
        <v>0.20691</v>
      </c>
      <c r="AA48" s="169" t="n">
        <v>0.41382</v>
      </c>
      <c r="AB48" s="169" t="n">
        <v>0.62073</v>
      </c>
      <c r="AC48" s="65"/>
      <c r="AD48" s="169" t="n">
        <v>0.03294172</v>
      </c>
      <c r="AE48" s="169" t="n">
        <v>0.06588344</v>
      </c>
      <c r="AF48" s="169" t="n">
        <v>0.09882516</v>
      </c>
      <c r="AG48" s="65"/>
      <c r="AH48" s="169" t="n">
        <v>-0.75</v>
      </c>
      <c r="AI48" s="169" t="n">
        <v>2</v>
      </c>
      <c r="AJ48" s="169" t="n">
        <v>0.75</v>
      </c>
      <c r="AK48" s="65"/>
      <c r="AL48" s="169" t="n">
        <v>-0.15</v>
      </c>
      <c r="AM48" s="169" t="n">
        <v>0.5</v>
      </c>
      <c r="AN48" s="169" t="n">
        <v>0.2</v>
      </c>
      <c r="AO48" s="65"/>
      <c r="AP48" s="134" t="n">
        <v>11</v>
      </c>
      <c r="AQ48" s="170" t="n">
        <v>0.3</v>
      </c>
      <c r="AR48" s="65"/>
      <c r="AS48" s="170" t="n">
        <v>-4.5</v>
      </c>
      <c r="AT48" s="172" t="n">
        <v>0.015</v>
      </c>
      <c r="AU48" s="65"/>
      <c r="AV48" s="170" t="n">
        <v>2</v>
      </c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135" t="n">
        <v>37653</v>
      </c>
      <c r="BI48" s="172" t="n">
        <v>0.9</v>
      </c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160"/>
      <c r="CI48" s="160"/>
      <c r="CJ48" s="160"/>
      <c r="CK48" s="160"/>
      <c r="CM48" s="200"/>
      <c r="CN48" s="200"/>
      <c r="CO48" s="173"/>
      <c r="CP48" s="0"/>
      <c r="CQ48" s="0"/>
      <c r="CR48" s="0"/>
      <c r="CS48" s="0"/>
      <c r="CT48" s="0"/>
      <c r="CY48" s="174" t="n">
        <f aca="false">M48</f>
        <v>37653</v>
      </c>
      <c r="CZ48" s="175" t="n">
        <f aca="false">AI48+AH48</f>
        <v>1.25</v>
      </c>
      <c r="DA48" s="175" t="n">
        <f aca="false">AI48</f>
        <v>2</v>
      </c>
      <c r="DB48" s="175" t="n">
        <f aca="false">AI48+AJ48</f>
        <v>2.75</v>
      </c>
      <c r="DD48" s="175" t="n">
        <f aca="false">Z48</f>
        <v>0.20691</v>
      </c>
      <c r="DE48" s="175" t="n">
        <f aca="false">AA48</f>
        <v>0.41382</v>
      </c>
      <c r="DF48" s="175" t="n">
        <f aca="false">AB48</f>
        <v>0.62073</v>
      </c>
      <c r="DH48" s="174" t="n">
        <f aca="false">BH48</f>
        <v>37653</v>
      </c>
      <c r="DI48" s="128" t="n">
        <f aca="false">BI48</f>
        <v>0.9</v>
      </c>
      <c r="DT48" s="84"/>
      <c r="DV48" s="197"/>
      <c r="DW48" s="198"/>
      <c r="DX48" s="110"/>
      <c r="DY48" s="65"/>
    </row>
    <row r="49" customFormat="false" ht="12.75" hidden="false" customHeight="false" outlineLevel="0" collapsed="false">
      <c r="A49" s="138" t="n">
        <f aca="false">EOMONTH(A48,0)+1</f>
        <v>47027</v>
      </c>
      <c r="B49" s="128" t="n">
        <f aca="false">'Gas Curves'!C53</f>
        <v>0.055306234951161</v>
      </c>
      <c r="C49" s="128"/>
      <c r="D49" s="167" t="n">
        <v>36836</v>
      </c>
      <c r="E49" s="168" t="n">
        <v>65.5</v>
      </c>
      <c r="F49" s="168" t="n">
        <v>66</v>
      </c>
      <c r="G49" s="168" t="n">
        <v>66.6</v>
      </c>
      <c r="H49" s="152"/>
      <c r="I49" s="168" t="n">
        <v>27.8999996185303</v>
      </c>
      <c r="J49" s="168" t="n">
        <v>28.1499996185303</v>
      </c>
      <c r="K49" s="168" t="n">
        <v>28.4499996185303</v>
      </c>
      <c r="L49" s="134"/>
      <c r="M49" s="135" t="n">
        <v>37681</v>
      </c>
      <c r="N49" s="169" t="n">
        <v>24.3374969482422</v>
      </c>
      <c r="O49" s="169" t="n">
        <v>25.5749969482422</v>
      </c>
      <c r="P49" s="169" t="n">
        <v>26.5124969482422</v>
      </c>
      <c r="Q49" s="65"/>
      <c r="R49" s="169" t="n">
        <v>18.5999984741211</v>
      </c>
      <c r="S49" s="169" t="n">
        <v>22.5999984741211</v>
      </c>
      <c r="T49" s="169" t="n">
        <v>23.0687484741211</v>
      </c>
      <c r="U49" s="65"/>
      <c r="V49" s="169" t="n">
        <v>2</v>
      </c>
      <c r="W49" s="169" t="n">
        <v>2</v>
      </c>
      <c r="X49" s="169" t="n">
        <v>2</v>
      </c>
      <c r="Y49" s="65"/>
      <c r="Z49" s="169" t="n">
        <v>0.164029375</v>
      </c>
      <c r="AA49" s="169" t="n">
        <v>0.32805875</v>
      </c>
      <c r="AB49" s="169" t="n">
        <v>0.492088125</v>
      </c>
      <c r="AC49" s="65"/>
      <c r="AD49" s="169" t="n">
        <v>0.028812</v>
      </c>
      <c r="AE49" s="169" t="n">
        <v>0.057624</v>
      </c>
      <c r="AF49" s="169" t="n">
        <v>0.086436</v>
      </c>
      <c r="AG49" s="65"/>
      <c r="AH49" s="169" t="n">
        <v>-0.25</v>
      </c>
      <c r="AI49" s="169" t="n">
        <v>1.3</v>
      </c>
      <c r="AJ49" s="169" t="n">
        <v>0.3</v>
      </c>
      <c r="AK49" s="65"/>
      <c r="AL49" s="169" t="n">
        <v>-0.15</v>
      </c>
      <c r="AM49" s="169" t="n">
        <v>0.35</v>
      </c>
      <c r="AN49" s="169" t="n">
        <v>0.2</v>
      </c>
      <c r="AO49" s="65"/>
      <c r="AP49" s="134" t="n">
        <v>11</v>
      </c>
      <c r="AQ49" s="170" t="n">
        <v>0.3</v>
      </c>
      <c r="AR49" s="65"/>
      <c r="AS49" s="205" t="n">
        <v>-4</v>
      </c>
      <c r="AT49" s="201" t="n">
        <v>0.0125</v>
      </c>
      <c r="AU49" s="65"/>
      <c r="AV49" s="170" t="n">
        <v>3</v>
      </c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135" t="n">
        <v>37681</v>
      </c>
      <c r="BI49" s="172" t="n">
        <v>0.9</v>
      </c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160"/>
      <c r="CI49" s="19"/>
      <c r="CJ49" s="19"/>
      <c r="CK49" s="19"/>
      <c r="CM49" s="200"/>
      <c r="CN49" s="200"/>
      <c r="CO49" s="173"/>
      <c r="CP49" s="0"/>
      <c r="CQ49" s="0"/>
      <c r="CR49" s="0"/>
      <c r="CS49" s="0"/>
      <c r="CT49" s="0"/>
      <c r="CY49" s="174" t="n">
        <f aca="false">M49</f>
        <v>37681</v>
      </c>
      <c r="CZ49" s="175" t="n">
        <f aca="false">AI49+AH49</f>
        <v>1.05</v>
      </c>
      <c r="DA49" s="175" t="n">
        <f aca="false">AI49</f>
        <v>1.3</v>
      </c>
      <c r="DB49" s="175" t="n">
        <f aca="false">AI49+AJ49</f>
        <v>1.6</v>
      </c>
      <c r="DD49" s="175" t="n">
        <f aca="false">Z49</f>
        <v>0.164029375</v>
      </c>
      <c r="DE49" s="175" t="n">
        <f aca="false">AA49</f>
        <v>0.32805875</v>
      </c>
      <c r="DF49" s="175" t="n">
        <f aca="false">AB49</f>
        <v>0.492088125</v>
      </c>
      <c r="DH49" s="174" t="n">
        <f aca="false">BH49</f>
        <v>37681</v>
      </c>
      <c r="DI49" s="128" t="n">
        <f aca="false">BI49</f>
        <v>0.9</v>
      </c>
      <c r="DT49" s="84"/>
    </row>
    <row r="50" customFormat="false" ht="12.75" hidden="false" customHeight="false" outlineLevel="0" collapsed="false">
      <c r="A50" s="138" t="n">
        <f aca="false">EOMONTH(A49,0)+1</f>
        <v>47058</v>
      </c>
      <c r="B50" s="128" t="n">
        <f aca="false">'Gas Curves'!C54</f>
        <v>0.05539711727264</v>
      </c>
      <c r="C50" s="128"/>
      <c r="D50" s="167" t="n">
        <v>36860</v>
      </c>
      <c r="E50" s="168" t="n">
        <v>65.5</v>
      </c>
      <c r="F50" s="168" t="n">
        <v>66</v>
      </c>
      <c r="G50" s="168" t="n">
        <v>66.6</v>
      </c>
      <c r="H50" s="152"/>
      <c r="I50" s="168" t="n">
        <v>27.8999996185303</v>
      </c>
      <c r="J50" s="168" t="n">
        <v>28.1499996185303</v>
      </c>
      <c r="K50" s="168" t="n">
        <v>28.4499996185303</v>
      </c>
      <c r="L50" s="134"/>
      <c r="M50" s="135" t="n">
        <v>37712</v>
      </c>
      <c r="N50" s="169" t="n">
        <v>23.3249996185303</v>
      </c>
      <c r="O50" s="169" t="n">
        <v>24.8999996185303</v>
      </c>
      <c r="P50" s="169" t="n">
        <v>25.8374996185303</v>
      </c>
      <c r="Q50" s="65"/>
      <c r="R50" s="169" t="n">
        <v>18</v>
      </c>
      <c r="S50" s="169" t="n">
        <v>22</v>
      </c>
      <c r="T50" s="169" t="n">
        <v>22.46875</v>
      </c>
      <c r="U50" s="65"/>
      <c r="V50" s="169" t="n">
        <v>2</v>
      </c>
      <c r="W50" s="169" t="n">
        <v>2</v>
      </c>
      <c r="X50" s="169" t="n">
        <v>2</v>
      </c>
      <c r="Y50" s="65"/>
      <c r="Z50" s="169" t="n">
        <v>0.16380375</v>
      </c>
      <c r="AA50" s="169" t="n">
        <v>0.3276075</v>
      </c>
      <c r="AB50" s="169" t="n">
        <v>0.49141125</v>
      </c>
      <c r="AC50" s="65"/>
      <c r="AD50" s="169" t="n">
        <v>0.028812</v>
      </c>
      <c r="AE50" s="169" t="n">
        <v>0.057624</v>
      </c>
      <c r="AF50" s="169" t="n">
        <v>0.086436</v>
      </c>
      <c r="AG50" s="65"/>
      <c r="AH50" s="169" t="n">
        <v>-0.25</v>
      </c>
      <c r="AI50" s="169" t="n">
        <v>1.1</v>
      </c>
      <c r="AJ50" s="169" t="n">
        <v>0.3</v>
      </c>
      <c r="AK50" s="65"/>
      <c r="AL50" s="169" t="n">
        <v>-0.15</v>
      </c>
      <c r="AM50" s="169" t="n">
        <v>0.35</v>
      </c>
      <c r="AN50" s="169" t="n">
        <v>0.2</v>
      </c>
      <c r="AO50" s="65"/>
      <c r="AP50" s="134" t="n">
        <v>11</v>
      </c>
      <c r="AQ50" s="170" t="n">
        <v>0.3</v>
      </c>
      <c r="AR50" s="65"/>
      <c r="AS50" s="170" t="n">
        <v>-3.5</v>
      </c>
      <c r="AT50" s="201" t="n">
        <v>0.0125</v>
      </c>
      <c r="AU50" s="65"/>
      <c r="AV50" s="170" t="n">
        <v>4</v>
      </c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135" t="n">
        <v>37712</v>
      </c>
      <c r="BI50" s="172" t="n">
        <v>0.9</v>
      </c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160"/>
      <c r="CI50" s="140"/>
      <c r="CJ50" s="141"/>
      <c r="CK50" s="141"/>
      <c r="CM50" s="200"/>
      <c r="CN50" s="200"/>
      <c r="CO50" s="173"/>
      <c r="CP50" s="0"/>
      <c r="CQ50" s="0"/>
      <c r="CR50" s="0"/>
      <c r="CS50" s="0"/>
      <c r="CT50" s="0"/>
      <c r="CY50" s="174" t="n">
        <f aca="false">M50</f>
        <v>37712</v>
      </c>
      <c r="CZ50" s="175" t="n">
        <f aca="false">AI50+AH50</f>
        <v>0.85</v>
      </c>
      <c r="DA50" s="175" t="n">
        <f aca="false">AI50</f>
        <v>1.1</v>
      </c>
      <c r="DB50" s="175" t="n">
        <f aca="false">AI50+AJ50</f>
        <v>1.4</v>
      </c>
      <c r="DD50" s="175" t="n">
        <f aca="false">Z50</f>
        <v>0.16380375</v>
      </c>
      <c r="DE50" s="175" t="n">
        <f aca="false">AA50</f>
        <v>0.3276075</v>
      </c>
      <c r="DF50" s="175" t="n">
        <f aca="false">AB50</f>
        <v>0.49141125</v>
      </c>
      <c r="DH50" s="174" t="n">
        <f aca="false">BH50</f>
        <v>37712</v>
      </c>
      <c r="DI50" s="128" t="n">
        <f aca="false">BI50</f>
        <v>0.9</v>
      </c>
      <c r="DT50" s="84"/>
      <c r="DU50" s="84"/>
      <c r="DV50" s="84"/>
      <c r="DW50" s="84"/>
      <c r="DX50" s="84"/>
      <c r="DY50" s="84"/>
    </row>
    <row r="51" customFormat="false" ht="12.75" hidden="false" customHeight="false" outlineLevel="0" collapsed="false">
      <c r="A51" s="138" t="n">
        <f aca="false">EOMONTH(A50,0)+1</f>
        <v>47088</v>
      </c>
      <c r="B51" s="128" t="n">
        <f aca="false">'Gas Curves'!C55</f>
        <v>0.055483670787007</v>
      </c>
      <c r="C51" s="128"/>
      <c r="D51" s="167" t="n">
        <v>36861</v>
      </c>
      <c r="E51" s="168" t="n">
        <v>70</v>
      </c>
      <c r="F51" s="168" t="n">
        <v>70.5</v>
      </c>
      <c r="G51" s="168" t="n">
        <v>71.1</v>
      </c>
      <c r="H51" s="152"/>
      <c r="I51" s="168" t="n">
        <v>28.1499996185303</v>
      </c>
      <c r="J51" s="168" t="n">
        <v>28.3999996185303</v>
      </c>
      <c r="K51" s="168" t="n">
        <v>28.6999996185303</v>
      </c>
      <c r="L51" s="134"/>
      <c r="M51" s="135" t="n">
        <v>37742</v>
      </c>
      <c r="N51" s="169" t="n">
        <v>26.925</v>
      </c>
      <c r="O51" s="169" t="n">
        <v>28.5</v>
      </c>
      <c r="P51" s="169" t="n">
        <v>30.285</v>
      </c>
      <c r="Q51" s="65"/>
      <c r="R51" s="169" t="n">
        <v>21.1999988555908</v>
      </c>
      <c r="S51" s="169" t="n">
        <v>25.1999988555908</v>
      </c>
      <c r="T51" s="169" t="n">
        <v>26.0924988555908</v>
      </c>
      <c r="U51" s="65"/>
      <c r="V51" s="169" t="n">
        <v>2</v>
      </c>
      <c r="W51" s="169" t="n">
        <v>2</v>
      </c>
      <c r="X51" s="169" t="n">
        <v>2</v>
      </c>
      <c r="Y51" s="65"/>
      <c r="Z51" s="169" t="n">
        <v>0.17232525</v>
      </c>
      <c r="AA51" s="169" t="n">
        <v>0.3446505</v>
      </c>
      <c r="AB51" s="169" t="n">
        <v>0.51697575</v>
      </c>
      <c r="AC51" s="65"/>
      <c r="AD51" s="169" t="n">
        <v>0.03294172</v>
      </c>
      <c r="AE51" s="169" t="n">
        <v>0.06588344</v>
      </c>
      <c r="AF51" s="169" t="n">
        <v>0.09882516</v>
      </c>
      <c r="AG51" s="65"/>
      <c r="AH51" s="169" t="n">
        <v>-0.25</v>
      </c>
      <c r="AI51" s="169" t="n">
        <v>1.1</v>
      </c>
      <c r="AJ51" s="169" t="n">
        <v>0.3</v>
      </c>
      <c r="AK51" s="65"/>
      <c r="AL51" s="169" t="n">
        <v>-0.15</v>
      </c>
      <c r="AM51" s="169" t="n">
        <v>0.5</v>
      </c>
      <c r="AN51" s="169" t="n">
        <v>0.2</v>
      </c>
      <c r="AO51" s="65"/>
      <c r="AP51" s="134" t="n">
        <v>12</v>
      </c>
      <c r="AQ51" s="170" t="n">
        <v>0.3</v>
      </c>
      <c r="AR51" s="65"/>
      <c r="AS51" s="170" t="n">
        <v>-3</v>
      </c>
      <c r="AT51" s="201" t="n">
        <v>0.01</v>
      </c>
      <c r="AU51" s="65"/>
      <c r="AV51" s="170" t="n">
        <v>10</v>
      </c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135" t="n">
        <v>37742</v>
      </c>
      <c r="BI51" s="172" t="n">
        <v>0.9</v>
      </c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160"/>
      <c r="CI51" s="145"/>
      <c r="CJ51" s="145"/>
      <c r="CK51" s="145"/>
      <c r="CM51" s="200"/>
      <c r="CN51" s="200"/>
      <c r="CO51" s="173"/>
      <c r="CP51" s="0"/>
      <c r="CQ51" s="0"/>
      <c r="CR51" s="0"/>
      <c r="CS51" s="0"/>
      <c r="CT51" s="0"/>
      <c r="CY51" s="174" t="n">
        <f aca="false">M51</f>
        <v>37742</v>
      </c>
      <c r="CZ51" s="175" t="n">
        <f aca="false">AI51+AH51</f>
        <v>0.85</v>
      </c>
      <c r="DA51" s="175" t="n">
        <f aca="false">AI51</f>
        <v>1.1</v>
      </c>
      <c r="DB51" s="175" t="n">
        <f aca="false">AI51+AJ51</f>
        <v>1.4</v>
      </c>
      <c r="DD51" s="175" t="n">
        <f aca="false">Z51</f>
        <v>0.17232525</v>
      </c>
      <c r="DE51" s="175" t="n">
        <f aca="false">AA51</f>
        <v>0.3446505</v>
      </c>
      <c r="DF51" s="175" t="n">
        <f aca="false">AB51</f>
        <v>0.51697575</v>
      </c>
      <c r="DH51" s="174" t="n">
        <f aca="false">BH51</f>
        <v>37742</v>
      </c>
      <c r="DI51" s="128" t="n">
        <f aca="false">BI51</f>
        <v>0.9</v>
      </c>
      <c r="DT51" s="84"/>
      <c r="DU51" s="84"/>
      <c r="DV51" s="84"/>
      <c r="DW51" s="84"/>
      <c r="DX51" s="84"/>
      <c r="DY51" s="84"/>
    </row>
    <row r="52" customFormat="false" ht="12.75" hidden="false" customHeight="false" outlineLevel="0" collapsed="false">
      <c r="A52" s="138" t="n">
        <f aca="false">EOMONTH(A51,0)+1</f>
        <v>47119</v>
      </c>
      <c r="B52" s="128" t="n">
        <f aca="false">'Gas Curves'!C56</f>
        <v>0.055556493873767</v>
      </c>
      <c r="C52" s="128"/>
      <c r="D52" s="167" t="n">
        <v>36892</v>
      </c>
      <c r="E52" s="168" t="n">
        <v>92.1</v>
      </c>
      <c r="F52" s="168" t="n">
        <v>93</v>
      </c>
      <c r="G52" s="168" t="n">
        <v>93.8</v>
      </c>
      <c r="H52" s="152"/>
      <c r="I52" s="168" t="n">
        <v>53.05</v>
      </c>
      <c r="J52" s="168" t="n">
        <v>53.5</v>
      </c>
      <c r="K52" s="168" t="n">
        <v>53.9</v>
      </c>
      <c r="L52" s="134"/>
      <c r="M52" s="135" t="n">
        <v>37773</v>
      </c>
      <c r="N52" s="169" t="n">
        <v>32.2625030517578</v>
      </c>
      <c r="O52" s="169" t="n">
        <v>35.3000030517578</v>
      </c>
      <c r="P52" s="169" t="n">
        <v>38.0225030517578</v>
      </c>
      <c r="Q52" s="65"/>
      <c r="R52" s="169" t="n">
        <v>26.7000026702881</v>
      </c>
      <c r="S52" s="169" t="n">
        <v>30.7000026702881</v>
      </c>
      <c r="T52" s="169" t="n">
        <v>32.0612526702881</v>
      </c>
      <c r="U52" s="65"/>
      <c r="V52" s="169" t="n">
        <v>2</v>
      </c>
      <c r="W52" s="169" t="n">
        <v>2</v>
      </c>
      <c r="X52" s="169" t="n">
        <v>2</v>
      </c>
      <c r="Y52" s="65"/>
      <c r="Z52" s="169" t="n">
        <v>0.1842905</v>
      </c>
      <c r="AA52" s="169" t="n">
        <v>0.368581</v>
      </c>
      <c r="AB52" s="169" t="n">
        <v>0.5528715</v>
      </c>
      <c r="AC52" s="65"/>
      <c r="AD52" s="169" t="n">
        <v>0.04235364</v>
      </c>
      <c r="AE52" s="169" t="n">
        <v>0.08470728</v>
      </c>
      <c r="AF52" s="169" t="n">
        <v>0.12706092</v>
      </c>
      <c r="AG52" s="65"/>
      <c r="AH52" s="169" t="n">
        <v>-0.35</v>
      </c>
      <c r="AI52" s="169" t="n">
        <v>2</v>
      </c>
      <c r="AJ52" s="169" t="n">
        <v>0.3</v>
      </c>
      <c r="AK52" s="65"/>
      <c r="AL52" s="169" t="n">
        <v>-0.15</v>
      </c>
      <c r="AM52" s="169" t="n">
        <v>0.65</v>
      </c>
      <c r="AN52" s="169" t="n">
        <v>0.2</v>
      </c>
      <c r="AO52" s="65"/>
      <c r="AP52" s="134" t="n">
        <v>12</v>
      </c>
      <c r="AQ52" s="170" t="n">
        <v>0.3</v>
      </c>
      <c r="AR52" s="65"/>
      <c r="AS52" s="170" t="n">
        <v>-2.5</v>
      </c>
      <c r="AT52" s="172" t="n">
        <v>0.005</v>
      </c>
      <c r="AU52" s="65"/>
      <c r="AV52" s="170" t="n">
        <v>0</v>
      </c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135" t="n">
        <v>37773</v>
      </c>
      <c r="BI52" s="172" t="n">
        <v>0.9</v>
      </c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160"/>
      <c r="CI52" s="145"/>
      <c r="CJ52" s="145"/>
      <c r="CK52" s="145"/>
      <c r="CM52" s="200"/>
      <c r="CN52" s="200"/>
      <c r="CO52" s="173"/>
      <c r="CP52" s="0"/>
      <c r="CQ52" s="0"/>
      <c r="CR52" s="0"/>
      <c r="CS52" s="0"/>
      <c r="CT52" s="0"/>
      <c r="CY52" s="174" t="n">
        <f aca="false">M52</f>
        <v>37773</v>
      </c>
      <c r="CZ52" s="175" t="n">
        <f aca="false">AI52+AH52</f>
        <v>1.65</v>
      </c>
      <c r="DA52" s="175" t="n">
        <f aca="false">AI52</f>
        <v>2</v>
      </c>
      <c r="DB52" s="175" t="n">
        <f aca="false">AI52+AJ52</f>
        <v>2.3</v>
      </c>
      <c r="DD52" s="175" t="n">
        <f aca="false">Z52</f>
        <v>0.1842905</v>
      </c>
      <c r="DE52" s="175" t="n">
        <f aca="false">AA52</f>
        <v>0.368581</v>
      </c>
      <c r="DF52" s="175" t="n">
        <f aca="false">AB52</f>
        <v>0.5528715</v>
      </c>
      <c r="DH52" s="174" t="n">
        <f aca="false">BH52</f>
        <v>37773</v>
      </c>
      <c r="DI52" s="128" t="n">
        <f aca="false">BI52</f>
        <v>0.9</v>
      </c>
      <c r="DT52" s="84"/>
      <c r="DU52" s="84"/>
      <c r="DV52" s="84"/>
      <c r="DW52" s="84"/>
      <c r="DX52" s="84"/>
      <c r="DY52" s="84"/>
    </row>
    <row r="53" customFormat="false" ht="12.75" hidden="false" customHeight="false" outlineLevel="0" collapsed="false">
      <c r="A53" s="138" t="n">
        <f aca="false">EOMONTH(A52,0)+1</f>
        <v>47150</v>
      </c>
      <c r="B53" s="128" t="n">
        <f aca="false">'Gas Curves'!C57</f>
        <v>0.055631744398608</v>
      </c>
      <c r="C53" s="128"/>
      <c r="D53" s="167" t="n">
        <v>36923</v>
      </c>
      <c r="E53" s="168" t="n">
        <v>92.3</v>
      </c>
      <c r="F53" s="168" t="n">
        <v>93</v>
      </c>
      <c r="G53" s="168" t="n">
        <v>93.8</v>
      </c>
      <c r="H53" s="152"/>
      <c r="I53" s="168" t="n">
        <v>52.9999984741211</v>
      </c>
      <c r="J53" s="168" t="n">
        <v>53.3499984741211</v>
      </c>
      <c r="K53" s="168" t="n">
        <v>53.7499984741211</v>
      </c>
      <c r="L53" s="134"/>
      <c r="M53" s="135" t="n">
        <v>37803</v>
      </c>
      <c r="N53" s="169" t="n">
        <v>34.9750015258789</v>
      </c>
      <c r="O53" s="169" t="n">
        <v>42.4000015258789</v>
      </c>
      <c r="P53" s="169" t="n">
        <v>48.2125015258789</v>
      </c>
      <c r="Q53" s="65"/>
      <c r="R53" s="169" t="n">
        <v>31.9000015258789</v>
      </c>
      <c r="S53" s="169" t="n">
        <v>35.9000015258789</v>
      </c>
      <c r="T53" s="169" t="n">
        <v>38.8062515258789</v>
      </c>
      <c r="U53" s="65"/>
      <c r="V53" s="169" t="n">
        <v>2</v>
      </c>
      <c r="W53" s="169" t="n">
        <v>2</v>
      </c>
      <c r="X53" s="169" t="n">
        <v>2</v>
      </c>
      <c r="Y53" s="65"/>
      <c r="Z53" s="169" t="n">
        <v>0.219499875</v>
      </c>
      <c r="AA53" s="169" t="n">
        <v>0.43899975</v>
      </c>
      <c r="AB53" s="169" t="n">
        <v>0.658499625</v>
      </c>
      <c r="AC53" s="65"/>
      <c r="AD53" s="169" t="n">
        <v>0.05647152</v>
      </c>
      <c r="AE53" s="169" t="n">
        <v>0.11294304</v>
      </c>
      <c r="AF53" s="169" t="n">
        <v>0.16941456</v>
      </c>
      <c r="AG53" s="65"/>
      <c r="AH53" s="169" t="n">
        <v>-0.35</v>
      </c>
      <c r="AI53" s="169" t="n">
        <v>3</v>
      </c>
      <c r="AJ53" s="169" t="n">
        <v>0.5</v>
      </c>
      <c r="AK53" s="65"/>
      <c r="AL53" s="169" t="n">
        <v>-0.15</v>
      </c>
      <c r="AM53" s="169" t="n">
        <v>0.75</v>
      </c>
      <c r="AN53" s="169" t="n">
        <v>0.2</v>
      </c>
      <c r="AO53" s="65"/>
      <c r="AP53" s="134" t="n">
        <v>12</v>
      </c>
      <c r="AQ53" s="170" t="n">
        <v>0.3</v>
      </c>
      <c r="AR53" s="65"/>
      <c r="AS53" s="170" t="n">
        <v>-2</v>
      </c>
      <c r="AT53" s="172" t="n">
        <v>0.0025</v>
      </c>
      <c r="AU53" s="65"/>
      <c r="AV53" s="170" t="n">
        <v>0</v>
      </c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135" t="n">
        <v>37803</v>
      </c>
      <c r="BI53" s="172" t="n">
        <v>0.9</v>
      </c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160"/>
      <c r="CI53" s="160"/>
      <c r="CJ53" s="160"/>
      <c r="CK53" s="160"/>
      <c r="CM53" s="200"/>
      <c r="CN53" s="200"/>
      <c r="CO53" s="173"/>
      <c r="CP53" s="0"/>
      <c r="CQ53" s="0"/>
      <c r="CR53" s="0"/>
      <c r="CS53" s="0"/>
      <c r="CT53" s="0"/>
      <c r="CY53" s="174" t="n">
        <f aca="false">M53</f>
        <v>37803</v>
      </c>
      <c r="CZ53" s="175" t="n">
        <f aca="false">AI53+AH53</f>
        <v>2.65</v>
      </c>
      <c r="DA53" s="175" t="n">
        <f aca="false">AI53</f>
        <v>3</v>
      </c>
      <c r="DB53" s="175" t="n">
        <f aca="false">AI53+AJ53</f>
        <v>3.5</v>
      </c>
      <c r="DD53" s="175" t="n">
        <f aca="false">Z53</f>
        <v>0.219499875</v>
      </c>
      <c r="DE53" s="175" t="n">
        <f aca="false">AA53</f>
        <v>0.43899975</v>
      </c>
      <c r="DF53" s="175" t="n">
        <f aca="false">AB53</f>
        <v>0.658499625</v>
      </c>
      <c r="DH53" s="174" t="n">
        <f aca="false">BH53</f>
        <v>37803</v>
      </c>
      <c r="DI53" s="128" t="n">
        <f aca="false">BI53</f>
        <v>0.9</v>
      </c>
      <c r="DP53" s="110"/>
      <c r="DT53" s="84"/>
      <c r="DU53" s="84"/>
      <c r="DV53" s="84"/>
      <c r="DW53" s="84"/>
      <c r="DX53" s="84"/>
      <c r="DY53" s="84"/>
    </row>
    <row r="54" customFormat="false" ht="12.75" hidden="false" customHeight="false" outlineLevel="0" collapsed="false">
      <c r="A54" s="138" t="n">
        <f aca="false">EOMONTH(A53,0)+1</f>
        <v>47178</v>
      </c>
      <c r="B54" s="128" t="n">
        <f aca="false">'Gas Curves'!C58</f>
        <v>0.055704124471487</v>
      </c>
      <c r="C54" s="128"/>
      <c r="D54" s="167" t="n">
        <v>36951</v>
      </c>
      <c r="E54" s="168" t="n">
        <v>63.05</v>
      </c>
      <c r="F54" s="168" t="n">
        <v>63.75</v>
      </c>
      <c r="G54" s="168" t="n">
        <v>64.55</v>
      </c>
      <c r="H54" s="152"/>
      <c r="I54" s="168" t="n">
        <v>41.9</v>
      </c>
      <c r="J54" s="168" t="n">
        <v>42.25</v>
      </c>
      <c r="K54" s="168" t="n">
        <v>42.65</v>
      </c>
      <c r="L54" s="134"/>
      <c r="M54" s="135" t="n">
        <v>37834</v>
      </c>
      <c r="N54" s="169" t="n">
        <v>46.7250015258789</v>
      </c>
      <c r="O54" s="169" t="n">
        <v>54.1500015258789</v>
      </c>
      <c r="P54" s="169" t="n">
        <v>59.9625015258789</v>
      </c>
      <c r="Q54" s="65"/>
      <c r="R54" s="169" t="n">
        <v>43.7000007629395</v>
      </c>
      <c r="S54" s="169" t="n">
        <v>47.7000007629395</v>
      </c>
      <c r="T54" s="169" t="n">
        <v>50.6062507629395</v>
      </c>
      <c r="U54" s="65"/>
      <c r="V54" s="169" t="n">
        <v>2</v>
      </c>
      <c r="W54" s="169" t="n">
        <v>2</v>
      </c>
      <c r="X54" s="169" t="n">
        <v>2</v>
      </c>
      <c r="Y54" s="65"/>
      <c r="Z54" s="169" t="n">
        <v>0.2146905</v>
      </c>
      <c r="AA54" s="169" t="n">
        <v>0.429381</v>
      </c>
      <c r="AB54" s="169" t="n">
        <v>0.6440715</v>
      </c>
      <c r="AC54" s="65"/>
      <c r="AD54" s="169" t="n">
        <v>0.05647152</v>
      </c>
      <c r="AE54" s="169" t="n">
        <v>0.11294304</v>
      </c>
      <c r="AF54" s="169" t="n">
        <v>0.16941456</v>
      </c>
      <c r="AG54" s="65"/>
      <c r="AH54" s="169" t="n">
        <v>-0.35</v>
      </c>
      <c r="AI54" s="169" t="n">
        <v>3</v>
      </c>
      <c r="AJ54" s="169" t="n">
        <v>0.5</v>
      </c>
      <c r="AK54" s="65"/>
      <c r="AL54" s="169" t="n">
        <v>-0.15</v>
      </c>
      <c r="AM54" s="169" t="n">
        <v>0.75</v>
      </c>
      <c r="AN54" s="169" t="n">
        <v>0.2</v>
      </c>
      <c r="AO54" s="65"/>
      <c r="AP54" s="134" t="n">
        <v>13</v>
      </c>
      <c r="AQ54" s="170" t="n">
        <v>0.3</v>
      </c>
      <c r="AR54" s="65"/>
      <c r="AS54" s="170" t="n">
        <v>-1.5</v>
      </c>
      <c r="AT54" s="172" t="n">
        <v>0</v>
      </c>
      <c r="AU54" s="65"/>
      <c r="AV54" s="170" t="n">
        <v>0</v>
      </c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135" t="n">
        <v>37834</v>
      </c>
      <c r="BI54" s="172" t="n">
        <v>0.9</v>
      </c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160"/>
      <c r="CI54" s="160"/>
      <c r="CJ54" s="160"/>
      <c r="CK54" s="160"/>
      <c r="CM54" s="200"/>
      <c r="CN54" s="200"/>
      <c r="CO54" s="173"/>
      <c r="CP54" s="0"/>
      <c r="CQ54" s="0"/>
      <c r="CR54" s="0"/>
      <c r="CS54" s="0"/>
      <c r="CT54" s="0"/>
      <c r="CY54" s="174" t="n">
        <f aca="false">M54</f>
        <v>37834</v>
      </c>
      <c r="CZ54" s="175" t="n">
        <f aca="false">AI54+AH54</f>
        <v>2.65</v>
      </c>
      <c r="DA54" s="175" t="n">
        <f aca="false">AI54</f>
        <v>3</v>
      </c>
      <c r="DB54" s="175" t="n">
        <f aca="false">AI54+AJ54</f>
        <v>3.5</v>
      </c>
      <c r="DD54" s="175" t="n">
        <f aca="false">Z54</f>
        <v>0.2146905</v>
      </c>
      <c r="DE54" s="175" t="n">
        <f aca="false">AA54</f>
        <v>0.429381</v>
      </c>
      <c r="DF54" s="175" t="n">
        <f aca="false">AB54</f>
        <v>0.6440715</v>
      </c>
      <c r="DH54" s="174" t="n">
        <f aca="false">BH54</f>
        <v>37834</v>
      </c>
      <c r="DI54" s="128" t="n">
        <f aca="false">BI54</f>
        <v>0.9</v>
      </c>
    </row>
    <row r="55" customFormat="false" ht="12.75" hidden="false" customHeight="false" outlineLevel="0" collapsed="false">
      <c r="A55" s="138" t="n">
        <f aca="false">EOMONTH(A54,0)+1</f>
        <v>47209</v>
      </c>
      <c r="B55" s="128" t="n">
        <f aca="false">'Gas Curves'!C59</f>
        <v>0.055778430336502</v>
      </c>
      <c r="C55" s="128"/>
      <c r="D55" s="167" t="n">
        <v>36982</v>
      </c>
      <c r="E55" s="168" t="n">
        <v>56.1</v>
      </c>
      <c r="F55" s="168" t="n">
        <v>57</v>
      </c>
      <c r="G55" s="168" t="n">
        <v>57.8</v>
      </c>
      <c r="H55" s="152"/>
      <c r="I55" s="168" t="n">
        <v>40.55</v>
      </c>
      <c r="J55" s="168" t="n">
        <v>41</v>
      </c>
      <c r="K55" s="168" t="n">
        <v>41.4</v>
      </c>
      <c r="L55" s="134"/>
      <c r="M55" s="135" t="n">
        <v>37865</v>
      </c>
      <c r="N55" s="169" t="n">
        <v>27.7875011444092</v>
      </c>
      <c r="O55" s="169" t="n">
        <v>30.8250011444092</v>
      </c>
      <c r="P55" s="169" t="n">
        <v>32.6100011444092</v>
      </c>
      <c r="Q55" s="65"/>
      <c r="R55" s="169" t="n">
        <v>24.3000015258789</v>
      </c>
      <c r="S55" s="169" t="n">
        <v>28.3000015258789</v>
      </c>
      <c r="T55" s="169" t="n">
        <v>29.1925015258789</v>
      </c>
      <c r="U55" s="65"/>
      <c r="V55" s="169" t="n">
        <v>2</v>
      </c>
      <c r="W55" s="169" t="n">
        <v>2</v>
      </c>
      <c r="X55" s="169" t="n">
        <v>2</v>
      </c>
      <c r="Y55" s="65"/>
      <c r="Z55" s="169" t="n">
        <v>0.16266375</v>
      </c>
      <c r="AA55" s="169" t="n">
        <v>0.3253275</v>
      </c>
      <c r="AB55" s="169" t="n">
        <v>0.48799125</v>
      </c>
      <c r="AC55" s="65"/>
      <c r="AD55" s="169" t="n">
        <v>0.03764768</v>
      </c>
      <c r="AE55" s="169" t="n">
        <v>0.07529536</v>
      </c>
      <c r="AF55" s="169" t="n">
        <v>0.11294304</v>
      </c>
      <c r="AG55" s="65"/>
      <c r="AH55" s="169" t="n">
        <v>-0.35</v>
      </c>
      <c r="AI55" s="169" t="n">
        <v>1.5</v>
      </c>
      <c r="AJ55" s="169" t="n">
        <v>0.3</v>
      </c>
      <c r="AK55" s="65"/>
      <c r="AL55" s="169" t="n">
        <v>-0.15</v>
      </c>
      <c r="AM55" s="169" t="n">
        <v>0.4</v>
      </c>
      <c r="AN55" s="169" t="n">
        <v>0.2</v>
      </c>
      <c r="AO55" s="65"/>
      <c r="AP55" s="134" t="n">
        <v>13</v>
      </c>
      <c r="AQ55" s="170" t="n">
        <v>0.3</v>
      </c>
      <c r="AR55" s="65"/>
      <c r="AS55" s="170" t="n">
        <v>-1</v>
      </c>
      <c r="AT55" s="172" t="n">
        <v>0</v>
      </c>
      <c r="AU55" s="65"/>
      <c r="AV55" s="170" t="n">
        <v>0</v>
      </c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135" t="n">
        <v>37865</v>
      </c>
      <c r="BI55" s="172" t="n">
        <v>0.9</v>
      </c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19"/>
      <c r="CI55" s="160"/>
      <c r="CJ55" s="160"/>
      <c r="CK55" s="160"/>
      <c r="CM55" s="200"/>
      <c r="CN55" s="200"/>
      <c r="CO55" s="173"/>
      <c r="CP55" s="0"/>
      <c r="CQ55" s="0"/>
      <c r="CR55" s="0"/>
      <c r="CS55" s="0"/>
      <c r="CT55" s="0"/>
      <c r="CY55" s="174" t="n">
        <f aca="false">M55</f>
        <v>37865</v>
      </c>
      <c r="CZ55" s="175" t="n">
        <f aca="false">AI55+AH55</f>
        <v>1.15</v>
      </c>
      <c r="DA55" s="175" t="n">
        <f aca="false">AI55</f>
        <v>1.5</v>
      </c>
      <c r="DB55" s="175" t="n">
        <f aca="false">AI55+AJ55</f>
        <v>1.8</v>
      </c>
      <c r="DD55" s="175" t="n">
        <f aca="false">Z55</f>
        <v>0.16266375</v>
      </c>
      <c r="DE55" s="175" t="n">
        <f aca="false">AA55</f>
        <v>0.3253275</v>
      </c>
      <c r="DF55" s="175" t="n">
        <f aca="false">AB55</f>
        <v>0.48799125</v>
      </c>
      <c r="DH55" s="174" t="n">
        <f aca="false">BH55</f>
        <v>37865</v>
      </c>
      <c r="DI55" s="128" t="n">
        <f aca="false">BI55</f>
        <v>0.9</v>
      </c>
    </row>
    <row r="56" customFormat="false" ht="12.75" hidden="false" customHeight="false" outlineLevel="0" collapsed="false">
      <c r="A56" s="138" t="n">
        <f aca="false">EOMONTH(A55,0)+1</f>
        <v>47239</v>
      </c>
      <c r="B56" s="128" t="n">
        <f aca="false">'Gas Curves'!C60</f>
        <v>0.055852736203356</v>
      </c>
      <c r="C56" s="128"/>
      <c r="D56" s="167" t="n">
        <v>37012</v>
      </c>
      <c r="E56" s="168" t="n">
        <v>62.6</v>
      </c>
      <c r="F56" s="168" t="n">
        <v>63.5</v>
      </c>
      <c r="G56" s="168" t="n">
        <v>65</v>
      </c>
      <c r="H56" s="152"/>
      <c r="I56" s="168" t="n">
        <v>41.55</v>
      </c>
      <c r="J56" s="168" t="n">
        <v>42</v>
      </c>
      <c r="K56" s="168" t="n">
        <v>42.75</v>
      </c>
      <c r="L56" s="134"/>
      <c r="M56" s="135" t="n">
        <v>37895</v>
      </c>
      <c r="N56" s="169" t="n">
        <v>25.2500011444092</v>
      </c>
      <c r="O56" s="169" t="n">
        <v>26.8250011444092</v>
      </c>
      <c r="P56" s="169" t="n">
        <v>27.9500011444092</v>
      </c>
      <c r="Q56" s="65"/>
      <c r="R56" s="169" t="n">
        <v>19.8000015258789</v>
      </c>
      <c r="S56" s="169" t="n">
        <v>23.8000015258789</v>
      </c>
      <c r="T56" s="169" t="n">
        <v>24.3625015258789</v>
      </c>
      <c r="U56" s="65"/>
      <c r="V56" s="169" t="n">
        <v>2</v>
      </c>
      <c r="W56" s="169" t="n">
        <v>2</v>
      </c>
      <c r="X56" s="169" t="n">
        <v>2</v>
      </c>
      <c r="Y56" s="65"/>
      <c r="Z56" s="169" t="n">
        <v>0.1406890625</v>
      </c>
      <c r="AA56" s="169" t="n">
        <v>0.281378125</v>
      </c>
      <c r="AB56" s="169" t="n">
        <v>0.4220671875</v>
      </c>
      <c r="AC56" s="65"/>
      <c r="AD56" s="169" t="n">
        <v>0.02823576</v>
      </c>
      <c r="AE56" s="169" t="n">
        <v>0.05647152</v>
      </c>
      <c r="AF56" s="169" t="n">
        <v>0.08470728</v>
      </c>
      <c r="AG56" s="65"/>
      <c r="AH56" s="169" t="n">
        <v>-0.25</v>
      </c>
      <c r="AI56" s="169" t="n">
        <v>1.1</v>
      </c>
      <c r="AJ56" s="169" t="n">
        <v>0.3</v>
      </c>
      <c r="AK56" s="65"/>
      <c r="AL56" s="169" t="n">
        <v>-0.15</v>
      </c>
      <c r="AM56" s="169" t="n">
        <v>0.35</v>
      </c>
      <c r="AN56" s="169" t="n">
        <v>0.2</v>
      </c>
      <c r="AO56" s="65"/>
      <c r="AP56" s="134" t="n">
        <v>13</v>
      </c>
      <c r="AQ56" s="170" t="n">
        <v>0.3</v>
      </c>
      <c r="AR56" s="65"/>
      <c r="AS56" s="170" t="n">
        <v>-0.5</v>
      </c>
      <c r="AT56" s="172" t="n">
        <v>0</v>
      </c>
      <c r="AU56" s="65"/>
      <c r="AV56" s="170" t="n">
        <v>0</v>
      </c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135" t="n">
        <v>37895</v>
      </c>
      <c r="BI56" s="172" t="n">
        <v>0.9</v>
      </c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19"/>
      <c r="CI56" s="160"/>
      <c r="CJ56" s="160"/>
      <c r="CK56" s="160"/>
      <c r="CM56" s="200"/>
      <c r="CN56" s="200"/>
      <c r="CO56" s="173"/>
      <c r="CP56" s="0"/>
      <c r="CQ56" s="0"/>
      <c r="CR56" s="0"/>
      <c r="CS56" s="0"/>
      <c r="CT56" s="0"/>
      <c r="CY56" s="174" t="n">
        <f aca="false">M56</f>
        <v>37895</v>
      </c>
      <c r="CZ56" s="175" t="n">
        <f aca="false">AI56+AH56</f>
        <v>0.85</v>
      </c>
      <c r="DA56" s="175" t="n">
        <f aca="false">AI56</f>
        <v>1.1</v>
      </c>
      <c r="DB56" s="175" t="n">
        <f aca="false">AI56+AJ56</f>
        <v>1.4</v>
      </c>
      <c r="DD56" s="175" t="n">
        <f aca="false">Z56</f>
        <v>0.1406890625</v>
      </c>
      <c r="DE56" s="175" t="n">
        <f aca="false">AA56</f>
        <v>0.281378125</v>
      </c>
      <c r="DF56" s="175" t="n">
        <f aca="false">AB56</f>
        <v>0.4220671875</v>
      </c>
      <c r="DH56" s="174" t="n">
        <f aca="false">BH56</f>
        <v>37895</v>
      </c>
      <c r="DI56" s="128" t="n">
        <f aca="false">BI56</f>
        <v>0.9</v>
      </c>
    </row>
    <row r="57" customFormat="false" ht="12.75" hidden="false" customHeight="false" outlineLevel="0" collapsed="false">
      <c r="A57" s="138" t="n">
        <f aca="false">EOMONTH(A56,0)+1</f>
        <v>47270</v>
      </c>
      <c r="B57" s="128" t="n">
        <f aca="false">'Gas Curves'!C61</f>
        <v>0.055924454309932</v>
      </c>
      <c r="C57" s="128"/>
      <c r="D57" s="167" t="n">
        <v>37043</v>
      </c>
      <c r="E57" s="168" t="n">
        <v>73.2</v>
      </c>
      <c r="F57" s="168" t="n">
        <v>75</v>
      </c>
      <c r="G57" s="168" t="n">
        <v>77.3</v>
      </c>
      <c r="H57" s="152"/>
      <c r="I57" s="168" t="n">
        <v>42.725</v>
      </c>
      <c r="J57" s="168" t="n">
        <v>43.625</v>
      </c>
      <c r="K57" s="168" t="n">
        <v>44.775</v>
      </c>
      <c r="L57" s="134"/>
      <c r="M57" s="135" t="n">
        <v>37926</v>
      </c>
      <c r="N57" s="169" t="n">
        <v>27.6000015258789</v>
      </c>
      <c r="O57" s="169" t="n">
        <v>29.1750015258789</v>
      </c>
      <c r="P57" s="169" t="n">
        <v>30.3000015258789</v>
      </c>
      <c r="Q57" s="65"/>
      <c r="R57" s="169" t="n">
        <v>22.0000003814697</v>
      </c>
      <c r="S57" s="169" t="n">
        <v>26.0000003814697</v>
      </c>
      <c r="T57" s="169" t="n">
        <v>26.5625003814697</v>
      </c>
      <c r="U57" s="65"/>
      <c r="V57" s="169" t="n">
        <v>2</v>
      </c>
      <c r="W57" s="169" t="n">
        <v>2</v>
      </c>
      <c r="X57" s="169" t="n">
        <v>2</v>
      </c>
      <c r="Y57" s="65"/>
      <c r="Z57" s="169" t="n">
        <v>0.1406890625</v>
      </c>
      <c r="AA57" s="169" t="n">
        <v>0.281378125</v>
      </c>
      <c r="AB57" s="169" t="n">
        <v>0.4220671875</v>
      </c>
      <c r="AC57" s="65"/>
      <c r="AD57" s="169" t="n">
        <v>0.02823576</v>
      </c>
      <c r="AE57" s="169" t="n">
        <v>0.05647152</v>
      </c>
      <c r="AF57" s="169" t="n">
        <v>0.08470728</v>
      </c>
      <c r="AG57" s="65"/>
      <c r="AH57" s="169" t="n">
        <v>-0.25</v>
      </c>
      <c r="AI57" s="169" t="n">
        <v>1.25</v>
      </c>
      <c r="AJ57" s="169" t="n">
        <v>0.3</v>
      </c>
      <c r="AK57" s="65"/>
      <c r="AL57" s="169" t="n">
        <v>-0.15</v>
      </c>
      <c r="AM57" s="169" t="n">
        <v>0.3</v>
      </c>
      <c r="AN57" s="169" t="n">
        <v>0.2</v>
      </c>
      <c r="AO57" s="65"/>
      <c r="AP57" s="134" t="n">
        <v>14</v>
      </c>
      <c r="AQ57" s="170" t="n">
        <v>0.3</v>
      </c>
      <c r="AR57" s="65"/>
      <c r="AS57" s="170" t="n">
        <v>0</v>
      </c>
      <c r="AT57" s="172" t="n">
        <v>0</v>
      </c>
      <c r="AU57" s="65"/>
      <c r="AV57" s="170" t="n">
        <v>0</v>
      </c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135" t="n">
        <v>37926</v>
      </c>
      <c r="BI57" s="172" t="n">
        <v>0.9</v>
      </c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19"/>
      <c r="CI57" s="160"/>
      <c r="CJ57" s="160"/>
      <c r="CK57" s="160"/>
      <c r="CM57" s="200"/>
      <c r="CN57" s="200"/>
      <c r="CO57" s="173"/>
      <c r="CP57" s="0"/>
      <c r="CQ57" s="0"/>
      <c r="CR57" s="0"/>
      <c r="CS57" s="0"/>
      <c r="CT57" s="0"/>
      <c r="CY57" s="174" t="n">
        <f aca="false">M57</f>
        <v>37926</v>
      </c>
      <c r="CZ57" s="175" t="n">
        <f aca="false">AI57+AH57</f>
        <v>1</v>
      </c>
      <c r="DA57" s="175" t="n">
        <f aca="false">AI57</f>
        <v>1.25</v>
      </c>
      <c r="DB57" s="175" t="n">
        <f aca="false">AI57+AJ57</f>
        <v>1.55</v>
      </c>
      <c r="DD57" s="175" t="n">
        <f aca="false">Z57</f>
        <v>0.1406890625</v>
      </c>
      <c r="DE57" s="175" t="n">
        <f aca="false">AA57</f>
        <v>0.281378125</v>
      </c>
      <c r="DF57" s="175" t="n">
        <f aca="false">AB57</f>
        <v>0.4220671875</v>
      </c>
      <c r="DH57" s="174" t="n">
        <f aca="false">BH57</f>
        <v>37926</v>
      </c>
      <c r="DI57" s="128" t="n">
        <f aca="false">BI57</f>
        <v>0.9</v>
      </c>
    </row>
    <row r="58" customFormat="false" ht="12.75" hidden="false" customHeight="false" outlineLevel="0" collapsed="false">
      <c r="A58" s="138" t="n">
        <f aca="false">EOMONTH(A57,0)+1</f>
        <v>47300</v>
      </c>
      <c r="B58" s="128" t="n">
        <f aca="false">'Gas Curves'!C62</f>
        <v>0.05599837942568</v>
      </c>
      <c r="C58" s="128"/>
      <c r="D58" s="167" t="n">
        <v>37073</v>
      </c>
      <c r="E58" s="168" t="n">
        <v>96.6</v>
      </c>
      <c r="F58" s="168" t="n">
        <v>101</v>
      </c>
      <c r="G58" s="168" t="n">
        <v>105.9</v>
      </c>
      <c r="H58" s="152"/>
      <c r="I58" s="168" t="n">
        <v>44.1499984741211</v>
      </c>
      <c r="J58" s="168" t="n">
        <v>46.3499984741211</v>
      </c>
      <c r="K58" s="168" t="n">
        <v>48.7999984741211</v>
      </c>
      <c r="L58" s="134"/>
      <c r="M58" s="135" t="n">
        <v>37956</v>
      </c>
      <c r="N58" s="169" t="n">
        <v>28.2</v>
      </c>
      <c r="O58" s="169" t="n">
        <v>29.775</v>
      </c>
      <c r="P58" s="169" t="n">
        <v>30.9</v>
      </c>
      <c r="Q58" s="65"/>
      <c r="R58" s="169" t="n">
        <v>22.5000003814697</v>
      </c>
      <c r="S58" s="169" t="n">
        <v>26.5000003814697</v>
      </c>
      <c r="T58" s="169" t="n">
        <v>27.0625003814697</v>
      </c>
      <c r="U58" s="65"/>
      <c r="V58" s="169" t="n">
        <v>2</v>
      </c>
      <c r="W58" s="169" t="n">
        <v>2</v>
      </c>
      <c r="X58" s="169" t="n">
        <v>2</v>
      </c>
      <c r="Y58" s="65"/>
      <c r="Z58" s="169" t="n">
        <v>0.137880625</v>
      </c>
      <c r="AA58" s="169" t="n">
        <v>0.27576125</v>
      </c>
      <c r="AB58" s="169" t="n">
        <v>0.413641875</v>
      </c>
      <c r="AC58" s="65"/>
      <c r="AD58" s="169" t="n">
        <v>0.02823576</v>
      </c>
      <c r="AE58" s="169" t="n">
        <v>0.05647152</v>
      </c>
      <c r="AF58" s="169" t="n">
        <v>0.08470728</v>
      </c>
      <c r="AG58" s="65"/>
      <c r="AH58" s="169" t="n">
        <v>-0.25</v>
      </c>
      <c r="AI58" s="169" t="n">
        <v>1.25</v>
      </c>
      <c r="AJ58" s="169" t="n">
        <v>0.35</v>
      </c>
      <c r="AK58" s="65"/>
      <c r="AL58" s="169" t="n">
        <v>-0.15</v>
      </c>
      <c r="AM58" s="169" t="n">
        <v>0.3</v>
      </c>
      <c r="AN58" s="169" t="n">
        <v>0.2</v>
      </c>
      <c r="AO58" s="65"/>
      <c r="AP58" s="134" t="n">
        <v>14</v>
      </c>
      <c r="AQ58" s="170" t="n">
        <v>0.3</v>
      </c>
      <c r="AR58" s="65"/>
      <c r="AS58" s="170" t="n">
        <v>1</v>
      </c>
      <c r="AT58" s="172" t="n">
        <v>0</v>
      </c>
      <c r="AU58" s="65"/>
      <c r="AV58" s="170" t="n">
        <v>0</v>
      </c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135" t="n">
        <v>37956</v>
      </c>
      <c r="BI58" s="172" t="n">
        <v>0.9</v>
      </c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19"/>
      <c r="CI58" s="160"/>
      <c r="CJ58" s="160"/>
      <c r="CK58" s="160"/>
      <c r="CM58" s="200"/>
      <c r="CN58" s="200"/>
      <c r="CO58" s="173"/>
      <c r="CP58" s="0"/>
      <c r="CQ58" s="0"/>
      <c r="CR58" s="0"/>
      <c r="CS58" s="0"/>
      <c r="CT58" s="0"/>
      <c r="CY58" s="174" t="n">
        <f aca="false">M58</f>
        <v>37956</v>
      </c>
      <c r="CZ58" s="175" t="n">
        <f aca="false">AI58+AH58</f>
        <v>1</v>
      </c>
      <c r="DA58" s="175" t="n">
        <f aca="false">AI58</f>
        <v>1.25</v>
      </c>
      <c r="DB58" s="175" t="n">
        <f aca="false">AI58+AJ58</f>
        <v>1.6</v>
      </c>
      <c r="DD58" s="175" t="n">
        <f aca="false">Z58</f>
        <v>0.137880625</v>
      </c>
      <c r="DE58" s="175" t="n">
        <f aca="false">AA58</f>
        <v>0.27576125</v>
      </c>
      <c r="DF58" s="175" t="n">
        <f aca="false">AB58</f>
        <v>0.413641875</v>
      </c>
      <c r="DH58" s="174" t="n">
        <f aca="false">BH58</f>
        <v>37956</v>
      </c>
      <c r="DI58" s="128" t="n">
        <f aca="false">BI58</f>
        <v>0.9</v>
      </c>
    </row>
    <row r="59" customFormat="false" ht="12.75" hidden="false" customHeight="false" outlineLevel="0" collapsed="false">
      <c r="A59" s="138" t="n">
        <f aca="false">EOMONTH(A58,0)+1</f>
        <v>47331</v>
      </c>
      <c r="B59" s="128" t="n">
        <f aca="false">'Gas Curves'!C63</f>
        <v>0.056069919862008</v>
      </c>
      <c r="C59" s="128"/>
      <c r="D59" s="167" t="n">
        <v>37104</v>
      </c>
      <c r="E59" s="168" t="n">
        <v>96.6</v>
      </c>
      <c r="F59" s="168" t="n">
        <v>101</v>
      </c>
      <c r="G59" s="168" t="n">
        <v>105.9</v>
      </c>
      <c r="H59" s="152"/>
      <c r="I59" s="168" t="n">
        <v>39.2000015258789</v>
      </c>
      <c r="J59" s="168" t="n">
        <v>41.4000015258789</v>
      </c>
      <c r="K59" s="168" t="n">
        <v>43.8500015258789</v>
      </c>
      <c r="L59" s="134"/>
      <c r="M59" s="135" t="n">
        <v>37987</v>
      </c>
      <c r="N59" s="169" t="n">
        <v>30.7294960021973</v>
      </c>
      <c r="O59" s="169" t="n">
        <v>32.3044960021973</v>
      </c>
      <c r="P59" s="169" t="n">
        <v>33.3394960021973</v>
      </c>
      <c r="Q59" s="65"/>
      <c r="R59" s="169" t="n">
        <v>24.4039974212647</v>
      </c>
      <c r="S59" s="169" t="n">
        <v>28.4039974212647</v>
      </c>
      <c r="T59" s="169" t="n">
        <v>28.9214974212646</v>
      </c>
      <c r="U59" s="65"/>
      <c r="V59" s="169" t="n">
        <v>0</v>
      </c>
      <c r="W59" s="169" t="n">
        <v>0</v>
      </c>
      <c r="X59" s="169" t="n">
        <v>0</v>
      </c>
      <c r="Y59" s="65"/>
      <c r="Z59" s="169" t="n">
        <v>0.203468625</v>
      </c>
      <c r="AA59" s="169" t="n">
        <v>0.40693725</v>
      </c>
      <c r="AB59" s="169" t="n">
        <v>0.610405875</v>
      </c>
      <c r="AC59" s="65"/>
      <c r="AD59" s="169" t="n">
        <v>0.0322828856</v>
      </c>
      <c r="AE59" s="169" t="n">
        <v>0.0645657712</v>
      </c>
      <c r="AF59" s="169" t="n">
        <v>0.0968486568</v>
      </c>
      <c r="AG59" s="65"/>
      <c r="AH59" s="169" t="n">
        <v>-0.75</v>
      </c>
      <c r="AI59" s="169" t="n">
        <v>2</v>
      </c>
      <c r="AJ59" s="169" t="n">
        <v>0.75</v>
      </c>
      <c r="AK59" s="65"/>
      <c r="AL59" s="169" t="n">
        <v>-0.15</v>
      </c>
      <c r="AM59" s="169" t="n">
        <v>0.5</v>
      </c>
      <c r="AN59" s="169" t="n">
        <v>0.2</v>
      </c>
      <c r="AO59" s="65"/>
      <c r="AP59" s="134" t="n">
        <v>14</v>
      </c>
      <c r="AQ59" s="170" t="n">
        <v>0.3</v>
      </c>
      <c r="AR59" s="65"/>
      <c r="AS59" s="170" t="n">
        <v>2</v>
      </c>
      <c r="AT59" s="172" t="n">
        <v>0</v>
      </c>
      <c r="AU59" s="65"/>
      <c r="AV59" s="170" t="n">
        <v>0</v>
      </c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135" t="n">
        <v>37987</v>
      </c>
      <c r="BI59" s="172" t="n">
        <v>0.9</v>
      </c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19"/>
      <c r="CI59" s="160"/>
      <c r="CJ59" s="160"/>
      <c r="CK59" s="160"/>
      <c r="CM59" s="200"/>
      <c r="CN59" s="200"/>
      <c r="CO59" s="173"/>
      <c r="CP59" s="0"/>
      <c r="CQ59" s="0"/>
      <c r="CR59" s="0"/>
      <c r="CS59" s="0"/>
      <c r="CT59" s="0"/>
      <c r="CY59" s="174" t="n">
        <f aca="false">M59</f>
        <v>37987</v>
      </c>
      <c r="CZ59" s="175" t="n">
        <f aca="false">AI59+AH59</f>
        <v>1.25</v>
      </c>
      <c r="DA59" s="175" t="n">
        <f aca="false">AI59</f>
        <v>2</v>
      </c>
      <c r="DB59" s="175" t="n">
        <f aca="false">AI59+AJ59</f>
        <v>2.75</v>
      </c>
      <c r="DD59" s="175" t="n">
        <f aca="false">Z59</f>
        <v>0.203468625</v>
      </c>
      <c r="DE59" s="175" t="n">
        <f aca="false">AA59</f>
        <v>0.40693725</v>
      </c>
      <c r="DF59" s="175" t="n">
        <f aca="false">AB59</f>
        <v>0.610405875</v>
      </c>
      <c r="DH59" s="174" t="n">
        <f aca="false">BH59</f>
        <v>37987</v>
      </c>
      <c r="DI59" s="128" t="n">
        <f aca="false">BI59</f>
        <v>0.9</v>
      </c>
    </row>
    <row r="60" customFormat="false" ht="12.75" hidden="false" customHeight="false" outlineLevel="0" collapsed="false">
      <c r="A60" s="138" t="n">
        <f aca="false">EOMONTH(A59,0)+1</f>
        <v>47362</v>
      </c>
      <c r="B60" s="128" t="n">
        <f aca="false">'Gas Curves'!C64</f>
        <v>0.056149749946644</v>
      </c>
      <c r="C60" s="128"/>
      <c r="D60" s="167" t="n">
        <v>37135</v>
      </c>
      <c r="E60" s="168" t="n">
        <v>56.45</v>
      </c>
      <c r="F60" s="168" t="n">
        <v>58.25</v>
      </c>
      <c r="G60" s="168" t="n">
        <v>59.75</v>
      </c>
      <c r="H60" s="152"/>
      <c r="I60" s="168" t="n">
        <v>27.7499996185303</v>
      </c>
      <c r="J60" s="168" t="n">
        <v>28.6499996185303</v>
      </c>
      <c r="K60" s="168" t="n">
        <v>29.3999996185303</v>
      </c>
      <c r="L60" s="134"/>
      <c r="M60" s="135" t="n">
        <v>38018</v>
      </c>
      <c r="N60" s="169" t="n">
        <v>30.3919967651367</v>
      </c>
      <c r="O60" s="169" t="n">
        <v>31.6294967651367</v>
      </c>
      <c r="P60" s="169" t="n">
        <v>32.6644967651367</v>
      </c>
      <c r="Q60" s="65"/>
      <c r="R60" s="169" t="n">
        <v>23.8039970397949</v>
      </c>
      <c r="S60" s="169" t="n">
        <v>27.8039970397949</v>
      </c>
      <c r="T60" s="169" t="n">
        <v>28.3214970397949</v>
      </c>
      <c r="U60" s="65"/>
      <c r="V60" s="169" t="n">
        <v>0</v>
      </c>
      <c r="W60" s="169" t="n">
        <v>0</v>
      </c>
      <c r="X60" s="169" t="n">
        <v>0</v>
      </c>
      <c r="Y60" s="65"/>
      <c r="Z60" s="169" t="n">
        <v>0.1965645</v>
      </c>
      <c r="AA60" s="169" t="n">
        <v>0.393129</v>
      </c>
      <c r="AB60" s="169" t="n">
        <v>0.5896935</v>
      </c>
      <c r="AC60" s="65"/>
      <c r="AD60" s="169" t="n">
        <v>0.0322828856</v>
      </c>
      <c r="AE60" s="169" t="n">
        <v>0.0645657712</v>
      </c>
      <c r="AF60" s="169" t="n">
        <v>0.0968486568</v>
      </c>
      <c r="AG60" s="65"/>
      <c r="AH60" s="169" t="n">
        <v>-0.75</v>
      </c>
      <c r="AI60" s="169" t="n">
        <v>2</v>
      </c>
      <c r="AJ60" s="169" t="n">
        <v>0.75</v>
      </c>
      <c r="AK60" s="65"/>
      <c r="AL60" s="169" t="n">
        <v>-0.15</v>
      </c>
      <c r="AM60" s="169" t="n">
        <v>0.5</v>
      </c>
      <c r="AN60" s="169" t="n">
        <v>0.2</v>
      </c>
      <c r="AO60" s="65"/>
      <c r="AP60" s="134" t="n">
        <v>15</v>
      </c>
      <c r="AQ60" s="170" t="n">
        <v>0.4</v>
      </c>
      <c r="AR60" s="65"/>
      <c r="AS60" s="170" t="n">
        <v>3</v>
      </c>
      <c r="AT60" s="172" t="n">
        <v>0.01</v>
      </c>
      <c r="AU60" s="65"/>
      <c r="AV60" s="170" t="n">
        <v>0</v>
      </c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135" t="n">
        <v>38018</v>
      </c>
      <c r="BI60" s="172" t="n">
        <v>0.9</v>
      </c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19"/>
      <c r="CI60" s="160"/>
      <c r="CJ60" s="160"/>
      <c r="CK60" s="160"/>
      <c r="CM60" s="200"/>
      <c r="CN60" s="200"/>
      <c r="CO60" s="173"/>
      <c r="CP60" s="0"/>
      <c r="CQ60" s="0"/>
      <c r="CR60" s="0"/>
      <c r="CS60" s="0"/>
      <c r="CT60" s="0"/>
      <c r="CY60" s="174" t="n">
        <f aca="false">M60</f>
        <v>38018</v>
      </c>
      <c r="CZ60" s="175" t="n">
        <f aca="false">AI60+AH60</f>
        <v>1.25</v>
      </c>
      <c r="DA60" s="175" t="n">
        <f aca="false">AI60</f>
        <v>2</v>
      </c>
      <c r="DB60" s="175" t="n">
        <f aca="false">AI60+AJ60</f>
        <v>2.75</v>
      </c>
      <c r="DD60" s="175" t="n">
        <f aca="false">Z60</f>
        <v>0.1965645</v>
      </c>
      <c r="DE60" s="175" t="n">
        <f aca="false">AA60</f>
        <v>0.393129</v>
      </c>
      <c r="DF60" s="175" t="n">
        <f aca="false">AB60</f>
        <v>0.5896935</v>
      </c>
      <c r="DH60" s="174" t="n">
        <f aca="false">BH60</f>
        <v>38018</v>
      </c>
      <c r="DI60" s="128" t="n">
        <f aca="false">BI60</f>
        <v>0.9</v>
      </c>
    </row>
    <row r="61" customFormat="false" ht="12.75" hidden="false" customHeight="false" outlineLevel="0" collapsed="false">
      <c r="A61" s="138" t="n">
        <f aca="false">EOMONTH(A60,0)+1</f>
        <v>47392</v>
      </c>
      <c r="B61" s="128" t="n">
        <f aca="false">'Gas Curves'!C65</f>
        <v>0.056234442946145</v>
      </c>
      <c r="C61" s="128"/>
      <c r="D61" s="167" t="n">
        <v>37165</v>
      </c>
      <c r="E61" s="168" t="n">
        <v>52.1</v>
      </c>
      <c r="F61" s="168" t="n">
        <v>53</v>
      </c>
      <c r="G61" s="168" t="n">
        <v>53.9</v>
      </c>
      <c r="H61" s="152"/>
      <c r="I61" s="168" t="n">
        <v>26.1999996185303</v>
      </c>
      <c r="J61" s="168" t="n">
        <v>26.6499996185303</v>
      </c>
      <c r="K61" s="168" t="n">
        <v>27.0999996185303</v>
      </c>
      <c r="L61" s="134"/>
      <c r="M61" s="135" t="n">
        <v>38047</v>
      </c>
      <c r="N61" s="169" t="n">
        <v>24.5374969482422</v>
      </c>
      <c r="O61" s="169" t="n">
        <v>25.7749969482422</v>
      </c>
      <c r="P61" s="169" t="n">
        <v>26.8099969482422</v>
      </c>
      <c r="Q61" s="65"/>
      <c r="R61" s="169" t="n">
        <v>18.5999984741211</v>
      </c>
      <c r="S61" s="169" t="n">
        <v>22.5999984741211</v>
      </c>
      <c r="T61" s="169" t="n">
        <v>23.1174984741211</v>
      </c>
      <c r="U61" s="65"/>
      <c r="V61" s="169" t="n">
        <v>0</v>
      </c>
      <c r="W61" s="169" t="n">
        <v>0</v>
      </c>
      <c r="X61" s="169" t="n">
        <v>0</v>
      </c>
      <c r="Y61" s="65"/>
      <c r="Z61" s="169" t="n">
        <v>0.15582790625</v>
      </c>
      <c r="AA61" s="169" t="n">
        <v>0.3116558125</v>
      </c>
      <c r="AB61" s="169" t="n">
        <v>0.46748371875</v>
      </c>
      <c r="AC61" s="65"/>
      <c r="AD61" s="169" t="n">
        <v>0.02823576</v>
      </c>
      <c r="AE61" s="169" t="n">
        <v>0.05647152</v>
      </c>
      <c r="AF61" s="169" t="n">
        <v>0.08470728</v>
      </c>
      <c r="AG61" s="65"/>
      <c r="AH61" s="169" t="n">
        <v>-0.25</v>
      </c>
      <c r="AI61" s="169" t="n">
        <v>1.3</v>
      </c>
      <c r="AJ61" s="169" t="n">
        <v>0.3</v>
      </c>
      <c r="AK61" s="65"/>
      <c r="AL61" s="169" t="n">
        <v>-0.15</v>
      </c>
      <c r="AM61" s="169" t="n">
        <v>0.35</v>
      </c>
      <c r="AN61" s="169" t="n">
        <v>0.2</v>
      </c>
      <c r="AO61" s="65"/>
      <c r="AP61" s="134" t="n">
        <v>15</v>
      </c>
      <c r="AQ61" s="170" t="n">
        <v>0.4</v>
      </c>
      <c r="AR61" s="65"/>
      <c r="AS61" s="170" t="n">
        <v>4</v>
      </c>
      <c r="AT61" s="172" t="n">
        <v>0.015</v>
      </c>
      <c r="AU61" s="65"/>
      <c r="AV61" s="170" t="n">
        <v>0</v>
      </c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135" t="n">
        <v>38047</v>
      </c>
      <c r="BI61" s="172" t="n">
        <v>0.9</v>
      </c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110"/>
      <c r="CI61" s="160"/>
      <c r="CJ61" s="160"/>
      <c r="CK61" s="160"/>
      <c r="CM61" s="200"/>
      <c r="CN61" s="200"/>
      <c r="CO61" s="173"/>
      <c r="CP61" s="0"/>
      <c r="CQ61" s="0"/>
      <c r="CR61" s="0"/>
      <c r="CS61" s="0"/>
      <c r="CT61" s="0"/>
      <c r="CY61" s="174" t="n">
        <f aca="false">M61</f>
        <v>38047</v>
      </c>
      <c r="CZ61" s="175" t="n">
        <f aca="false">AI61+AH61</f>
        <v>1.05</v>
      </c>
      <c r="DA61" s="175" t="n">
        <f aca="false">AI61</f>
        <v>1.3</v>
      </c>
      <c r="DB61" s="175" t="n">
        <f aca="false">AI61+AJ61</f>
        <v>1.6</v>
      </c>
      <c r="DD61" s="175" t="n">
        <f aca="false">Z61</f>
        <v>0.15582790625</v>
      </c>
      <c r="DE61" s="175" t="n">
        <f aca="false">AA61</f>
        <v>0.3116558125</v>
      </c>
      <c r="DF61" s="175" t="n">
        <f aca="false">AB61</f>
        <v>0.46748371875</v>
      </c>
      <c r="DH61" s="174" t="n">
        <f aca="false">BH61</f>
        <v>38047</v>
      </c>
      <c r="DI61" s="128" t="n">
        <f aca="false">BI61</f>
        <v>0.9</v>
      </c>
    </row>
    <row r="62" customFormat="false" ht="12.75" hidden="false" customHeight="false" outlineLevel="0" collapsed="false">
      <c r="A62" s="138" t="n">
        <f aca="false">EOMONTH(A61,0)+1</f>
        <v>47423</v>
      </c>
      <c r="B62" s="128" t="n">
        <f aca="false">'Gas Curves'!C66</f>
        <v>0.056310939850973</v>
      </c>
      <c r="C62" s="128"/>
      <c r="D62" s="167" t="n">
        <v>37196</v>
      </c>
      <c r="E62" s="168" t="n">
        <v>52.1</v>
      </c>
      <c r="F62" s="168" t="n">
        <v>53</v>
      </c>
      <c r="G62" s="168" t="n">
        <v>53.9</v>
      </c>
      <c r="H62" s="152"/>
      <c r="I62" s="168" t="n">
        <v>26.9499996185303</v>
      </c>
      <c r="J62" s="168" t="n">
        <v>27.3999996185303</v>
      </c>
      <c r="K62" s="168" t="n">
        <v>27.8499996185303</v>
      </c>
      <c r="L62" s="134"/>
      <c r="M62" s="135" t="n">
        <v>38078</v>
      </c>
      <c r="N62" s="169" t="n">
        <v>23.5249996185303</v>
      </c>
      <c r="O62" s="169" t="n">
        <v>25.0999996185303</v>
      </c>
      <c r="P62" s="169" t="n">
        <v>26.1349996185303</v>
      </c>
      <c r="Q62" s="65"/>
      <c r="R62" s="169" t="n">
        <v>18</v>
      </c>
      <c r="S62" s="169" t="n">
        <v>22</v>
      </c>
      <c r="T62" s="169" t="n">
        <v>22.5175</v>
      </c>
      <c r="U62" s="65"/>
      <c r="V62" s="169" t="n">
        <v>0</v>
      </c>
      <c r="W62" s="169" t="n">
        <v>0</v>
      </c>
      <c r="X62" s="169" t="n">
        <v>0</v>
      </c>
      <c r="Y62" s="65"/>
      <c r="Z62" s="169" t="n">
        <v>0.1556135625</v>
      </c>
      <c r="AA62" s="169" t="n">
        <v>0.311227125</v>
      </c>
      <c r="AB62" s="169" t="n">
        <v>0.4668406875</v>
      </c>
      <c r="AC62" s="65"/>
      <c r="AD62" s="169" t="n">
        <v>0.02823576</v>
      </c>
      <c r="AE62" s="169" t="n">
        <v>0.05647152</v>
      </c>
      <c r="AF62" s="169" t="n">
        <v>0.08470728</v>
      </c>
      <c r="AG62" s="65"/>
      <c r="AH62" s="169" t="n">
        <v>-0.25</v>
      </c>
      <c r="AI62" s="169" t="n">
        <v>1.1</v>
      </c>
      <c r="AJ62" s="169" t="n">
        <v>0.3</v>
      </c>
      <c r="AK62" s="65"/>
      <c r="AL62" s="169" t="n">
        <v>-0.15</v>
      </c>
      <c r="AM62" s="169" t="n">
        <v>0.35</v>
      </c>
      <c r="AN62" s="169" t="n">
        <v>0.2</v>
      </c>
      <c r="AO62" s="65"/>
      <c r="AP62" s="134" t="n">
        <v>15</v>
      </c>
      <c r="AQ62" s="170" t="n">
        <v>0.4</v>
      </c>
      <c r="AR62" s="65"/>
      <c r="AS62" s="170" t="n">
        <v>5</v>
      </c>
      <c r="AT62" s="172" t="n">
        <v>0.0175</v>
      </c>
      <c r="AU62" s="65"/>
      <c r="AV62" s="170" t="n">
        <v>0</v>
      </c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135" t="n">
        <v>38078</v>
      </c>
      <c r="BI62" s="172" t="n">
        <v>0.9</v>
      </c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110"/>
      <c r="CI62" s="160"/>
      <c r="CJ62" s="160"/>
      <c r="CK62" s="160"/>
      <c r="CM62" s="200"/>
      <c r="CN62" s="200"/>
      <c r="CO62" s="173"/>
      <c r="CP62" s="0"/>
      <c r="CQ62" s="0"/>
      <c r="CR62" s="0"/>
      <c r="CS62" s="0"/>
      <c r="CT62" s="0"/>
      <c r="CY62" s="174" t="n">
        <f aca="false">M62</f>
        <v>38078</v>
      </c>
      <c r="CZ62" s="175" t="n">
        <f aca="false">AI62+AH62</f>
        <v>0.85</v>
      </c>
      <c r="DA62" s="175" t="n">
        <f aca="false">AI62</f>
        <v>1.1</v>
      </c>
      <c r="DB62" s="175" t="n">
        <f aca="false">AI62+AJ62</f>
        <v>1.4</v>
      </c>
      <c r="DD62" s="175" t="n">
        <f aca="false">Z62</f>
        <v>0.1556135625</v>
      </c>
      <c r="DE62" s="175" t="n">
        <f aca="false">AA62</f>
        <v>0.311227125</v>
      </c>
      <c r="DF62" s="175" t="n">
        <f aca="false">AB62</f>
        <v>0.4668406875</v>
      </c>
      <c r="DH62" s="174" t="n">
        <f aca="false">BH62</f>
        <v>38078</v>
      </c>
      <c r="DI62" s="128" t="n">
        <f aca="false">BI62</f>
        <v>0.9</v>
      </c>
    </row>
    <row r="63" customFormat="false" ht="12.75" hidden="false" customHeight="false" outlineLevel="0" collapsed="false">
      <c r="A63" s="138" t="n">
        <f aca="false">EOMONTH(A62,0)+1</f>
        <v>47453</v>
      </c>
      <c r="B63" s="128" t="n">
        <f aca="false">'Gas Curves'!C67</f>
        <v>0.056383429443268</v>
      </c>
      <c r="C63" s="128"/>
      <c r="D63" s="167" t="n">
        <v>37226</v>
      </c>
      <c r="E63" s="168" t="n">
        <v>52.1</v>
      </c>
      <c r="F63" s="168" t="n">
        <v>53</v>
      </c>
      <c r="G63" s="168" t="n">
        <v>53.9</v>
      </c>
      <c r="H63" s="152"/>
      <c r="I63" s="168" t="n">
        <v>26.8499992370605</v>
      </c>
      <c r="J63" s="168" t="n">
        <v>27.2999992370605</v>
      </c>
      <c r="K63" s="168" t="n">
        <v>27.7499992370605</v>
      </c>
      <c r="L63" s="134"/>
      <c r="M63" s="135" t="n">
        <v>38108</v>
      </c>
      <c r="N63" s="169" t="n">
        <v>27.125</v>
      </c>
      <c r="O63" s="169" t="n">
        <v>28.7</v>
      </c>
      <c r="P63" s="169" t="n">
        <v>30.665</v>
      </c>
      <c r="Q63" s="65"/>
      <c r="R63" s="169" t="n">
        <v>21.1999988555908</v>
      </c>
      <c r="S63" s="169" t="n">
        <v>25.1999988555908</v>
      </c>
      <c r="T63" s="169" t="n">
        <v>26.1824988555908</v>
      </c>
      <c r="U63" s="65"/>
      <c r="V63" s="169" t="n">
        <v>0</v>
      </c>
      <c r="W63" s="169" t="n">
        <v>0</v>
      </c>
      <c r="X63" s="169" t="n">
        <v>0</v>
      </c>
      <c r="Y63" s="65"/>
      <c r="Z63" s="169" t="n">
        <v>0.1637089875</v>
      </c>
      <c r="AA63" s="169" t="n">
        <v>0.327417975</v>
      </c>
      <c r="AB63" s="169" t="n">
        <v>0.4911269625</v>
      </c>
      <c r="AC63" s="65"/>
      <c r="AD63" s="169" t="n">
        <v>0.0322828856</v>
      </c>
      <c r="AE63" s="169" t="n">
        <v>0.0645657712</v>
      </c>
      <c r="AF63" s="169" t="n">
        <v>0.0968486568</v>
      </c>
      <c r="AG63" s="65"/>
      <c r="AH63" s="169" t="n">
        <v>-0.25</v>
      </c>
      <c r="AI63" s="169" t="n">
        <v>1.1</v>
      </c>
      <c r="AJ63" s="169" t="n">
        <v>0.3</v>
      </c>
      <c r="AK63" s="65"/>
      <c r="AL63" s="169" t="n">
        <v>-0.15</v>
      </c>
      <c r="AM63" s="169" t="n">
        <v>0.5</v>
      </c>
      <c r="AN63" s="169" t="n">
        <v>0.2</v>
      </c>
      <c r="AO63" s="65"/>
      <c r="AP63" s="134" t="n">
        <v>16</v>
      </c>
      <c r="AQ63" s="170" t="n">
        <v>0.4</v>
      </c>
      <c r="AR63" s="65"/>
      <c r="AS63" s="170" t="n">
        <v>6</v>
      </c>
      <c r="AT63" s="172" t="n">
        <v>0.025</v>
      </c>
      <c r="AU63" s="65"/>
      <c r="AV63" s="170" t="n">
        <v>0</v>
      </c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135" t="n">
        <v>38108</v>
      </c>
      <c r="BI63" s="172" t="n">
        <v>0.9</v>
      </c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110"/>
      <c r="CI63" s="160"/>
      <c r="CJ63" s="160"/>
      <c r="CK63" s="160"/>
      <c r="CM63" s="200"/>
      <c r="CN63" s="200"/>
      <c r="CO63" s="173"/>
      <c r="CP63" s="0"/>
      <c r="CQ63" s="0"/>
      <c r="CR63" s="0"/>
      <c r="CS63" s="0"/>
      <c r="CT63" s="0"/>
      <c r="CY63" s="174" t="n">
        <f aca="false">M63</f>
        <v>38108</v>
      </c>
      <c r="CZ63" s="175" t="n">
        <f aca="false">AI63+AH63</f>
        <v>0.85</v>
      </c>
      <c r="DA63" s="175" t="n">
        <f aca="false">AI63</f>
        <v>1.1</v>
      </c>
      <c r="DB63" s="175" t="n">
        <f aca="false">AI63+AJ63</f>
        <v>1.4</v>
      </c>
      <c r="DD63" s="175" t="n">
        <f aca="false">Z63</f>
        <v>0.1637089875</v>
      </c>
      <c r="DE63" s="175" t="n">
        <f aca="false">AA63</f>
        <v>0.327417975</v>
      </c>
      <c r="DF63" s="175" t="n">
        <f aca="false">AB63</f>
        <v>0.4911269625</v>
      </c>
      <c r="DH63" s="174" t="n">
        <f aca="false">BH63</f>
        <v>38108</v>
      </c>
      <c r="DI63" s="128" t="n">
        <f aca="false">BI63</f>
        <v>0.9</v>
      </c>
    </row>
    <row r="64" customFormat="false" ht="12.75" hidden="false" customHeight="false" outlineLevel="0" collapsed="false">
      <c r="A64" s="138" t="n">
        <f aca="false">EOMONTH(A63,0)+1</f>
        <v>47484</v>
      </c>
      <c r="B64" s="128" t="n">
        <f aca="false">'Gas Curves'!C68</f>
        <v>0.056443854983896</v>
      </c>
      <c r="C64" s="128"/>
      <c r="D64" s="167" t="n">
        <v>37257</v>
      </c>
      <c r="E64" s="168" t="n">
        <v>66.1</v>
      </c>
      <c r="F64" s="168" t="n">
        <v>67.5</v>
      </c>
      <c r="G64" s="168" t="n">
        <v>68.5</v>
      </c>
      <c r="H64" s="152"/>
      <c r="I64" s="168" t="n">
        <v>27.1500003814697</v>
      </c>
      <c r="J64" s="168" t="n">
        <v>27.8500003814697</v>
      </c>
      <c r="K64" s="168" t="n">
        <v>28.3500003814697</v>
      </c>
      <c r="L64" s="134"/>
      <c r="M64" s="135" t="n">
        <v>38139</v>
      </c>
      <c r="N64" s="169" t="n">
        <v>32.4625030517578</v>
      </c>
      <c r="O64" s="169" t="n">
        <v>35.5000030517578</v>
      </c>
      <c r="P64" s="169" t="n">
        <v>38.5000030517578</v>
      </c>
      <c r="Q64" s="65"/>
      <c r="R64" s="169" t="n">
        <v>26.7000026702881</v>
      </c>
      <c r="S64" s="169" t="n">
        <v>30.7000026702881</v>
      </c>
      <c r="T64" s="169" t="n">
        <v>32.2000026702881</v>
      </c>
      <c r="U64" s="65"/>
      <c r="V64" s="169" t="n">
        <v>0</v>
      </c>
      <c r="W64" s="169" t="n">
        <v>0</v>
      </c>
      <c r="X64" s="169" t="n">
        <v>0</v>
      </c>
      <c r="Y64" s="65"/>
      <c r="Z64" s="169" t="n">
        <v>0.175075975</v>
      </c>
      <c r="AA64" s="169" t="n">
        <v>0.35015195</v>
      </c>
      <c r="AB64" s="169" t="n">
        <v>0.525227925</v>
      </c>
      <c r="AC64" s="65"/>
      <c r="AD64" s="169" t="n">
        <v>0.0415065672</v>
      </c>
      <c r="AE64" s="169" t="n">
        <v>0.0830131344</v>
      </c>
      <c r="AF64" s="169" t="n">
        <v>0.1245197016</v>
      </c>
      <c r="AG64" s="65"/>
      <c r="AH64" s="169" t="n">
        <v>-0.35</v>
      </c>
      <c r="AI64" s="169" t="n">
        <v>2</v>
      </c>
      <c r="AJ64" s="169" t="n">
        <v>0.3</v>
      </c>
      <c r="AK64" s="65"/>
      <c r="AL64" s="169" t="n">
        <v>-0.15</v>
      </c>
      <c r="AM64" s="169" t="n">
        <v>0.65</v>
      </c>
      <c r="AN64" s="169" t="n">
        <v>0.2</v>
      </c>
      <c r="AO64" s="65"/>
      <c r="AP64" s="134" t="n">
        <v>16</v>
      </c>
      <c r="AQ64" s="170" t="n">
        <v>0.4</v>
      </c>
      <c r="AR64" s="65"/>
      <c r="AS64" s="170" t="n">
        <v>7</v>
      </c>
      <c r="AT64" s="172" t="n">
        <v>0.035</v>
      </c>
      <c r="AU64" s="65"/>
      <c r="AV64" s="170" t="n">
        <v>0</v>
      </c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135" t="n">
        <v>38139</v>
      </c>
      <c r="BI64" s="172" t="n">
        <v>0.9</v>
      </c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110"/>
      <c r="CI64" s="160"/>
      <c r="CJ64" s="160"/>
      <c r="CK64" s="160"/>
      <c r="CM64" s="200"/>
      <c r="CN64" s="200"/>
      <c r="CO64" s="173"/>
      <c r="CP64" s="0"/>
      <c r="CQ64" s="0"/>
      <c r="CR64" s="0"/>
      <c r="CS64" s="0"/>
      <c r="CT64" s="0"/>
      <c r="CY64" s="174" t="n">
        <f aca="false">M64</f>
        <v>38139</v>
      </c>
      <c r="CZ64" s="175" t="n">
        <f aca="false">AI64+AH64</f>
        <v>1.65</v>
      </c>
      <c r="DA64" s="175" t="n">
        <f aca="false">AI64</f>
        <v>2</v>
      </c>
      <c r="DB64" s="175" t="n">
        <f aca="false">AI64+AJ64</f>
        <v>2.3</v>
      </c>
      <c r="DD64" s="175" t="n">
        <f aca="false">Z64</f>
        <v>0.175075975</v>
      </c>
      <c r="DE64" s="175" t="n">
        <f aca="false">AA64</f>
        <v>0.35015195</v>
      </c>
      <c r="DF64" s="175" t="n">
        <f aca="false">AB64</f>
        <v>0.525227925</v>
      </c>
      <c r="DH64" s="174" t="n">
        <f aca="false">BH64</f>
        <v>38139</v>
      </c>
      <c r="DI64" s="128" t="n">
        <f aca="false">BI64</f>
        <v>0.9</v>
      </c>
    </row>
    <row r="65" customFormat="false" ht="12.75" hidden="false" customHeight="false" outlineLevel="0" collapsed="false">
      <c r="A65" s="138" t="n">
        <f aca="false">EOMONTH(A64,0)+1</f>
        <v>47515</v>
      </c>
      <c r="B65" s="128" t="n">
        <f aca="false">'Gas Curves'!C69</f>
        <v>0.05650629471049</v>
      </c>
      <c r="C65" s="128"/>
      <c r="D65" s="167" t="n">
        <v>37288</v>
      </c>
      <c r="E65" s="168" t="n">
        <v>66.4</v>
      </c>
      <c r="F65" s="168" t="n">
        <v>67.5</v>
      </c>
      <c r="G65" s="168" t="n">
        <v>68.5</v>
      </c>
      <c r="H65" s="152"/>
      <c r="I65" s="168" t="n">
        <v>23.95</v>
      </c>
      <c r="J65" s="168" t="n">
        <v>24.5</v>
      </c>
      <c r="K65" s="168" t="n">
        <v>25</v>
      </c>
      <c r="L65" s="134"/>
      <c r="M65" s="135" t="n">
        <v>38169</v>
      </c>
      <c r="N65" s="169" t="n">
        <v>34.4750015258789</v>
      </c>
      <c r="O65" s="169" t="n">
        <v>41.9000015258789</v>
      </c>
      <c r="P65" s="169" t="n">
        <v>48.2975015258789</v>
      </c>
      <c r="Q65" s="65"/>
      <c r="R65" s="169" t="n">
        <v>31.9000015258789</v>
      </c>
      <c r="S65" s="169" t="n">
        <v>35.9000015258789</v>
      </c>
      <c r="T65" s="169" t="n">
        <v>39.0987515258789</v>
      </c>
      <c r="U65" s="65"/>
      <c r="V65" s="169" t="n">
        <v>0</v>
      </c>
      <c r="W65" s="169" t="n">
        <v>0</v>
      </c>
      <c r="X65" s="169" t="n">
        <v>0</v>
      </c>
      <c r="Y65" s="65"/>
      <c r="Z65" s="169" t="n">
        <v>0.20852488125</v>
      </c>
      <c r="AA65" s="169" t="n">
        <v>0.4170497625</v>
      </c>
      <c r="AB65" s="169" t="n">
        <v>0.62557464375</v>
      </c>
      <c r="AC65" s="65"/>
      <c r="AD65" s="169" t="n">
        <v>0.0553420896</v>
      </c>
      <c r="AE65" s="169" t="n">
        <v>0.1106841792</v>
      </c>
      <c r="AF65" s="169" t="n">
        <v>0.1660262688</v>
      </c>
      <c r="AG65" s="65"/>
      <c r="AH65" s="169" t="n">
        <v>-0.35</v>
      </c>
      <c r="AI65" s="169" t="n">
        <v>3</v>
      </c>
      <c r="AJ65" s="169" t="n">
        <v>0.5</v>
      </c>
      <c r="AK65" s="65"/>
      <c r="AL65" s="169" t="n">
        <v>-0.15</v>
      </c>
      <c r="AM65" s="169" t="n">
        <v>0.75</v>
      </c>
      <c r="AN65" s="169" t="n">
        <v>0.2</v>
      </c>
      <c r="AO65" s="65"/>
      <c r="AP65" s="134" t="n">
        <v>16</v>
      </c>
      <c r="AQ65" s="170" t="n">
        <v>0.4</v>
      </c>
      <c r="AR65" s="65"/>
      <c r="AS65" s="170" t="n">
        <v>8</v>
      </c>
      <c r="AT65" s="172" t="n">
        <v>0.04</v>
      </c>
      <c r="AU65" s="65"/>
      <c r="AV65" s="170" t="n">
        <v>0</v>
      </c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135" t="n">
        <v>38169</v>
      </c>
      <c r="BI65" s="172" t="n">
        <v>0.9</v>
      </c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110"/>
      <c r="CI65" s="19"/>
      <c r="CJ65" s="19"/>
      <c r="CK65" s="19"/>
      <c r="CM65" s="200"/>
      <c r="CN65" s="200"/>
      <c r="CO65" s="173"/>
      <c r="CP65" s="0"/>
      <c r="CQ65" s="0"/>
      <c r="CR65" s="0"/>
      <c r="CS65" s="0"/>
      <c r="CT65" s="0"/>
      <c r="CY65" s="174" t="n">
        <f aca="false">M65</f>
        <v>38169</v>
      </c>
      <c r="CZ65" s="175" t="n">
        <f aca="false">AI65+AH65</f>
        <v>2.65</v>
      </c>
      <c r="DA65" s="175" t="n">
        <f aca="false">AI65</f>
        <v>3</v>
      </c>
      <c r="DB65" s="175" t="n">
        <f aca="false">AI65+AJ65</f>
        <v>3.5</v>
      </c>
      <c r="DD65" s="175" t="n">
        <f aca="false">Z65</f>
        <v>0.20852488125</v>
      </c>
      <c r="DE65" s="175" t="n">
        <f aca="false">AA65</f>
        <v>0.4170497625</v>
      </c>
      <c r="DF65" s="175" t="n">
        <f aca="false">AB65</f>
        <v>0.62557464375</v>
      </c>
      <c r="DH65" s="174" t="n">
        <f aca="false">BH65</f>
        <v>38169</v>
      </c>
      <c r="DI65" s="128" t="n">
        <f aca="false">BI65</f>
        <v>0.9</v>
      </c>
    </row>
    <row r="66" customFormat="false" ht="12.75" hidden="false" customHeight="false" outlineLevel="0" collapsed="false">
      <c r="A66" s="138" t="n">
        <f aca="false">EOMONTH(A65,0)+1</f>
        <v>47543</v>
      </c>
      <c r="B66" s="128" t="n">
        <f aca="false">'Gas Curves'!C70</f>
        <v>0.05656672025359</v>
      </c>
      <c r="C66" s="128"/>
      <c r="D66" s="167" t="n">
        <v>37316</v>
      </c>
      <c r="E66" s="168" t="n">
        <v>48.9</v>
      </c>
      <c r="F66" s="168" t="n">
        <v>50</v>
      </c>
      <c r="G66" s="168" t="n">
        <v>51</v>
      </c>
      <c r="H66" s="152"/>
      <c r="I66" s="168" t="n">
        <v>24.3499996185303</v>
      </c>
      <c r="J66" s="168" t="n">
        <v>24.8999996185303</v>
      </c>
      <c r="K66" s="168" t="n">
        <v>25.3999996185303</v>
      </c>
      <c r="L66" s="134"/>
      <c r="M66" s="135" t="n">
        <v>38200</v>
      </c>
      <c r="N66" s="169" t="n">
        <v>46.2250015258789</v>
      </c>
      <c r="O66" s="169" t="n">
        <v>53.6500015258789</v>
      </c>
      <c r="P66" s="169" t="n">
        <v>60.0475015258789</v>
      </c>
      <c r="Q66" s="65"/>
      <c r="R66" s="169" t="n">
        <v>43.7000007629395</v>
      </c>
      <c r="S66" s="169" t="n">
        <v>47.7000007629395</v>
      </c>
      <c r="T66" s="169" t="n">
        <v>50.8987507629395</v>
      </c>
      <c r="U66" s="65"/>
      <c r="V66" s="169" t="n">
        <v>0</v>
      </c>
      <c r="W66" s="169" t="n">
        <v>0</v>
      </c>
      <c r="X66" s="169" t="n">
        <v>0</v>
      </c>
      <c r="Y66" s="65"/>
      <c r="Z66" s="169" t="n">
        <v>0.203955975</v>
      </c>
      <c r="AA66" s="169" t="n">
        <v>0.40791195</v>
      </c>
      <c r="AB66" s="169" t="n">
        <v>0.611867925</v>
      </c>
      <c r="AC66" s="65"/>
      <c r="AD66" s="169" t="n">
        <v>0.0553420896</v>
      </c>
      <c r="AE66" s="169" t="n">
        <v>0.1106841792</v>
      </c>
      <c r="AF66" s="169" t="n">
        <v>0.1660262688</v>
      </c>
      <c r="AG66" s="65"/>
      <c r="AH66" s="169" t="n">
        <v>-0.35</v>
      </c>
      <c r="AI66" s="169" t="n">
        <v>3</v>
      </c>
      <c r="AJ66" s="169" t="n">
        <v>0.5</v>
      </c>
      <c r="AK66" s="65"/>
      <c r="AL66" s="169" t="n">
        <v>-0.15</v>
      </c>
      <c r="AM66" s="169" t="n">
        <v>0.75</v>
      </c>
      <c r="AN66" s="169" t="n">
        <v>0.2</v>
      </c>
      <c r="AO66" s="65"/>
      <c r="AP66" s="134" t="n">
        <v>17</v>
      </c>
      <c r="AQ66" s="170" t="n">
        <v>0.4</v>
      </c>
      <c r="AR66" s="65"/>
      <c r="AS66" s="170" t="n">
        <v>9</v>
      </c>
      <c r="AT66" s="172" t="n">
        <v>0.055</v>
      </c>
      <c r="AU66" s="65"/>
      <c r="AV66" s="170" t="n">
        <v>0</v>
      </c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135" t="n">
        <v>38200</v>
      </c>
      <c r="BI66" s="172" t="n">
        <v>0.9</v>
      </c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110"/>
      <c r="CI66" s="140"/>
      <c r="CJ66" s="141"/>
      <c r="CK66" s="141"/>
      <c r="CM66" s="200"/>
      <c r="CN66" s="200"/>
      <c r="CO66" s="173"/>
      <c r="CP66" s="0"/>
      <c r="CQ66" s="0"/>
      <c r="CR66" s="0"/>
      <c r="CS66" s="0"/>
      <c r="CT66" s="0"/>
      <c r="CY66" s="174" t="n">
        <f aca="false">M66</f>
        <v>38200</v>
      </c>
      <c r="CZ66" s="175" t="n">
        <f aca="false">AI66+AH66</f>
        <v>2.65</v>
      </c>
      <c r="DA66" s="175" t="n">
        <f aca="false">AI66</f>
        <v>3</v>
      </c>
      <c r="DB66" s="175" t="n">
        <f aca="false">AI66+AJ66</f>
        <v>3.5</v>
      </c>
      <c r="DD66" s="175" t="n">
        <f aca="false">Z66</f>
        <v>0.203955975</v>
      </c>
      <c r="DE66" s="175" t="n">
        <f aca="false">AA66</f>
        <v>0.40791195</v>
      </c>
      <c r="DF66" s="175" t="n">
        <f aca="false">AB66</f>
        <v>0.611867925</v>
      </c>
      <c r="DH66" s="174" t="n">
        <f aca="false">BH66</f>
        <v>38200</v>
      </c>
      <c r="DI66" s="128" t="n">
        <f aca="false">BI66</f>
        <v>0.9</v>
      </c>
    </row>
    <row r="67" customFormat="false" ht="12.75" hidden="false" customHeight="false" outlineLevel="0" collapsed="false">
      <c r="A67" s="138" t="n">
        <f aca="false">EOMONTH(A66,0)+1</f>
        <v>47574</v>
      </c>
      <c r="B67" s="128" t="n">
        <f aca="false">'Gas Curves'!C71</f>
        <v>0.056629159982736</v>
      </c>
      <c r="C67" s="128"/>
      <c r="D67" s="167" t="n">
        <v>37347</v>
      </c>
      <c r="E67" s="168" t="n">
        <v>45.1</v>
      </c>
      <c r="F67" s="168" t="n">
        <v>46.5</v>
      </c>
      <c r="G67" s="168" t="n">
        <v>47.5</v>
      </c>
      <c r="H67" s="152"/>
      <c r="I67" s="168" t="n">
        <v>21.9499996185303</v>
      </c>
      <c r="J67" s="168" t="n">
        <v>22.6499996185303</v>
      </c>
      <c r="K67" s="168" t="n">
        <v>23.1499996185303</v>
      </c>
      <c r="L67" s="134"/>
      <c r="M67" s="135" t="n">
        <v>38231</v>
      </c>
      <c r="N67" s="169" t="n">
        <v>27.9875011444092</v>
      </c>
      <c r="O67" s="169" t="n">
        <v>31.0250011444092</v>
      </c>
      <c r="P67" s="169" t="n">
        <v>32.9900011444092</v>
      </c>
      <c r="Q67" s="65"/>
      <c r="R67" s="169" t="n">
        <v>24.3000015258789</v>
      </c>
      <c r="S67" s="169" t="n">
        <v>28.3000015258789</v>
      </c>
      <c r="T67" s="169" t="n">
        <v>29.2825015258789</v>
      </c>
      <c r="U67" s="65"/>
      <c r="V67" s="169" t="n">
        <v>0</v>
      </c>
      <c r="W67" s="169" t="n">
        <v>0</v>
      </c>
      <c r="X67" s="169" t="n">
        <v>0</v>
      </c>
      <c r="Y67" s="65"/>
      <c r="Z67" s="169" t="n">
        <v>0.1545305625</v>
      </c>
      <c r="AA67" s="169" t="n">
        <v>0.309061125</v>
      </c>
      <c r="AB67" s="169" t="n">
        <v>0.4635916875</v>
      </c>
      <c r="AC67" s="65"/>
      <c r="AD67" s="169" t="n">
        <v>0.0368947264</v>
      </c>
      <c r="AE67" s="169" t="n">
        <v>0.0737894528</v>
      </c>
      <c r="AF67" s="169" t="n">
        <v>0.1106841792</v>
      </c>
      <c r="AG67" s="65"/>
      <c r="AH67" s="169" t="n">
        <v>-0.35</v>
      </c>
      <c r="AI67" s="169" t="n">
        <v>1.5</v>
      </c>
      <c r="AJ67" s="169" t="n">
        <v>0.3</v>
      </c>
      <c r="AK67" s="65"/>
      <c r="AL67" s="169" t="n">
        <v>-0.15</v>
      </c>
      <c r="AM67" s="169" t="n">
        <v>0.4</v>
      </c>
      <c r="AN67" s="169" t="n">
        <v>0.2</v>
      </c>
      <c r="AO67" s="65"/>
      <c r="AP67" s="134" t="n">
        <v>17</v>
      </c>
      <c r="AQ67" s="170" t="n">
        <v>0.4</v>
      </c>
      <c r="AR67" s="65"/>
      <c r="AS67" s="170" t="n">
        <v>10</v>
      </c>
      <c r="AT67" s="172" t="n">
        <v>0.07</v>
      </c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135" t="n">
        <v>38231</v>
      </c>
      <c r="BI67" s="172" t="n">
        <v>0.9</v>
      </c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110"/>
      <c r="CI67" s="145"/>
      <c r="CJ67" s="145"/>
      <c r="CK67" s="145"/>
      <c r="CM67" s="200"/>
      <c r="CN67" s="200"/>
      <c r="CO67" s="173"/>
      <c r="CP67" s="0"/>
      <c r="CQ67" s="0"/>
      <c r="CR67" s="0"/>
      <c r="CS67" s="0"/>
      <c r="CT67" s="0"/>
      <c r="CY67" s="174" t="n">
        <f aca="false">M67</f>
        <v>38231</v>
      </c>
      <c r="CZ67" s="175" t="n">
        <f aca="false">AI67+AH67</f>
        <v>1.15</v>
      </c>
      <c r="DA67" s="175" t="n">
        <f aca="false">AI67</f>
        <v>1.5</v>
      </c>
      <c r="DB67" s="175" t="n">
        <f aca="false">AI67+AJ67</f>
        <v>1.8</v>
      </c>
      <c r="DD67" s="175" t="n">
        <f aca="false">Z67</f>
        <v>0.1545305625</v>
      </c>
      <c r="DE67" s="175" t="n">
        <f aca="false">AA67</f>
        <v>0.309061125</v>
      </c>
      <c r="DF67" s="175" t="n">
        <f aca="false">AB67</f>
        <v>0.4635916875</v>
      </c>
      <c r="DH67" s="174" t="n">
        <f aca="false">BH67</f>
        <v>38231</v>
      </c>
      <c r="DI67" s="128" t="n">
        <f aca="false">BI67</f>
        <v>0.9</v>
      </c>
    </row>
    <row r="68" customFormat="false" ht="12.75" hidden="false" customHeight="false" outlineLevel="0" collapsed="false">
      <c r="A68" s="138" t="n">
        <f aca="false">EOMONTH(A67,0)+1</f>
        <v>47604</v>
      </c>
      <c r="B68" s="128" t="n">
        <f aca="false">'Gas Curves'!C72</f>
        <v>0.05669159971318</v>
      </c>
      <c r="C68" s="128"/>
      <c r="D68" s="167" t="n">
        <v>37377</v>
      </c>
      <c r="E68" s="168" t="n">
        <v>49.6</v>
      </c>
      <c r="F68" s="168" t="n">
        <v>51</v>
      </c>
      <c r="G68" s="168" t="n">
        <v>52.9</v>
      </c>
      <c r="H68" s="152"/>
      <c r="I68" s="168" t="n">
        <v>22.9499996185303</v>
      </c>
      <c r="J68" s="168" t="n">
        <v>23.6499996185303</v>
      </c>
      <c r="K68" s="168" t="n">
        <v>24.5999996185303</v>
      </c>
      <c r="L68" s="134"/>
      <c r="M68" s="135" t="n">
        <v>38261</v>
      </c>
      <c r="N68" s="169" t="n">
        <v>25.4500011444092</v>
      </c>
      <c r="O68" s="169" t="n">
        <v>27.0250011444092</v>
      </c>
      <c r="P68" s="169" t="n">
        <v>28.2625011444092</v>
      </c>
      <c r="Q68" s="65"/>
      <c r="R68" s="169" t="n">
        <v>19.8000015258789</v>
      </c>
      <c r="S68" s="169" t="n">
        <v>23.8000015258789</v>
      </c>
      <c r="T68" s="169" t="n">
        <v>24.4187515258789</v>
      </c>
      <c r="U68" s="65"/>
      <c r="V68" s="169" t="n">
        <v>0</v>
      </c>
      <c r="W68" s="169" t="n">
        <v>0</v>
      </c>
      <c r="X68" s="169" t="n">
        <v>0</v>
      </c>
      <c r="Y68" s="65"/>
      <c r="Z68" s="169" t="n">
        <v>0.133654609375</v>
      </c>
      <c r="AA68" s="169" t="n">
        <v>0.26730921875</v>
      </c>
      <c r="AB68" s="169" t="n">
        <v>0.400963828125</v>
      </c>
      <c r="AC68" s="65"/>
      <c r="AD68" s="169" t="n">
        <v>0.0276710448</v>
      </c>
      <c r="AE68" s="169" t="n">
        <v>0.0553420896</v>
      </c>
      <c r="AF68" s="169" t="n">
        <v>0.0830131344</v>
      </c>
      <c r="AG68" s="65"/>
      <c r="AH68" s="169" t="n">
        <v>-0.25</v>
      </c>
      <c r="AI68" s="169" t="n">
        <v>1.1</v>
      </c>
      <c r="AJ68" s="169" t="n">
        <v>0.3</v>
      </c>
      <c r="AK68" s="65"/>
      <c r="AL68" s="169" t="n">
        <v>-0.15</v>
      </c>
      <c r="AM68" s="169" t="n">
        <v>0.35</v>
      </c>
      <c r="AN68" s="169" t="n">
        <v>0.2</v>
      </c>
      <c r="AO68" s="65"/>
      <c r="AP68" s="134" t="n">
        <v>17</v>
      </c>
      <c r="AQ68" s="170" t="n">
        <v>0.4</v>
      </c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135" t="n">
        <v>38261</v>
      </c>
      <c r="BI68" s="172" t="n">
        <v>0.9</v>
      </c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110"/>
      <c r="CI68" s="145"/>
      <c r="CJ68" s="145"/>
      <c r="CK68" s="145"/>
      <c r="CM68" s="200"/>
      <c r="CN68" s="200"/>
      <c r="CO68" s="173"/>
      <c r="CP68" s="0"/>
      <c r="CQ68" s="0"/>
      <c r="CR68" s="0"/>
      <c r="CS68" s="0"/>
      <c r="CT68" s="0"/>
      <c r="CY68" s="174" t="n">
        <f aca="false">M68</f>
        <v>38261</v>
      </c>
      <c r="CZ68" s="175" t="n">
        <f aca="false">AI68+AH68</f>
        <v>0.85</v>
      </c>
      <c r="DA68" s="175" t="n">
        <f aca="false">AI68</f>
        <v>1.1</v>
      </c>
      <c r="DB68" s="175" t="n">
        <f aca="false">AI68+AJ68</f>
        <v>1.4</v>
      </c>
      <c r="DD68" s="175" t="n">
        <f aca="false">Z68</f>
        <v>0.133654609375</v>
      </c>
      <c r="DE68" s="175" t="n">
        <f aca="false">AA68</f>
        <v>0.26730921875</v>
      </c>
      <c r="DF68" s="175" t="n">
        <f aca="false">AB68</f>
        <v>0.400963828125</v>
      </c>
      <c r="DH68" s="174" t="n">
        <f aca="false">BH68</f>
        <v>38261</v>
      </c>
      <c r="DI68" s="128" t="n">
        <f aca="false">BI68</f>
        <v>0.9</v>
      </c>
    </row>
    <row r="69" customFormat="false" ht="12.75" hidden="false" customHeight="false" outlineLevel="0" collapsed="false">
      <c r="A69" s="138" t="n">
        <f aca="false">EOMONTH(A68,0)+1</f>
        <v>47635</v>
      </c>
      <c r="B69" s="128" t="n">
        <f aca="false">'Gas Curves'!C73</f>
        <v>0.056752025260006</v>
      </c>
      <c r="C69" s="128"/>
      <c r="D69" s="167" t="n">
        <v>37408</v>
      </c>
      <c r="E69" s="168" t="n">
        <v>59.3</v>
      </c>
      <c r="F69" s="168" t="n">
        <v>62</v>
      </c>
      <c r="G69" s="168" t="n">
        <v>64.9</v>
      </c>
      <c r="H69" s="152"/>
      <c r="I69" s="168" t="n">
        <v>22.6749996185303</v>
      </c>
      <c r="J69" s="168" t="n">
        <v>24.0249996185303</v>
      </c>
      <c r="K69" s="168" t="n">
        <v>25.4749996185303</v>
      </c>
      <c r="L69" s="134"/>
      <c r="M69" s="135" t="n">
        <v>38292</v>
      </c>
      <c r="N69" s="169" t="n">
        <v>27.8000015258789</v>
      </c>
      <c r="O69" s="169" t="n">
        <v>29.3750015258789</v>
      </c>
      <c r="P69" s="169" t="n">
        <v>30.6125015258789</v>
      </c>
      <c r="Q69" s="65"/>
      <c r="R69" s="169" t="n">
        <v>22.0000003814697</v>
      </c>
      <c r="S69" s="169" t="n">
        <v>26.0000003814697</v>
      </c>
      <c r="T69" s="169" t="n">
        <v>26.6187503814697</v>
      </c>
      <c r="U69" s="65"/>
      <c r="V69" s="169" t="n">
        <v>0</v>
      </c>
      <c r="W69" s="169" t="n">
        <v>0</v>
      </c>
      <c r="X69" s="169" t="n">
        <v>0</v>
      </c>
      <c r="Y69" s="65"/>
      <c r="Z69" s="169" t="n">
        <v>0.133654609375</v>
      </c>
      <c r="AA69" s="169" t="n">
        <v>0.26730921875</v>
      </c>
      <c r="AB69" s="169" t="n">
        <v>0.400963828125</v>
      </c>
      <c r="AC69" s="65"/>
      <c r="AD69" s="169" t="n">
        <v>0.0276710448</v>
      </c>
      <c r="AE69" s="169" t="n">
        <v>0.0553420896</v>
      </c>
      <c r="AF69" s="169" t="n">
        <v>0.0830131344</v>
      </c>
      <c r="AG69" s="65"/>
      <c r="AH69" s="169" t="n">
        <v>-0.25</v>
      </c>
      <c r="AI69" s="169" t="n">
        <v>1.25</v>
      </c>
      <c r="AJ69" s="169" t="n">
        <v>0.3</v>
      </c>
      <c r="AK69" s="65"/>
      <c r="AL69" s="169" t="n">
        <v>-0.15</v>
      </c>
      <c r="AM69" s="169" t="n">
        <v>0.3</v>
      </c>
      <c r="AN69" s="169" t="n">
        <v>0.2</v>
      </c>
      <c r="AO69" s="65"/>
      <c r="AP69" s="134" t="n">
        <v>18</v>
      </c>
      <c r="AQ69" s="170" t="n">
        <v>0.4</v>
      </c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135" t="n">
        <v>38292</v>
      </c>
      <c r="BI69" s="172" t="n">
        <v>0.9</v>
      </c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110"/>
      <c r="CI69" s="160"/>
      <c r="CJ69" s="160"/>
      <c r="CK69" s="160"/>
      <c r="CM69" s="200"/>
      <c r="CN69" s="200"/>
      <c r="CO69" s="173"/>
      <c r="CP69" s="0"/>
      <c r="CQ69" s="0"/>
      <c r="CR69" s="0"/>
      <c r="CS69" s="0"/>
      <c r="CT69" s="0"/>
      <c r="CY69" s="174" t="n">
        <f aca="false">M69</f>
        <v>38292</v>
      </c>
      <c r="CZ69" s="175" t="n">
        <f aca="false">AI69+AH69</f>
        <v>1</v>
      </c>
      <c r="DA69" s="175" t="n">
        <f aca="false">AI69</f>
        <v>1.25</v>
      </c>
      <c r="DB69" s="175" t="n">
        <f aca="false">AI69+AJ69</f>
        <v>1.55</v>
      </c>
      <c r="DD69" s="175" t="n">
        <f aca="false">Z69</f>
        <v>0.133654609375</v>
      </c>
      <c r="DE69" s="175" t="n">
        <f aca="false">AA69</f>
        <v>0.26730921875</v>
      </c>
      <c r="DF69" s="175" t="n">
        <f aca="false">AB69</f>
        <v>0.400963828125</v>
      </c>
      <c r="DH69" s="174" t="n">
        <f aca="false">BH69</f>
        <v>38292</v>
      </c>
      <c r="DI69" s="128" t="n">
        <f aca="false">BI69</f>
        <v>0.9</v>
      </c>
    </row>
    <row r="70" customFormat="false" ht="12.75" hidden="false" customHeight="false" outlineLevel="0" collapsed="false">
      <c r="A70" s="138" t="n">
        <f aca="false">EOMONTH(A69,0)+1</f>
        <v>47665</v>
      </c>
      <c r="B70" s="128" t="n">
        <f aca="false">'Gas Curves'!C74</f>
        <v>0.056814464993004</v>
      </c>
      <c r="C70" s="128"/>
      <c r="D70" s="167" t="n">
        <v>37438</v>
      </c>
      <c r="E70" s="168" t="n">
        <v>76.9</v>
      </c>
      <c r="F70" s="168" t="n">
        <v>83.5</v>
      </c>
      <c r="G70" s="168" t="n">
        <v>89.7</v>
      </c>
      <c r="H70" s="152"/>
      <c r="I70" s="168" t="n">
        <v>24.45</v>
      </c>
      <c r="J70" s="168" t="n">
        <v>27.75</v>
      </c>
      <c r="K70" s="168" t="n">
        <v>30.85</v>
      </c>
      <c r="L70" s="134"/>
      <c r="M70" s="135" t="n">
        <v>38322</v>
      </c>
      <c r="N70" s="169" t="n">
        <v>28.4</v>
      </c>
      <c r="O70" s="169" t="n">
        <v>29.975</v>
      </c>
      <c r="P70" s="169" t="n">
        <v>31.2125</v>
      </c>
      <c r="Q70" s="65"/>
      <c r="R70" s="169" t="n">
        <v>22.5000003814697</v>
      </c>
      <c r="S70" s="169" t="n">
        <v>26.5000003814697</v>
      </c>
      <c r="T70" s="169" t="n">
        <v>27.1187503814697</v>
      </c>
      <c r="U70" s="65"/>
      <c r="V70" s="169" t="n">
        <v>0</v>
      </c>
      <c r="W70" s="169" t="n">
        <v>0</v>
      </c>
      <c r="X70" s="169" t="n">
        <v>0</v>
      </c>
      <c r="Y70" s="65"/>
      <c r="Z70" s="169" t="n">
        <v>0.13098659375</v>
      </c>
      <c r="AA70" s="169" t="n">
        <v>0.2619731875</v>
      </c>
      <c r="AB70" s="169" t="n">
        <v>0.39295978125</v>
      </c>
      <c r="AC70" s="65"/>
      <c r="AD70" s="169" t="n">
        <v>0.0276710448</v>
      </c>
      <c r="AE70" s="169" t="n">
        <v>0.0553420896</v>
      </c>
      <c r="AF70" s="169" t="n">
        <v>0.0830131344</v>
      </c>
      <c r="AG70" s="65"/>
      <c r="AH70" s="169" t="n">
        <v>-0.25</v>
      </c>
      <c r="AI70" s="169" t="n">
        <v>1.25</v>
      </c>
      <c r="AJ70" s="169" t="n">
        <v>0.35</v>
      </c>
      <c r="AK70" s="65"/>
      <c r="AL70" s="169" t="n">
        <v>-0.15</v>
      </c>
      <c r="AM70" s="169" t="n">
        <v>0.3</v>
      </c>
      <c r="AN70" s="169" t="n">
        <v>0.2</v>
      </c>
      <c r="AO70" s="65"/>
      <c r="AP70" s="134" t="n">
        <v>18</v>
      </c>
      <c r="AQ70" s="170" t="n">
        <v>0.4</v>
      </c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135" t="n">
        <v>38322</v>
      </c>
      <c r="BI70" s="172" t="n">
        <v>0.9</v>
      </c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110"/>
      <c r="CI70" s="160"/>
      <c r="CJ70" s="160"/>
      <c r="CK70" s="160"/>
      <c r="CM70" s="200"/>
      <c r="CN70" s="200"/>
      <c r="CO70" s="173"/>
      <c r="CP70" s="0"/>
      <c r="CQ70" s="0"/>
      <c r="CR70" s="0"/>
      <c r="CS70" s="0"/>
      <c r="CT70" s="0"/>
      <c r="CY70" s="174" t="n">
        <f aca="false">M70</f>
        <v>38322</v>
      </c>
      <c r="CZ70" s="175" t="n">
        <f aca="false">AI70+AH70</f>
        <v>1</v>
      </c>
      <c r="DA70" s="175" t="n">
        <f aca="false">AI70</f>
        <v>1.25</v>
      </c>
      <c r="DB70" s="175" t="n">
        <f aca="false">AI70+AJ70</f>
        <v>1.6</v>
      </c>
      <c r="DD70" s="175" t="n">
        <f aca="false">Z70</f>
        <v>0.13098659375</v>
      </c>
      <c r="DE70" s="175" t="n">
        <f aca="false">AA70</f>
        <v>0.2619731875</v>
      </c>
      <c r="DF70" s="175" t="n">
        <f aca="false">AB70</f>
        <v>0.39295978125</v>
      </c>
      <c r="DH70" s="174" t="n">
        <f aca="false">BH70</f>
        <v>38322</v>
      </c>
      <c r="DI70" s="128" t="n">
        <f aca="false">BI70</f>
        <v>0.9</v>
      </c>
    </row>
    <row r="71" customFormat="false" ht="12.75" hidden="false" customHeight="false" outlineLevel="0" collapsed="false">
      <c r="A71" s="138" t="n">
        <f aca="false">EOMONTH(A70,0)+1</f>
        <v>47696</v>
      </c>
      <c r="B71" s="128" t="n">
        <f aca="false">'Gas Curves'!C75</f>
        <v>0.0568748905423</v>
      </c>
      <c r="C71" s="128"/>
      <c r="D71" s="167" t="n">
        <v>37469</v>
      </c>
      <c r="E71" s="168" t="n">
        <v>76.9</v>
      </c>
      <c r="F71" s="168" t="n">
        <v>83.5</v>
      </c>
      <c r="G71" s="168" t="n">
        <v>89.7</v>
      </c>
      <c r="H71" s="152"/>
      <c r="I71" s="168" t="n">
        <v>36.6000015258789</v>
      </c>
      <c r="J71" s="168" t="n">
        <v>39.9000015258789</v>
      </c>
      <c r="K71" s="168" t="n">
        <v>43.0000015258789</v>
      </c>
      <c r="L71" s="134"/>
      <c r="M71" s="135" t="n">
        <v>38353</v>
      </c>
      <c r="N71" s="169" t="n">
        <v>30.7294960021973</v>
      </c>
      <c r="O71" s="169" t="n">
        <v>32.3044960021973</v>
      </c>
      <c r="P71" s="169" t="n">
        <v>33.4444960021973</v>
      </c>
      <c r="Q71" s="65"/>
      <c r="R71" s="169" t="n">
        <v>24.4039974212647</v>
      </c>
      <c r="S71" s="169" t="n">
        <v>28.4039974212647</v>
      </c>
      <c r="T71" s="169" t="n">
        <v>28.9739974212647</v>
      </c>
      <c r="U71" s="65"/>
      <c r="V71" s="169" t="n">
        <v>0</v>
      </c>
      <c r="W71" s="169" t="n">
        <v>0</v>
      </c>
      <c r="X71" s="169" t="n">
        <v>0</v>
      </c>
      <c r="Y71" s="65"/>
      <c r="Z71" s="169" t="n">
        <v>0.19329519375</v>
      </c>
      <c r="AA71" s="169" t="n">
        <v>0.3865903875</v>
      </c>
      <c r="AB71" s="169" t="n">
        <v>0.57988558125</v>
      </c>
      <c r="AC71" s="65"/>
      <c r="AD71" s="169" t="n">
        <v>0.031637227888</v>
      </c>
      <c r="AE71" s="169" t="n">
        <v>0.063274455776</v>
      </c>
      <c r="AF71" s="169" t="n">
        <v>0.094911683664</v>
      </c>
      <c r="AG71" s="65"/>
      <c r="AH71" s="169" t="n">
        <v>-0.75</v>
      </c>
      <c r="AI71" s="169" t="n">
        <v>2</v>
      </c>
      <c r="AJ71" s="169" t="n">
        <v>0.75</v>
      </c>
      <c r="AK71" s="65"/>
      <c r="AL71" s="169" t="n">
        <v>-0.15</v>
      </c>
      <c r="AM71" s="169" t="n">
        <v>0.5</v>
      </c>
      <c r="AN71" s="169" t="n">
        <v>0.2</v>
      </c>
      <c r="AO71" s="65"/>
      <c r="AP71" s="134" t="n">
        <v>18</v>
      </c>
      <c r="AQ71" s="170" t="n">
        <v>0.4</v>
      </c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135" t="n">
        <v>38353</v>
      </c>
      <c r="BI71" s="172" t="n">
        <v>0.9</v>
      </c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110"/>
      <c r="CI71" s="160"/>
      <c r="CJ71" s="160"/>
      <c r="CK71" s="160"/>
      <c r="CM71" s="200"/>
      <c r="CN71" s="200"/>
      <c r="CO71" s="173"/>
      <c r="CP71" s="0"/>
      <c r="CQ71" s="0"/>
      <c r="CR71" s="0"/>
      <c r="CS71" s="0"/>
      <c r="CT71" s="0"/>
      <c r="CY71" s="174" t="n">
        <f aca="false">M71</f>
        <v>38353</v>
      </c>
      <c r="CZ71" s="175" t="n">
        <f aca="false">AI71+AH71</f>
        <v>1.25</v>
      </c>
      <c r="DA71" s="175" t="n">
        <f aca="false">AI71</f>
        <v>2</v>
      </c>
      <c r="DB71" s="175" t="n">
        <f aca="false">AI71+AJ71</f>
        <v>2.75</v>
      </c>
      <c r="DD71" s="175" t="n">
        <f aca="false">Z71</f>
        <v>0.19329519375</v>
      </c>
      <c r="DE71" s="175" t="n">
        <f aca="false">AA71</f>
        <v>0.3865903875</v>
      </c>
      <c r="DF71" s="175" t="n">
        <f aca="false">AB71</f>
        <v>0.57988558125</v>
      </c>
      <c r="DH71" s="174" t="n">
        <f aca="false">BH71</f>
        <v>38353</v>
      </c>
      <c r="DI71" s="128" t="n">
        <f aca="false">BI71</f>
        <v>0.9</v>
      </c>
    </row>
    <row r="72" customFormat="false" ht="12.75" hidden="false" customHeight="false" outlineLevel="0" collapsed="false">
      <c r="A72" s="138" t="n">
        <f aca="false">EOMONTH(A71,0)+1</f>
        <v>47727</v>
      </c>
      <c r="B72" s="128" t="n">
        <f aca="false">'Gas Curves'!C76</f>
        <v>0.056937330277851</v>
      </c>
      <c r="C72" s="128"/>
      <c r="D72" s="167" t="n">
        <v>37500</v>
      </c>
      <c r="E72" s="168" t="n">
        <v>45.8</v>
      </c>
      <c r="F72" s="168" t="n">
        <v>48.5</v>
      </c>
      <c r="G72" s="168" t="n">
        <v>50.4</v>
      </c>
      <c r="H72" s="152"/>
      <c r="I72" s="168" t="n">
        <v>27.0499996185303</v>
      </c>
      <c r="J72" s="168" t="n">
        <v>28.3999996185303</v>
      </c>
      <c r="K72" s="168" t="n">
        <v>29.3499996185303</v>
      </c>
      <c r="L72" s="134"/>
      <c r="M72" s="135" t="n">
        <v>38384</v>
      </c>
      <c r="N72" s="169" t="n">
        <v>30.3919967651367</v>
      </c>
      <c r="O72" s="169" t="n">
        <v>31.6294967651367</v>
      </c>
      <c r="P72" s="169" t="n">
        <v>32.7694967651367</v>
      </c>
      <c r="Q72" s="65"/>
      <c r="R72" s="169" t="n">
        <v>23.8039970397949</v>
      </c>
      <c r="S72" s="169" t="n">
        <v>27.8039970397949</v>
      </c>
      <c r="T72" s="169" t="n">
        <v>28.3739970397949</v>
      </c>
      <c r="U72" s="65"/>
      <c r="V72" s="169" t="n">
        <v>0</v>
      </c>
      <c r="W72" s="169" t="n">
        <v>0</v>
      </c>
      <c r="X72" s="169" t="n">
        <v>0</v>
      </c>
      <c r="Y72" s="65"/>
      <c r="Z72" s="169" t="n">
        <v>0.186736275</v>
      </c>
      <c r="AA72" s="169" t="n">
        <v>0.37347255</v>
      </c>
      <c r="AB72" s="169" t="n">
        <v>0.560208825</v>
      </c>
      <c r="AC72" s="65"/>
      <c r="AD72" s="169" t="n">
        <v>0.031637227888</v>
      </c>
      <c r="AE72" s="169" t="n">
        <v>0.063274455776</v>
      </c>
      <c r="AF72" s="169" t="n">
        <v>0.094911683664</v>
      </c>
      <c r="AG72" s="65"/>
      <c r="AH72" s="169" t="n">
        <v>-0.75</v>
      </c>
      <c r="AI72" s="169" t="n">
        <v>2</v>
      </c>
      <c r="AJ72" s="169" t="n">
        <v>0.75</v>
      </c>
      <c r="AK72" s="65"/>
      <c r="AL72" s="169" t="n">
        <v>-0.15</v>
      </c>
      <c r="AM72" s="169" t="n">
        <v>0.5</v>
      </c>
      <c r="AN72" s="169" t="n">
        <v>0.2</v>
      </c>
      <c r="AO72" s="65"/>
      <c r="AP72" s="134" t="n">
        <v>19</v>
      </c>
      <c r="AQ72" s="170" t="n">
        <v>0.4</v>
      </c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135" t="n">
        <v>38384</v>
      </c>
      <c r="BI72" s="172" t="n">
        <v>0.9</v>
      </c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110"/>
      <c r="CI72" s="160"/>
      <c r="CJ72" s="160"/>
      <c r="CK72" s="160"/>
      <c r="CM72" s="200"/>
      <c r="CN72" s="200"/>
      <c r="CO72" s="173"/>
      <c r="CP72" s="0"/>
      <c r="CQ72" s="0"/>
      <c r="CR72" s="0"/>
      <c r="CS72" s="0"/>
      <c r="CT72" s="0"/>
      <c r="CY72" s="174" t="n">
        <f aca="false">M72</f>
        <v>38384</v>
      </c>
      <c r="CZ72" s="175" t="n">
        <f aca="false">AI72+AH72</f>
        <v>1.25</v>
      </c>
      <c r="DA72" s="175" t="n">
        <f aca="false">AI72</f>
        <v>2</v>
      </c>
      <c r="DB72" s="175" t="n">
        <f aca="false">AI72+AJ72</f>
        <v>2.75</v>
      </c>
      <c r="DD72" s="175" t="n">
        <f aca="false">Z72</f>
        <v>0.186736275</v>
      </c>
      <c r="DE72" s="175" t="n">
        <f aca="false">AA72</f>
        <v>0.37347255</v>
      </c>
      <c r="DF72" s="175" t="n">
        <f aca="false">AB72</f>
        <v>0.560208825</v>
      </c>
      <c r="DH72" s="174" t="n">
        <f aca="false">BH72</f>
        <v>38384</v>
      </c>
      <c r="DI72" s="128" t="n">
        <f aca="false">BI72</f>
        <v>0.9</v>
      </c>
    </row>
    <row r="73" customFormat="false" ht="12.75" hidden="false" customHeight="false" outlineLevel="0" collapsed="false">
      <c r="A73" s="138" t="n">
        <f aca="false">EOMONTH(A72,0)+1</f>
        <v>47757</v>
      </c>
      <c r="B73" s="128" t="n">
        <f aca="false">'Gas Curves'!C77</f>
        <v>0.056996310371457</v>
      </c>
      <c r="C73" s="128"/>
      <c r="D73" s="167" t="n">
        <v>37530</v>
      </c>
      <c r="E73" s="168" t="n">
        <v>46.1</v>
      </c>
      <c r="F73" s="168" t="n">
        <v>47.5</v>
      </c>
      <c r="G73" s="168" t="n">
        <v>48.7</v>
      </c>
      <c r="H73" s="152"/>
      <c r="I73" s="168" t="n">
        <v>25.6999996185303</v>
      </c>
      <c r="J73" s="168" t="n">
        <v>26.3999996185303</v>
      </c>
      <c r="K73" s="168" t="n">
        <v>26.9999996185303</v>
      </c>
      <c r="L73" s="134"/>
      <c r="M73" s="135" t="n">
        <v>38412</v>
      </c>
      <c r="N73" s="169" t="n">
        <v>24.5374969482422</v>
      </c>
      <c r="O73" s="169" t="n">
        <v>25.7749969482422</v>
      </c>
      <c r="P73" s="169" t="n">
        <v>26.9149969482422</v>
      </c>
      <c r="Q73" s="65"/>
      <c r="R73" s="169" t="n">
        <v>18.5999984741211</v>
      </c>
      <c r="S73" s="169" t="n">
        <v>22.5999984741211</v>
      </c>
      <c r="T73" s="169" t="n">
        <v>23.1699984741211</v>
      </c>
      <c r="U73" s="65"/>
      <c r="V73" s="169" t="n">
        <v>0</v>
      </c>
      <c r="W73" s="169" t="n">
        <v>0</v>
      </c>
      <c r="X73" s="169" t="n">
        <v>0</v>
      </c>
      <c r="Y73" s="65"/>
      <c r="Z73" s="169" t="n">
        <v>0.1480365109375</v>
      </c>
      <c r="AA73" s="169" t="n">
        <v>0.296073021875</v>
      </c>
      <c r="AB73" s="169" t="n">
        <v>0.4441095328125</v>
      </c>
      <c r="AC73" s="65"/>
      <c r="AD73" s="169" t="n">
        <v>0.0276710448</v>
      </c>
      <c r="AE73" s="169" t="n">
        <v>0.0553420896</v>
      </c>
      <c r="AF73" s="169" t="n">
        <v>0.0830131344</v>
      </c>
      <c r="AG73" s="65"/>
      <c r="AH73" s="169" t="n">
        <v>-0.25</v>
      </c>
      <c r="AI73" s="169" t="n">
        <v>1.3</v>
      </c>
      <c r="AJ73" s="169" t="n">
        <v>0.3</v>
      </c>
      <c r="AK73" s="65"/>
      <c r="AL73" s="169" t="n">
        <v>-0.15</v>
      </c>
      <c r="AM73" s="169" t="n">
        <v>0.35</v>
      </c>
      <c r="AN73" s="169" t="n">
        <v>0.2</v>
      </c>
      <c r="AO73" s="65"/>
      <c r="AP73" s="134" t="n">
        <v>19</v>
      </c>
      <c r="AQ73" s="170" t="n">
        <v>0.4</v>
      </c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135" t="n">
        <v>38412</v>
      </c>
      <c r="BI73" s="172" t="n">
        <v>0.9</v>
      </c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110"/>
      <c r="CI73" s="160"/>
      <c r="CJ73" s="160"/>
      <c r="CK73" s="160"/>
      <c r="CM73" s="200"/>
      <c r="CN73" s="200"/>
      <c r="CO73" s="173"/>
      <c r="CP73" s="0"/>
      <c r="CQ73" s="0"/>
      <c r="CR73" s="0"/>
      <c r="CS73" s="0"/>
      <c r="CT73" s="0"/>
      <c r="CY73" s="174" t="n">
        <f aca="false">M73</f>
        <v>38412</v>
      </c>
      <c r="CZ73" s="175" t="n">
        <f aca="false">AI73+AH73</f>
        <v>1.05</v>
      </c>
      <c r="DA73" s="175" t="n">
        <f aca="false">AI73</f>
        <v>1.3</v>
      </c>
      <c r="DB73" s="175" t="n">
        <f aca="false">AI73+AJ73</f>
        <v>1.6</v>
      </c>
      <c r="DD73" s="175" t="n">
        <f aca="false">Z73</f>
        <v>0.1480365109375</v>
      </c>
      <c r="DE73" s="175" t="n">
        <f aca="false">AA73</f>
        <v>0.296073021875</v>
      </c>
      <c r="DF73" s="175" t="n">
        <f aca="false">AB73</f>
        <v>0.4441095328125</v>
      </c>
      <c r="DH73" s="174" t="n">
        <f aca="false">BH73</f>
        <v>38412</v>
      </c>
      <c r="DI73" s="128" t="n">
        <f aca="false">BI73</f>
        <v>0.9</v>
      </c>
    </row>
    <row r="74" customFormat="false" ht="12.75" hidden="false" customHeight="false" outlineLevel="0" collapsed="false">
      <c r="A74" s="138" t="n">
        <f aca="false">EOMONTH(A73,0)+1</f>
        <v>47788</v>
      </c>
      <c r="B74" s="128" t="n">
        <f aca="false">'Gas Curves'!C78</f>
        <v>0.057047864053553</v>
      </c>
      <c r="C74" s="128"/>
      <c r="D74" s="167" t="n">
        <v>37561</v>
      </c>
      <c r="E74" s="168" t="n">
        <v>48.6</v>
      </c>
      <c r="F74" s="168" t="n">
        <v>50</v>
      </c>
      <c r="G74" s="168" t="n">
        <v>51.2</v>
      </c>
      <c r="H74" s="152"/>
      <c r="I74" s="168" t="n">
        <v>26.4499996185303</v>
      </c>
      <c r="J74" s="168" t="n">
        <v>27.1499996185303</v>
      </c>
      <c r="K74" s="168" t="n">
        <v>27.7499996185303</v>
      </c>
      <c r="L74" s="134"/>
      <c r="M74" s="135" t="n">
        <v>38443</v>
      </c>
      <c r="N74" s="169" t="n">
        <v>23.5249996185303</v>
      </c>
      <c r="O74" s="169" t="n">
        <v>25.0999996185303</v>
      </c>
      <c r="P74" s="169" t="n">
        <v>26.2399996185303</v>
      </c>
      <c r="Q74" s="65"/>
      <c r="R74" s="169" t="n">
        <v>18</v>
      </c>
      <c r="S74" s="169" t="n">
        <v>22</v>
      </c>
      <c r="T74" s="169" t="n">
        <v>22.57</v>
      </c>
      <c r="U74" s="65"/>
      <c r="V74" s="169" t="n">
        <v>0</v>
      </c>
      <c r="W74" s="169" t="n">
        <v>0</v>
      </c>
      <c r="X74" s="169" t="n">
        <v>0</v>
      </c>
      <c r="Y74" s="65"/>
      <c r="Z74" s="169" t="n">
        <v>0.147832884375</v>
      </c>
      <c r="AA74" s="169" t="n">
        <v>0.29566576875</v>
      </c>
      <c r="AB74" s="169" t="n">
        <v>0.443498653125</v>
      </c>
      <c r="AC74" s="65"/>
      <c r="AD74" s="169" t="n">
        <v>0.0276710448</v>
      </c>
      <c r="AE74" s="169" t="n">
        <v>0.0553420896</v>
      </c>
      <c r="AF74" s="169" t="n">
        <v>0.0830131344</v>
      </c>
      <c r="AG74" s="65"/>
      <c r="AH74" s="169" t="n">
        <v>-0.25</v>
      </c>
      <c r="AI74" s="169" t="n">
        <v>1.1</v>
      </c>
      <c r="AJ74" s="169" t="n">
        <v>0.3</v>
      </c>
      <c r="AK74" s="65"/>
      <c r="AL74" s="169" t="n">
        <v>-0.15</v>
      </c>
      <c r="AM74" s="169" t="n">
        <v>0.35</v>
      </c>
      <c r="AN74" s="169" t="n">
        <v>0.2</v>
      </c>
      <c r="AO74" s="65"/>
      <c r="AP74" s="134" t="n">
        <v>19</v>
      </c>
      <c r="AQ74" s="170" t="n">
        <v>0.4</v>
      </c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135" t="n">
        <v>38443</v>
      </c>
      <c r="BI74" s="172" t="n">
        <v>0.9</v>
      </c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110"/>
      <c r="CI74" s="160"/>
      <c r="CJ74" s="160"/>
      <c r="CK74" s="160"/>
      <c r="CM74" s="200"/>
      <c r="CN74" s="200"/>
      <c r="CO74" s="173"/>
      <c r="CP74" s="0"/>
      <c r="CQ74" s="0"/>
      <c r="CR74" s="0"/>
      <c r="CS74" s="0"/>
      <c r="CT74" s="0"/>
      <c r="CY74" s="174" t="n">
        <f aca="false">M74</f>
        <v>38443</v>
      </c>
      <c r="CZ74" s="175" t="n">
        <f aca="false">AI74+AH74</f>
        <v>0.85</v>
      </c>
      <c r="DA74" s="175" t="n">
        <f aca="false">AI74</f>
        <v>1.1</v>
      </c>
      <c r="DB74" s="175" t="n">
        <f aca="false">AI74+AJ74</f>
        <v>1.4</v>
      </c>
      <c r="DD74" s="175" t="n">
        <f aca="false">Z74</f>
        <v>0.147832884375</v>
      </c>
      <c r="DE74" s="175" t="n">
        <f aca="false">AA74</f>
        <v>0.29566576875</v>
      </c>
      <c r="DF74" s="175" t="n">
        <f aca="false">AB74</f>
        <v>0.443498653125</v>
      </c>
      <c r="DH74" s="174" t="n">
        <f aca="false">BH74</f>
        <v>38443</v>
      </c>
      <c r="DI74" s="128" t="n">
        <f aca="false">BI74</f>
        <v>0.9</v>
      </c>
    </row>
    <row r="75" customFormat="false" ht="12.75" hidden="false" customHeight="false" outlineLevel="0" collapsed="false">
      <c r="A75" s="138" t="n">
        <f aca="false">EOMONTH(A74,0)+1</f>
        <v>47818</v>
      </c>
      <c r="B75" s="128" t="n">
        <f aca="false">'Gas Curves'!C79</f>
        <v>0.057104941345478</v>
      </c>
      <c r="C75" s="128"/>
      <c r="D75" s="167" t="n">
        <v>37591</v>
      </c>
      <c r="E75" s="168" t="n">
        <v>48.6</v>
      </c>
      <c r="F75" s="168" t="n">
        <v>50</v>
      </c>
      <c r="G75" s="168" t="n">
        <v>51.2</v>
      </c>
      <c r="H75" s="152"/>
      <c r="I75" s="168" t="n">
        <v>26.3499992370605</v>
      </c>
      <c r="J75" s="168" t="n">
        <v>27.0499992370605</v>
      </c>
      <c r="K75" s="168" t="n">
        <v>27.6499992370606</v>
      </c>
      <c r="L75" s="134"/>
      <c r="M75" s="135" t="n">
        <v>38473</v>
      </c>
      <c r="N75" s="169" t="n">
        <v>27.125</v>
      </c>
      <c r="O75" s="169" t="n">
        <v>28.7</v>
      </c>
      <c r="P75" s="169" t="n">
        <v>30.8675</v>
      </c>
      <c r="Q75" s="65"/>
      <c r="R75" s="169" t="n">
        <v>21.1999988555908</v>
      </c>
      <c r="S75" s="169" t="n">
        <v>25.1999988555908</v>
      </c>
      <c r="T75" s="169" t="n">
        <v>26.2837488555908</v>
      </c>
      <c r="U75" s="65"/>
      <c r="V75" s="169" t="n">
        <v>0</v>
      </c>
      <c r="W75" s="169" t="n">
        <v>0</v>
      </c>
      <c r="X75" s="169" t="n">
        <v>0</v>
      </c>
      <c r="Y75" s="65"/>
      <c r="Z75" s="169" t="n">
        <v>0.155523538125</v>
      </c>
      <c r="AA75" s="169" t="n">
        <v>0.31104707625</v>
      </c>
      <c r="AB75" s="169" t="n">
        <v>0.466570614375</v>
      </c>
      <c r="AC75" s="65"/>
      <c r="AD75" s="169" t="n">
        <v>0.031637227888</v>
      </c>
      <c r="AE75" s="169" t="n">
        <v>0.063274455776</v>
      </c>
      <c r="AF75" s="169" t="n">
        <v>0.094911683664</v>
      </c>
      <c r="AG75" s="65"/>
      <c r="AH75" s="169" t="n">
        <v>-0.25</v>
      </c>
      <c r="AI75" s="169" t="n">
        <v>1.1</v>
      </c>
      <c r="AJ75" s="169" t="n">
        <v>0.3</v>
      </c>
      <c r="AK75" s="65"/>
      <c r="AL75" s="169" t="n">
        <v>-0.15</v>
      </c>
      <c r="AM75" s="169" t="n">
        <v>0.5</v>
      </c>
      <c r="AN75" s="169" t="n">
        <v>0.2</v>
      </c>
      <c r="AO75" s="65"/>
      <c r="AP75" s="134" t="n">
        <v>20</v>
      </c>
      <c r="AQ75" s="170" t="n">
        <v>0.4</v>
      </c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135" t="n">
        <v>38473</v>
      </c>
      <c r="BI75" s="172" t="n">
        <v>0.9</v>
      </c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110"/>
      <c r="CI75" s="160"/>
      <c r="CJ75" s="160"/>
      <c r="CK75" s="160"/>
      <c r="CM75" s="200"/>
      <c r="CN75" s="200"/>
      <c r="CO75" s="173"/>
      <c r="CP75" s="0"/>
      <c r="CQ75" s="0"/>
      <c r="CR75" s="0"/>
      <c r="CS75" s="0"/>
      <c r="CT75" s="0"/>
      <c r="CY75" s="174" t="n">
        <f aca="false">M75</f>
        <v>38473</v>
      </c>
      <c r="CZ75" s="175" t="n">
        <f aca="false">AI75+AH75</f>
        <v>0.85</v>
      </c>
      <c r="DA75" s="175" t="n">
        <f aca="false">AI75</f>
        <v>1.1</v>
      </c>
      <c r="DB75" s="175" t="n">
        <f aca="false">AI75+AJ75</f>
        <v>1.4</v>
      </c>
      <c r="DD75" s="175" t="n">
        <f aca="false">Z75</f>
        <v>0.155523538125</v>
      </c>
      <c r="DE75" s="175" t="n">
        <f aca="false">AA75</f>
        <v>0.31104707625</v>
      </c>
      <c r="DF75" s="175" t="n">
        <f aca="false">AB75</f>
        <v>0.466570614375</v>
      </c>
      <c r="DH75" s="174" t="n">
        <f aca="false">BH75</f>
        <v>38473</v>
      </c>
      <c r="DI75" s="128" t="n">
        <f aca="false">BI75</f>
        <v>0.9</v>
      </c>
    </row>
    <row r="76" customFormat="false" ht="12.75" hidden="false" customHeight="false" outlineLevel="0" collapsed="false">
      <c r="A76" s="138" t="n">
        <f aca="false">EOMONTH(A75,0)+1</f>
        <v>47849</v>
      </c>
      <c r="B76" s="128" t="n">
        <f aca="false">'Gas Curves'!C80</f>
        <v>0.057160177435469</v>
      </c>
      <c r="C76" s="128"/>
      <c r="D76" s="167" t="n">
        <v>37622</v>
      </c>
      <c r="E76" s="168" t="n">
        <v>59.9</v>
      </c>
      <c r="F76" s="168" t="n">
        <v>62</v>
      </c>
      <c r="G76" s="168" t="n">
        <v>63.25</v>
      </c>
      <c r="H76" s="152"/>
      <c r="I76" s="168" t="n">
        <v>25.8000003814697</v>
      </c>
      <c r="J76" s="168" t="n">
        <v>26.8500003814697</v>
      </c>
      <c r="K76" s="168" t="n">
        <v>27.4750003814697</v>
      </c>
      <c r="L76" s="134"/>
      <c r="M76" s="135" t="n">
        <v>38504</v>
      </c>
      <c r="N76" s="169" t="n">
        <v>32.4625030517578</v>
      </c>
      <c r="O76" s="169" t="n">
        <v>35.5000030517578</v>
      </c>
      <c r="P76" s="169" t="n">
        <v>38.8000030517578</v>
      </c>
      <c r="Q76" s="65"/>
      <c r="R76" s="169" t="n">
        <v>26.7000026702881</v>
      </c>
      <c r="S76" s="169" t="n">
        <v>30.7000026702881</v>
      </c>
      <c r="T76" s="169" t="n">
        <v>32.3500026702881</v>
      </c>
      <c r="U76" s="65"/>
      <c r="V76" s="169" t="n">
        <v>0</v>
      </c>
      <c r="W76" s="169" t="n">
        <v>0</v>
      </c>
      <c r="X76" s="169" t="n">
        <v>0</v>
      </c>
      <c r="Y76" s="65"/>
      <c r="Z76" s="169" t="n">
        <v>0.16632217625</v>
      </c>
      <c r="AA76" s="169" t="n">
        <v>0.3326443525</v>
      </c>
      <c r="AB76" s="169" t="n">
        <v>0.49896652875</v>
      </c>
      <c r="AC76" s="65"/>
      <c r="AD76" s="169" t="n">
        <v>0.040676435856</v>
      </c>
      <c r="AE76" s="169" t="n">
        <v>0.081352871712</v>
      </c>
      <c r="AF76" s="169" t="n">
        <v>0.122029307568</v>
      </c>
      <c r="AG76" s="65"/>
      <c r="AH76" s="169" t="n">
        <v>-0.35</v>
      </c>
      <c r="AI76" s="169" t="n">
        <v>2</v>
      </c>
      <c r="AJ76" s="169" t="n">
        <v>0.3</v>
      </c>
      <c r="AK76" s="65"/>
      <c r="AL76" s="169" t="n">
        <v>-0.15</v>
      </c>
      <c r="AM76" s="169" t="n">
        <v>0.65</v>
      </c>
      <c r="AN76" s="169" t="n">
        <v>0.2</v>
      </c>
      <c r="AO76" s="65"/>
      <c r="AP76" s="134" t="n">
        <v>20</v>
      </c>
      <c r="AQ76" s="170" t="n">
        <v>0.4</v>
      </c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135" t="n">
        <v>38504</v>
      </c>
      <c r="BI76" s="172" t="n">
        <v>0.9</v>
      </c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110"/>
      <c r="CI76" s="160"/>
      <c r="CJ76" s="160"/>
      <c r="CK76" s="160"/>
      <c r="CM76" s="200"/>
      <c r="CN76" s="200"/>
      <c r="CO76" s="173"/>
      <c r="CP76" s="0"/>
      <c r="CQ76" s="0"/>
      <c r="CR76" s="0"/>
      <c r="CS76" s="0"/>
      <c r="CT76" s="0"/>
      <c r="CY76" s="174" t="n">
        <f aca="false">M76</f>
        <v>38504</v>
      </c>
      <c r="CZ76" s="175" t="n">
        <f aca="false">AI76+AH76</f>
        <v>1.65</v>
      </c>
      <c r="DA76" s="175" t="n">
        <f aca="false">AI76</f>
        <v>2</v>
      </c>
      <c r="DB76" s="175" t="n">
        <f aca="false">AI76+AJ76</f>
        <v>2.3</v>
      </c>
      <c r="DD76" s="175" t="n">
        <f aca="false">Z76</f>
        <v>0.16632217625</v>
      </c>
      <c r="DE76" s="175" t="n">
        <f aca="false">AA76</f>
        <v>0.3326443525</v>
      </c>
      <c r="DF76" s="175" t="n">
        <f aca="false">AB76</f>
        <v>0.49896652875</v>
      </c>
      <c r="DH76" s="174" t="n">
        <f aca="false">BH76</f>
        <v>38504</v>
      </c>
      <c r="DI76" s="128" t="n">
        <f aca="false">BI76</f>
        <v>0.9</v>
      </c>
    </row>
    <row r="77" customFormat="false" ht="12.75" hidden="false" customHeight="false" outlineLevel="0" collapsed="false">
      <c r="A77" s="138" t="n">
        <f aca="false">EOMONTH(A76,0)+1</f>
        <v>47880</v>
      </c>
      <c r="B77" s="128" t="n">
        <f aca="false">'Gas Curves'!C81</f>
        <v>0.057217254729527</v>
      </c>
      <c r="C77" s="128"/>
      <c r="D77" s="167" t="n">
        <v>37653</v>
      </c>
      <c r="E77" s="168" t="n">
        <v>60.35</v>
      </c>
      <c r="F77" s="168" t="n">
        <v>62</v>
      </c>
      <c r="G77" s="168" t="n">
        <v>63.25</v>
      </c>
      <c r="H77" s="152"/>
      <c r="I77" s="168" t="n">
        <v>22.675</v>
      </c>
      <c r="J77" s="168" t="n">
        <v>23.5</v>
      </c>
      <c r="K77" s="168" t="n">
        <v>24.125</v>
      </c>
      <c r="L77" s="134"/>
      <c r="M77" s="135" t="n">
        <v>38534</v>
      </c>
      <c r="N77" s="169" t="n">
        <v>34.4750015258789</v>
      </c>
      <c r="O77" s="169" t="n">
        <v>41.9000015258789</v>
      </c>
      <c r="P77" s="169" t="n">
        <v>48.9425015258789</v>
      </c>
      <c r="Q77" s="65"/>
      <c r="R77" s="169" t="n">
        <v>31.9000015258789</v>
      </c>
      <c r="S77" s="169" t="n">
        <v>35.9000015258789</v>
      </c>
      <c r="T77" s="169" t="n">
        <v>39.4212515258789</v>
      </c>
      <c r="U77" s="65"/>
      <c r="V77" s="169" t="n">
        <v>0</v>
      </c>
      <c r="W77" s="169" t="n">
        <v>0</v>
      </c>
      <c r="X77" s="169" t="n">
        <v>0</v>
      </c>
      <c r="Y77" s="65"/>
      <c r="Z77" s="169" t="n">
        <v>0.1980986371875</v>
      </c>
      <c r="AA77" s="169" t="n">
        <v>0.396197274375</v>
      </c>
      <c r="AB77" s="169" t="n">
        <v>0.5942959115625</v>
      </c>
      <c r="AC77" s="65"/>
      <c r="AD77" s="169" t="n">
        <v>0.054235247808</v>
      </c>
      <c r="AE77" s="169" t="n">
        <v>0.108470495616</v>
      </c>
      <c r="AF77" s="169" t="n">
        <v>0.162705743424</v>
      </c>
      <c r="AG77" s="65"/>
      <c r="AH77" s="169" t="n">
        <v>-0.35</v>
      </c>
      <c r="AI77" s="169" t="n">
        <v>3</v>
      </c>
      <c r="AJ77" s="169" t="n">
        <v>0.5</v>
      </c>
      <c r="AK77" s="65"/>
      <c r="AL77" s="169" t="n">
        <v>-0.15</v>
      </c>
      <c r="AM77" s="169" t="n">
        <v>0.75</v>
      </c>
      <c r="AN77" s="169" t="n">
        <v>0.2</v>
      </c>
      <c r="AO77" s="65"/>
      <c r="AP77" s="134" t="n">
        <v>20</v>
      </c>
      <c r="AQ77" s="170" t="n">
        <v>0.4</v>
      </c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135" t="n">
        <v>38534</v>
      </c>
      <c r="BI77" s="172" t="n">
        <v>0.9</v>
      </c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110"/>
      <c r="CI77" s="160"/>
      <c r="CJ77" s="160"/>
      <c r="CK77" s="160"/>
      <c r="CM77" s="200"/>
      <c r="CN77" s="200"/>
      <c r="CO77" s="173"/>
      <c r="CP77" s="0"/>
      <c r="CQ77" s="0"/>
      <c r="CR77" s="0"/>
      <c r="CS77" s="0"/>
      <c r="CT77" s="0"/>
      <c r="CY77" s="174" t="n">
        <f aca="false">M77</f>
        <v>38534</v>
      </c>
      <c r="CZ77" s="175" t="n">
        <f aca="false">AI77+AH77</f>
        <v>2.65</v>
      </c>
      <c r="DA77" s="175" t="n">
        <f aca="false">AI77</f>
        <v>3</v>
      </c>
      <c r="DB77" s="175" t="n">
        <f aca="false">AI77+AJ77</f>
        <v>3.5</v>
      </c>
      <c r="DD77" s="175" t="n">
        <f aca="false">Z77</f>
        <v>0.1980986371875</v>
      </c>
      <c r="DE77" s="175" t="n">
        <f aca="false">AA77</f>
        <v>0.396197274375</v>
      </c>
      <c r="DF77" s="175" t="n">
        <f aca="false">AB77</f>
        <v>0.5942959115625</v>
      </c>
      <c r="DH77" s="174" t="n">
        <f aca="false">BH77</f>
        <v>38534</v>
      </c>
      <c r="DI77" s="128" t="n">
        <f aca="false">BI77</f>
        <v>0.9</v>
      </c>
    </row>
    <row r="78" customFormat="false" ht="12.75" hidden="false" customHeight="false" outlineLevel="0" collapsed="false">
      <c r="A78" s="138" t="n">
        <f aca="false">EOMONTH(A77,0)+1</f>
        <v>47908</v>
      </c>
      <c r="B78" s="128" t="n">
        <f aca="false">'Gas Curves'!C82</f>
        <v>0.057272490821583</v>
      </c>
      <c r="C78" s="128"/>
      <c r="D78" s="167" t="n">
        <v>37681</v>
      </c>
      <c r="E78" s="168" t="n">
        <v>43.35</v>
      </c>
      <c r="F78" s="168" t="n">
        <v>45</v>
      </c>
      <c r="G78" s="168" t="n">
        <v>46.25</v>
      </c>
      <c r="H78" s="152"/>
      <c r="I78" s="168" t="n">
        <v>23.0749996185303</v>
      </c>
      <c r="J78" s="168" t="n">
        <v>23.8999996185303</v>
      </c>
      <c r="K78" s="168" t="n">
        <v>24.5249996185303</v>
      </c>
      <c r="L78" s="134"/>
      <c r="M78" s="135" t="n">
        <v>38565</v>
      </c>
      <c r="N78" s="169" t="n">
        <v>46.2250015258789</v>
      </c>
      <c r="O78" s="169" t="n">
        <v>53.6500015258789</v>
      </c>
      <c r="P78" s="169" t="n">
        <v>60.6925015258789</v>
      </c>
      <c r="Q78" s="65"/>
      <c r="R78" s="169" t="n">
        <v>43.7000007629395</v>
      </c>
      <c r="S78" s="169" t="n">
        <v>47.7000007629395</v>
      </c>
      <c r="T78" s="169" t="n">
        <v>51.2212507629395</v>
      </c>
      <c r="U78" s="65"/>
      <c r="V78" s="169" t="n">
        <v>0</v>
      </c>
      <c r="W78" s="169" t="n">
        <v>0</v>
      </c>
      <c r="X78" s="169" t="n">
        <v>0</v>
      </c>
      <c r="Y78" s="65"/>
      <c r="Z78" s="169" t="n">
        <v>0.19375817625</v>
      </c>
      <c r="AA78" s="169" t="n">
        <v>0.3875163525</v>
      </c>
      <c r="AB78" s="169" t="n">
        <v>0.58127452875</v>
      </c>
      <c r="AC78" s="65"/>
      <c r="AD78" s="169" t="n">
        <v>0.054235247808</v>
      </c>
      <c r="AE78" s="169" t="n">
        <v>0.108470495616</v>
      </c>
      <c r="AF78" s="169" t="n">
        <v>0.162705743424</v>
      </c>
      <c r="AG78" s="65"/>
      <c r="AH78" s="169" t="n">
        <v>-0.35</v>
      </c>
      <c r="AI78" s="169" t="n">
        <v>3</v>
      </c>
      <c r="AJ78" s="169" t="n">
        <v>0.5</v>
      </c>
      <c r="AK78" s="65"/>
      <c r="AL78" s="169" t="n">
        <v>-0.15</v>
      </c>
      <c r="AM78" s="169" t="n">
        <v>0.75</v>
      </c>
      <c r="AN78" s="169" t="n">
        <v>0.2</v>
      </c>
      <c r="AO78" s="65"/>
      <c r="AP78" s="134" t="n">
        <v>21</v>
      </c>
      <c r="AQ78" s="170" t="n">
        <v>0.4</v>
      </c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135" t="n">
        <v>38565</v>
      </c>
      <c r="BI78" s="172" t="n">
        <v>0.9</v>
      </c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110"/>
      <c r="CI78" s="160"/>
      <c r="CJ78" s="160"/>
      <c r="CK78" s="160"/>
      <c r="CM78" s="200"/>
      <c r="CN78" s="200"/>
      <c r="CO78" s="173"/>
      <c r="CP78" s="0"/>
      <c r="CQ78" s="0"/>
      <c r="CR78" s="0"/>
      <c r="CS78" s="0"/>
      <c r="CT78" s="0"/>
      <c r="CY78" s="174" t="n">
        <f aca="false">M78</f>
        <v>38565</v>
      </c>
      <c r="CZ78" s="175" t="n">
        <f aca="false">AI78+AH78</f>
        <v>2.65</v>
      </c>
      <c r="DA78" s="175" t="n">
        <f aca="false">AI78</f>
        <v>3</v>
      </c>
      <c r="DB78" s="175" t="n">
        <f aca="false">AI78+AJ78</f>
        <v>3.5</v>
      </c>
      <c r="DD78" s="175" t="n">
        <f aca="false">Z78</f>
        <v>0.19375817625</v>
      </c>
      <c r="DE78" s="175" t="n">
        <f aca="false">AA78</f>
        <v>0.3875163525</v>
      </c>
      <c r="DF78" s="175" t="n">
        <f aca="false">AB78</f>
        <v>0.58127452875</v>
      </c>
      <c r="DH78" s="174" t="n">
        <f aca="false">BH78</f>
        <v>38565</v>
      </c>
      <c r="DI78" s="128" t="n">
        <f aca="false">BI78</f>
        <v>0.9</v>
      </c>
    </row>
    <row r="79" customFormat="false" ht="12.75" hidden="false" customHeight="false" outlineLevel="0" collapsed="false">
      <c r="A79" s="138" t="n">
        <f aca="false">EOMONTH(A78,0)+1</f>
        <v>47939</v>
      </c>
      <c r="B79" s="128" t="n">
        <f aca="false">'Gas Curves'!C83</f>
        <v>0.057329568117773</v>
      </c>
      <c r="C79" s="128"/>
      <c r="D79" s="167" t="n">
        <v>37712</v>
      </c>
      <c r="E79" s="168" t="n">
        <v>39.4</v>
      </c>
      <c r="F79" s="168" t="n">
        <v>41.5</v>
      </c>
      <c r="G79" s="168" t="n">
        <v>42.75</v>
      </c>
      <c r="H79" s="152"/>
      <c r="I79" s="168" t="n">
        <v>20.5999996185303</v>
      </c>
      <c r="J79" s="168" t="n">
        <v>21.6499996185303</v>
      </c>
      <c r="K79" s="168" t="n">
        <v>22.2749996185303</v>
      </c>
      <c r="L79" s="134"/>
      <c r="M79" s="135" t="n">
        <v>38596</v>
      </c>
      <c r="N79" s="169" t="n">
        <v>27.9875011444092</v>
      </c>
      <c r="O79" s="169" t="n">
        <v>31.0250011444092</v>
      </c>
      <c r="P79" s="169" t="n">
        <v>33.1925011444092</v>
      </c>
      <c r="Q79" s="65"/>
      <c r="R79" s="169" t="n">
        <v>24.3000015258789</v>
      </c>
      <c r="S79" s="169" t="n">
        <v>28.3000015258789</v>
      </c>
      <c r="T79" s="169" t="n">
        <v>29.3837515258789</v>
      </c>
      <c r="U79" s="65"/>
      <c r="V79" s="169" t="n">
        <v>0</v>
      </c>
      <c r="W79" s="169" t="n">
        <v>0</v>
      </c>
      <c r="X79" s="169" t="n">
        <v>0</v>
      </c>
      <c r="Y79" s="65"/>
      <c r="Z79" s="169" t="n">
        <v>0.146804034375</v>
      </c>
      <c r="AA79" s="169" t="n">
        <v>0.29360806875</v>
      </c>
      <c r="AB79" s="169" t="n">
        <v>0.440412103125</v>
      </c>
      <c r="AC79" s="65"/>
      <c r="AD79" s="169" t="n">
        <v>0.036156831872</v>
      </c>
      <c r="AE79" s="169" t="n">
        <v>0.072313663744</v>
      </c>
      <c r="AF79" s="169" t="n">
        <v>0.108470495616</v>
      </c>
      <c r="AG79" s="65"/>
      <c r="AH79" s="169" t="n">
        <v>-0.35</v>
      </c>
      <c r="AI79" s="169" t="n">
        <v>1.5</v>
      </c>
      <c r="AJ79" s="169" t="n">
        <v>0.3</v>
      </c>
      <c r="AK79" s="65"/>
      <c r="AL79" s="169" t="n">
        <v>-0.15</v>
      </c>
      <c r="AM79" s="169" t="n">
        <v>0.4</v>
      </c>
      <c r="AN79" s="169" t="n">
        <v>0.2</v>
      </c>
      <c r="AO79" s="65"/>
      <c r="AP79" s="134" t="n">
        <v>21</v>
      </c>
      <c r="AQ79" s="170" t="n">
        <v>0.4</v>
      </c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135" t="n">
        <v>38596</v>
      </c>
      <c r="BI79" s="172" t="n">
        <v>0.9</v>
      </c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110"/>
      <c r="CI79" s="160"/>
      <c r="CJ79" s="160"/>
      <c r="CK79" s="160"/>
      <c r="CM79" s="200"/>
      <c r="CN79" s="200"/>
      <c r="CO79" s="173"/>
      <c r="CP79" s="0"/>
      <c r="CQ79" s="0"/>
      <c r="CR79" s="0"/>
      <c r="CS79" s="0"/>
      <c r="CT79" s="0"/>
      <c r="CY79" s="174" t="n">
        <f aca="false">M79</f>
        <v>38596</v>
      </c>
      <c r="CZ79" s="175" t="n">
        <f aca="false">AI79+AH79</f>
        <v>1.15</v>
      </c>
      <c r="DA79" s="175" t="n">
        <f aca="false">AI79</f>
        <v>1.5</v>
      </c>
      <c r="DB79" s="175" t="n">
        <f aca="false">AI79+AJ79</f>
        <v>1.8</v>
      </c>
      <c r="DD79" s="175" t="n">
        <f aca="false">Z79</f>
        <v>0.146804034375</v>
      </c>
      <c r="DE79" s="175" t="n">
        <f aca="false">AA79</f>
        <v>0.29360806875</v>
      </c>
      <c r="DF79" s="175" t="n">
        <f aca="false">AB79</f>
        <v>0.440412103125</v>
      </c>
      <c r="DH79" s="174" t="n">
        <f aca="false">BH79</f>
        <v>38596</v>
      </c>
      <c r="DI79" s="128" t="n">
        <f aca="false">BI79</f>
        <v>0.9</v>
      </c>
    </row>
    <row r="80" customFormat="false" ht="12.75" hidden="false" customHeight="false" outlineLevel="0" collapsed="false">
      <c r="A80" s="138" t="n">
        <f aca="false">EOMONTH(A79,0)+1</f>
        <v>47969</v>
      </c>
      <c r="B80" s="128" t="n">
        <f aca="false">'Gas Curves'!C84</f>
        <v>0.057386645415047</v>
      </c>
      <c r="C80" s="128"/>
      <c r="D80" s="167" t="n">
        <v>37742</v>
      </c>
      <c r="E80" s="168" t="n">
        <v>43.9</v>
      </c>
      <c r="F80" s="168" t="n">
        <v>46</v>
      </c>
      <c r="G80" s="168" t="n">
        <v>48.38</v>
      </c>
      <c r="H80" s="152"/>
      <c r="I80" s="168" t="n">
        <v>21.5999996185303</v>
      </c>
      <c r="J80" s="168" t="n">
        <v>22.6499996185303</v>
      </c>
      <c r="K80" s="168" t="n">
        <v>23.8399996185303</v>
      </c>
      <c r="L80" s="134"/>
      <c r="M80" s="135" t="n">
        <v>38626</v>
      </c>
      <c r="N80" s="169" t="n">
        <v>25.4500011444092</v>
      </c>
      <c r="O80" s="169" t="n">
        <v>27.0250011444092</v>
      </c>
      <c r="P80" s="169" t="n">
        <v>28.3900011444092</v>
      </c>
      <c r="Q80" s="65"/>
      <c r="R80" s="169" t="n">
        <v>19.8000015258789</v>
      </c>
      <c r="S80" s="169" t="n">
        <v>23.8000015258789</v>
      </c>
      <c r="T80" s="169" t="n">
        <v>24.4825015258789</v>
      </c>
      <c r="U80" s="65"/>
      <c r="V80" s="169" t="n">
        <v>0</v>
      </c>
      <c r="W80" s="169" t="n">
        <v>0</v>
      </c>
      <c r="X80" s="169" t="n">
        <v>0</v>
      </c>
      <c r="Y80" s="65"/>
      <c r="Z80" s="169" t="n">
        <v>0.12697187890625</v>
      </c>
      <c r="AA80" s="169" t="n">
        <v>0.2539437578125</v>
      </c>
      <c r="AB80" s="169" t="n">
        <v>0.38091563671875</v>
      </c>
      <c r="AC80" s="65"/>
      <c r="AD80" s="169" t="n">
        <v>0.027117623904</v>
      </c>
      <c r="AE80" s="169" t="n">
        <v>0.054235247808</v>
      </c>
      <c r="AF80" s="169" t="n">
        <v>0.081352871712</v>
      </c>
      <c r="AG80" s="65"/>
      <c r="AH80" s="169" t="n">
        <v>-0.25</v>
      </c>
      <c r="AI80" s="169" t="n">
        <v>1.1</v>
      </c>
      <c r="AJ80" s="169" t="n">
        <v>0.3</v>
      </c>
      <c r="AK80" s="65"/>
      <c r="AL80" s="169" t="n">
        <v>-0.15</v>
      </c>
      <c r="AM80" s="169" t="n">
        <v>0.35</v>
      </c>
      <c r="AN80" s="169" t="n">
        <v>0.2</v>
      </c>
      <c r="AO80" s="65"/>
      <c r="AP80" s="134" t="n">
        <v>21</v>
      </c>
      <c r="AQ80" s="170" t="n">
        <v>0.4</v>
      </c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135" t="n">
        <v>38626</v>
      </c>
      <c r="BI80" s="172" t="n">
        <v>0.9</v>
      </c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110"/>
      <c r="CI80" s="160"/>
      <c r="CJ80" s="160"/>
      <c r="CK80" s="160"/>
      <c r="CM80" s="200"/>
      <c r="CN80" s="200"/>
      <c r="CO80" s="173"/>
      <c r="CP80" s="0"/>
      <c r="CQ80" s="0"/>
      <c r="CR80" s="0"/>
      <c r="CS80" s="0"/>
      <c r="CT80" s="0"/>
      <c r="CY80" s="174" t="n">
        <f aca="false">M80</f>
        <v>38626</v>
      </c>
      <c r="CZ80" s="175" t="n">
        <f aca="false">AI80+AH80</f>
        <v>0.85</v>
      </c>
      <c r="DA80" s="175" t="n">
        <f aca="false">AI80</f>
        <v>1.1</v>
      </c>
      <c r="DB80" s="175" t="n">
        <f aca="false">AI80+AJ80</f>
        <v>1.4</v>
      </c>
      <c r="DD80" s="175" t="n">
        <f aca="false">Z80</f>
        <v>0.12697187890625</v>
      </c>
      <c r="DE80" s="175" t="n">
        <f aca="false">AA80</f>
        <v>0.2539437578125</v>
      </c>
      <c r="DF80" s="175" t="n">
        <f aca="false">AB80</f>
        <v>0.38091563671875</v>
      </c>
      <c r="DH80" s="174" t="n">
        <f aca="false">BH80</f>
        <v>38626</v>
      </c>
      <c r="DI80" s="128" t="n">
        <f aca="false">BI80</f>
        <v>0.9</v>
      </c>
    </row>
    <row r="81" customFormat="false" ht="12.75" hidden="false" customHeight="false" outlineLevel="0" collapsed="false">
      <c r="A81" s="138" t="n">
        <f aca="false">EOMONTH(A80,0)+1</f>
        <v>48000</v>
      </c>
      <c r="B81" s="128" t="n">
        <f aca="false">'Gas Curves'!C85</f>
        <v>0.057441881510215</v>
      </c>
      <c r="C81" s="128"/>
      <c r="D81" s="167" t="n">
        <v>37773</v>
      </c>
      <c r="E81" s="168" t="n">
        <v>51.95</v>
      </c>
      <c r="F81" s="168" t="n">
        <v>56</v>
      </c>
      <c r="G81" s="168" t="n">
        <v>59.63</v>
      </c>
      <c r="H81" s="152"/>
      <c r="I81" s="168" t="n">
        <v>20.9999996185303</v>
      </c>
      <c r="J81" s="168" t="n">
        <v>23.0249996185303</v>
      </c>
      <c r="K81" s="168" t="n">
        <v>24.8399996185303</v>
      </c>
      <c r="L81" s="134"/>
      <c r="M81" s="135" t="n">
        <v>38657</v>
      </c>
      <c r="N81" s="169" t="n">
        <v>27.8000015258789</v>
      </c>
      <c r="O81" s="169" t="n">
        <v>29.3750015258789</v>
      </c>
      <c r="P81" s="169" t="n">
        <v>30.7400015258789</v>
      </c>
      <c r="Q81" s="65"/>
      <c r="R81" s="169" t="n">
        <v>22.0000003814697</v>
      </c>
      <c r="S81" s="169" t="n">
        <v>26.0000003814697</v>
      </c>
      <c r="T81" s="169" t="n">
        <v>26.6825003814697</v>
      </c>
      <c r="U81" s="65"/>
      <c r="V81" s="169" t="n">
        <v>0</v>
      </c>
      <c r="W81" s="169" t="n">
        <v>0</v>
      </c>
      <c r="X81" s="169" t="n">
        <v>0</v>
      </c>
      <c r="Y81" s="65"/>
      <c r="Z81" s="169" t="n">
        <v>0.12697187890625</v>
      </c>
      <c r="AA81" s="169" t="n">
        <v>0.2539437578125</v>
      </c>
      <c r="AB81" s="169" t="n">
        <v>0.38091563671875</v>
      </c>
      <c r="AC81" s="65"/>
      <c r="AD81" s="169" t="n">
        <v>0.027117623904</v>
      </c>
      <c r="AE81" s="169" t="n">
        <v>0.054235247808</v>
      </c>
      <c r="AF81" s="169" t="n">
        <v>0.081352871712</v>
      </c>
      <c r="AG81" s="65"/>
      <c r="AH81" s="169" t="n">
        <v>-0.25</v>
      </c>
      <c r="AI81" s="169" t="n">
        <v>1.25</v>
      </c>
      <c r="AJ81" s="169" t="n">
        <v>0.3</v>
      </c>
      <c r="AK81" s="65"/>
      <c r="AL81" s="169" t="n">
        <v>-0.15</v>
      </c>
      <c r="AM81" s="169" t="n">
        <v>0.3</v>
      </c>
      <c r="AN81" s="169" t="n">
        <v>0.2</v>
      </c>
      <c r="AO81" s="65"/>
      <c r="AP81" s="134" t="n">
        <v>22</v>
      </c>
      <c r="AQ81" s="170" t="n">
        <v>0.4</v>
      </c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135" t="n">
        <v>38657</v>
      </c>
      <c r="BI81" s="172" t="n">
        <v>0.9</v>
      </c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110"/>
      <c r="CI81" s="19"/>
      <c r="CJ81" s="19"/>
      <c r="CK81" s="19"/>
      <c r="CM81" s="200"/>
      <c r="CN81" s="200"/>
      <c r="CO81" s="173"/>
      <c r="CP81" s="0"/>
      <c r="CQ81" s="0"/>
      <c r="CR81" s="0"/>
      <c r="CS81" s="0"/>
      <c r="CT81" s="0"/>
      <c r="CY81" s="174" t="n">
        <f aca="false">M81</f>
        <v>38657</v>
      </c>
      <c r="CZ81" s="175" t="n">
        <f aca="false">AI81+AH81</f>
        <v>1</v>
      </c>
      <c r="DA81" s="175" t="n">
        <f aca="false">AI81</f>
        <v>1.25</v>
      </c>
      <c r="DB81" s="175" t="n">
        <f aca="false">AI81+AJ81</f>
        <v>1.55</v>
      </c>
      <c r="DD81" s="175" t="n">
        <f aca="false">Z81</f>
        <v>0.12697187890625</v>
      </c>
      <c r="DE81" s="175" t="n">
        <f aca="false">AA81</f>
        <v>0.2539437578125</v>
      </c>
      <c r="DF81" s="175" t="n">
        <f aca="false">AB81</f>
        <v>0.38091563671875</v>
      </c>
      <c r="DH81" s="174" t="n">
        <f aca="false">BH81</f>
        <v>38657</v>
      </c>
      <c r="DI81" s="128" t="n">
        <f aca="false">BI81</f>
        <v>0.9</v>
      </c>
    </row>
    <row r="82" customFormat="false" ht="12.75" hidden="false" customHeight="false" outlineLevel="0" collapsed="false">
      <c r="A82" s="138" t="n">
        <f aca="false">EOMONTH(A81,0)+1</f>
        <v>48030</v>
      </c>
      <c r="B82" s="128" t="n">
        <f aca="false">'Gas Curves'!C86</f>
        <v>0.057498958809623</v>
      </c>
      <c r="C82" s="128"/>
      <c r="D82" s="167" t="n">
        <v>37803</v>
      </c>
      <c r="E82" s="168" t="n">
        <v>65.35</v>
      </c>
      <c r="F82" s="168" t="n">
        <v>75.25</v>
      </c>
      <c r="G82" s="168" t="n">
        <v>83</v>
      </c>
      <c r="H82" s="152"/>
      <c r="I82" s="168" t="n">
        <v>21.8</v>
      </c>
      <c r="J82" s="168" t="n">
        <v>26.75</v>
      </c>
      <c r="K82" s="168" t="n">
        <v>30.625</v>
      </c>
      <c r="L82" s="134"/>
      <c r="M82" s="135" t="n">
        <v>38687</v>
      </c>
      <c r="N82" s="169" t="n">
        <v>28.4</v>
      </c>
      <c r="O82" s="169" t="n">
        <v>29.975</v>
      </c>
      <c r="P82" s="169" t="n">
        <v>31.34</v>
      </c>
      <c r="Q82" s="65"/>
      <c r="R82" s="169" t="n">
        <v>22.5000003814697</v>
      </c>
      <c r="S82" s="169" t="n">
        <v>26.5000003814697</v>
      </c>
      <c r="T82" s="169" t="n">
        <v>27.1825003814697</v>
      </c>
      <c r="U82" s="65"/>
      <c r="V82" s="169" t="n">
        <v>0</v>
      </c>
      <c r="W82" s="169" t="n">
        <v>0</v>
      </c>
      <c r="X82" s="169" t="n">
        <v>0</v>
      </c>
      <c r="Y82" s="65"/>
      <c r="Z82" s="169" t="n">
        <v>0.1244372640625</v>
      </c>
      <c r="AA82" s="169" t="n">
        <v>0.248874528125</v>
      </c>
      <c r="AB82" s="169" t="n">
        <v>0.3733117921875</v>
      </c>
      <c r="AC82" s="65"/>
      <c r="AD82" s="169" t="n">
        <v>0.027117623904</v>
      </c>
      <c r="AE82" s="169" t="n">
        <v>0.054235247808</v>
      </c>
      <c r="AF82" s="169" t="n">
        <v>0.081352871712</v>
      </c>
      <c r="AG82" s="65"/>
      <c r="AH82" s="169" t="n">
        <v>-0.25</v>
      </c>
      <c r="AI82" s="169" t="n">
        <v>1.25</v>
      </c>
      <c r="AJ82" s="169" t="n">
        <v>0.35</v>
      </c>
      <c r="AK82" s="65"/>
      <c r="AL82" s="169" t="n">
        <v>-0.15</v>
      </c>
      <c r="AM82" s="169" t="n">
        <v>0.3</v>
      </c>
      <c r="AN82" s="169" t="n">
        <v>0.2</v>
      </c>
      <c r="AO82" s="65"/>
      <c r="AP82" s="134" t="n">
        <v>22</v>
      </c>
      <c r="AQ82" s="170" t="n">
        <v>0.4</v>
      </c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135" t="n">
        <v>38687</v>
      </c>
      <c r="BI82" s="172" t="n">
        <v>0.9</v>
      </c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110"/>
      <c r="CI82" s="19"/>
      <c r="CJ82" s="19"/>
      <c r="CK82" s="19"/>
      <c r="CM82" s="200"/>
      <c r="CN82" s="200"/>
      <c r="CO82" s="173"/>
      <c r="CP82" s="0"/>
      <c r="CQ82" s="0"/>
      <c r="CR82" s="0"/>
      <c r="CS82" s="0"/>
      <c r="CT82" s="0"/>
      <c r="CY82" s="174" t="n">
        <f aca="false">M82</f>
        <v>38687</v>
      </c>
      <c r="CZ82" s="175" t="n">
        <f aca="false">AI82+AH82</f>
        <v>1</v>
      </c>
      <c r="DA82" s="175" t="n">
        <f aca="false">AI82</f>
        <v>1.25</v>
      </c>
      <c r="DB82" s="175" t="n">
        <f aca="false">AI82+AJ82</f>
        <v>1.6</v>
      </c>
      <c r="DD82" s="175" t="n">
        <f aca="false">Z82</f>
        <v>0.1244372640625</v>
      </c>
      <c r="DE82" s="175" t="n">
        <f aca="false">AA82</f>
        <v>0.248874528125</v>
      </c>
      <c r="DF82" s="175" t="n">
        <f aca="false">AB82</f>
        <v>0.3733117921875</v>
      </c>
      <c r="DH82" s="174" t="n">
        <f aca="false">BH82</f>
        <v>38687</v>
      </c>
      <c r="DI82" s="128" t="n">
        <f aca="false">BI82</f>
        <v>0.9</v>
      </c>
    </row>
    <row r="83" customFormat="false" ht="12.75" hidden="false" customHeight="false" outlineLevel="0" collapsed="false">
      <c r="A83" s="138" t="n">
        <f aca="false">EOMONTH(A82,0)+1</f>
        <v>48061</v>
      </c>
      <c r="B83" s="128" t="n">
        <f aca="false">'Gas Curves'!C87</f>
        <v>0.057554194906854</v>
      </c>
      <c r="C83" s="128"/>
      <c r="D83" s="167" t="n">
        <v>37834</v>
      </c>
      <c r="E83" s="168" t="n">
        <v>65.35</v>
      </c>
      <c r="F83" s="168" t="n">
        <v>75.25</v>
      </c>
      <c r="G83" s="168" t="n">
        <v>83</v>
      </c>
      <c r="H83" s="152"/>
      <c r="I83" s="168" t="n">
        <v>33.9500015258789</v>
      </c>
      <c r="J83" s="168" t="n">
        <v>38.9000015258789</v>
      </c>
      <c r="K83" s="168" t="n">
        <v>42.7750015258789</v>
      </c>
      <c r="L83" s="134"/>
      <c r="M83" s="135" t="n">
        <v>38718</v>
      </c>
      <c r="N83" s="169" t="n">
        <v>30.7294960021973</v>
      </c>
      <c r="O83" s="169" t="n">
        <v>32.3044960021973</v>
      </c>
      <c r="P83" s="169" t="n">
        <v>33.5644960021973</v>
      </c>
      <c r="Q83" s="65"/>
      <c r="R83" s="169" t="n">
        <v>23.4039974212647</v>
      </c>
      <c r="S83" s="169" t="n">
        <v>28.4039974212647</v>
      </c>
      <c r="T83" s="169" t="n">
        <v>29.0339974212646</v>
      </c>
      <c r="U83" s="65"/>
      <c r="V83" s="169" t="n">
        <v>0</v>
      </c>
      <c r="W83" s="169" t="n">
        <v>0</v>
      </c>
      <c r="X83" s="169" t="n">
        <v>0</v>
      </c>
      <c r="Y83" s="65"/>
      <c r="Z83" s="169" t="n">
        <v>0.1836304340625</v>
      </c>
      <c r="AA83" s="169" t="n">
        <v>0.367260868125</v>
      </c>
      <c r="AB83" s="169" t="n">
        <v>0.5508913021875</v>
      </c>
      <c r="AC83" s="65"/>
      <c r="AD83" s="169" t="n">
        <v>0.03100448333024</v>
      </c>
      <c r="AE83" s="169" t="n">
        <v>0.06200896666048</v>
      </c>
      <c r="AF83" s="169" t="n">
        <v>0.09301344999072</v>
      </c>
      <c r="AG83" s="65"/>
      <c r="AH83" s="169" t="n">
        <v>-0.75</v>
      </c>
      <c r="AI83" s="169" t="n">
        <v>2</v>
      </c>
      <c r="AJ83" s="169" t="n">
        <v>0.75</v>
      </c>
      <c r="AK83" s="65"/>
      <c r="AL83" s="169" t="n">
        <v>-0.15</v>
      </c>
      <c r="AM83" s="169" t="n">
        <v>0.5</v>
      </c>
      <c r="AN83" s="169" t="n">
        <v>0.2</v>
      </c>
      <c r="AO83" s="65"/>
      <c r="AP83" s="134" t="n">
        <v>22</v>
      </c>
      <c r="AQ83" s="170" t="n">
        <v>0.4</v>
      </c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135" t="n">
        <v>38718</v>
      </c>
      <c r="BI83" s="172" t="n">
        <v>0.9</v>
      </c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110"/>
      <c r="CI83" s="19"/>
      <c r="CJ83" s="19"/>
      <c r="CK83" s="19"/>
      <c r="CM83" s="200"/>
      <c r="CN83" s="200"/>
      <c r="CO83" s="173"/>
      <c r="CP83" s="0"/>
      <c r="CQ83" s="0"/>
      <c r="CR83" s="0"/>
      <c r="CS83" s="0"/>
      <c r="CT83" s="0"/>
      <c r="CY83" s="174" t="n">
        <f aca="false">M83</f>
        <v>38718</v>
      </c>
      <c r="CZ83" s="175" t="n">
        <f aca="false">AI83+AH83</f>
        <v>1.25</v>
      </c>
      <c r="DA83" s="175" t="n">
        <f aca="false">AI83</f>
        <v>2</v>
      </c>
      <c r="DB83" s="175" t="n">
        <f aca="false">AI83+AJ83</f>
        <v>2.75</v>
      </c>
      <c r="DD83" s="175" t="n">
        <f aca="false">Z83</f>
        <v>0.1836304340625</v>
      </c>
      <c r="DE83" s="175" t="n">
        <f aca="false">AA83</f>
        <v>0.367260868125</v>
      </c>
      <c r="DF83" s="175" t="n">
        <f aca="false">AB83</f>
        <v>0.5508913021875</v>
      </c>
      <c r="DH83" s="174" t="n">
        <f aca="false">BH83</f>
        <v>38718</v>
      </c>
      <c r="DI83" s="128" t="n">
        <f aca="false">BI83</f>
        <v>0.9</v>
      </c>
    </row>
    <row r="84" customFormat="false" ht="12.75" hidden="false" customHeight="false" outlineLevel="0" collapsed="false">
      <c r="A84" s="138" t="n">
        <f aca="false">EOMONTH(A83,0)+1</f>
        <v>48092</v>
      </c>
      <c r="B84" s="128" t="n">
        <f aca="false">'Gas Curves'!C88</f>
        <v>0.057611272208394</v>
      </c>
      <c r="C84" s="128"/>
      <c r="D84" s="167" t="n">
        <v>37865</v>
      </c>
      <c r="E84" s="168" t="n">
        <v>39.45</v>
      </c>
      <c r="F84" s="168" t="n">
        <v>43.5</v>
      </c>
      <c r="G84" s="168" t="n">
        <v>45.88</v>
      </c>
      <c r="H84" s="152"/>
      <c r="I84" s="168" t="n">
        <v>25.3749996185303</v>
      </c>
      <c r="J84" s="168" t="n">
        <v>27.3999996185303</v>
      </c>
      <c r="K84" s="168" t="n">
        <v>28.5899996185303</v>
      </c>
      <c r="L84" s="134"/>
      <c r="M84" s="135" t="n">
        <v>38749</v>
      </c>
      <c r="N84" s="169" t="n">
        <v>30.3919967651367</v>
      </c>
      <c r="O84" s="169" t="n">
        <v>31.6294967651367</v>
      </c>
      <c r="P84" s="169" t="n">
        <v>32.8894967651367</v>
      </c>
      <c r="Q84" s="65"/>
      <c r="R84" s="169" t="n">
        <v>22.8039970397949</v>
      </c>
      <c r="S84" s="169" t="n">
        <v>27.8039970397949</v>
      </c>
      <c r="T84" s="169" t="n">
        <v>28.4339970397949</v>
      </c>
      <c r="U84" s="65"/>
      <c r="V84" s="169" t="n">
        <v>0</v>
      </c>
      <c r="W84" s="169" t="n">
        <v>0</v>
      </c>
      <c r="X84" s="169" t="n">
        <v>0</v>
      </c>
      <c r="Y84" s="65"/>
      <c r="Z84" s="169" t="n">
        <v>0.17739946125</v>
      </c>
      <c r="AA84" s="169" t="n">
        <v>0.3547989225</v>
      </c>
      <c r="AB84" s="169" t="n">
        <v>0.53219838375</v>
      </c>
      <c r="AC84" s="65"/>
      <c r="AD84" s="169" t="n">
        <v>0.03100448333024</v>
      </c>
      <c r="AE84" s="169" t="n">
        <v>0.06200896666048</v>
      </c>
      <c r="AF84" s="169" t="n">
        <v>0.09301344999072</v>
      </c>
      <c r="AG84" s="65"/>
      <c r="AH84" s="169" t="n">
        <v>-0.75</v>
      </c>
      <c r="AI84" s="169" t="n">
        <v>2</v>
      </c>
      <c r="AJ84" s="169" t="n">
        <v>0.75</v>
      </c>
      <c r="AK84" s="65"/>
      <c r="AL84" s="169" t="n">
        <v>-0.15</v>
      </c>
      <c r="AM84" s="169" t="n">
        <v>0.5</v>
      </c>
      <c r="AN84" s="169" t="n">
        <v>0.2</v>
      </c>
      <c r="AO84" s="65"/>
      <c r="AP84" s="134" t="n">
        <v>23</v>
      </c>
      <c r="AQ84" s="170" t="n">
        <v>0.4</v>
      </c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135" t="n">
        <v>38749</v>
      </c>
      <c r="BI84" s="172" t="n">
        <v>0.9</v>
      </c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110"/>
      <c r="CI84" s="19"/>
      <c r="CJ84" s="19"/>
      <c r="CK84" s="19"/>
      <c r="CM84" s="200"/>
      <c r="CN84" s="200"/>
      <c r="CO84" s="173"/>
      <c r="CP84" s="0"/>
      <c r="CQ84" s="0"/>
      <c r="CR84" s="0"/>
      <c r="CS84" s="0"/>
      <c r="CT84" s="0"/>
      <c r="CY84" s="174" t="n">
        <f aca="false">M84</f>
        <v>38749</v>
      </c>
      <c r="CZ84" s="175" t="n">
        <f aca="false">AI84+AH84</f>
        <v>1.25</v>
      </c>
      <c r="DA84" s="175" t="n">
        <f aca="false">AI84</f>
        <v>2</v>
      </c>
      <c r="DB84" s="175" t="n">
        <f aca="false">AI84+AJ84</f>
        <v>2.75</v>
      </c>
      <c r="DD84" s="175" t="n">
        <f aca="false">Z84</f>
        <v>0.17739946125</v>
      </c>
      <c r="DE84" s="175" t="n">
        <f aca="false">AA84</f>
        <v>0.3547989225</v>
      </c>
      <c r="DF84" s="175" t="n">
        <f aca="false">AB84</f>
        <v>0.53219838375</v>
      </c>
      <c r="DH84" s="174" t="n">
        <f aca="false">BH84</f>
        <v>38749</v>
      </c>
      <c r="DI84" s="128" t="n">
        <f aca="false">BI84</f>
        <v>0.9</v>
      </c>
    </row>
    <row r="85" customFormat="false" ht="12.75" hidden="false" customHeight="false" outlineLevel="0" collapsed="false">
      <c r="A85" s="138" t="n">
        <f aca="false">EOMONTH(A84,0)+1</f>
        <v>48122</v>
      </c>
      <c r="B85" s="128" t="n">
        <f aca="false">'Gas Curves'!C89</f>
        <v>0.057668349511017</v>
      </c>
      <c r="C85" s="128"/>
      <c r="D85" s="167" t="n">
        <v>37895</v>
      </c>
      <c r="E85" s="168" t="n">
        <v>41.4</v>
      </c>
      <c r="F85" s="168" t="n">
        <v>43.5</v>
      </c>
      <c r="G85" s="168" t="n">
        <v>45</v>
      </c>
      <c r="H85" s="152"/>
      <c r="I85" s="168" t="n">
        <v>24.3499996185303</v>
      </c>
      <c r="J85" s="168" t="n">
        <v>25.3999996185303</v>
      </c>
      <c r="K85" s="168" t="n">
        <v>26.1499996185303</v>
      </c>
      <c r="L85" s="134"/>
      <c r="M85" s="135" t="n">
        <v>38777</v>
      </c>
      <c r="N85" s="169" t="n">
        <v>24.5374969482422</v>
      </c>
      <c r="O85" s="169" t="n">
        <v>25.7749969482422</v>
      </c>
      <c r="P85" s="169" t="n">
        <v>27.0349969482422</v>
      </c>
      <c r="Q85" s="65"/>
      <c r="R85" s="169" t="n">
        <v>17.5999984741211</v>
      </c>
      <c r="S85" s="169" t="n">
        <v>22.5999984741211</v>
      </c>
      <c r="T85" s="169" t="n">
        <v>23.2299984741211</v>
      </c>
      <c r="U85" s="65"/>
      <c r="V85" s="169" t="n">
        <v>0</v>
      </c>
      <c r="W85" s="169" t="n">
        <v>0</v>
      </c>
      <c r="X85" s="169" t="n">
        <v>0</v>
      </c>
      <c r="Y85" s="65"/>
      <c r="Z85" s="169" t="n">
        <v>0.140634685390625</v>
      </c>
      <c r="AA85" s="169" t="n">
        <v>0.28126937078125</v>
      </c>
      <c r="AB85" s="169" t="n">
        <v>0.421904056171875</v>
      </c>
      <c r="AC85" s="65"/>
      <c r="AD85" s="169" t="n">
        <v>0.027117623904</v>
      </c>
      <c r="AE85" s="169" t="n">
        <v>0.054235247808</v>
      </c>
      <c r="AF85" s="169" t="n">
        <v>0.081352871712</v>
      </c>
      <c r="AG85" s="65"/>
      <c r="AH85" s="169" t="n">
        <v>-0.25</v>
      </c>
      <c r="AI85" s="169" t="n">
        <v>1.3</v>
      </c>
      <c r="AJ85" s="169" t="n">
        <v>0.3</v>
      </c>
      <c r="AK85" s="65"/>
      <c r="AL85" s="169" t="n">
        <v>-0.15</v>
      </c>
      <c r="AM85" s="169" t="n">
        <v>0.35</v>
      </c>
      <c r="AN85" s="169" t="n">
        <v>0.2</v>
      </c>
      <c r="AO85" s="65"/>
      <c r="AP85" s="134" t="n">
        <v>23</v>
      </c>
      <c r="AQ85" s="170" t="n">
        <v>0.4</v>
      </c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135" t="n">
        <v>38777</v>
      </c>
      <c r="BI85" s="172" t="n">
        <v>0.9</v>
      </c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110"/>
      <c r="CI85" s="19"/>
      <c r="CJ85" s="19"/>
      <c r="CK85" s="19"/>
      <c r="CM85" s="200"/>
      <c r="CN85" s="200"/>
      <c r="CO85" s="173"/>
      <c r="CP85" s="0"/>
      <c r="CQ85" s="0"/>
      <c r="CR85" s="0"/>
      <c r="CS85" s="0"/>
      <c r="CT85" s="0"/>
      <c r="CY85" s="174" t="n">
        <f aca="false">M85</f>
        <v>38777</v>
      </c>
      <c r="CZ85" s="175" t="n">
        <f aca="false">AI85+AH85</f>
        <v>1.05</v>
      </c>
      <c r="DA85" s="175" t="n">
        <f aca="false">AI85</f>
        <v>1.3</v>
      </c>
      <c r="DB85" s="175" t="n">
        <f aca="false">AI85+AJ85</f>
        <v>1.6</v>
      </c>
      <c r="DD85" s="175" t="n">
        <f aca="false">Z85</f>
        <v>0.140634685390625</v>
      </c>
      <c r="DE85" s="175" t="n">
        <f aca="false">AA85</f>
        <v>0.28126937078125</v>
      </c>
      <c r="DF85" s="175" t="n">
        <f aca="false">AB85</f>
        <v>0.421904056171875</v>
      </c>
      <c r="DH85" s="174" t="n">
        <f aca="false">BH85</f>
        <v>38777</v>
      </c>
      <c r="DI85" s="128" t="n">
        <f aca="false">BI85</f>
        <v>0.9</v>
      </c>
    </row>
    <row r="86" customFormat="false" ht="12.75" hidden="false" customHeight="false" outlineLevel="0" collapsed="false">
      <c r="A86" s="138" t="n">
        <f aca="false">EOMONTH(A85,0)+1</f>
        <v>48153</v>
      </c>
      <c r="B86" s="128" t="n">
        <f aca="false">'Gas Curves'!C90</f>
        <v>0.057719903204641</v>
      </c>
      <c r="C86" s="128"/>
      <c r="D86" s="167" t="n">
        <v>37926</v>
      </c>
      <c r="E86" s="168" t="n">
        <v>43.9</v>
      </c>
      <c r="F86" s="168" t="n">
        <v>46</v>
      </c>
      <c r="G86" s="168" t="n">
        <v>47.5</v>
      </c>
      <c r="H86" s="152"/>
      <c r="I86" s="168" t="n">
        <v>25.0999996185303</v>
      </c>
      <c r="J86" s="168" t="n">
        <v>26.1499996185303</v>
      </c>
      <c r="K86" s="168" t="n">
        <v>26.8999996185303</v>
      </c>
      <c r="L86" s="134"/>
      <c r="M86" s="135" t="n">
        <v>38808</v>
      </c>
      <c r="N86" s="169" t="n">
        <v>23.5249996185303</v>
      </c>
      <c r="O86" s="169" t="n">
        <v>25.0999996185303</v>
      </c>
      <c r="P86" s="169" t="n">
        <v>26.3599996185303</v>
      </c>
      <c r="Q86" s="65"/>
      <c r="R86" s="169" t="n">
        <v>17</v>
      </c>
      <c r="S86" s="169" t="n">
        <v>22</v>
      </c>
      <c r="T86" s="169" t="n">
        <v>22.63</v>
      </c>
      <c r="U86" s="65"/>
      <c r="V86" s="169" t="n">
        <v>0</v>
      </c>
      <c r="W86" s="169" t="n">
        <v>0</v>
      </c>
      <c r="X86" s="169" t="n">
        <v>0</v>
      </c>
      <c r="Y86" s="65"/>
      <c r="Z86" s="169" t="n">
        <v>0.14044124015625</v>
      </c>
      <c r="AA86" s="169" t="n">
        <v>0.2808824803125</v>
      </c>
      <c r="AB86" s="169" t="n">
        <v>0.42132372046875</v>
      </c>
      <c r="AC86" s="65"/>
      <c r="AD86" s="169" t="n">
        <v>0.027117623904</v>
      </c>
      <c r="AE86" s="169" t="n">
        <v>0.054235247808</v>
      </c>
      <c r="AF86" s="169" t="n">
        <v>0.081352871712</v>
      </c>
      <c r="AG86" s="65"/>
      <c r="AH86" s="169" t="n">
        <v>-0.25</v>
      </c>
      <c r="AI86" s="169" t="n">
        <v>1.1</v>
      </c>
      <c r="AJ86" s="169" t="n">
        <v>0.3</v>
      </c>
      <c r="AK86" s="65"/>
      <c r="AL86" s="169" t="n">
        <v>-0.15</v>
      </c>
      <c r="AM86" s="169" t="n">
        <v>0.35</v>
      </c>
      <c r="AN86" s="169" t="n">
        <v>0.2</v>
      </c>
      <c r="AO86" s="65"/>
      <c r="AP86" s="134" t="n">
        <v>23</v>
      </c>
      <c r="AQ86" s="170" t="n">
        <v>0.4</v>
      </c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135" t="n">
        <v>38808</v>
      </c>
      <c r="BI86" s="172" t="n">
        <v>0.9</v>
      </c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110"/>
      <c r="CI86" s="19"/>
      <c r="CJ86" s="19"/>
      <c r="CK86" s="19"/>
      <c r="CM86" s="200"/>
      <c r="CN86" s="200"/>
      <c r="CO86" s="173"/>
      <c r="CP86" s="0"/>
      <c r="CQ86" s="0"/>
      <c r="CR86" s="0"/>
      <c r="CS86" s="0"/>
      <c r="CT86" s="0"/>
      <c r="CY86" s="174" t="n">
        <f aca="false">M86</f>
        <v>38808</v>
      </c>
      <c r="CZ86" s="175" t="n">
        <f aca="false">AI86+AH86</f>
        <v>0.85</v>
      </c>
      <c r="DA86" s="175" t="n">
        <f aca="false">AI86</f>
        <v>1.1</v>
      </c>
      <c r="DB86" s="175" t="n">
        <f aca="false">AI86+AJ86</f>
        <v>1.4</v>
      </c>
      <c r="DD86" s="175" t="n">
        <f aca="false">Z86</f>
        <v>0.14044124015625</v>
      </c>
      <c r="DE86" s="175" t="n">
        <f aca="false">AA86</f>
        <v>0.2808824803125</v>
      </c>
      <c r="DF86" s="175" t="n">
        <f aca="false">AB86</f>
        <v>0.42132372046875</v>
      </c>
      <c r="DH86" s="174" t="n">
        <f aca="false">BH86</f>
        <v>38808</v>
      </c>
      <c r="DI86" s="128" t="n">
        <f aca="false">BI86</f>
        <v>0.9</v>
      </c>
    </row>
    <row r="87" customFormat="false" ht="12.75" hidden="false" customHeight="false" outlineLevel="0" collapsed="false">
      <c r="A87" s="138" t="n">
        <f aca="false">EOMONTH(A86,0)+1</f>
        <v>48183</v>
      </c>
      <c r="B87" s="128" t="n">
        <f aca="false">'Gas Curves'!C91</f>
        <v>0.057776980509326</v>
      </c>
      <c r="C87" s="128"/>
      <c r="D87" s="167" t="n">
        <v>37956</v>
      </c>
      <c r="E87" s="168" t="n">
        <v>43.9</v>
      </c>
      <c r="F87" s="168" t="n">
        <v>46</v>
      </c>
      <c r="G87" s="168" t="n">
        <v>47.5</v>
      </c>
      <c r="H87" s="152"/>
      <c r="I87" s="168" t="n">
        <v>24.9999992370605</v>
      </c>
      <c r="J87" s="168" t="n">
        <v>26.0499992370605</v>
      </c>
      <c r="K87" s="168" t="n">
        <v>26.7999992370605</v>
      </c>
      <c r="L87" s="134"/>
      <c r="M87" s="135" t="n">
        <v>38838</v>
      </c>
      <c r="N87" s="169" t="n">
        <v>27.125</v>
      </c>
      <c r="O87" s="169" t="n">
        <v>28.7</v>
      </c>
      <c r="P87" s="169" t="n">
        <v>31.085</v>
      </c>
      <c r="Q87" s="65"/>
      <c r="R87" s="169" t="n">
        <v>20.1999988555908</v>
      </c>
      <c r="S87" s="169" t="n">
        <v>25.1999988555908</v>
      </c>
      <c r="T87" s="169" t="n">
        <v>26.3924988555908</v>
      </c>
      <c r="U87" s="65"/>
      <c r="V87" s="169" t="n">
        <v>0</v>
      </c>
      <c r="W87" s="169" t="n">
        <v>0</v>
      </c>
      <c r="X87" s="169" t="n">
        <v>0</v>
      </c>
      <c r="Y87" s="65"/>
      <c r="Z87" s="169" t="n">
        <v>0.14774736121875</v>
      </c>
      <c r="AA87" s="169" t="n">
        <v>0.2954947224375</v>
      </c>
      <c r="AB87" s="169" t="n">
        <v>0.44324208365625</v>
      </c>
      <c r="AC87" s="65"/>
      <c r="AD87" s="169" t="n">
        <v>0.03100448333024</v>
      </c>
      <c r="AE87" s="169" t="n">
        <v>0.06200896666048</v>
      </c>
      <c r="AF87" s="169" t="n">
        <v>0.09301344999072</v>
      </c>
      <c r="AG87" s="65"/>
      <c r="AH87" s="169" t="n">
        <v>-0.25</v>
      </c>
      <c r="AI87" s="169" t="n">
        <v>1.1</v>
      </c>
      <c r="AJ87" s="169" t="n">
        <v>0.3</v>
      </c>
      <c r="AK87" s="65"/>
      <c r="AL87" s="169" t="n">
        <v>-0.15</v>
      </c>
      <c r="AM87" s="169" t="n">
        <v>0.5</v>
      </c>
      <c r="AN87" s="169" t="n">
        <v>0.2</v>
      </c>
      <c r="AO87" s="65"/>
      <c r="AP87" s="134" t="n">
        <v>24</v>
      </c>
      <c r="AQ87" s="170" t="n">
        <v>0.4</v>
      </c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135" t="n">
        <v>38838</v>
      </c>
      <c r="BI87" s="172" t="n">
        <v>0.9</v>
      </c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110"/>
      <c r="CI87" s="19"/>
      <c r="CJ87" s="19"/>
      <c r="CK87" s="19"/>
      <c r="CM87" s="200"/>
      <c r="CN87" s="200"/>
      <c r="CO87" s="173"/>
      <c r="CP87" s="0"/>
      <c r="CQ87" s="0"/>
      <c r="CR87" s="0"/>
      <c r="CS87" s="0"/>
      <c r="CT87" s="0"/>
      <c r="CY87" s="174" t="n">
        <f aca="false">M87</f>
        <v>38838</v>
      </c>
      <c r="CZ87" s="175" t="n">
        <f aca="false">AI87+AH87</f>
        <v>0.85</v>
      </c>
      <c r="DA87" s="175" t="n">
        <f aca="false">AI87</f>
        <v>1.1</v>
      </c>
      <c r="DB87" s="175" t="n">
        <f aca="false">AI87+AJ87</f>
        <v>1.4</v>
      </c>
      <c r="DD87" s="175" t="n">
        <f aca="false">Z87</f>
        <v>0.14774736121875</v>
      </c>
      <c r="DE87" s="175" t="n">
        <f aca="false">AA87</f>
        <v>0.2954947224375</v>
      </c>
      <c r="DF87" s="175" t="n">
        <f aca="false">AB87</f>
        <v>0.44324208365625</v>
      </c>
      <c r="DH87" s="174" t="n">
        <f aca="false">BH87</f>
        <v>38838</v>
      </c>
      <c r="DI87" s="128" t="n">
        <f aca="false">BI87</f>
        <v>0.9</v>
      </c>
    </row>
    <row r="88" customFormat="false" ht="12.75" hidden="false" customHeight="false" outlineLevel="0" collapsed="false">
      <c r="A88" s="138" t="n">
        <f aca="false">EOMONTH(A87,0)+1</f>
        <v>48214</v>
      </c>
      <c r="B88" s="128" t="n">
        <f aca="false">'Gas Curves'!C92</f>
        <v>0.057832216611667</v>
      </c>
      <c r="C88" s="128"/>
      <c r="D88" s="167" t="n">
        <v>37987</v>
      </c>
      <c r="E88" s="168" t="n">
        <v>59.9</v>
      </c>
      <c r="F88" s="168" t="n">
        <v>62</v>
      </c>
      <c r="G88" s="168" t="n">
        <v>63.38</v>
      </c>
      <c r="H88" s="152"/>
      <c r="I88" s="168" t="n">
        <v>25.3000003814697</v>
      </c>
      <c r="J88" s="168" t="n">
        <v>26.3500003814697</v>
      </c>
      <c r="K88" s="168" t="n">
        <v>27.0400003814697</v>
      </c>
      <c r="L88" s="134"/>
      <c r="M88" s="135" t="n">
        <v>38869</v>
      </c>
      <c r="N88" s="169" t="n">
        <v>32.4625030517578</v>
      </c>
      <c r="O88" s="169" t="n">
        <v>35.5000030517578</v>
      </c>
      <c r="P88" s="169" t="n">
        <v>39.1300030517578</v>
      </c>
      <c r="Q88" s="65"/>
      <c r="R88" s="169" t="n">
        <v>25.7000026702881</v>
      </c>
      <c r="S88" s="169" t="n">
        <v>30.7000026702881</v>
      </c>
      <c r="T88" s="169" t="n">
        <v>32.5150026702881</v>
      </c>
      <c r="U88" s="65"/>
      <c r="V88" s="169" t="n">
        <v>0</v>
      </c>
      <c r="W88" s="169" t="n">
        <v>0</v>
      </c>
      <c r="X88" s="169" t="n">
        <v>0</v>
      </c>
      <c r="Y88" s="65"/>
      <c r="Z88" s="169" t="n">
        <v>0.1580060674375</v>
      </c>
      <c r="AA88" s="169" t="n">
        <v>0.316012134875</v>
      </c>
      <c r="AB88" s="169" t="n">
        <v>0.4740182023125</v>
      </c>
      <c r="AC88" s="65"/>
      <c r="AD88" s="169" t="n">
        <v>0.03986290713888</v>
      </c>
      <c r="AE88" s="169" t="n">
        <v>0.07972581427776</v>
      </c>
      <c r="AF88" s="169" t="n">
        <v>0.11958872141664</v>
      </c>
      <c r="AG88" s="65"/>
      <c r="AH88" s="169" t="n">
        <v>-0.35</v>
      </c>
      <c r="AI88" s="169" t="n">
        <v>2</v>
      </c>
      <c r="AJ88" s="169" t="n">
        <v>0.3</v>
      </c>
      <c r="AK88" s="65"/>
      <c r="AL88" s="169" t="n">
        <v>-0.15</v>
      </c>
      <c r="AM88" s="169" t="n">
        <v>0.65</v>
      </c>
      <c r="AN88" s="169" t="n">
        <v>0.2</v>
      </c>
      <c r="AO88" s="65"/>
      <c r="AP88" s="134" t="n">
        <v>24</v>
      </c>
      <c r="AQ88" s="170" t="n">
        <v>0.4</v>
      </c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135" t="n">
        <v>38869</v>
      </c>
      <c r="BI88" s="172" t="n">
        <v>0.9</v>
      </c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110"/>
      <c r="CI88" s="19"/>
      <c r="CJ88" s="19"/>
      <c r="CK88" s="19"/>
      <c r="CM88" s="200"/>
      <c r="CN88" s="200"/>
      <c r="CO88" s="173"/>
      <c r="CP88" s="0"/>
      <c r="CQ88" s="0"/>
      <c r="CR88" s="0"/>
      <c r="CS88" s="0"/>
      <c r="CT88" s="0"/>
      <c r="CY88" s="174" t="n">
        <f aca="false">M88</f>
        <v>38869</v>
      </c>
      <c r="CZ88" s="175" t="n">
        <f aca="false">AI88+AH88</f>
        <v>1.65</v>
      </c>
      <c r="DA88" s="175" t="n">
        <f aca="false">AI88</f>
        <v>2</v>
      </c>
      <c r="DB88" s="175" t="n">
        <f aca="false">AI88+AJ88</f>
        <v>2.3</v>
      </c>
      <c r="DD88" s="175" t="n">
        <f aca="false">Z88</f>
        <v>0.1580060674375</v>
      </c>
      <c r="DE88" s="175" t="n">
        <f aca="false">AA88</f>
        <v>0.316012134875</v>
      </c>
      <c r="DF88" s="175" t="n">
        <f aca="false">AB88</f>
        <v>0.4740182023125</v>
      </c>
      <c r="DH88" s="174" t="n">
        <f aca="false">BH88</f>
        <v>38869</v>
      </c>
      <c r="DI88" s="128" t="n">
        <f aca="false">BI88</f>
        <v>0.9</v>
      </c>
    </row>
    <row r="89" customFormat="false" ht="12.75" hidden="false" customHeight="false" outlineLevel="0" collapsed="false">
      <c r="A89" s="138" t="n">
        <f aca="false">EOMONTH(A88,0)+1</f>
        <v>48245</v>
      </c>
      <c r="B89" s="128" t="n">
        <f aca="false">'Gas Curves'!C93</f>
        <v>0.057889293918484</v>
      </c>
      <c r="C89" s="128"/>
      <c r="D89" s="167" t="n">
        <v>38018</v>
      </c>
      <c r="E89" s="168" t="n">
        <v>60.35</v>
      </c>
      <c r="F89" s="168" t="n">
        <v>62</v>
      </c>
      <c r="G89" s="168" t="n">
        <v>63.38</v>
      </c>
      <c r="H89" s="152"/>
      <c r="I89" s="168" t="n">
        <v>22.175</v>
      </c>
      <c r="J89" s="168" t="n">
        <v>23</v>
      </c>
      <c r="K89" s="168" t="n">
        <v>23.69</v>
      </c>
      <c r="L89" s="134"/>
      <c r="M89" s="135" t="n">
        <v>38899</v>
      </c>
      <c r="N89" s="169" t="n">
        <v>34.4750015258789</v>
      </c>
      <c r="O89" s="169" t="n">
        <v>41.9000015258789</v>
      </c>
      <c r="P89" s="169" t="n">
        <v>49.6475015258789</v>
      </c>
      <c r="Q89" s="65"/>
      <c r="R89" s="169" t="n">
        <v>30.9000015258789</v>
      </c>
      <c r="S89" s="169" t="n">
        <v>35.9000015258789</v>
      </c>
      <c r="T89" s="169" t="n">
        <v>39.7737515258789</v>
      </c>
      <c r="U89" s="65"/>
      <c r="V89" s="169" t="n">
        <v>0</v>
      </c>
      <c r="W89" s="169" t="n">
        <v>0</v>
      </c>
      <c r="X89" s="169" t="n">
        <v>0</v>
      </c>
      <c r="Y89" s="65"/>
      <c r="Z89" s="169" t="n">
        <v>0.188193705328125</v>
      </c>
      <c r="AA89" s="169" t="n">
        <v>0.37638741065625</v>
      </c>
      <c r="AB89" s="169" t="n">
        <v>0.564581115984375</v>
      </c>
      <c r="AC89" s="65"/>
      <c r="AD89" s="169" t="n">
        <v>0.05315054285184</v>
      </c>
      <c r="AE89" s="169" t="n">
        <v>0.10630108570368</v>
      </c>
      <c r="AF89" s="169" t="n">
        <v>0.15945162855552</v>
      </c>
      <c r="AG89" s="65"/>
      <c r="AH89" s="169" t="n">
        <v>-0.35</v>
      </c>
      <c r="AI89" s="169" t="n">
        <v>3</v>
      </c>
      <c r="AJ89" s="169" t="n">
        <v>0.5</v>
      </c>
      <c r="AK89" s="65"/>
      <c r="AL89" s="169" t="n">
        <v>-0.15</v>
      </c>
      <c r="AM89" s="169" t="n">
        <v>0.75</v>
      </c>
      <c r="AN89" s="169" t="n">
        <v>0.2</v>
      </c>
      <c r="AO89" s="65"/>
      <c r="AP89" s="134" t="n">
        <v>24</v>
      </c>
      <c r="AQ89" s="170" t="n">
        <v>0.4</v>
      </c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135" t="n">
        <v>38899</v>
      </c>
      <c r="BI89" s="172" t="n">
        <v>0.9</v>
      </c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110"/>
      <c r="CI89" s="19"/>
      <c r="CJ89" s="19"/>
      <c r="CK89" s="19"/>
      <c r="CM89" s="200"/>
      <c r="CN89" s="200"/>
      <c r="CO89" s="173"/>
      <c r="CP89" s="0"/>
      <c r="CQ89" s="0"/>
      <c r="CR89" s="0"/>
      <c r="CS89" s="0"/>
      <c r="CT89" s="0"/>
      <c r="CY89" s="174" t="n">
        <f aca="false">M89</f>
        <v>38899</v>
      </c>
      <c r="CZ89" s="175" t="n">
        <f aca="false">AI89+AH89</f>
        <v>2.65</v>
      </c>
      <c r="DA89" s="175" t="n">
        <f aca="false">AI89</f>
        <v>3</v>
      </c>
      <c r="DB89" s="175" t="n">
        <f aca="false">AI89+AJ89</f>
        <v>3.5</v>
      </c>
      <c r="DD89" s="175" t="n">
        <f aca="false">Z89</f>
        <v>0.188193705328125</v>
      </c>
      <c r="DE89" s="175" t="n">
        <f aca="false">AA89</f>
        <v>0.37638741065625</v>
      </c>
      <c r="DF89" s="175" t="n">
        <f aca="false">AB89</f>
        <v>0.564581115984375</v>
      </c>
      <c r="DH89" s="174" t="n">
        <f aca="false">BH89</f>
        <v>38899</v>
      </c>
      <c r="DI89" s="128" t="n">
        <f aca="false">BI89</f>
        <v>0.9</v>
      </c>
    </row>
    <row r="90" customFormat="false" ht="12.75" hidden="false" customHeight="false" outlineLevel="0" collapsed="false">
      <c r="A90" s="138" t="n">
        <f aca="false">EOMONTH(A89,0)+1</f>
        <v>48274</v>
      </c>
      <c r="B90" s="128" t="n">
        <f aca="false">'Gas Curves'!C94</f>
        <v>0.057944530022888</v>
      </c>
      <c r="C90" s="128"/>
      <c r="D90" s="167" t="n">
        <v>38047</v>
      </c>
      <c r="E90" s="168" t="n">
        <v>43.35</v>
      </c>
      <c r="F90" s="168" t="n">
        <v>45</v>
      </c>
      <c r="G90" s="168" t="n">
        <v>46.38</v>
      </c>
      <c r="H90" s="152"/>
      <c r="I90" s="168" t="n">
        <v>22.5749996185303</v>
      </c>
      <c r="J90" s="168" t="n">
        <v>23.3999996185303</v>
      </c>
      <c r="K90" s="168" t="n">
        <v>24.0899996185303</v>
      </c>
      <c r="L90" s="134"/>
      <c r="M90" s="135" t="n">
        <v>38930</v>
      </c>
      <c r="N90" s="169" t="n">
        <v>46.2250015258789</v>
      </c>
      <c r="O90" s="169" t="n">
        <v>53.6500015258789</v>
      </c>
      <c r="P90" s="169" t="n">
        <v>61.3975015258789</v>
      </c>
      <c r="Q90" s="65"/>
      <c r="R90" s="169" t="n">
        <v>42.7000007629395</v>
      </c>
      <c r="S90" s="169" t="n">
        <v>47.7000007629395</v>
      </c>
      <c r="T90" s="169" t="n">
        <v>51.5737507629395</v>
      </c>
      <c r="U90" s="65"/>
      <c r="V90" s="169" t="n">
        <v>0</v>
      </c>
      <c r="W90" s="169" t="n">
        <v>0</v>
      </c>
      <c r="X90" s="169" t="n">
        <v>0</v>
      </c>
      <c r="Y90" s="65"/>
      <c r="Z90" s="169" t="n">
        <v>0.1840702674375</v>
      </c>
      <c r="AA90" s="169" t="n">
        <v>0.368140534875</v>
      </c>
      <c r="AB90" s="169" t="n">
        <v>0.5522108023125</v>
      </c>
      <c r="AC90" s="65"/>
      <c r="AD90" s="169" t="n">
        <v>0.05315054285184</v>
      </c>
      <c r="AE90" s="169" t="n">
        <v>0.10630108570368</v>
      </c>
      <c r="AF90" s="169" t="n">
        <v>0.15945162855552</v>
      </c>
      <c r="AG90" s="65"/>
      <c r="AH90" s="169" t="n">
        <v>-0.35</v>
      </c>
      <c r="AI90" s="169" t="n">
        <v>3</v>
      </c>
      <c r="AJ90" s="169" t="n">
        <v>0.5</v>
      </c>
      <c r="AK90" s="65"/>
      <c r="AL90" s="169" t="n">
        <v>-0.15</v>
      </c>
      <c r="AM90" s="169" t="n">
        <v>0.75</v>
      </c>
      <c r="AN90" s="169" t="n">
        <v>0.2</v>
      </c>
      <c r="AO90" s="65"/>
      <c r="AP90" s="134" t="n">
        <v>25</v>
      </c>
      <c r="AQ90" s="170" t="n">
        <v>0.4</v>
      </c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135" t="n">
        <v>38930</v>
      </c>
      <c r="BI90" s="172" t="n">
        <v>0.9</v>
      </c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110"/>
      <c r="CI90" s="19"/>
      <c r="CJ90" s="19"/>
      <c r="CK90" s="19"/>
      <c r="CM90" s="200"/>
      <c r="CN90" s="200"/>
      <c r="CO90" s="173"/>
      <c r="CP90" s="0"/>
      <c r="CQ90" s="0"/>
      <c r="CR90" s="0"/>
      <c r="CS90" s="0"/>
      <c r="CT90" s="0"/>
      <c r="CY90" s="174" t="n">
        <f aca="false">M90</f>
        <v>38930</v>
      </c>
      <c r="CZ90" s="175" t="n">
        <f aca="false">AI90+AH90</f>
        <v>2.65</v>
      </c>
      <c r="DA90" s="175" t="n">
        <f aca="false">AI90</f>
        <v>3</v>
      </c>
      <c r="DB90" s="175" t="n">
        <f aca="false">AI90+AJ90</f>
        <v>3.5</v>
      </c>
      <c r="DD90" s="175" t="n">
        <f aca="false">Z90</f>
        <v>0.1840702674375</v>
      </c>
      <c r="DE90" s="175" t="n">
        <f aca="false">AA90</f>
        <v>0.368140534875</v>
      </c>
      <c r="DF90" s="175" t="n">
        <f aca="false">AB90</f>
        <v>0.5522108023125</v>
      </c>
      <c r="DH90" s="174" t="n">
        <f aca="false">BH90</f>
        <v>38930</v>
      </c>
      <c r="DI90" s="128" t="n">
        <f aca="false">BI90</f>
        <v>0.9</v>
      </c>
    </row>
    <row r="91" customFormat="false" ht="12.75" hidden="false" customHeight="false" outlineLevel="0" collapsed="false">
      <c r="A91" s="138" t="n">
        <f aca="false">EOMONTH(A90,0)+1</f>
        <v>48305</v>
      </c>
      <c r="B91" s="128" t="n">
        <f aca="false">'Gas Curves'!C95</f>
        <v>0.058001607331838</v>
      </c>
      <c r="C91" s="128"/>
      <c r="D91" s="167" t="n">
        <v>38078</v>
      </c>
      <c r="E91" s="168" t="n">
        <v>39.4</v>
      </c>
      <c r="F91" s="168" t="n">
        <v>41.5</v>
      </c>
      <c r="G91" s="168" t="n">
        <v>42.88</v>
      </c>
      <c r="H91" s="152"/>
      <c r="I91" s="168" t="n">
        <v>20.0999996185303</v>
      </c>
      <c r="J91" s="168" t="n">
        <v>21.1499996185303</v>
      </c>
      <c r="K91" s="168" t="n">
        <v>21.8399996185303</v>
      </c>
      <c r="L91" s="134"/>
      <c r="M91" s="135" t="n">
        <v>38961</v>
      </c>
      <c r="N91" s="169" t="n">
        <v>27.9875011444092</v>
      </c>
      <c r="O91" s="169" t="n">
        <v>31.0250011444092</v>
      </c>
      <c r="P91" s="169" t="n">
        <v>33.4100011444092</v>
      </c>
      <c r="Q91" s="65"/>
      <c r="R91" s="169" t="n">
        <v>23.3000015258789</v>
      </c>
      <c r="S91" s="169" t="n">
        <v>28.3000015258789</v>
      </c>
      <c r="T91" s="169" t="n">
        <v>29.4925015258789</v>
      </c>
      <c r="U91" s="65"/>
      <c r="V91" s="169" t="n">
        <v>0</v>
      </c>
      <c r="W91" s="169" t="n">
        <v>0</v>
      </c>
      <c r="X91" s="169" t="n">
        <v>0</v>
      </c>
      <c r="Y91" s="65"/>
      <c r="Z91" s="169" t="n">
        <v>0.13946383265625</v>
      </c>
      <c r="AA91" s="169" t="n">
        <v>0.2789276653125</v>
      </c>
      <c r="AB91" s="169" t="n">
        <v>0.41839149796875</v>
      </c>
      <c r="AC91" s="65"/>
      <c r="AD91" s="169" t="n">
        <v>0.03543369523456</v>
      </c>
      <c r="AE91" s="169" t="n">
        <v>0.07086739046912</v>
      </c>
      <c r="AF91" s="169" t="n">
        <v>0.10630108570368</v>
      </c>
      <c r="AG91" s="65"/>
      <c r="AH91" s="169" t="n">
        <v>-0.35</v>
      </c>
      <c r="AI91" s="169" t="n">
        <v>1.5</v>
      </c>
      <c r="AJ91" s="169" t="n">
        <v>0.3</v>
      </c>
      <c r="AK91" s="65"/>
      <c r="AL91" s="169" t="n">
        <v>-0.15</v>
      </c>
      <c r="AM91" s="169" t="n">
        <v>0.4</v>
      </c>
      <c r="AN91" s="169" t="n">
        <v>0.2</v>
      </c>
      <c r="AO91" s="65"/>
      <c r="AP91" s="134" t="n">
        <v>25</v>
      </c>
      <c r="AQ91" s="170" t="n">
        <v>0.4</v>
      </c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135" t="n">
        <v>38961</v>
      </c>
      <c r="BI91" s="172" t="n">
        <v>0.9</v>
      </c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110"/>
      <c r="CI91" s="19"/>
      <c r="CJ91" s="19"/>
      <c r="CK91" s="19"/>
      <c r="CM91" s="200"/>
      <c r="CN91" s="200"/>
      <c r="CO91" s="173"/>
      <c r="CP91" s="0"/>
      <c r="CQ91" s="0"/>
      <c r="CR91" s="0"/>
      <c r="CS91" s="0"/>
      <c r="CT91" s="0"/>
      <c r="CY91" s="174" t="n">
        <f aca="false">M91</f>
        <v>38961</v>
      </c>
      <c r="CZ91" s="175" t="n">
        <f aca="false">AI91+AH91</f>
        <v>1.15</v>
      </c>
      <c r="DA91" s="175" t="n">
        <f aca="false">AI91</f>
        <v>1.5</v>
      </c>
      <c r="DB91" s="175" t="n">
        <f aca="false">AI91+AJ91</f>
        <v>1.8</v>
      </c>
      <c r="DD91" s="175" t="n">
        <f aca="false">Z91</f>
        <v>0.13946383265625</v>
      </c>
      <c r="DE91" s="175" t="n">
        <f aca="false">AA91</f>
        <v>0.2789276653125</v>
      </c>
      <c r="DF91" s="175" t="n">
        <f aca="false">AB91</f>
        <v>0.41839149796875</v>
      </c>
      <c r="DH91" s="174" t="n">
        <f aca="false">BH91</f>
        <v>38961</v>
      </c>
      <c r="DI91" s="128" t="n">
        <f aca="false">BI91</f>
        <v>0.9</v>
      </c>
    </row>
    <row r="92" customFormat="false" ht="12.75" hidden="false" customHeight="false" outlineLevel="0" collapsed="false">
      <c r="A92" s="138" t="n">
        <f aca="false">EOMONTH(A91,0)+1</f>
        <v>48335</v>
      </c>
      <c r="B92" s="128" t="n">
        <f aca="false">'Gas Curves'!C96</f>
        <v>0.058058684641872</v>
      </c>
      <c r="C92" s="128"/>
      <c r="D92" s="167" t="n">
        <v>38108</v>
      </c>
      <c r="E92" s="168" t="n">
        <v>43.9</v>
      </c>
      <c r="F92" s="168" t="n">
        <v>46</v>
      </c>
      <c r="G92" s="168" t="n">
        <v>48.62</v>
      </c>
      <c r="H92" s="152"/>
      <c r="I92" s="168" t="n">
        <v>21.0999996185303</v>
      </c>
      <c r="J92" s="168" t="n">
        <v>22.1499996185303</v>
      </c>
      <c r="K92" s="168" t="n">
        <v>23.4599996185303</v>
      </c>
      <c r="L92" s="134"/>
      <c r="M92" s="135" t="n">
        <v>38991</v>
      </c>
      <c r="N92" s="169" t="n">
        <v>25.4500011444092</v>
      </c>
      <c r="O92" s="169" t="n">
        <v>27.0250011444092</v>
      </c>
      <c r="P92" s="169" t="n">
        <v>28.5325011444092</v>
      </c>
      <c r="Q92" s="65"/>
      <c r="R92" s="169" t="n">
        <v>18.8000015258789</v>
      </c>
      <c r="S92" s="169" t="n">
        <v>23.8000015258789</v>
      </c>
      <c r="T92" s="169" t="n">
        <v>24.5537515258789</v>
      </c>
      <c r="U92" s="65"/>
      <c r="V92" s="169" t="n">
        <v>0</v>
      </c>
      <c r="W92" s="169" t="n">
        <v>0</v>
      </c>
      <c r="X92" s="169" t="n">
        <v>0</v>
      </c>
      <c r="Y92" s="65"/>
      <c r="Z92" s="169" t="n">
        <v>0.120623284960938</v>
      </c>
      <c r="AA92" s="169" t="n">
        <v>0.241246569921875</v>
      </c>
      <c r="AB92" s="169" t="n">
        <v>0.361869854882813</v>
      </c>
      <c r="AC92" s="65"/>
      <c r="AD92" s="169" t="n">
        <v>0.02657527142592</v>
      </c>
      <c r="AE92" s="169" t="n">
        <v>0.05315054285184</v>
      </c>
      <c r="AF92" s="169" t="n">
        <v>0.07972581427776</v>
      </c>
      <c r="AG92" s="65"/>
      <c r="AH92" s="169" t="n">
        <v>-0.25</v>
      </c>
      <c r="AI92" s="169" t="n">
        <v>1.1</v>
      </c>
      <c r="AJ92" s="169" t="n">
        <v>0.3</v>
      </c>
      <c r="AK92" s="65"/>
      <c r="AL92" s="169" t="n">
        <v>-0.15</v>
      </c>
      <c r="AM92" s="169" t="n">
        <v>0.35</v>
      </c>
      <c r="AN92" s="169" t="n">
        <v>0.2</v>
      </c>
      <c r="AO92" s="65"/>
      <c r="AP92" s="134" t="n">
        <v>25</v>
      </c>
      <c r="AQ92" s="170" t="n">
        <v>0.4</v>
      </c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135" t="n">
        <v>38991</v>
      </c>
      <c r="BI92" s="172" t="n">
        <v>0.9</v>
      </c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0"/>
      <c r="CM92" s="206"/>
      <c r="CN92" s="206"/>
      <c r="CO92" s="173"/>
      <c r="CP92" s="0"/>
      <c r="CQ92" s="0"/>
      <c r="CR92" s="0"/>
      <c r="CS92" s="0"/>
      <c r="CT92" s="0"/>
      <c r="CY92" s="174" t="n">
        <f aca="false">M92</f>
        <v>38991</v>
      </c>
      <c r="CZ92" s="175" t="n">
        <f aca="false">AI92+AH92</f>
        <v>0.85</v>
      </c>
      <c r="DA92" s="175" t="n">
        <f aca="false">AI92</f>
        <v>1.1</v>
      </c>
      <c r="DB92" s="175" t="n">
        <f aca="false">AI92+AJ92</f>
        <v>1.4</v>
      </c>
      <c r="DD92" s="175" t="n">
        <f aca="false">Z92</f>
        <v>0.120623284960938</v>
      </c>
      <c r="DE92" s="175" t="n">
        <f aca="false">AA92</f>
        <v>0.241246569921875</v>
      </c>
      <c r="DF92" s="175" t="n">
        <f aca="false">AB92</f>
        <v>0.361869854882813</v>
      </c>
      <c r="DH92" s="174" t="n">
        <f aca="false">BH92</f>
        <v>38991</v>
      </c>
      <c r="DI92" s="128" t="n">
        <f aca="false">BI92</f>
        <v>0.9</v>
      </c>
    </row>
    <row r="93" customFormat="false" ht="12.75" hidden="false" customHeight="false" outlineLevel="0" collapsed="false">
      <c r="A93" s="138" t="n">
        <f aca="false">EOMONTH(A92,0)+1</f>
        <v>48366</v>
      </c>
      <c r="B93" s="128" t="n">
        <f aca="false">'Gas Curves'!C97</f>
        <v>0.058113920749388</v>
      </c>
      <c r="C93" s="128"/>
      <c r="D93" s="167" t="n">
        <v>38139</v>
      </c>
      <c r="E93" s="168" t="n">
        <v>51.95</v>
      </c>
      <c r="F93" s="168" t="n">
        <v>56</v>
      </c>
      <c r="G93" s="168" t="n">
        <v>60</v>
      </c>
      <c r="H93" s="152"/>
      <c r="I93" s="168" t="n">
        <v>20.4999996185303</v>
      </c>
      <c r="J93" s="168" t="n">
        <v>22.5249996185303</v>
      </c>
      <c r="K93" s="168" t="n">
        <v>24.5249996185303</v>
      </c>
      <c r="L93" s="134"/>
      <c r="M93" s="135" t="n">
        <v>39022</v>
      </c>
      <c r="N93" s="169" t="n">
        <v>27.8000015258789</v>
      </c>
      <c r="O93" s="169" t="n">
        <v>29.3750015258789</v>
      </c>
      <c r="P93" s="169" t="n">
        <v>30.8825015258789</v>
      </c>
      <c r="Q93" s="65"/>
      <c r="R93" s="169" t="n">
        <v>21.0000003814697</v>
      </c>
      <c r="S93" s="169" t="n">
        <v>26.0000003814697</v>
      </c>
      <c r="T93" s="169" t="n">
        <v>26.7537503814697</v>
      </c>
      <c r="U93" s="65"/>
      <c r="V93" s="169" t="n">
        <v>0</v>
      </c>
      <c r="W93" s="169" t="n">
        <v>0</v>
      </c>
      <c r="X93" s="169" t="n">
        <v>0</v>
      </c>
      <c r="Y93" s="65"/>
      <c r="Z93" s="169" t="n">
        <v>0.120623284960938</v>
      </c>
      <c r="AA93" s="169" t="n">
        <v>0.241246569921875</v>
      </c>
      <c r="AB93" s="169" t="n">
        <v>0.361869854882813</v>
      </c>
      <c r="AC93" s="65"/>
      <c r="AD93" s="169" t="n">
        <v>0.02657527142592</v>
      </c>
      <c r="AE93" s="169" t="n">
        <v>0.05315054285184</v>
      </c>
      <c r="AF93" s="169" t="n">
        <v>0.07972581427776</v>
      </c>
      <c r="AG93" s="65"/>
      <c r="AH93" s="169" t="n">
        <v>-0.25</v>
      </c>
      <c r="AI93" s="169" t="n">
        <v>1.25</v>
      </c>
      <c r="AJ93" s="169" t="n">
        <v>0.3</v>
      </c>
      <c r="AK93" s="65"/>
      <c r="AL93" s="169" t="n">
        <v>-0.15</v>
      </c>
      <c r="AM93" s="169" t="n">
        <v>0.3</v>
      </c>
      <c r="AN93" s="169" t="n">
        <v>0.2</v>
      </c>
      <c r="AO93" s="65"/>
      <c r="AP93" s="134" t="n">
        <v>26</v>
      </c>
      <c r="AQ93" s="170" t="n">
        <v>0.4</v>
      </c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135" t="n">
        <v>39022</v>
      </c>
      <c r="BI93" s="172" t="n">
        <v>0.9</v>
      </c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0"/>
      <c r="CM93" s="206"/>
      <c r="CN93" s="206"/>
      <c r="CO93" s="173"/>
      <c r="CP93" s="0"/>
      <c r="CQ93" s="0"/>
      <c r="CR93" s="0"/>
      <c r="CS93" s="0"/>
      <c r="CT93" s="0"/>
      <c r="CY93" s="174" t="n">
        <f aca="false">M93</f>
        <v>39022</v>
      </c>
      <c r="CZ93" s="175" t="n">
        <f aca="false">AI93+AH93</f>
        <v>1</v>
      </c>
      <c r="DA93" s="175" t="n">
        <f aca="false">AI93</f>
        <v>1.25</v>
      </c>
      <c r="DB93" s="175" t="n">
        <f aca="false">AI93+AJ93</f>
        <v>1.55</v>
      </c>
      <c r="DD93" s="175" t="n">
        <f aca="false">Z93</f>
        <v>0.120623284960938</v>
      </c>
      <c r="DE93" s="175" t="n">
        <f aca="false">AA93</f>
        <v>0.241246569921875</v>
      </c>
      <c r="DF93" s="175" t="n">
        <f aca="false">AB93</f>
        <v>0.361869854882813</v>
      </c>
      <c r="DH93" s="174" t="n">
        <f aca="false">BH93</f>
        <v>39022</v>
      </c>
      <c r="DI93" s="128" t="n">
        <f aca="false">BI93</f>
        <v>0.9</v>
      </c>
    </row>
    <row r="94" customFormat="false" ht="12.75" hidden="false" customHeight="false" outlineLevel="0" collapsed="false">
      <c r="A94" s="138" t="n">
        <f aca="false">EOMONTH(A93,0)+1</f>
        <v>48396</v>
      </c>
      <c r="B94" s="128" t="n">
        <f aca="false">'Gas Curves'!C98</f>
        <v>0.058170998061553</v>
      </c>
      <c r="C94" s="128"/>
      <c r="D94" s="167" t="n">
        <v>38169</v>
      </c>
      <c r="E94" s="168" t="n">
        <v>65.35</v>
      </c>
      <c r="F94" s="168" t="n">
        <v>75.25</v>
      </c>
      <c r="G94" s="168" t="n">
        <v>83.78</v>
      </c>
      <c r="H94" s="152"/>
      <c r="I94" s="168" t="n">
        <v>21.3</v>
      </c>
      <c r="J94" s="168" t="n">
        <v>26.25</v>
      </c>
      <c r="K94" s="168" t="n">
        <v>30.515</v>
      </c>
      <c r="L94" s="134"/>
      <c r="M94" s="135" t="n">
        <v>39052</v>
      </c>
      <c r="N94" s="169" t="n">
        <v>28.4</v>
      </c>
      <c r="O94" s="169" t="n">
        <v>29.975</v>
      </c>
      <c r="P94" s="169" t="n">
        <v>31.4825</v>
      </c>
      <c r="Q94" s="65"/>
      <c r="R94" s="169" t="n">
        <v>21.5000003814697</v>
      </c>
      <c r="S94" s="169" t="n">
        <v>26.5000003814697</v>
      </c>
      <c r="T94" s="169" t="n">
        <v>27.2537503814697</v>
      </c>
      <c r="U94" s="65"/>
      <c r="V94" s="169" t="n">
        <v>0</v>
      </c>
      <c r="W94" s="169" t="n">
        <v>0</v>
      </c>
      <c r="X94" s="169" t="n">
        <v>0</v>
      </c>
      <c r="Y94" s="65"/>
      <c r="Z94" s="169" t="n">
        <v>0.118215400859375</v>
      </c>
      <c r="AA94" s="169" t="n">
        <v>0.23643080171875</v>
      </c>
      <c r="AB94" s="169" t="n">
        <v>0.354646202578125</v>
      </c>
      <c r="AC94" s="65"/>
      <c r="AD94" s="169" t="n">
        <v>0.02657527142592</v>
      </c>
      <c r="AE94" s="169" t="n">
        <v>0.05315054285184</v>
      </c>
      <c r="AF94" s="169" t="n">
        <v>0.07972581427776</v>
      </c>
      <c r="AG94" s="65"/>
      <c r="AH94" s="169" t="n">
        <v>-0.25</v>
      </c>
      <c r="AI94" s="169" t="n">
        <v>1.25</v>
      </c>
      <c r="AJ94" s="169" t="n">
        <v>0.35</v>
      </c>
      <c r="AK94" s="65"/>
      <c r="AL94" s="169" t="n">
        <v>-0.15</v>
      </c>
      <c r="AM94" s="169" t="n">
        <v>0.3</v>
      </c>
      <c r="AN94" s="169" t="n">
        <v>0.2</v>
      </c>
      <c r="AO94" s="65"/>
      <c r="AP94" s="134" t="n">
        <v>26</v>
      </c>
      <c r="AQ94" s="170" t="n">
        <v>0.4</v>
      </c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135" t="n">
        <v>39052</v>
      </c>
      <c r="BI94" s="172" t="n">
        <v>0.9</v>
      </c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0"/>
      <c r="CM94" s="206"/>
      <c r="CN94" s="206"/>
      <c r="CO94" s="173"/>
      <c r="CP94" s="0"/>
      <c r="CQ94" s="0"/>
      <c r="CR94" s="0"/>
      <c r="CS94" s="0"/>
      <c r="CT94" s="0"/>
      <c r="CY94" s="174" t="n">
        <f aca="false">M94</f>
        <v>39052</v>
      </c>
      <c r="CZ94" s="175" t="n">
        <f aca="false">AI94+AH94</f>
        <v>1</v>
      </c>
      <c r="DA94" s="175" t="n">
        <f aca="false">AI94</f>
        <v>1.25</v>
      </c>
      <c r="DB94" s="175" t="n">
        <f aca="false">AI94+AJ94</f>
        <v>1.6</v>
      </c>
      <c r="DD94" s="175" t="n">
        <f aca="false">Z94</f>
        <v>0.118215400859375</v>
      </c>
      <c r="DE94" s="175" t="n">
        <f aca="false">AA94</f>
        <v>0.23643080171875</v>
      </c>
      <c r="DF94" s="175" t="n">
        <f aca="false">AB94</f>
        <v>0.354646202578125</v>
      </c>
      <c r="DH94" s="174" t="n">
        <f aca="false">BH94</f>
        <v>39052</v>
      </c>
      <c r="DI94" s="128" t="n">
        <f aca="false">BI94</f>
        <v>0.9</v>
      </c>
    </row>
    <row r="95" customFormat="false" ht="12.75" hidden="false" customHeight="false" outlineLevel="0" collapsed="false">
      <c r="A95" s="138" t="n">
        <f aca="false">EOMONTH(A94,0)+1</f>
        <v>48427</v>
      </c>
      <c r="B95" s="128" t="n">
        <f aca="false">'Gas Curves'!C99</f>
        <v>0.058226234171132</v>
      </c>
      <c r="C95" s="128"/>
      <c r="D95" s="167" t="n">
        <v>38200</v>
      </c>
      <c r="E95" s="168" t="n">
        <v>65.35</v>
      </c>
      <c r="F95" s="168" t="n">
        <v>75.25</v>
      </c>
      <c r="G95" s="168" t="n">
        <v>83.78</v>
      </c>
      <c r="H95" s="152"/>
      <c r="I95" s="168" t="n">
        <v>33.4500015258789</v>
      </c>
      <c r="J95" s="168" t="n">
        <v>38.4000015258789</v>
      </c>
      <c r="K95" s="168" t="n">
        <v>42.6650015258789</v>
      </c>
      <c r="L95" s="134"/>
      <c r="M95" s="135" t="n">
        <v>39083</v>
      </c>
      <c r="N95" s="169" t="n">
        <v>31.2294960021973</v>
      </c>
      <c r="O95" s="169" t="n">
        <v>32.8044960021973</v>
      </c>
      <c r="P95" s="169" t="n">
        <v>34.0644960021973</v>
      </c>
      <c r="Q95" s="65"/>
      <c r="R95" s="169" t="n">
        <v>23.9039974212647</v>
      </c>
      <c r="S95" s="169" t="n">
        <v>28.9039974212647</v>
      </c>
      <c r="T95" s="169" t="n">
        <v>30.1639974212647</v>
      </c>
      <c r="U95" s="65"/>
      <c r="V95" s="169" t="n">
        <v>0</v>
      </c>
      <c r="W95" s="169" t="n">
        <v>0</v>
      </c>
      <c r="X95" s="169" t="n">
        <v>0</v>
      </c>
      <c r="Y95" s="65"/>
      <c r="Z95" s="169" t="n">
        <v>0.174448912359375</v>
      </c>
      <c r="AA95" s="169" t="n">
        <v>0.34889782471875</v>
      </c>
      <c r="AB95" s="169" t="n">
        <v>0.523346737078125</v>
      </c>
      <c r="AC95" s="65"/>
      <c r="AD95" s="169" t="n">
        <v>0.0303843936636352</v>
      </c>
      <c r="AE95" s="169" t="n">
        <v>0.0607687873272704</v>
      </c>
      <c r="AF95" s="169" t="n">
        <v>0.0911531809909056</v>
      </c>
      <c r="AG95" s="65"/>
      <c r="AH95" s="169" t="n">
        <v>-0.75</v>
      </c>
      <c r="AI95" s="169" t="n">
        <v>2</v>
      </c>
      <c r="AJ95" s="169" t="n">
        <v>0.75</v>
      </c>
      <c r="AK95" s="65"/>
      <c r="AL95" s="169" t="n">
        <v>-0.15</v>
      </c>
      <c r="AM95" s="169" t="n">
        <v>0.5</v>
      </c>
      <c r="AN95" s="169" t="n">
        <v>0.2</v>
      </c>
      <c r="AO95" s="65"/>
      <c r="AP95" s="134" t="n">
        <v>26</v>
      </c>
      <c r="AQ95" s="170" t="n">
        <v>0.4</v>
      </c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135" t="n">
        <v>39083</v>
      </c>
      <c r="BI95" s="172" t="n">
        <v>0.9</v>
      </c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0"/>
      <c r="CM95" s="206"/>
      <c r="CN95" s="206"/>
      <c r="CO95" s="173"/>
      <c r="CP95" s="0"/>
      <c r="CQ95" s="0"/>
      <c r="CR95" s="0"/>
      <c r="CS95" s="0"/>
      <c r="CT95" s="0"/>
      <c r="CY95" s="174" t="n">
        <f aca="false">M95</f>
        <v>39083</v>
      </c>
      <c r="CZ95" s="175" t="n">
        <f aca="false">AI95+AH95</f>
        <v>1.25</v>
      </c>
      <c r="DA95" s="175" t="n">
        <f aca="false">AI95</f>
        <v>2</v>
      </c>
      <c r="DB95" s="175" t="n">
        <f aca="false">AI95+AJ95</f>
        <v>2.75</v>
      </c>
      <c r="DD95" s="175" t="n">
        <f aca="false">Z95</f>
        <v>0.174448912359375</v>
      </c>
      <c r="DE95" s="175" t="n">
        <f aca="false">AA95</f>
        <v>0.34889782471875</v>
      </c>
      <c r="DF95" s="175" t="n">
        <f aca="false">AB95</f>
        <v>0.523346737078125</v>
      </c>
      <c r="DH95" s="174" t="n">
        <f aca="false">BH95</f>
        <v>39083</v>
      </c>
      <c r="DI95" s="128" t="n">
        <f aca="false">BI95</f>
        <v>0.9</v>
      </c>
    </row>
    <row r="96" customFormat="false" ht="12.75" hidden="false" customHeight="false" outlineLevel="0" collapsed="false">
      <c r="A96" s="138" t="n">
        <f aca="false">EOMONTH(A95,0)+1</f>
        <v>48458</v>
      </c>
      <c r="B96" s="128" t="n">
        <f aca="false">'Gas Curves'!C100</f>
        <v>0.058283311485429</v>
      </c>
      <c r="C96" s="128"/>
      <c r="D96" s="167" t="n">
        <v>38231</v>
      </c>
      <c r="E96" s="168" t="n">
        <v>39.45</v>
      </c>
      <c r="F96" s="168" t="n">
        <v>43.5</v>
      </c>
      <c r="G96" s="168" t="n">
        <v>46.12</v>
      </c>
      <c r="H96" s="152"/>
      <c r="I96" s="168" t="n">
        <v>24.8749996185303</v>
      </c>
      <c r="J96" s="168" t="n">
        <v>26.8999996185303</v>
      </c>
      <c r="K96" s="168" t="n">
        <v>28.2099996185303</v>
      </c>
      <c r="L96" s="134"/>
      <c r="M96" s="135" t="n">
        <v>39114</v>
      </c>
      <c r="N96" s="169" t="n">
        <v>30.8919967651367</v>
      </c>
      <c r="O96" s="169" t="n">
        <v>32.1294967651367</v>
      </c>
      <c r="P96" s="169" t="n">
        <v>33.3894967651367</v>
      </c>
      <c r="Q96" s="65"/>
      <c r="R96" s="169" t="n">
        <v>23.3039970397949</v>
      </c>
      <c r="S96" s="169" t="n">
        <v>28.3039970397949</v>
      </c>
      <c r="T96" s="169" t="n">
        <v>29.5639970397949</v>
      </c>
      <c r="U96" s="65"/>
      <c r="V96" s="169" t="n">
        <v>0</v>
      </c>
      <c r="W96" s="169" t="n">
        <v>0</v>
      </c>
      <c r="X96" s="169" t="n">
        <v>0</v>
      </c>
      <c r="Y96" s="65"/>
      <c r="Z96" s="169" t="n">
        <v>0.1685294881875</v>
      </c>
      <c r="AA96" s="169" t="n">
        <v>0.337058976375</v>
      </c>
      <c r="AB96" s="169" t="n">
        <v>0.5055884645625</v>
      </c>
      <c r="AC96" s="65"/>
      <c r="AD96" s="169" t="n">
        <v>0.0303843936636352</v>
      </c>
      <c r="AE96" s="169" t="n">
        <v>0.0607687873272704</v>
      </c>
      <c r="AF96" s="169" t="n">
        <v>0.0911531809909056</v>
      </c>
      <c r="AG96" s="65"/>
      <c r="AH96" s="169" t="n">
        <v>-0.75</v>
      </c>
      <c r="AI96" s="169" t="n">
        <v>2</v>
      </c>
      <c r="AJ96" s="169" t="n">
        <v>0.75</v>
      </c>
      <c r="AK96" s="65"/>
      <c r="AL96" s="169" t="n">
        <v>-0.15</v>
      </c>
      <c r="AM96" s="169" t="n">
        <v>0.5</v>
      </c>
      <c r="AN96" s="169" t="n">
        <v>0.2</v>
      </c>
      <c r="AO96" s="65"/>
      <c r="AP96" s="134" t="n">
        <v>27</v>
      </c>
      <c r="AQ96" s="170" t="n">
        <v>0.4</v>
      </c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135" t="n">
        <v>39114</v>
      </c>
      <c r="BI96" s="172" t="n">
        <v>0.9</v>
      </c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  <c r="CE96" s="65"/>
      <c r="CF96" s="65"/>
      <c r="CG96" s="65"/>
      <c r="CH96" s="0"/>
      <c r="CM96" s="206"/>
      <c r="CN96" s="206"/>
      <c r="CO96" s="173"/>
      <c r="CP96" s="0"/>
      <c r="CQ96" s="0"/>
      <c r="CR96" s="0"/>
      <c r="CS96" s="0"/>
      <c r="CT96" s="0"/>
      <c r="CY96" s="174" t="n">
        <f aca="false">M96</f>
        <v>39114</v>
      </c>
      <c r="CZ96" s="175" t="n">
        <f aca="false">AI96+AH96</f>
        <v>1.25</v>
      </c>
      <c r="DA96" s="175" t="n">
        <f aca="false">AI96</f>
        <v>2</v>
      </c>
      <c r="DB96" s="175" t="n">
        <f aca="false">AI96+AJ96</f>
        <v>2.75</v>
      </c>
      <c r="DD96" s="175" t="n">
        <f aca="false">Z96</f>
        <v>0.1685294881875</v>
      </c>
      <c r="DE96" s="175" t="n">
        <f aca="false">AA96</f>
        <v>0.337058976375</v>
      </c>
      <c r="DF96" s="175" t="n">
        <f aca="false">AB96</f>
        <v>0.5055884645625</v>
      </c>
      <c r="DH96" s="174" t="n">
        <f aca="false">BH96</f>
        <v>39114</v>
      </c>
      <c r="DI96" s="128" t="n">
        <f aca="false">BI96</f>
        <v>0.9</v>
      </c>
    </row>
    <row r="97" customFormat="false" ht="12.75" hidden="false" customHeight="false" outlineLevel="0" collapsed="false">
      <c r="A97" s="138" t="n">
        <f aca="false">EOMONTH(A96,0)+1</f>
        <v>48488</v>
      </c>
      <c r="B97" s="128" t="n">
        <f aca="false">'Gas Curves'!C101</f>
        <v>0.058341521263721</v>
      </c>
      <c r="C97" s="128"/>
      <c r="D97" s="167" t="n">
        <v>38261</v>
      </c>
      <c r="E97" s="168" t="n">
        <v>41.4</v>
      </c>
      <c r="F97" s="168" t="n">
        <v>43.5</v>
      </c>
      <c r="G97" s="168" t="n">
        <v>45.15</v>
      </c>
      <c r="H97" s="152"/>
      <c r="I97" s="168" t="n">
        <v>23.8499996185303</v>
      </c>
      <c r="J97" s="168" t="n">
        <v>24.8999996185303</v>
      </c>
      <c r="K97" s="168" t="n">
        <v>25.7249996185303</v>
      </c>
      <c r="L97" s="134"/>
      <c r="M97" s="135" t="n">
        <v>39142</v>
      </c>
      <c r="N97" s="169" t="n">
        <v>25.0374969482422</v>
      </c>
      <c r="O97" s="169" t="n">
        <v>26.2749969482422</v>
      </c>
      <c r="P97" s="169" t="n">
        <v>27.5349969482422</v>
      </c>
      <c r="Q97" s="65"/>
      <c r="R97" s="169" t="n">
        <v>18.0999984741211</v>
      </c>
      <c r="S97" s="169" t="n">
        <v>23.0999984741211</v>
      </c>
      <c r="T97" s="169" t="n">
        <v>24.3599984741211</v>
      </c>
      <c r="U97" s="65"/>
      <c r="V97" s="169" t="n">
        <v>0</v>
      </c>
      <c r="W97" s="169" t="n">
        <v>0</v>
      </c>
      <c r="X97" s="169" t="n">
        <v>0</v>
      </c>
      <c r="Y97" s="65"/>
      <c r="Z97" s="169" t="n">
        <v>0.133602951121094</v>
      </c>
      <c r="AA97" s="169" t="n">
        <v>0.267205902242187</v>
      </c>
      <c r="AB97" s="169" t="n">
        <v>0.400808853363281</v>
      </c>
      <c r="AC97" s="65"/>
      <c r="AD97" s="169" t="n">
        <v>0.02657527142592</v>
      </c>
      <c r="AE97" s="169" t="n">
        <v>0.05315054285184</v>
      </c>
      <c r="AF97" s="169" t="n">
        <v>0.07972581427776</v>
      </c>
      <c r="AG97" s="65"/>
      <c r="AH97" s="169" t="n">
        <v>-0.25</v>
      </c>
      <c r="AI97" s="169" t="n">
        <v>1.3</v>
      </c>
      <c r="AJ97" s="169" t="n">
        <v>0.3</v>
      </c>
      <c r="AK97" s="65"/>
      <c r="AL97" s="169" t="n">
        <v>-0.15</v>
      </c>
      <c r="AM97" s="169" t="n">
        <v>0.35</v>
      </c>
      <c r="AN97" s="169" t="n">
        <v>0.2</v>
      </c>
      <c r="AO97" s="65"/>
      <c r="AP97" s="134" t="n">
        <v>27</v>
      </c>
      <c r="AQ97" s="170" t="n">
        <v>0.4</v>
      </c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135" t="n">
        <v>39142</v>
      </c>
      <c r="BI97" s="172" t="n">
        <v>0.9</v>
      </c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0"/>
      <c r="CM97" s="206"/>
      <c r="CN97" s="206"/>
      <c r="CO97" s="173"/>
      <c r="CP97" s="0"/>
      <c r="CQ97" s="0"/>
      <c r="CR97" s="0"/>
      <c r="CS97" s="0"/>
      <c r="CT97" s="0"/>
      <c r="CY97" s="174" t="n">
        <f aca="false">M97</f>
        <v>39142</v>
      </c>
      <c r="CZ97" s="175" t="n">
        <f aca="false">AI97+AH97</f>
        <v>1.05</v>
      </c>
      <c r="DA97" s="175" t="n">
        <f aca="false">AI97</f>
        <v>1.3</v>
      </c>
      <c r="DB97" s="175" t="n">
        <f aca="false">AI97+AJ97</f>
        <v>1.6</v>
      </c>
      <c r="DD97" s="175" t="n">
        <f aca="false">Z97</f>
        <v>0.133602951121094</v>
      </c>
      <c r="DE97" s="175" t="n">
        <f aca="false">AA97</f>
        <v>0.267205902242187</v>
      </c>
      <c r="DF97" s="175" t="n">
        <f aca="false">AB97</f>
        <v>0.400808853363281</v>
      </c>
      <c r="DH97" s="174" t="n">
        <f aca="false">BH97</f>
        <v>39142</v>
      </c>
      <c r="DI97" s="128" t="n">
        <f aca="false">BI97</f>
        <v>0.9</v>
      </c>
    </row>
    <row r="98" customFormat="false" ht="12.75" hidden="false" customHeight="false" outlineLevel="0" collapsed="false">
      <c r="A98" s="138" t="n">
        <f aca="false">EOMONTH(A97,0)+1</f>
        <v>48519</v>
      </c>
      <c r="B98" s="128" t="n">
        <f aca="false">'Gas Curves'!C102</f>
        <v>0.058396740696269</v>
      </c>
      <c r="C98" s="128"/>
      <c r="D98" s="167" t="n">
        <v>38292</v>
      </c>
      <c r="E98" s="168" t="n">
        <v>43.9</v>
      </c>
      <c r="F98" s="168" t="n">
        <v>46</v>
      </c>
      <c r="G98" s="168" t="n">
        <v>47.65</v>
      </c>
      <c r="H98" s="152"/>
      <c r="I98" s="168" t="n">
        <v>24.5999996185303</v>
      </c>
      <c r="J98" s="168" t="n">
        <v>25.6499996185303</v>
      </c>
      <c r="K98" s="168" t="n">
        <v>26.4749996185303</v>
      </c>
      <c r="L98" s="134"/>
      <c r="M98" s="135" t="n">
        <v>39173</v>
      </c>
      <c r="N98" s="169" t="n">
        <v>24.0249996185303</v>
      </c>
      <c r="O98" s="169" t="n">
        <v>25.5999996185303</v>
      </c>
      <c r="P98" s="169" t="n">
        <v>26.8599996185303</v>
      </c>
      <c r="Q98" s="65"/>
      <c r="R98" s="169" t="n">
        <v>17.5</v>
      </c>
      <c r="S98" s="169" t="n">
        <v>22.5</v>
      </c>
      <c r="T98" s="169" t="n">
        <v>23.76</v>
      </c>
      <c r="U98" s="65"/>
      <c r="V98" s="169" t="n">
        <v>0</v>
      </c>
      <c r="W98" s="169" t="n">
        <v>0</v>
      </c>
      <c r="X98" s="169" t="n">
        <v>0</v>
      </c>
      <c r="Y98" s="65"/>
      <c r="Z98" s="169" t="n">
        <v>0.133419178148438</v>
      </c>
      <c r="AA98" s="169" t="n">
        <v>0.266838356296875</v>
      </c>
      <c r="AB98" s="169" t="n">
        <v>0.400257534445313</v>
      </c>
      <c r="AC98" s="65"/>
      <c r="AD98" s="169" t="n">
        <v>0.02657527142592</v>
      </c>
      <c r="AE98" s="169" t="n">
        <v>0.05315054285184</v>
      </c>
      <c r="AF98" s="169" t="n">
        <v>0.07972581427776</v>
      </c>
      <c r="AG98" s="65"/>
      <c r="AH98" s="169" t="n">
        <v>-0.25</v>
      </c>
      <c r="AI98" s="169" t="n">
        <v>1.1</v>
      </c>
      <c r="AJ98" s="169" t="n">
        <v>0.3</v>
      </c>
      <c r="AK98" s="65"/>
      <c r="AL98" s="169" t="n">
        <v>-0.15</v>
      </c>
      <c r="AM98" s="169" t="n">
        <v>0.35</v>
      </c>
      <c r="AN98" s="169" t="n">
        <v>0.2</v>
      </c>
      <c r="AO98" s="65"/>
      <c r="AP98" s="134" t="n">
        <v>27</v>
      </c>
      <c r="AQ98" s="170" t="n">
        <v>0.4</v>
      </c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135" t="n">
        <v>39173</v>
      </c>
      <c r="BI98" s="172" t="n">
        <v>0.9</v>
      </c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65"/>
      <c r="CA98" s="65"/>
      <c r="CB98" s="65"/>
      <c r="CC98" s="65"/>
      <c r="CD98" s="65"/>
      <c r="CE98" s="65"/>
      <c r="CF98" s="65"/>
      <c r="CG98" s="65"/>
      <c r="CH98" s="0"/>
      <c r="CM98" s="206"/>
      <c r="CN98" s="206"/>
      <c r="CO98" s="173"/>
      <c r="CP98" s="0"/>
      <c r="CQ98" s="0"/>
      <c r="CR98" s="0"/>
      <c r="CS98" s="0"/>
      <c r="CT98" s="0"/>
      <c r="CY98" s="174" t="n">
        <f aca="false">M98</f>
        <v>39173</v>
      </c>
      <c r="CZ98" s="175" t="n">
        <f aca="false">AI98+AH98</f>
        <v>0.85</v>
      </c>
      <c r="DA98" s="175" t="n">
        <f aca="false">AI98</f>
        <v>1.1</v>
      </c>
      <c r="DB98" s="175" t="n">
        <f aca="false">AI98+AJ98</f>
        <v>1.4</v>
      </c>
      <c r="DD98" s="175" t="n">
        <f aca="false">Z98</f>
        <v>0.133419178148438</v>
      </c>
      <c r="DE98" s="175" t="n">
        <f aca="false">AA98</f>
        <v>0.266838356296875</v>
      </c>
      <c r="DF98" s="175" t="n">
        <f aca="false">AB98</f>
        <v>0.400257534445313</v>
      </c>
      <c r="DH98" s="174" t="n">
        <f aca="false">BH98</f>
        <v>39173</v>
      </c>
      <c r="DI98" s="128" t="n">
        <f aca="false">BI98</f>
        <v>0.9</v>
      </c>
    </row>
    <row r="99" customFormat="false" ht="12.75" hidden="false" customHeight="false" outlineLevel="0" collapsed="false">
      <c r="A99" s="138" t="n">
        <f aca="false">EOMONTH(A98,0)+1</f>
        <v>48549</v>
      </c>
      <c r="B99" s="128" t="n">
        <f aca="false">'Gas Curves'!C103</f>
        <v>0.058455768366667</v>
      </c>
      <c r="C99" s="128"/>
      <c r="D99" s="167" t="n">
        <v>38322</v>
      </c>
      <c r="E99" s="168" t="n">
        <v>43.9</v>
      </c>
      <c r="F99" s="168" t="n">
        <v>46</v>
      </c>
      <c r="G99" s="168" t="n">
        <v>47.65</v>
      </c>
      <c r="H99" s="152"/>
      <c r="I99" s="168" t="n">
        <v>24.4999992370605</v>
      </c>
      <c r="J99" s="168" t="n">
        <v>25.5499992370605</v>
      </c>
      <c r="K99" s="168" t="n">
        <v>26.3749992370605</v>
      </c>
      <c r="L99" s="134"/>
      <c r="M99" s="135" t="n">
        <v>39203</v>
      </c>
      <c r="N99" s="169" t="n">
        <v>27.625</v>
      </c>
      <c r="O99" s="169" t="n">
        <v>29.2</v>
      </c>
      <c r="P99" s="169" t="n">
        <v>31.585</v>
      </c>
      <c r="Q99" s="65"/>
      <c r="R99" s="169" t="n">
        <v>20.6999988555908</v>
      </c>
      <c r="S99" s="169" t="n">
        <v>25.6999988555908</v>
      </c>
      <c r="T99" s="169" t="n">
        <v>28.0849988555908</v>
      </c>
      <c r="U99" s="65"/>
      <c r="V99" s="169" t="n">
        <v>0</v>
      </c>
      <c r="W99" s="169" t="n">
        <v>0</v>
      </c>
      <c r="X99" s="169" t="n">
        <v>0</v>
      </c>
      <c r="Y99" s="65"/>
      <c r="Z99" s="169" t="n">
        <v>0.140359993157812</v>
      </c>
      <c r="AA99" s="169" t="n">
        <v>0.280719986315625</v>
      </c>
      <c r="AB99" s="169" t="n">
        <v>0.421079979473437</v>
      </c>
      <c r="AC99" s="65"/>
      <c r="AD99" s="169" t="n">
        <v>0.0303843936636352</v>
      </c>
      <c r="AE99" s="169" t="n">
        <v>0.0607687873272704</v>
      </c>
      <c r="AF99" s="169" t="n">
        <v>0.0911531809909056</v>
      </c>
      <c r="AG99" s="65"/>
      <c r="AH99" s="169" t="n">
        <v>-0.25</v>
      </c>
      <c r="AI99" s="169" t="n">
        <v>1.1</v>
      </c>
      <c r="AJ99" s="169" t="n">
        <v>0.3</v>
      </c>
      <c r="AK99" s="65"/>
      <c r="AL99" s="169" t="n">
        <v>-0.15</v>
      </c>
      <c r="AM99" s="169" t="n">
        <v>0.5</v>
      </c>
      <c r="AN99" s="169" t="n">
        <v>0.2</v>
      </c>
      <c r="AO99" s="65"/>
      <c r="AP99" s="134" t="n">
        <v>28</v>
      </c>
      <c r="AQ99" s="170" t="n">
        <v>0.4</v>
      </c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135" t="n">
        <v>39203</v>
      </c>
      <c r="BI99" s="172" t="n">
        <v>0.9</v>
      </c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0"/>
      <c r="CM99" s="206"/>
      <c r="CN99" s="206"/>
      <c r="CO99" s="173"/>
      <c r="CP99" s="0"/>
      <c r="CQ99" s="0"/>
      <c r="CR99" s="0"/>
      <c r="CS99" s="0"/>
      <c r="CT99" s="0"/>
      <c r="CY99" s="174" t="n">
        <f aca="false">M99</f>
        <v>39203</v>
      </c>
      <c r="CZ99" s="175" t="n">
        <f aca="false">AI99+AH99</f>
        <v>0.85</v>
      </c>
      <c r="DA99" s="175" t="n">
        <f aca="false">AI99</f>
        <v>1.1</v>
      </c>
      <c r="DB99" s="175" t="n">
        <f aca="false">AI99+AJ99</f>
        <v>1.4</v>
      </c>
      <c r="DD99" s="175" t="n">
        <f aca="false">Z99</f>
        <v>0.140359993157812</v>
      </c>
      <c r="DE99" s="175" t="n">
        <f aca="false">AA99</f>
        <v>0.280719986315625</v>
      </c>
      <c r="DF99" s="175" t="n">
        <f aca="false">AB99</f>
        <v>0.421079979473437</v>
      </c>
      <c r="DH99" s="174" t="n">
        <f aca="false">BH99</f>
        <v>39203</v>
      </c>
      <c r="DI99" s="128" t="n">
        <f aca="false">BI99</f>
        <v>0.9</v>
      </c>
    </row>
    <row r="100" customFormat="false" ht="12.75" hidden="false" customHeight="false" outlineLevel="0" collapsed="false">
      <c r="A100" s="138" t="n">
        <f aca="false">EOMONTH(A99,0)+1</f>
        <v>48580</v>
      </c>
      <c r="B100" s="128" t="n">
        <f aca="false">'Gas Curves'!C104</f>
        <v>0.058512891919768</v>
      </c>
      <c r="C100" s="128"/>
      <c r="D100" s="167" t="n">
        <v>38353</v>
      </c>
      <c r="E100" s="168" t="n">
        <v>57.9</v>
      </c>
      <c r="F100" s="168" t="n">
        <v>60</v>
      </c>
      <c r="G100" s="168" t="n">
        <v>61.52</v>
      </c>
      <c r="H100" s="152"/>
      <c r="I100" s="168" t="n">
        <v>25.3000003814697</v>
      </c>
      <c r="J100" s="168" t="n">
        <v>26.3500003814697</v>
      </c>
      <c r="K100" s="168" t="n">
        <v>27.1100003814697</v>
      </c>
      <c r="L100" s="134"/>
      <c r="M100" s="135" t="n">
        <v>39234</v>
      </c>
      <c r="N100" s="169" t="n">
        <v>32.9625030517578</v>
      </c>
      <c r="O100" s="169" t="n">
        <v>36.0000030517578</v>
      </c>
      <c r="P100" s="169" t="n">
        <v>39.6300030517578</v>
      </c>
      <c r="Q100" s="65"/>
      <c r="R100" s="169" t="n">
        <v>26.2000026702881</v>
      </c>
      <c r="S100" s="169" t="n">
        <v>31.2000026702881</v>
      </c>
      <c r="T100" s="169" t="n">
        <v>34.8300026702881</v>
      </c>
      <c r="U100" s="65"/>
      <c r="V100" s="169" t="n">
        <v>0</v>
      </c>
      <c r="W100" s="169" t="n">
        <v>0</v>
      </c>
      <c r="X100" s="169" t="n">
        <v>0</v>
      </c>
      <c r="Y100" s="65"/>
      <c r="Z100" s="169" t="n">
        <v>0.150105764065625</v>
      </c>
      <c r="AA100" s="169" t="n">
        <v>0.30021152813125</v>
      </c>
      <c r="AB100" s="169" t="n">
        <v>0.450317292196875</v>
      </c>
      <c r="AC100" s="65"/>
      <c r="AD100" s="169" t="n">
        <v>0.0390656489961024</v>
      </c>
      <c r="AE100" s="169" t="n">
        <v>0.0781312979922048</v>
      </c>
      <c r="AF100" s="169" t="n">
        <v>0.117196946988307</v>
      </c>
      <c r="AG100" s="65"/>
      <c r="AH100" s="169" t="n">
        <v>-0.35</v>
      </c>
      <c r="AI100" s="169" t="n">
        <v>2</v>
      </c>
      <c r="AJ100" s="169" t="n">
        <v>0.3</v>
      </c>
      <c r="AK100" s="65"/>
      <c r="AL100" s="169" t="n">
        <v>-0.15</v>
      </c>
      <c r="AM100" s="169" t="n">
        <v>0.65</v>
      </c>
      <c r="AN100" s="169" t="n">
        <v>0.2</v>
      </c>
      <c r="AO100" s="65"/>
      <c r="AP100" s="134" t="n">
        <v>28</v>
      </c>
      <c r="AQ100" s="170" t="n">
        <v>0.4</v>
      </c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135" t="n">
        <v>39234</v>
      </c>
      <c r="BI100" s="172" t="n">
        <v>0.9</v>
      </c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0"/>
      <c r="CM100" s="206"/>
      <c r="CN100" s="206"/>
      <c r="CO100" s="173"/>
      <c r="CP100" s="0"/>
      <c r="CQ100" s="0"/>
      <c r="CR100" s="0"/>
      <c r="CS100" s="0"/>
      <c r="CT100" s="0"/>
      <c r="CY100" s="174" t="n">
        <f aca="false">M100</f>
        <v>39234</v>
      </c>
      <c r="CZ100" s="175" t="n">
        <f aca="false">AI100+AH100</f>
        <v>1.65</v>
      </c>
      <c r="DA100" s="175" t="n">
        <f aca="false">AI100</f>
        <v>2</v>
      </c>
      <c r="DB100" s="175" t="n">
        <f aca="false">AI100+AJ100</f>
        <v>2.3</v>
      </c>
      <c r="DD100" s="175" t="n">
        <f aca="false">Z100</f>
        <v>0.150105764065625</v>
      </c>
      <c r="DE100" s="175" t="n">
        <f aca="false">AA100</f>
        <v>0.30021152813125</v>
      </c>
      <c r="DF100" s="175" t="n">
        <f aca="false">AB100</f>
        <v>0.450317292196875</v>
      </c>
      <c r="DH100" s="174" t="n">
        <f aca="false">BH100</f>
        <v>39234</v>
      </c>
      <c r="DI100" s="128" t="n">
        <f aca="false">BI100</f>
        <v>0.9</v>
      </c>
    </row>
    <row r="101" customFormat="false" ht="12.75" hidden="false" customHeight="false" outlineLevel="0" collapsed="false">
      <c r="A101" s="138" t="n">
        <f aca="false">EOMONTH(A100,0)+1</f>
        <v>48611</v>
      </c>
      <c r="B101" s="128" t="n">
        <f aca="false">'Gas Curves'!C105</f>
        <v>0.058571919592445</v>
      </c>
      <c r="C101" s="128"/>
      <c r="D101" s="167" t="n">
        <v>38384</v>
      </c>
      <c r="E101" s="168" t="n">
        <v>58.35</v>
      </c>
      <c r="F101" s="168" t="n">
        <v>60</v>
      </c>
      <c r="G101" s="168" t="n">
        <v>61.52</v>
      </c>
      <c r="H101" s="152"/>
      <c r="I101" s="168" t="n">
        <v>22.175</v>
      </c>
      <c r="J101" s="168" t="n">
        <v>23</v>
      </c>
      <c r="K101" s="168" t="n">
        <v>23.76</v>
      </c>
      <c r="L101" s="134"/>
      <c r="M101" s="135" t="n">
        <v>39264</v>
      </c>
      <c r="N101" s="169" t="n">
        <v>34.9750015258789</v>
      </c>
      <c r="O101" s="169" t="n">
        <v>42.4000015258789</v>
      </c>
      <c r="P101" s="169" t="n">
        <v>50.1475015258789</v>
      </c>
      <c r="Q101" s="65"/>
      <c r="R101" s="169" t="n">
        <v>31.4000015258789</v>
      </c>
      <c r="S101" s="169" t="n">
        <v>36.4000015258789</v>
      </c>
      <c r="T101" s="169" t="n">
        <v>44.1475015258789</v>
      </c>
      <c r="U101" s="65"/>
      <c r="V101" s="169" t="n">
        <v>0</v>
      </c>
      <c r="W101" s="169" t="n">
        <v>0</v>
      </c>
      <c r="X101" s="169" t="n">
        <v>0</v>
      </c>
      <c r="Y101" s="65"/>
      <c r="Z101" s="169" t="n">
        <v>0.178784020061719</v>
      </c>
      <c r="AA101" s="169" t="n">
        <v>0.357568040123437</v>
      </c>
      <c r="AB101" s="169" t="n">
        <v>0.536352060185156</v>
      </c>
      <c r="AC101" s="65"/>
      <c r="AD101" s="169" t="n">
        <v>0.0520875319948032</v>
      </c>
      <c r="AE101" s="169" t="n">
        <v>0.104175063989606</v>
      </c>
      <c r="AF101" s="169" t="n">
        <v>0.15626259598441</v>
      </c>
      <c r="AG101" s="65"/>
      <c r="AH101" s="169" t="n">
        <v>-0.35</v>
      </c>
      <c r="AI101" s="169" t="n">
        <v>3</v>
      </c>
      <c r="AJ101" s="169" t="n">
        <v>0.5</v>
      </c>
      <c r="AK101" s="65"/>
      <c r="AL101" s="169" t="n">
        <v>-0.15</v>
      </c>
      <c r="AM101" s="169" t="n">
        <v>0.75</v>
      </c>
      <c r="AN101" s="169" t="n">
        <v>0.2</v>
      </c>
      <c r="AO101" s="65"/>
      <c r="AP101" s="134" t="n">
        <v>28</v>
      </c>
      <c r="AQ101" s="170" t="n">
        <v>0.4</v>
      </c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135" t="n">
        <v>39264</v>
      </c>
      <c r="BI101" s="172" t="n">
        <v>0.9</v>
      </c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0"/>
      <c r="CM101" s="206"/>
      <c r="CN101" s="206"/>
      <c r="CO101" s="173"/>
      <c r="CP101" s="0"/>
      <c r="CQ101" s="0"/>
      <c r="CR101" s="0"/>
      <c r="CS101" s="0"/>
      <c r="CT101" s="0"/>
      <c r="CY101" s="174" t="n">
        <f aca="false">M101</f>
        <v>39264</v>
      </c>
      <c r="CZ101" s="175" t="n">
        <f aca="false">AI101+AH101</f>
        <v>2.65</v>
      </c>
      <c r="DA101" s="175" t="n">
        <f aca="false">AI101</f>
        <v>3</v>
      </c>
      <c r="DB101" s="175" t="n">
        <f aca="false">AI101+AJ101</f>
        <v>3.5</v>
      </c>
      <c r="DD101" s="175" t="n">
        <f aca="false">Z101</f>
        <v>0.178784020061719</v>
      </c>
      <c r="DE101" s="175" t="n">
        <f aca="false">AA101</f>
        <v>0.357568040123437</v>
      </c>
      <c r="DF101" s="175" t="n">
        <f aca="false">AB101</f>
        <v>0.536352060185156</v>
      </c>
      <c r="DH101" s="174" t="n">
        <f aca="false">BH101</f>
        <v>39264</v>
      </c>
      <c r="DI101" s="128" t="n">
        <f aca="false">BI101</f>
        <v>0.9</v>
      </c>
    </row>
    <row r="102" customFormat="false" ht="12.75" hidden="false" customHeight="false" outlineLevel="0" collapsed="false">
      <c r="A102" s="138" t="n">
        <f aca="false">EOMONTH(A101,0)+1</f>
        <v>48639</v>
      </c>
      <c r="B102" s="128" t="n">
        <f aca="false">'Gas Curves'!C106</f>
        <v>0.058629043147752</v>
      </c>
      <c r="C102" s="128"/>
      <c r="D102" s="167" t="n">
        <v>38412</v>
      </c>
      <c r="E102" s="168" t="n">
        <v>41.35</v>
      </c>
      <c r="F102" s="168" t="n">
        <v>43</v>
      </c>
      <c r="G102" s="168" t="n">
        <v>44.52</v>
      </c>
      <c r="H102" s="152"/>
      <c r="I102" s="168" t="n">
        <v>22.5749996185303</v>
      </c>
      <c r="J102" s="168" t="n">
        <v>23.3999996185303</v>
      </c>
      <c r="K102" s="168" t="n">
        <v>24.1599996185303</v>
      </c>
      <c r="L102" s="134"/>
      <c r="M102" s="135" t="n">
        <v>39295</v>
      </c>
      <c r="N102" s="169" t="n">
        <v>46.7250015258789</v>
      </c>
      <c r="O102" s="169" t="n">
        <v>54.1500015258789</v>
      </c>
      <c r="P102" s="169" t="n">
        <v>61.8975015258789</v>
      </c>
      <c r="Q102" s="65"/>
      <c r="R102" s="169" t="n">
        <v>43.2000007629395</v>
      </c>
      <c r="S102" s="169" t="n">
        <v>48.2000007629395</v>
      </c>
      <c r="T102" s="169" t="n">
        <v>55.9475007629395</v>
      </c>
      <c r="U102" s="65"/>
      <c r="V102" s="169" t="n">
        <v>0</v>
      </c>
      <c r="W102" s="169" t="n">
        <v>0</v>
      </c>
      <c r="X102" s="169" t="n">
        <v>0</v>
      </c>
      <c r="Y102" s="65"/>
      <c r="Z102" s="169" t="n">
        <v>0.174866754065625</v>
      </c>
      <c r="AA102" s="169" t="n">
        <v>0.34973350813125</v>
      </c>
      <c r="AB102" s="169" t="n">
        <v>0.524600262196875</v>
      </c>
      <c r="AC102" s="65"/>
      <c r="AD102" s="169" t="n">
        <v>0.0520875319948032</v>
      </c>
      <c r="AE102" s="169" t="n">
        <v>0.104175063989606</v>
      </c>
      <c r="AF102" s="169" t="n">
        <v>0.15626259598441</v>
      </c>
      <c r="AG102" s="65"/>
      <c r="AH102" s="169" t="n">
        <v>-0.35</v>
      </c>
      <c r="AI102" s="169" t="n">
        <v>3</v>
      </c>
      <c r="AJ102" s="169" t="n">
        <v>0.5</v>
      </c>
      <c r="AK102" s="65"/>
      <c r="AL102" s="169" t="n">
        <v>-0.15</v>
      </c>
      <c r="AM102" s="169" t="n">
        <v>0.75</v>
      </c>
      <c r="AN102" s="169" t="n">
        <v>0.2</v>
      </c>
      <c r="AO102" s="65"/>
      <c r="AP102" s="134" t="n">
        <v>29</v>
      </c>
      <c r="AQ102" s="170" t="n">
        <v>0.4</v>
      </c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135" t="n">
        <v>39295</v>
      </c>
      <c r="BI102" s="172" t="n">
        <v>0.9</v>
      </c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0"/>
      <c r="CM102" s="206"/>
      <c r="CN102" s="206"/>
      <c r="CO102" s="173"/>
      <c r="CP102" s="0"/>
      <c r="CQ102" s="0"/>
      <c r="CR102" s="0"/>
      <c r="CS102" s="0"/>
      <c r="CT102" s="0"/>
      <c r="CY102" s="174" t="n">
        <f aca="false">M102</f>
        <v>39295</v>
      </c>
      <c r="CZ102" s="175" t="n">
        <f aca="false">AI102+AH102</f>
        <v>2.65</v>
      </c>
      <c r="DA102" s="175" t="n">
        <f aca="false">AI102</f>
        <v>3</v>
      </c>
      <c r="DB102" s="175" t="n">
        <f aca="false">AI102+AJ102</f>
        <v>3.5</v>
      </c>
      <c r="DD102" s="175" t="n">
        <f aca="false">Z102</f>
        <v>0.174866754065625</v>
      </c>
      <c r="DE102" s="175" t="n">
        <f aca="false">AA102</f>
        <v>0.34973350813125</v>
      </c>
      <c r="DF102" s="175" t="n">
        <f aca="false">AB102</f>
        <v>0.524600262196875</v>
      </c>
      <c r="DH102" s="174" t="n">
        <f aca="false">BH102</f>
        <v>39295</v>
      </c>
      <c r="DI102" s="128" t="n">
        <f aca="false">BI102</f>
        <v>0.9</v>
      </c>
    </row>
    <row r="103" customFormat="false" ht="12.75" hidden="false" customHeight="false" outlineLevel="0" collapsed="false">
      <c r="A103" s="138" t="n">
        <f aca="false">EOMONTH(A102,0)+1</f>
        <v>48670</v>
      </c>
      <c r="B103" s="128" t="n">
        <f aca="false">'Gas Curves'!C107</f>
        <v>0.058688070822709</v>
      </c>
      <c r="C103" s="128"/>
      <c r="D103" s="167" t="n">
        <v>38443</v>
      </c>
      <c r="E103" s="168" t="n">
        <v>37.4</v>
      </c>
      <c r="F103" s="168" t="n">
        <v>39.5</v>
      </c>
      <c r="G103" s="168" t="n">
        <v>41.02</v>
      </c>
      <c r="H103" s="152"/>
      <c r="I103" s="168" t="n">
        <v>20.0999996185303</v>
      </c>
      <c r="J103" s="168" t="n">
        <v>21.1499996185303</v>
      </c>
      <c r="K103" s="168" t="n">
        <v>21.9099996185303</v>
      </c>
      <c r="L103" s="134"/>
      <c r="M103" s="135" t="n">
        <v>39326</v>
      </c>
      <c r="N103" s="169" t="n">
        <v>28.4875011444092</v>
      </c>
      <c r="O103" s="169" t="n">
        <v>31.5250011444092</v>
      </c>
      <c r="P103" s="169" t="n">
        <v>33.9100011444092</v>
      </c>
      <c r="Q103" s="65"/>
      <c r="R103" s="169" t="n">
        <v>23.8000015258789</v>
      </c>
      <c r="S103" s="169" t="n">
        <v>28.8000015258789</v>
      </c>
      <c r="T103" s="169" t="n">
        <v>31.1850015258789</v>
      </c>
      <c r="U103" s="65"/>
      <c r="V103" s="169" t="n">
        <v>0</v>
      </c>
      <c r="W103" s="169" t="n">
        <v>0</v>
      </c>
      <c r="X103" s="169" t="n">
        <v>0</v>
      </c>
      <c r="Y103" s="65"/>
      <c r="Z103" s="169" t="n">
        <v>0.132490641023438</v>
      </c>
      <c r="AA103" s="169" t="n">
        <v>0.264981282046875</v>
      </c>
      <c r="AB103" s="169" t="n">
        <v>0.397471923070313</v>
      </c>
      <c r="AC103" s="65"/>
      <c r="AD103" s="169" t="n">
        <v>0.0347250213298688</v>
      </c>
      <c r="AE103" s="169" t="n">
        <v>0.0694500426597376</v>
      </c>
      <c r="AF103" s="169" t="n">
        <v>0.104175063989606</v>
      </c>
      <c r="AG103" s="65"/>
      <c r="AH103" s="169" t="n">
        <v>-0.35</v>
      </c>
      <c r="AI103" s="169" t="n">
        <v>1.5</v>
      </c>
      <c r="AJ103" s="169" t="n">
        <v>0.3</v>
      </c>
      <c r="AK103" s="65"/>
      <c r="AL103" s="169" t="n">
        <v>-0.15</v>
      </c>
      <c r="AM103" s="169" t="n">
        <v>0.4</v>
      </c>
      <c r="AN103" s="169" t="n">
        <v>0.2</v>
      </c>
      <c r="AO103" s="65"/>
      <c r="AP103" s="134" t="n">
        <v>29</v>
      </c>
      <c r="AQ103" s="170" t="n">
        <v>0.4</v>
      </c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135" t="n">
        <v>39326</v>
      </c>
      <c r="BI103" s="172" t="n">
        <v>0.9</v>
      </c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0"/>
      <c r="CM103" s="206"/>
      <c r="CN103" s="206"/>
      <c r="CO103" s="173"/>
      <c r="CP103" s="0"/>
      <c r="CQ103" s="0"/>
      <c r="CR103" s="0"/>
      <c r="CS103" s="0"/>
      <c r="CT103" s="0"/>
      <c r="CY103" s="174" t="n">
        <f aca="false">M103</f>
        <v>39326</v>
      </c>
      <c r="CZ103" s="175" t="n">
        <f aca="false">AI103+AH103</f>
        <v>1.15</v>
      </c>
      <c r="DA103" s="175" t="n">
        <f aca="false">AI103</f>
        <v>1.5</v>
      </c>
      <c r="DB103" s="175" t="n">
        <f aca="false">AI103+AJ103</f>
        <v>1.8</v>
      </c>
      <c r="DD103" s="175" t="n">
        <f aca="false">Z103</f>
        <v>0.132490641023438</v>
      </c>
      <c r="DE103" s="175" t="n">
        <f aca="false">AA103</f>
        <v>0.264981282046875</v>
      </c>
      <c r="DF103" s="175" t="n">
        <f aca="false">AB103</f>
        <v>0.397471923070313</v>
      </c>
      <c r="DH103" s="174" t="n">
        <f aca="false">BH103</f>
        <v>39326</v>
      </c>
      <c r="DI103" s="128" t="n">
        <f aca="false">BI103</f>
        <v>0.9</v>
      </c>
    </row>
    <row r="104" customFormat="false" ht="12.75" hidden="false" customHeight="false" outlineLevel="0" collapsed="false">
      <c r="A104" s="138" t="n">
        <f aca="false">EOMONTH(A103,0)+1</f>
        <v>48700</v>
      </c>
      <c r="B104" s="128" t="n">
        <f aca="false">'Gas Curves'!C108</f>
        <v>0.058747098498824</v>
      </c>
      <c r="C104" s="128"/>
      <c r="D104" s="167" t="n">
        <v>38473</v>
      </c>
      <c r="E104" s="168" t="n">
        <v>41.9</v>
      </c>
      <c r="F104" s="168" t="n">
        <v>44</v>
      </c>
      <c r="G104" s="168" t="n">
        <v>46.89</v>
      </c>
      <c r="H104" s="152"/>
      <c r="I104" s="168" t="n">
        <v>21.0999996185303</v>
      </c>
      <c r="J104" s="168" t="n">
        <v>22.1499996185303</v>
      </c>
      <c r="K104" s="168" t="n">
        <v>23.5949996185303</v>
      </c>
      <c r="L104" s="134"/>
      <c r="M104" s="135" t="n">
        <v>39356</v>
      </c>
      <c r="N104" s="169" t="n">
        <v>25.9500011444092</v>
      </c>
      <c r="O104" s="169" t="n">
        <v>27.5250011444092</v>
      </c>
      <c r="P104" s="169" t="n">
        <v>29.0325011444092</v>
      </c>
      <c r="Q104" s="65"/>
      <c r="R104" s="169" t="n">
        <v>19.3000015258789</v>
      </c>
      <c r="S104" s="169" t="n">
        <v>24.3000015258789</v>
      </c>
      <c r="T104" s="169" t="n">
        <v>25.8075015258789</v>
      </c>
      <c r="U104" s="65"/>
      <c r="V104" s="169" t="n">
        <v>0</v>
      </c>
      <c r="W104" s="169" t="n">
        <v>0</v>
      </c>
      <c r="X104" s="169" t="n">
        <v>0</v>
      </c>
      <c r="Y104" s="65"/>
      <c r="Z104" s="169" t="n">
        <v>0.114592120712891</v>
      </c>
      <c r="AA104" s="169" t="n">
        <v>0.229184241425781</v>
      </c>
      <c r="AB104" s="169" t="n">
        <v>0.343776362138672</v>
      </c>
      <c r="AC104" s="65"/>
      <c r="AD104" s="169" t="n">
        <v>0.0260437659974016</v>
      </c>
      <c r="AE104" s="169" t="n">
        <v>0.0520875319948032</v>
      </c>
      <c r="AF104" s="169" t="n">
        <v>0.0781312979922048</v>
      </c>
      <c r="AG104" s="65"/>
      <c r="AH104" s="169" t="n">
        <v>-0.25</v>
      </c>
      <c r="AI104" s="169" t="n">
        <v>1.1</v>
      </c>
      <c r="AJ104" s="169" t="n">
        <v>0.3</v>
      </c>
      <c r="AK104" s="65"/>
      <c r="AL104" s="169" t="n">
        <v>-0.15</v>
      </c>
      <c r="AM104" s="169" t="n">
        <v>0.35</v>
      </c>
      <c r="AN104" s="169" t="n">
        <v>0.2</v>
      </c>
      <c r="AO104" s="65"/>
      <c r="AP104" s="134" t="n">
        <v>29</v>
      </c>
      <c r="AQ104" s="170" t="n">
        <v>0.4</v>
      </c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135" t="n">
        <v>39356</v>
      </c>
      <c r="BI104" s="172" t="n">
        <v>0.9</v>
      </c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0"/>
      <c r="CM104" s="206"/>
      <c r="CN104" s="206"/>
      <c r="CO104" s="173"/>
      <c r="CP104" s="0"/>
      <c r="CQ104" s="0"/>
      <c r="CR104" s="0"/>
      <c r="CS104" s="0"/>
      <c r="CT104" s="0"/>
      <c r="CY104" s="174" t="n">
        <f aca="false">M104</f>
        <v>39356</v>
      </c>
      <c r="CZ104" s="175" t="n">
        <f aca="false">AI104+AH104</f>
        <v>0.85</v>
      </c>
      <c r="DA104" s="175" t="n">
        <f aca="false">AI104</f>
        <v>1.1</v>
      </c>
      <c r="DB104" s="175" t="n">
        <f aca="false">AI104+AJ104</f>
        <v>1.4</v>
      </c>
      <c r="DD104" s="175" t="n">
        <f aca="false">Z104</f>
        <v>0.114592120712891</v>
      </c>
      <c r="DE104" s="175" t="n">
        <f aca="false">AA104</f>
        <v>0.229184241425781</v>
      </c>
      <c r="DF104" s="175" t="n">
        <f aca="false">AB104</f>
        <v>0.343776362138672</v>
      </c>
      <c r="DH104" s="174" t="n">
        <f aca="false">BH104</f>
        <v>39356</v>
      </c>
      <c r="DI104" s="128" t="n">
        <f aca="false">BI104</f>
        <v>0.9</v>
      </c>
    </row>
    <row r="105" customFormat="false" ht="12.75" hidden="false" customHeight="false" outlineLevel="0" collapsed="false">
      <c r="A105" s="138" t="n">
        <f aca="false">EOMONTH(A104,0)+1</f>
        <v>48731</v>
      </c>
      <c r="B105" s="128" t="n">
        <f aca="false">'Gas Curves'!C109</f>
        <v>0.058804222057458</v>
      </c>
      <c r="C105" s="128"/>
      <c r="D105" s="167" t="n">
        <v>38504</v>
      </c>
      <c r="E105" s="168" t="n">
        <v>49.95</v>
      </c>
      <c r="F105" s="168" t="n">
        <v>54</v>
      </c>
      <c r="G105" s="168" t="n">
        <v>58.4</v>
      </c>
      <c r="H105" s="152"/>
      <c r="I105" s="168" t="n">
        <v>20.4999996185303</v>
      </c>
      <c r="J105" s="168" t="n">
        <v>22.5249996185303</v>
      </c>
      <c r="K105" s="168" t="n">
        <v>24.7249996185303</v>
      </c>
      <c r="L105" s="134"/>
      <c r="M105" s="135" t="n">
        <v>39387</v>
      </c>
      <c r="N105" s="169" t="n">
        <v>28.3000015258789</v>
      </c>
      <c r="O105" s="169" t="n">
        <v>29.8750015258789</v>
      </c>
      <c r="P105" s="169" t="n">
        <v>31.3825015258789</v>
      </c>
      <c r="Q105" s="65"/>
      <c r="R105" s="169" t="n">
        <v>21.5000003814697</v>
      </c>
      <c r="S105" s="169" t="n">
        <v>26.5000003814697</v>
      </c>
      <c r="T105" s="169" t="n">
        <v>28.0075003814697</v>
      </c>
      <c r="U105" s="65"/>
      <c r="V105" s="169" t="n">
        <v>0</v>
      </c>
      <c r="W105" s="169" t="n">
        <v>0</v>
      </c>
      <c r="X105" s="169" t="n">
        <v>0</v>
      </c>
      <c r="Y105" s="65"/>
      <c r="Z105" s="169" t="n">
        <v>0.114592120712891</v>
      </c>
      <c r="AA105" s="169" t="n">
        <v>0.229184241425781</v>
      </c>
      <c r="AB105" s="169" t="n">
        <v>0.343776362138672</v>
      </c>
      <c r="AC105" s="65"/>
      <c r="AD105" s="169" t="n">
        <v>0.0260437659974016</v>
      </c>
      <c r="AE105" s="169" t="n">
        <v>0.0520875319948032</v>
      </c>
      <c r="AF105" s="169" t="n">
        <v>0.0781312979922048</v>
      </c>
      <c r="AG105" s="65"/>
      <c r="AH105" s="169" t="n">
        <v>-0.25</v>
      </c>
      <c r="AI105" s="169" t="n">
        <v>1.25</v>
      </c>
      <c r="AJ105" s="169" t="n">
        <v>0.3</v>
      </c>
      <c r="AK105" s="65"/>
      <c r="AL105" s="169" t="n">
        <v>-0.15</v>
      </c>
      <c r="AM105" s="169" t="n">
        <v>0.3</v>
      </c>
      <c r="AN105" s="169" t="n">
        <v>0.2</v>
      </c>
      <c r="AO105" s="65"/>
      <c r="AP105" s="134" t="n">
        <v>30</v>
      </c>
      <c r="AQ105" s="170" t="n">
        <v>0.4</v>
      </c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135" t="n">
        <v>39387</v>
      </c>
      <c r="BI105" s="172" t="n">
        <v>0.9</v>
      </c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/>
      <c r="CB105" s="65"/>
      <c r="CC105" s="65"/>
      <c r="CD105" s="65"/>
      <c r="CE105" s="65"/>
      <c r="CF105" s="65"/>
      <c r="CG105" s="65"/>
      <c r="CH105" s="0"/>
      <c r="CM105" s="206"/>
      <c r="CN105" s="206"/>
      <c r="CO105" s="173"/>
      <c r="CP105" s="0"/>
      <c r="CQ105" s="0"/>
      <c r="CR105" s="0"/>
      <c r="CS105" s="0"/>
      <c r="CT105" s="0"/>
      <c r="CY105" s="174" t="n">
        <f aca="false">M105</f>
        <v>39387</v>
      </c>
      <c r="CZ105" s="175" t="n">
        <f aca="false">AI105+AH105</f>
        <v>1</v>
      </c>
      <c r="DA105" s="175" t="n">
        <f aca="false">AI105</f>
        <v>1.25</v>
      </c>
      <c r="DB105" s="175" t="n">
        <f aca="false">AI105+AJ105</f>
        <v>1.55</v>
      </c>
      <c r="DD105" s="175" t="n">
        <f aca="false">Z105</f>
        <v>0.114592120712891</v>
      </c>
      <c r="DE105" s="175" t="n">
        <f aca="false">AA105</f>
        <v>0.229184241425781</v>
      </c>
      <c r="DF105" s="175" t="n">
        <f aca="false">AB105</f>
        <v>0.343776362138672</v>
      </c>
      <c r="DH105" s="174" t="n">
        <f aca="false">BH105</f>
        <v>39387</v>
      </c>
      <c r="DI105" s="128" t="n">
        <f aca="false">BI105</f>
        <v>0.9</v>
      </c>
    </row>
    <row r="106" customFormat="false" ht="12.75" hidden="false" customHeight="false" outlineLevel="0" collapsed="false">
      <c r="A106" s="138" t="n">
        <f aca="false">EOMONTH(A105,0)+1</f>
        <v>48761</v>
      </c>
      <c r="B106" s="128" t="n">
        <f aca="false">'Gas Curves'!C110</f>
        <v>0.058863249735853</v>
      </c>
      <c r="C106" s="128"/>
      <c r="D106" s="167" t="n">
        <v>38534</v>
      </c>
      <c r="E106" s="168" t="n">
        <v>63.35</v>
      </c>
      <c r="F106" s="168" t="n">
        <v>73.25</v>
      </c>
      <c r="G106" s="168" t="n">
        <v>82.64</v>
      </c>
      <c r="H106" s="152"/>
      <c r="I106" s="168" t="n">
        <v>21.3</v>
      </c>
      <c r="J106" s="168" t="n">
        <v>26.25</v>
      </c>
      <c r="K106" s="168" t="n">
        <v>30.945</v>
      </c>
      <c r="L106" s="134"/>
      <c r="M106" s="135" t="n">
        <v>39417</v>
      </c>
      <c r="N106" s="169" t="n">
        <v>28.9</v>
      </c>
      <c r="O106" s="169" t="n">
        <v>30.475</v>
      </c>
      <c r="P106" s="169" t="n">
        <v>31.9825</v>
      </c>
      <c r="Q106" s="65"/>
      <c r="R106" s="169" t="n">
        <v>22.0000003814697</v>
      </c>
      <c r="S106" s="169" t="n">
        <v>27.0000003814697</v>
      </c>
      <c r="T106" s="169" t="n">
        <v>28.5075003814697</v>
      </c>
      <c r="U106" s="65"/>
      <c r="V106" s="169" t="n">
        <v>0</v>
      </c>
      <c r="W106" s="169" t="n">
        <v>0</v>
      </c>
      <c r="X106" s="169" t="n">
        <v>0</v>
      </c>
      <c r="Y106" s="65"/>
      <c r="Z106" s="169" t="n">
        <v>0.112304630816406</v>
      </c>
      <c r="AA106" s="169" t="n">
        <v>0.224609261632812</v>
      </c>
      <c r="AB106" s="169" t="n">
        <v>0.336913892449219</v>
      </c>
      <c r="AC106" s="65"/>
      <c r="AD106" s="169" t="n">
        <v>0.0260437659974016</v>
      </c>
      <c r="AE106" s="169" t="n">
        <v>0.0520875319948032</v>
      </c>
      <c r="AF106" s="169" t="n">
        <v>0.0781312979922048</v>
      </c>
      <c r="AG106" s="65"/>
      <c r="AH106" s="169" t="n">
        <v>-0.25</v>
      </c>
      <c r="AI106" s="169" t="n">
        <v>1.25</v>
      </c>
      <c r="AJ106" s="169" t="n">
        <v>0.35</v>
      </c>
      <c r="AK106" s="65"/>
      <c r="AL106" s="169" t="n">
        <v>-0.15</v>
      </c>
      <c r="AM106" s="169" t="n">
        <v>0.3</v>
      </c>
      <c r="AN106" s="169" t="n">
        <v>0.2</v>
      </c>
      <c r="AO106" s="65"/>
      <c r="AP106" s="134" t="n">
        <v>30</v>
      </c>
      <c r="AQ106" s="170" t="n">
        <v>0.4</v>
      </c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135" t="n">
        <v>39417</v>
      </c>
      <c r="BI106" s="172" t="n">
        <v>0.9</v>
      </c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/>
      <c r="CB106" s="65"/>
      <c r="CC106" s="65"/>
      <c r="CD106" s="65"/>
      <c r="CE106" s="65"/>
      <c r="CF106" s="65"/>
      <c r="CG106" s="65"/>
      <c r="CH106" s="0"/>
      <c r="CM106" s="206"/>
      <c r="CN106" s="206"/>
      <c r="CO106" s="173"/>
      <c r="CP106" s="0"/>
      <c r="CQ106" s="0"/>
      <c r="CR106" s="0"/>
      <c r="CS106" s="0"/>
      <c r="CT106" s="0"/>
      <c r="CY106" s="174" t="n">
        <f aca="false">M106</f>
        <v>39417</v>
      </c>
      <c r="CZ106" s="175" t="n">
        <f aca="false">AI106+AH106</f>
        <v>1</v>
      </c>
      <c r="DA106" s="175" t="n">
        <f aca="false">AI106</f>
        <v>1.25</v>
      </c>
      <c r="DB106" s="175" t="n">
        <f aca="false">AI106+AJ106</f>
        <v>1.6</v>
      </c>
      <c r="DD106" s="175" t="n">
        <f aca="false">Z106</f>
        <v>0.112304630816406</v>
      </c>
      <c r="DE106" s="175" t="n">
        <f aca="false">AA106</f>
        <v>0.224609261632812</v>
      </c>
      <c r="DF106" s="175" t="n">
        <f aca="false">AB106</f>
        <v>0.336913892449219</v>
      </c>
      <c r="DH106" s="174" t="n">
        <f aca="false">BH106</f>
        <v>39417</v>
      </c>
      <c r="DI106" s="128" t="n">
        <f aca="false">BI106</f>
        <v>0.9</v>
      </c>
    </row>
    <row r="107" customFormat="false" ht="12.75" hidden="false" customHeight="false" outlineLevel="0" collapsed="false">
      <c r="A107" s="138" t="n">
        <f aca="false">EOMONTH(A106,0)+1</f>
        <v>48792</v>
      </c>
      <c r="B107" s="128" t="n">
        <f aca="false">'Gas Curves'!C111</f>
        <v>0.058920373296692</v>
      </c>
      <c r="C107" s="128"/>
      <c r="D107" s="167" t="n">
        <v>38565</v>
      </c>
      <c r="E107" s="168" t="n">
        <v>63.35</v>
      </c>
      <c r="F107" s="168" t="n">
        <v>73.25</v>
      </c>
      <c r="G107" s="168" t="n">
        <v>82.64</v>
      </c>
      <c r="H107" s="152"/>
      <c r="I107" s="168" t="n">
        <v>33.4500015258789</v>
      </c>
      <c r="J107" s="168" t="n">
        <v>38.4000015258789</v>
      </c>
      <c r="K107" s="168" t="n">
        <v>43.0950015258789</v>
      </c>
      <c r="L107" s="134"/>
      <c r="M107" s="135" t="n">
        <v>39448</v>
      </c>
      <c r="N107" s="169" t="n">
        <v>31.7294960021973</v>
      </c>
      <c r="O107" s="169" t="n">
        <v>33.3044960021973</v>
      </c>
      <c r="P107" s="169" t="n">
        <v>34.5644960021973</v>
      </c>
      <c r="Q107" s="65"/>
      <c r="R107" s="169" t="n">
        <v>24.4039974212647</v>
      </c>
      <c r="S107" s="169" t="n">
        <v>29.4039974212647</v>
      </c>
      <c r="T107" s="169" t="n">
        <v>30.6639974212647</v>
      </c>
      <c r="U107" s="65"/>
      <c r="V107" s="169" t="n">
        <v>0</v>
      </c>
      <c r="W107" s="169" t="n">
        <v>0</v>
      </c>
      <c r="X107" s="169" t="n">
        <v>0</v>
      </c>
      <c r="Y107" s="65"/>
      <c r="Z107" s="169" t="n">
        <v>0.165726466741406</v>
      </c>
      <c r="AA107" s="169" t="n">
        <v>0.331452933482812</v>
      </c>
      <c r="AB107" s="169" t="n">
        <v>0.497179400224219</v>
      </c>
      <c r="AC107" s="65"/>
      <c r="AD107" s="169" t="n">
        <v>0.0297767057903625</v>
      </c>
      <c r="AE107" s="169" t="n">
        <v>0.059553411580725</v>
      </c>
      <c r="AF107" s="169" t="n">
        <v>0.0893301173710875</v>
      </c>
      <c r="AG107" s="65"/>
      <c r="AH107" s="169" t="n">
        <v>-0.75</v>
      </c>
      <c r="AI107" s="169" t="n">
        <v>2</v>
      </c>
      <c r="AJ107" s="169" t="n">
        <v>0.75</v>
      </c>
      <c r="AK107" s="65"/>
      <c r="AL107" s="169" t="n">
        <v>-0.15</v>
      </c>
      <c r="AM107" s="169" t="n">
        <v>0.5</v>
      </c>
      <c r="AN107" s="169" t="n">
        <v>0.2</v>
      </c>
      <c r="AO107" s="65"/>
      <c r="AP107" s="134" t="n">
        <v>30</v>
      </c>
      <c r="AQ107" s="170" t="n">
        <v>0.4</v>
      </c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135" t="n">
        <v>39448</v>
      </c>
      <c r="BI107" s="172" t="n">
        <v>0.9</v>
      </c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/>
      <c r="CB107" s="65"/>
      <c r="CC107" s="65"/>
      <c r="CD107" s="65"/>
      <c r="CE107" s="65"/>
      <c r="CF107" s="65"/>
      <c r="CG107" s="65"/>
      <c r="CH107" s="0"/>
      <c r="CM107" s="206"/>
      <c r="CN107" s="206"/>
      <c r="CO107" s="173"/>
      <c r="CP107" s="0"/>
      <c r="CQ107" s="0"/>
      <c r="CR107" s="0"/>
      <c r="CS107" s="0"/>
      <c r="CT107" s="0"/>
      <c r="CY107" s="174" t="n">
        <f aca="false">M107</f>
        <v>39448</v>
      </c>
      <c r="CZ107" s="175" t="n">
        <f aca="false">AI107+AH107</f>
        <v>1.25</v>
      </c>
      <c r="DA107" s="175" t="n">
        <f aca="false">AI107</f>
        <v>2</v>
      </c>
      <c r="DB107" s="175" t="n">
        <f aca="false">AI107+AJ107</f>
        <v>2.75</v>
      </c>
      <c r="DD107" s="175" t="n">
        <f aca="false">Z107</f>
        <v>0.165726466741406</v>
      </c>
      <c r="DE107" s="175" t="n">
        <f aca="false">AA107</f>
        <v>0.331452933482812</v>
      </c>
      <c r="DF107" s="175" t="n">
        <f aca="false">AB107</f>
        <v>0.497179400224219</v>
      </c>
      <c r="DH107" s="174" t="n">
        <f aca="false">BH107</f>
        <v>39448</v>
      </c>
      <c r="DI107" s="128" t="n">
        <f aca="false">BI107</f>
        <v>0.9</v>
      </c>
    </row>
    <row r="108" customFormat="false" ht="12.75" hidden="false" customHeight="false" outlineLevel="0" collapsed="false">
      <c r="A108" s="138" t="n">
        <f aca="false">EOMONTH(A107,0)+1</f>
        <v>48823</v>
      </c>
      <c r="B108" s="128" t="n">
        <f aca="false">'Gas Curves'!C112</f>
        <v>0.058979400977367</v>
      </c>
      <c r="C108" s="128"/>
      <c r="D108" s="167" t="n">
        <v>38596</v>
      </c>
      <c r="E108" s="168" t="n">
        <v>37.45</v>
      </c>
      <c r="F108" s="168" t="n">
        <v>41.5</v>
      </c>
      <c r="G108" s="168" t="n">
        <v>44.39</v>
      </c>
      <c r="H108" s="152"/>
      <c r="I108" s="168" t="n">
        <v>24.8749996185303</v>
      </c>
      <c r="J108" s="168" t="n">
        <v>26.8999996185303</v>
      </c>
      <c r="K108" s="168" t="n">
        <v>28.3449996185303</v>
      </c>
      <c r="L108" s="134"/>
      <c r="M108" s="135" t="n">
        <v>39479</v>
      </c>
      <c r="N108" s="169" t="n">
        <v>31.3919967651367</v>
      </c>
      <c r="O108" s="169" t="n">
        <v>32.6294967651367</v>
      </c>
      <c r="P108" s="169" t="n">
        <v>33.8894967651367</v>
      </c>
      <c r="Q108" s="65"/>
      <c r="R108" s="169" t="n">
        <v>23.8039970397949</v>
      </c>
      <c r="S108" s="169" t="n">
        <v>28.8039970397949</v>
      </c>
      <c r="T108" s="169" t="n">
        <v>30.0639970397949</v>
      </c>
      <c r="U108" s="65"/>
      <c r="V108" s="169" t="n">
        <v>0</v>
      </c>
      <c r="W108" s="169" t="n">
        <v>0</v>
      </c>
      <c r="X108" s="169" t="n">
        <v>0</v>
      </c>
      <c r="Y108" s="65"/>
      <c r="Z108" s="169" t="n">
        <v>0.160103013778125</v>
      </c>
      <c r="AA108" s="169" t="n">
        <v>0.32020602755625</v>
      </c>
      <c r="AB108" s="169" t="n">
        <v>0.480309041334375</v>
      </c>
      <c r="AC108" s="65"/>
      <c r="AD108" s="169" t="n">
        <v>0.0297767057903625</v>
      </c>
      <c r="AE108" s="169" t="n">
        <v>0.059553411580725</v>
      </c>
      <c r="AF108" s="169" t="n">
        <v>0.0893301173710875</v>
      </c>
      <c r="AG108" s="65"/>
      <c r="AH108" s="169" t="n">
        <v>-0.75</v>
      </c>
      <c r="AI108" s="169" t="n">
        <v>2</v>
      </c>
      <c r="AJ108" s="169" t="n">
        <v>0.75</v>
      </c>
      <c r="AK108" s="65"/>
      <c r="AL108" s="169" t="n">
        <v>-0.15</v>
      </c>
      <c r="AM108" s="169" t="n">
        <v>0.5</v>
      </c>
      <c r="AN108" s="169" t="n">
        <v>0.2</v>
      </c>
      <c r="AO108" s="65"/>
      <c r="AP108" s="134" t="n">
        <v>31</v>
      </c>
      <c r="AQ108" s="170" t="n">
        <v>0.4</v>
      </c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135" t="n">
        <v>39479</v>
      </c>
      <c r="BI108" s="172" t="n">
        <v>0.9</v>
      </c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0"/>
      <c r="CM108" s="206"/>
      <c r="CN108" s="206"/>
      <c r="CO108" s="173"/>
      <c r="CP108" s="0"/>
      <c r="CQ108" s="0"/>
      <c r="CR108" s="0"/>
      <c r="CS108" s="0"/>
      <c r="CT108" s="0"/>
      <c r="CY108" s="174" t="n">
        <f aca="false">M108</f>
        <v>39479</v>
      </c>
      <c r="CZ108" s="175" t="n">
        <f aca="false">AI108+AH108</f>
        <v>1.25</v>
      </c>
      <c r="DA108" s="175" t="n">
        <f aca="false">AI108</f>
        <v>2</v>
      </c>
      <c r="DB108" s="175" t="n">
        <f aca="false">AI108+AJ108</f>
        <v>2.75</v>
      </c>
      <c r="DD108" s="175" t="n">
        <f aca="false">Z108</f>
        <v>0.160103013778125</v>
      </c>
      <c r="DE108" s="175" t="n">
        <f aca="false">AA108</f>
        <v>0.32020602755625</v>
      </c>
      <c r="DF108" s="175" t="n">
        <f aca="false">AB108</f>
        <v>0.480309041334375</v>
      </c>
      <c r="DH108" s="174" t="n">
        <f aca="false">BH108</f>
        <v>39479</v>
      </c>
      <c r="DI108" s="128" t="n">
        <f aca="false">BI108</f>
        <v>0.9</v>
      </c>
    </row>
    <row r="109" customFormat="false" ht="12.75" hidden="false" customHeight="false" outlineLevel="0" collapsed="false">
      <c r="A109" s="138" t="n">
        <f aca="false">EOMONTH(A108,0)+1</f>
        <v>48853</v>
      </c>
      <c r="B109" s="128" t="n">
        <f aca="false">'Gas Curves'!C113</f>
        <v>0.059038428659198</v>
      </c>
      <c r="C109" s="128"/>
      <c r="D109" s="167" t="n">
        <v>38626</v>
      </c>
      <c r="E109" s="168" t="n">
        <v>39.4</v>
      </c>
      <c r="F109" s="168" t="n">
        <v>41.5</v>
      </c>
      <c r="G109" s="168" t="n">
        <v>43.32</v>
      </c>
      <c r="H109" s="152"/>
      <c r="I109" s="168" t="n">
        <v>23.8499996185303</v>
      </c>
      <c r="J109" s="168" t="n">
        <v>24.8999996185303</v>
      </c>
      <c r="K109" s="168" t="n">
        <v>25.8099996185303</v>
      </c>
      <c r="L109" s="134"/>
      <c r="M109" s="135" t="n">
        <v>39508</v>
      </c>
      <c r="N109" s="169" t="n">
        <v>25.5374969482422</v>
      </c>
      <c r="O109" s="169" t="n">
        <v>26.7749969482422</v>
      </c>
      <c r="P109" s="169" t="n">
        <v>28.0349969482422</v>
      </c>
      <c r="Q109" s="65"/>
      <c r="R109" s="169" t="n">
        <v>18.5999984741211</v>
      </c>
      <c r="S109" s="169" t="n">
        <v>23.5999984741211</v>
      </c>
      <c r="T109" s="169" t="n">
        <v>24.8599984741211</v>
      </c>
      <c r="U109" s="65"/>
      <c r="V109" s="169" t="n">
        <v>0</v>
      </c>
      <c r="W109" s="169" t="n">
        <v>0</v>
      </c>
      <c r="X109" s="169" t="n">
        <v>0</v>
      </c>
      <c r="Y109" s="65"/>
      <c r="Z109" s="169" t="n">
        <v>0.126922803565039</v>
      </c>
      <c r="AA109" s="169" t="n">
        <v>0.253845607130078</v>
      </c>
      <c r="AB109" s="169" t="n">
        <v>0.380768410695117</v>
      </c>
      <c r="AC109" s="65"/>
      <c r="AD109" s="169" t="n">
        <v>0.0260437659974016</v>
      </c>
      <c r="AE109" s="169" t="n">
        <v>0.0520875319948032</v>
      </c>
      <c r="AF109" s="169" t="n">
        <v>0.0781312979922048</v>
      </c>
      <c r="AG109" s="65"/>
      <c r="AH109" s="169" t="n">
        <v>-0.25</v>
      </c>
      <c r="AI109" s="169" t="n">
        <v>1.3</v>
      </c>
      <c r="AJ109" s="169" t="n">
        <v>0.3</v>
      </c>
      <c r="AK109" s="65"/>
      <c r="AL109" s="169" t="n">
        <v>-0.15</v>
      </c>
      <c r="AM109" s="169" t="n">
        <v>0.35</v>
      </c>
      <c r="AN109" s="169" t="n">
        <v>0.2</v>
      </c>
      <c r="AO109" s="65"/>
      <c r="AP109" s="134" t="n">
        <v>31</v>
      </c>
      <c r="AQ109" s="170" t="n">
        <v>0.4</v>
      </c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135" t="n">
        <v>39508</v>
      </c>
      <c r="BI109" s="172" t="n">
        <v>0.9</v>
      </c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0"/>
      <c r="CM109" s="206"/>
      <c r="CN109" s="206"/>
      <c r="CO109" s="173"/>
      <c r="CP109" s="0"/>
      <c r="CQ109" s="0"/>
      <c r="CR109" s="0"/>
      <c r="CS109" s="0"/>
      <c r="CT109" s="0"/>
      <c r="CY109" s="174" t="n">
        <f aca="false">M109</f>
        <v>39508</v>
      </c>
      <c r="CZ109" s="175" t="n">
        <f aca="false">AI109+AH109</f>
        <v>1.05</v>
      </c>
      <c r="DA109" s="175" t="n">
        <f aca="false">AI109</f>
        <v>1.3</v>
      </c>
      <c r="DB109" s="175" t="n">
        <f aca="false">AI109+AJ109</f>
        <v>1.6</v>
      </c>
      <c r="DD109" s="175" t="n">
        <f aca="false">Z109</f>
        <v>0.126922803565039</v>
      </c>
      <c r="DE109" s="175" t="n">
        <f aca="false">AA109</f>
        <v>0.253845607130078</v>
      </c>
      <c r="DF109" s="175" t="n">
        <f aca="false">AB109</f>
        <v>0.380768410695117</v>
      </c>
      <c r="DH109" s="174" t="n">
        <f aca="false">BH109</f>
        <v>39508</v>
      </c>
      <c r="DI109" s="128" t="n">
        <f aca="false">BI109</f>
        <v>0.9</v>
      </c>
    </row>
    <row r="110" customFormat="false" ht="12.75" hidden="false" customHeight="false" outlineLevel="0" collapsed="false">
      <c r="A110" s="138" t="n">
        <f aca="false">EOMONTH(A109,0)+1</f>
        <v>48884</v>
      </c>
      <c r="B110" s="128" t="n">
        <f aca="false">'Gas Curves'!C114</f>
        <v>0.05909174398572</v>
      </c>
      <c r="C110" s="128"/>
      <c r="D110" s="167" t="n">
        <v>38657</v>
      </c>
      <c r="E110" s="168" t="n">
        <v>41.9</v>
      </c>
      <c r="F110" s="168" t="n">
        <v>44</v>
      </c>
      <c r="G110" s="168" t="n">
        <v>45.82</v>
      </c>
      <c r="H110" s="152"/>
      <c r="I110" s="168" t="n">
        <v>24.5999996185303</v>
      </c>
      <c r="J110" s="168" t="n">
        <v>25.6499996185303</v>
      </c>
      <c r="K110" s="168" t="n">
        <v>26.5599996185303</v>
      </c>
      <c r="L110" s="134"/>
      <c r="M110" s="135" t="n">
        <v>39539</v>
      </c>
      <c r="N110" s="169" t="n">
        <v>24.5249996185303</v>
      </c>
      <c r="O110" s="169" t="n">
        <v>26.0999996185303</v>
      </c>
      <c r="P110" s="169" t="n">
        <v>27.3599996185303</v>
      </c>
      <c r="Q110" s="65"/>
      <c r="R110" s="169" t="n">
        <v>18</v>
      </c>
      <c r="S110" s="169" t="n">
        <v>23</v>
      </c>
      <c r="T110" s="169" t="n">
        <v>24.26</v>
      </c>
      <c r="U110" s="65"/>
      <c r="V110" s="169" t="n">
        <v>0</v>
      </c>
      <c r="W110" s="169" t="n">
        <v>0</v>
      </c>
      <c r="X110" s="169" t="n">
        <v>0</v>
      </c>
      <c r="Y110" s="65"/>
      <c r="Z110" s="169" t="n">
        <v>0.126748219241016</v>
      </c>
      <c r="AA110" s="169" t="n">
        <v>0.253496438482031</v>
      </c>
      <c r="AB110" s="169" t="n">
        <v>0.380244657723047</v>
      </c>
      <c r="AC110" s="65"/>
      <c r="AD110" s="169" t="n">
        <v>0.0260437659974016</v>
      </c>
      <c r="AE110" s="169" t="n">
        <v>0.0520875319948032</v>
      </c>
      <c r="AF110" s="169" t="n">
        <v>0.0781312979922048</v>
      </c>
      <c r="AG110" s="65"/>
      <c r="AH110" s="169" t="n">
        <v>-0.25</v>
      </c>
      <c r="AI110" s="169" t="n">
        <v>1.1</v>
      </c>
      <c r="AJ110" s="169" t="n">
        <v>0.3</v>
      </c>
      <c r="AK110" s="65"/>
      <c r="AL110" s="169" t="n">
        <v>-0.15</v>
      </c>
      <c r="AM110" s="169" t="n">
        <v>0.35</v>
      </c>
      <c r="AN110" s="169" t="n">
        <v>0.2</v>
      </c>
      <c r="AO110" s="65"/>
      <c r="AP110" s="134" t="n">
        <v>31</v>
      </c>
      <c r="AQ110" s="170" t="n">
        <v>0.4</v>
      </c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135" t="n">
        <v>39539</v>
      </c>
      <c r="BI110" s="172" t="n">
        <v>0.9</v>
      </c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  <c r="BZ110" s="65"/>
      <c r="CA110" s="65"/>
      <c r="CB110" s="65"/>
      <c r="CC110" s="65"/>
      <c r="CD110" s="65"/>
      <c r="CE110" s="65"/>
      <c r="CF110" s="65"/>
      <c r="CG110" s="65"/>
      <c r="CH110" s="0"/>
      <c r="CM110" s="206"/>
      <c r="CN110" s="206"/>
      <c r="CO110" s="173"/>
      <c r="CP110" s="0"/>
      <c r="CQ110" s="0"/>
      <c r="CR110" s="0"/>
      <c r="CS110" s="0"/>
      <c r="CT110" s="0"/>
      <c r="CY110" s="174" t="n">
        <f aca="false">M110</f>
        <v>39539</v>
      </c>
      <c r="CZ110" s="175" t="n">
        <f aca="false">AI110+AH110</f>
        <v>0.85</v>
      </c>
      <c r="DA110" s="175" t="n">
        <f aca="false">AI110</f>
        <v>1.1</v>
      </c>
      <c r="DB110" s="175" t="n">
        <f aca="false">AI110+AJ110</f>
        <v>1.4</v>
      </c>
      <c r="DD110" s="175" t="n">
        <f aca="false">Z110</f>
        <v>0.126748219241016</v>
      </c>
      <c r="DE110" s="175" t="n">
        <f aca="false">AA110</f>
        <v>0.253496438482031</v>
      </c>
      <c r="DF110" s="175" t="n">
        <f aca="false">AB110</f>
        <v>0.380244657723047</v>
      </c>
      <c r="DH110" s="174" t="n">
        <f aca="false">BH110</f>
        <v>39539</v>
      </c>
      <c r="DI110" s="128" t="n">
        <f aca="false">BI110</f>
        <v>0.9</v>
      </c>
    </row>
    <row r="111" customFormat="false" ht="12.75" hidden="false" customHeight="false" outlineLevel="0" collapsed="false">
      <c r="A111" s="138" t="n">
        <f aca="false">EOMONTH(A110,0)+1</f>
        <v>48914</v>
      </c>
      <c r="B111" s="128" t="n">
        <f aca="false">'Gas Curves'!C115</f>
        <v>0.059150771669757</v>
      </c>
      <c r="C111" s="128"/>
      <c r="D111" s="167" t="n">
        <v>38687</v>
      </c>
      <c r="E111" s="168" t="n">
        <v>41.9</v>
      </c>
      <c r="F111" s="168" t="n">
        <v>44</v>
      </c>
      <c r="G111" s="168" t="n">
        <v>45.82</v>
      </c>
      <c r="H111" s="152"/>
      <c r="I111" s="168" t="n">
        <v>24.4999992370605</v>
      </c>
      <c r="J111" s="168" t="n">
        <v>25.5499992370605</v>
      </c>
      <c r="K111" s="168" t="n">
        <v>26.4599992370605</v>
      </c>
      <c r="L111" s="134"/>
      <c r="M111" s="135" t="n">
        <v>39569</v>
      </c>
      <c r="N111" s="169" t="n">
        <v>28.125</v>
      </c>
      <c r="O111" s="169" t="n">
        <v>29.7</v>
      </c>
      <c r="P111" s="169" t="n">
        <v>32.085</v>
      </c>
      <c r="Q111" s="65"/>
      <c r="R111" s="169" t="n">
        <v>21.1999988555908</v>
      </c>
      <c r="S111" s="169" t="n">
        <v>26.1999988555908</v>
      </c>
      <c r="T111" s="169" t="n">
        <v>28.5849988555908</v>
      </c>
      <c r="U111" s="65"/>
      <c r="V111" s="169" t="n">
        <v>0</v>
      </c>
      <c r="W111" s="169" t="n">
        <v>0</v>
      </c>
      <c r="X111" s="169" t="n">
        <v>0</v>
      </c>
      <c r="Y111" s="65"/>
      <c r="Z111" s="169" t="n">
        <v>0.133341993499922</v>
      </c>
      <c r="AA111" s="169" t="n">
        <v>0.266683986999844</v>
      </c>
      <c r="AB111" s="169" t="n">
        <v>0.400025980499766</v>
      </c>
      <c r="AC111" s="65"/>
      <c r="AD111" s="169" t="n">
        <v>0.0297767057903625</v>
      </c>
      <c r="AE111" s="169" t="n">
        <v>0.059553411580725</v>
      </c>
      <c r="AF111" s="169" t="n">
        <v>0.0893301173710875</v>
      </c>
      <c r="AG111" s="65"/>
      <c r="AH111" s="169" t="n">
        <v>-0.25</v>
      </c>
      <c r="AI111" s="169" t="n">
        <v>1.1</v>
      </c>
      <c r="AJ111" s="169" t="n">
        <v>0.3</v>
      </c>
      <c r="AK111" s="65"/>
      <c r="AL111" s="169" t="n">
        <v>-0.15</v>
      </c>
      <c r="AM111" s="169" t="n">
        <v>0.5</v>
      </c>
      <c r="AN111" s="169" t="n">
        <v>0.2</v>
      </c>
      <c r="AO111" s="65"/>
      <c r="AP111" s="134" t="n">
        <v>32</v>
      </c>
      <c r="AQ111" s="170" t="n">
        <v>0.4</v>
      </c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135" t="n">
        <v>39569</v>
      </c>
      <c r="BI111" s="172" t="n">
        <v>0.9</v>
      </c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  <c r="CC111" s="65"/>
      <c r="CD111" s="65"/>
      <c r="CE111" s="65"/>
      <c r="CF111" s="65"/>
      <c r="CG111" s="65"/>
      <c r="CH111" s="0"/>
      <c r="CM111" s="206"/>
      <c r="CN111" s="206"/>
      <c r="CO111" s="173"/>
      <c r="CP111" s="0"/>
      <c r="CQ111" s="0"/>
      <c r="CR111" s="0"/>
      <c r="CS111" s="0"/>
      <c r="CT111" s="0"/>
      <c r="CY111" s="174" t="n">
        <f aca="false">M111</f>
        <v>39569</v>
      </c>
      <c r="CZ111" s="175" t="n">
        <f aca="false">AI111+AH111</f>
        <v>0.85</v>
      </c>
      <c r="DA111" s="175" t="n">
        <f aca="false">AI111</f>
        <v>1.1</v>
      </c>
      <c r="DB111" s="175" t="n">
        <f aca="false">AI111+AJ111</f>
        <v>1.4</v>
      </c>
      <c r="DD111" s="175" t="n">
        <f aca="false">Z111</f>
        <v>0.133341993499922</v>
      </c>
      <c r="DE111" s="175" t="n">
        <f aca="false">AA111</f>
        <v>0.266683986999844</v>
      </c>
      <c r="DF111" s="175" t="n">
        <f aca="false">AB111</f>
        <v>0.400025980499766</v>
      </c>
      <c r="DH111" s="174" t="n">
        <f aca="false">BH111</f>
        <v>39569</v>
      </c>
      <c r="DI111" s="128" t="n">
        <f aca="false">BI111</f>
        <v>0.9</v>
      </c>
    </row>
    <row r="112" customFormat="false" ht="12.75" hidden="false" customHeight="false" outlineLevel="0" collapsed="false">
      <c r="A112" s="138" t="n">
        <f aca="false">EOMONTH(A111,0)+1</f>
        <v>48945</v>
      </c>
      <c r="B112" s="128" t="n">
        <f aca="false">'Gas Curves'!C116</f>
        <v>0.059207895236056</v>
      </c>
      <c r="C112" s="128"/>
      <c r="D112" s="167" t="n">
        <v>38718</v>
      </c>
      <c r="E112" s="168" t="n">
        <v>56.9</v>
      </c>
      <c r="F112" s="168" t="n">
        <v>59</v>
      </c>
      <c r="G112" s="168" t="n">
        <v>60.68</v>
      </c>
      <c r="H112" s="152"/>
      <c r="I112" s="168" t="n">
        <v>25.3000003814697</v>
      </c>
      <c r="J112" s="168" t="n">
        <v>26.3500003814697</v>
      </c>
      <c r="K112" s="168" t="n">
        <v>27.1900003814697</v>
      </c>
      <c r="L112" s="134"/>
      <c r="M112" s="135" t="n">
        <v>39600</v>
      </c>
      <c r="N112" s="169" t="n">
        <v>33.4625030517578</v>
      </c>
      <c r="O112" s="169" t="n">
        <v>36.5000030517578</v>
      </c>
      <c r="P112" s="169" t="n">
        <v>40.1300030517578</v>
      </c>
      <c r="Q112" s="65"/>
      <c r="R112" s="169" t="n">
        <v>26.7000026702881</v>
      </c>
      <c r="S112" s="169" t="n">
        <v>31.7000026702881</v>
      </c>
      <c r="T112" s="169" t="n">
        <v>35.3300026702881</v>
      </c>
      <c r="U112" s="65"/>
      <c r="V112" s="169" t="n">
        <v>0</v>
      </c>
      <c r="W112" s="169" t="n">
        <v>0</v>
      </c>
      <c r="X112" s="169" t="n">
        <v>0</v>
      </c>
      <c r="Y112" s="65"/>
      <c r="Z112" s="169" t="n">
        <v>0.142600475862344</v>
      </c>
      <c r="AA112" s="169" t="n">
        <v>0.285200951724687</v>
      </c>
      <c r="AB112" s="169" t="n">
        <v>0.427801427587031</v>
      </c>
      <c r="AC112" s="65"/>
      <c r="AD112" s="169" t="n">
        <v>0.0382843360161804</v>
      </c>
      <c r="AE112" s="169" t="n">
        <v>0.0765686720323607</v>
      </c>
      <c r="AF112" s="169" t="n">
        <v>0.114853008048541</v>
      </c>
      <c r="AG112" s="65"/>
      <c r="AH112" s="169" t="n">
        <v>-0.35</v>
      </c>
      <c r="AI112" s="169" t="n">
        <v>2</v>
      </c>
      <c r="AJ112" s="169" t="n">
        <v>0.3</v>
      </c>
      <c r="AK112" s="65"/>
      <c r="AL112" s="169" t="n">
        <v>-0.15</v>
      </c>
      <c r="AM112" s="169" t="n">
        <v>0.65</v>
      </c>
      <c r="AN112" s="169" t="n">
        <v>0.2</v>
      </c>
      <c r="AO112" s="65"/>
      <c r="AP112" s="134" t="n">
        <v>32</v>
      </c>
      <c r="AQ112" s="170" t="n">
        <v>0.4</v>
      </c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135" t="n">
        <v>39600</v>
      </c>
      <c r="BI112" s="172" t="n">
        <v>0.9</v>
      </c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  <c r="CC112" s="65"/>
      <c r="CD112" s="65"/>
      <c r="CE112" s="65"/>
      <c r="CF112" s="65"/>
      <c r="CG112" s="65"/>
      <c r="CH112" s="0"/>
      <c r="CM112" s="206"/>
      <c r="CN112" s="206"/>
      <c r="CO112" s="173"/>
      <c r="CP112" s="0"/>
      <c r="CQ112" s="0"/>
      <c r="CR112" s="0"/>
      <c r="CS112" s="0"/>
      <c r="CT112" s="0"/>
      <c r="CY112" s="174" t="n">
        <f aca="false">M112</f>
        <v>39600</v>
      </c>
      <c r="CZ112" s="175" t="n">
        <f aca="false">AI112+AH112</f>
        <v>1.65</v>
      </c>
      <c r="DA112" s="175" t="n">
        <f aca="false">AI112</f>
        <v>2</v>
      </c>
      <c r="DB112" s="175" t="n">
        <f aca="false">AI112+AJ112</f>
        <v>2.3</v>
      </c>
      <c r="DD112" s="175" t="n">
        <f aca="false">Z112</f>
        <v>0.142600475862344</v>
      </c>
      <c r="DE112" s="175" t="n">
        <f aca="false">AA112</f>
        <v>0.285200951724687</v>
      </c>
      <c r="DF112" s="175" t="n">
        <f aca="false">AB112</f>
        <v>0.427801427587031</v>
      </c>
      <c r="DH112" s="174" t="n">
        <f aca="false">BH112</f>
        <v>39600</v>
      </c>
      <c r="DI112" s="128" t="n">
        <f aca="false">BI112</f>
        <v>0.9</v>
      </c>
    </row>
    <row r="113" customFormat="false" ht="12.75" hidden="false" customHeight="false" outlineLevel="0" collapsed="false">
      <c r="A113" s="138" t="n">
        <f aca="false">EOMONTH(A112,0)+1</f>
        <v>48976</v>
      </c>
      <c r="B113" s="128" t="n">
        <f aca="false">'Gas Curves'!C117</f>
        <v>0.059266922922372</v>
      </c>
      <c r="C113" s="128"/>
      <c r="D113" s="167" t="n">
        <v>38749</v>
      </c>
      <c r="E113" s="168" t="n">
        <v>57.35</v>
      </c>
      <c r="F113" s="168" t="n">
        <v>59</v>
      </c>
      <c r="G113" s="168" t="n">
        <v>60.68</v>
      </c>
      <c r="H113" s="152"/>
      <c r="I113" s="168" t="n">
        <v>22.175</v>
      </c>
      <c r="J113" s="168" t="n">
        <v>23</v>
      </c>
      <c r="K113" s="168" t="n">
        <v>23.84</v>
      </c>
      <c r="L113" s="134"/>
      <c r="M113" s="135" t="n">
        <v>39630</v>
      </c>
      <c r="N113" s="169" t="n">
        <v>35.4750015258789</v>
      </c>
      <c r="O113" s="169" t="n">
        <v>42.9000015258789</v>
      </c>
      <c r="P113" s="169" t="n">
        <v>50.6475015258789</v>
      </c>
      <c r="Q113" s="65"/>
      <c r="R113" s="169" t="n">
        <v>31.9000015258789</v>
      </c>
      <c r="S113" s="169" t="n">
        <v>36.9000015258789</v>
      </c>
      <c r="T113" s="169" t="n">
        <v>44.6475015258789</v>
      </c>
      <c r="U113" s="65"/>
      <c r="V113" s="169" t="n">
        <v>0</v>
      </c>
      <c r="W113" s="169" t="n">
        <v>0</v>
      </c>
      <c r="X113" s="169" t="n">
        <v>0</v>
      </c>
      <c r="Y113" s="65"/>
      <c r="Z113" s="169" t="n">
        <v>0.169844819058633</v>
      </c>
      <c r="AA113" s="169" t="n">
        <v>0.339689638117266</v>
      </c>
      <c r="AB113" s="169" t="n">
        <v>0.509534457175898</v>
      </c>
      <c r="AC113" s="65"/>
      <c r="AD113" s="169" t="n">
        <v>0.0510457813549071</v>
      </c>
      <c r="AE113" s="169" t="n">
        <v>0.102091562709814</v>
      </c>
      <c r="AF113" s="169" t="n">
        <v>0.153137344064721</v>
      </c>
      <c r="AG113" s="65"/>
      <c r="AH113" s="169" t="n">
        <v>-0.35</v>
      </c>
      <c r="AI113" s="169" t="n">
        <v>3</v>
      </c>
      <c r="AJ113" s="169" t="n">
        <v>0.5</v>
      </c>
      <c r="AK113" s="65"/>
      <c r="AL113" s="169" t="n">
        <v>-0.15</v>
      </c>
      <c r="AM113" s="169" t="n">
        <v>0.75</v>
      </c>
      <c r="AN113" s="169" t="n">
        <v>0.2</v>
      </c>
      <c r="AO113" s="65"/>
      <c r="AP113" s="134" t="n">
        <v>32</v>
      </c>
      <c r="AQ113" s="170" t="n">
        <v>0.4</v>
      </c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135" t="n">
        <v>39630</v>
      </c>
      <c r="BI113" s="172" t="n">
        <v>0.9</v>
      </c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0"/>
      <c r="CM113" s="206"/>
      <c r="CN113" s="206"/>
      <c r="CO113" s="173"/>
      <c r="CP113" s="0"/>
      <c r="CQ113" s="0"/>
      <c r="CR113" s="0"/>
      <c r="CS113" s="0"/>
      <c r="CT113" s="0"/>
      <c r="CY113" s="174" t="n">
        <f aca="false">M113</f>
        <v>39630</v>
      </c>
      <c r="CZ113" s="175" t="n">
        <f aca="false">AI113+AH113</f>
        <v>2.65</v>
      </c>
      <c r="DA113" s="175" t="n">
        <f aca="false">AI113</f>
        <v>3</v>
      </c>
      <c r="DB113" s="175" t="n">
        <f aca="false">AI113+AJ113</f>
        <v>3.5</v>
      </c>
      <c r="DD113" s="175" t="n">
        <f aca="false">Z113</f>
        <v>0.169844819058633</v>
      </c>
      <c r="DE113" s="175" t="n">
        <f aca="false">AA113</f>
        <v>0.339689638117266</v>
      </c>
      <c r="DF113" s="175" t="n">
        <f aca="false">AB113</f>
        <v>0.509534457175898</v>
      </c>
      <c r="DH113" s="174" t="n">
        <f aca="false">BH113</f>
        <v>39630</v>
      </c>
      <c r="DI113" s="128" t="n">
        <f aca="false">BI113</f>
        <v>0.9</v>
      </c>
    </row>
    <row r="114" customFormat="false" ht="12.75" hidden="false" customHeight="false" outlineLevel="0" collapsed="false">
      <c r="A114" s="138" t="n">
        <f aca="false">EOMONTH(A113,0)+1</f>
        <v>49004</v>
      </c>
      <c r="B114" s="128" t="n">
        <f aca="false">'Gas Curves'!C118</f>
        <v>0.059324046490877</v>
      </c>
      <c r="C114" s="128"/>
      <c r="D114" s="167" t="n">
        <v>38777</v>
      </c>
      <c r="E114" s="168" t="n">
        <v>40.35</v>
      </c>
      <c r="F114" s="168" t="n">
        <v>42</v>
      </c>
      <c r="G114" s="168" t="n">
        <v>43.68</v>
      </c>
      <c r="H114" s="152"/>
      <c r="I114" s="168" t="n">
        <v>22.5749996185303</v>
      </c>
      <c r="J114" s="168" t="n">
        <v>23.3999996185303</v>
      </c>
      <c r="K114" s="168" t="n">
        <v>24.2399996185303</v>
      </c>
      <c r="L114" s="134"/>
      <c r="M114" s="135" t="n">
        <v>39661</v>
      </c>
      <c r="N114" s="169" t="n">
        <v>47.2250015258789</v>
      </c>
      <c r="O114" s="169" t="n">
        <v>54.6500015258789</v>
      </c>
      <c r="P114" s="169" t="n">
        <v>62.3975015258789</v>
      </c>
      <c r="Q114" s="65"/>
      <c r="R114" s="169" t="n">
        <v>43.7000007629395</v>
      </c>
      <c r="S114" s="169" t="n">
        <v>48.7000007629395</v>
      </c>
      <c r="T114" s="169" t="n">
        <v>56.4475007629395</v>
      </c>
      <c r="U114" s="65"/>
      <c r="V114" s="169" t="n">
        <v>0</v>
      </c>
      <c r="W114" s="169" t="n">
        <v>0</v>
      </c>
      <c r="X114" s="169" t="n">
        <v>0</v>
      </c>
      <c r="Y114" s="65"/>
      <c r="Z114" s="169" t="n">
        <v>0.166123416362344</v>
      </c>
      <c r="AA114" s="169" t="n">
        <v>0.332246832724687</v>
      </c>
      <c r="AB114" s="169" t="n">
        <v>0.498370249087031</v>
      </c>
      <c r="AC114" s="65"/>
      <c r="AD114" s="169" t="n">
        <v>0.0510457813549071</v>
      </c>
      <c r="AE114" s="169" t="n">
        <v>0.102091562709814</v>
      </c>
      <c r="AF114" s="169" t="n">
        <v>0.153137344064721</v>
      </c>
      <c r="AG114" s="65"/>
      <c r="AH114" s="169" t="n">
        <v>-0.35</v>
      </c>
      <c r="AI114" s="169" t="n">
        <v>3</v>
      </c>
      <c r="AJ114" s="169" t="n">
        <v>0.5</v>
      </c>
      <c r="AK114" s="65"/>
      <c r="AL114" s="169" t="n">
        <v>-0.15</v>
      </c>
      <c r="AM114" s="169" t="n">
        <v>0.75</v>
      </c>
      <c r="AN114" s="169" t="n">
        <v>0.2</v>
      </c>
      <c r="AO114" s="65"/>
      <c r="AP114" s="134" t="n">
        <v>33</v>
      </c>
      <c r="AQ114" s="170" t="n">
        <v>0.4</v>
      </c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135" t="n">
        <v>39661</v>
      </c>
      <c r="BI114" s="172" t="n">
        <v>0.9</v>
      </c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0"/>
      <c r="CM114" s="206"/>
      <c r="CN114" s="206"/>
      <c r="CO114" s="173"/>
      <c r="CP114" s="0"/>
      <c r="CQ114" s="0"/>
      <c r="CR114" s="0"/>
      <c r="CS114" s="0"/>
      <c r="CT114" s="0"/>
      <c r="CY114" s="174" t="n">
        <f aca="false">M114</f>
        <v>39661</v>
      </c>
      <c r="CZ114" s="175" t="n">
        <f aca="false">AI114+AH114</f>
        <v>2.65</v>
      </c>
      <c r="DA114" s="175" t="n">
        <f aca="false">AI114</f>
        <v>3</v>
      </c>
      <c r="DB114" s="175" t="n">
        <f aca="false">AI114+AJ114</f>
        <v>3.5</v>
      </c>
      <c r="DD114" s="175" t="n">
        <f aca="false">Z114</f>
        <v>0.166123416362344</v>
      </c>
      <c r="DE114" s="175" t="n">
        <f aca="false">AA114</f>
        <v>0.332246832724687</v>
      </c>
      <c r="DF114" s="175" t="n">
        <f aca="false">AB114</f>
        <v>0.498370249087031</v>
      </c>
      <c r="DH114" s="174" t="n">
        <f aca="false">BH114</f>
        <v>39661</v>
      </c>
      <c r="DI114" s="128" t="n">
        <f aca="false">BI114</f>
        <v>0.9</v>
      </c>
    </row>
    <row r="115" customFormat="false" ht="12.75" hidden="false" customHeight="false" outlineLevel="0" collapsed="false">
      <c r="A115" s="138" t="n">
        <f aca="false">EOMONTH(A114,0)+1</f>
        <v>49035</v>
      </c>
      <c r="B115" s="128" t="n">
        <f aca="false">'Gas Curves'!C119</f>
        <v>0.059383074179471</v>
      </c>
      <c r="C115" s="128"/>
      <c r="D115" s="167" t="n">
        <v>38808</v>
      </c>
      <c r="E115" s="168" t="n">
        <v>36.4</v>
      </c>
      <c r="F115" s="168" t="n">
        <v>38.5</v>
      </c>
      <c r="G115" s="168" t="n">
        <v>40.18</v>
      </c>
      <c r="H115" s="152"/>
      <c r="I115" s="168" t="n">
        <v>20.0999996185303</v>
      </c>
      <c r="J115" s="168" t="n">
        <v>21.1499996185303</v>
      </c>
      <c r="K115" s="168" t="n">
        <v>21.9899996185303</v>
      </c>
      <c r="L115" s="134"/>
      <c r="M115" s="135" t="n">
        <v>39692</v>
      </c>
      <c r="N115" s="169" t="n">
        <v>28.9875011444092</v>
      </c>
      <c r="O115" s="169" t="n">
        <v>32.0250011444092</v>
      </c>
      <c r="P115" s="169" t="n">
        <v>34.4100011444092</v>
      </c>
      <c r="Q115" s="65"/>
      <c r="R115" s="169" t="n">
        <v>24.3000015258789</v>
      </c>
      <c r="S115" s="169" t="n">
        <v>29.3000015258789</v>
      </c>
      <c r="T115" s="169" t="n">
        <v>31.6850015258789</v>
      </c>
      <c r="U115" s="65"/>
      <c r="V115" s="169" t="n">
        <v>0</v>
      </c>
      <c r="W115" s="169" t="n">
        <v>0</v>
      </c>
      <c r="X115" s="169" t="n">
        <v>0</v>
      </c>
      <c r="Y115" s="65"/>
      <c r="Z115" s="169" t="n">
        <v>0.125866108972266</v>
      </c>
      <c r="AA115" s="169" t="n">
        <v>0.251732217944531</v>
      </c>
      <c r="AB115" s="169" t="n">
        <v>0.377598326916797</v>
      </c>
      <c r="AC115" s="65"/>
      <c r="AD115" s="169" t="n">
        <v>0.0340305209032714</v>
      </c>
      <c r="AE115" s="169" t="n">
        <v>0.0680610418065428</v>
      </c>
      <c r="AF115" s="169" t="n">
        <v>0.102091562709814</v>
      </c>
      <c r="AG115" s="65"/>
      <c r="AH115" s="169" t="n">
        <v>-0.35</v>
      </c>
      <c r="AI115" s="169" t="n">
        <v>1.5</v>
      </c>
      <c r="AJ115" s="169" t="n">
        <v>0.3</v>
      </c>
      <c r="AK115" s="65"/>
      <c r="AL115" s="169" t="n">
        <v>-0.15</v>
      </c>
      <c r="AM115" s="169" t="n">
        <v>0.4</v>
      </c>
      <c r="AN115" s="169" t="n">
        <v>0.2</v>
      </c>
      <c r="AO115" s="65"/>
      <c r="AP115" s="134" t="n">
        <v>33</v>
      </c>
      <c r="AQ115" s="170" t="n">
        <v>0.4</v>
      </c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135" t="n">
        <v>39692</v>
      </c>
      <c r="BI115" s="172" t="n">
        <v>0.9</v>
      </c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0"/>
      <c r="CM115" s="206"/>
      <c r="CN115" s="206"/>
      <c r="CO115" s="173"/>
      <c r="CP115" s="0"/>
      <c r="CQ115" s="0"/>
      <c r="CR115" s="0"/>
      <c r="CS115" s="0"/>
      <c r="CT115" s="0"/>
      <c r="CY115" s="174" t="n">
        <f aca="false">M115</f>
        <v>39692</v>
      </c>
      <c r="CZ115" s="175" t="n">
        <f aca="false">AI115+AH115</f>
        <v>1.15</v>
      </c>
      <c r="DA115" s="175" t="n">
        <f aca="false">AI115</f>
        <v>1.5</v>
      </c>
      <c r="DB115" s="175" t="n">
        <f aca="false">AI115+AJ115</f>
        <v>1.8</v>
      </c>
      <c r="DD115" s="175" t="n">
        <f aca="false">Z115</f>
        <v>0.125866108972266</v>
      </c>
      <c r="DE115" s="175" t="n">
        <f aca="false">AA115</f>
        <v>0.251732217944531</v>
      </c>
      <c r="DF115" s="175" t="n">
        <f aca="false">AB115</f>
        <v>0.377598326916797</v>
      </c>
      <c r="DH115" s="174" t="n">
        <f aca="false">BH115</f>
        <v>39692</v>
      </c>
      <c r="DI115" s="128" t="n">
        <f aca="false">BI115</f>
        <v>0.9</v>
      </c>
    </row>
    <row r="116" customFormat="false" ht="12.75" hidden="false" customHeight="false" outlineLevel="0" collapsed="false">
      <c r="A116" s="138" t="n">
        <f aca="false">EOMONTH(A115,0)+1</f>
        <v>49065</v>
      </c>
      <c r="B116" s="128" t="n">
        <f aca="false">'Gas Curves'!C120</f>
        <v>0.059442101869223</v>
      </c>
      <c r="C116" s="128"/>
      <c r="D116" s="167" t="n">
        <v>38838</v>
      </c>
      <c r="E116" s="168" t="n">
        <v>40.9</v>
      </c>
      <c r="F116" s="168" t="n">
        <v>43</v>
      </c>
      <c r="G116" s="168" t="n">
        <v>46.18</v>
      </c>
      <c r="H116" s="152"/>
      <c r="I116" s="168" t="n">
        <v>21.0999996185303</v>
      </c>
      <c r="J116" s="168" t="n">
        <v>22.1499996185303</v>
      </c>
      <c r="K116" s="168" t="n">
        <v>23.7399996185303</v>
      </c>
      <c r="L116" s="134"/>
      <c r="M116" s="135" t="n">
        <v>39722</v>
      </c>
      <c r="N116" s="169" t="n">
        <v>26.4500011444092</v>
      </c>
      <c r="O116" s="169" t="n">
        <v>28.0250011444092</v>
      </c>
      <c r="P116" s="169" t="n">
        <v>29.5325011444092</v>
      </c>
      <c r="Q116" s="65"/>
      <c r="R116" s="169" t="n">
        <v>19.8000015258789</v>
      </c>
      <c r="S116" s="169" t="n">
        <v>24.8000015258789</v>
      </c>
      <c r="T116" s="169" t="n">
        <v>26.3075015258789</v>
      </c>
      <c r="U116" s="65"/>
      <c r="V116" s="169" t="n">
        <v>0</v>
      </c>
      <c r="W116" s="169" t="n">
        <v>0</v>
      </c>
      <c r="X116" s="169" t="n">
        <v>0</v>
      </c>
      <c r="Y116" s="65"/>
      <c r="Z116" s="169" t="n">
        <v>0.108862514677246</v>
      </c>
      <c r="AA116" s="169" t="n">
        <v>0.217725029354492</v>
      </c>
      <c r="AB116" s="169" t="n">
        <v>0.326587544031738</v>
      </c>
      <c r="AC116" s="65"/>
      <c r="AD116" s="169" t="n">
        <v>0.0255228906774536</v>
      </c>
      <c r="AE116" s="169" t="n">
        <v>0.0510457813549071</v>
      </c>
      <c r="AF116" s="169" t="n">
        <v>0.0765686720323607</v>
      </c>
      <c r="AG116" s="65"/>
      <c r="AH116" s="169" t="n">
        <v>-0.25</v>
      </c>
      <c r="AI116" s="169" t="n">
        <v>1.1</v>
      </c>
      <c r="AJ116" s="169" t="n">
        <v>0.3</v>
      </c>
      <c r="AK116" s="65"/>
      <c r="AL116" s="169" t="n">
        <v>-0.15</v>
      </c>
      <c r="AM116" s="169" t="n">
        <v>0.35</v>
      </c>
      <c r="AN116" s="169" t="n">
        <v>0.2</v>
      </c>
      <c r="AO116" s="65"/>
      <c r="AP116" s="134" t="n">
        <v>33</v>
      </c>
      <c r="AQ116" s="170" t="n">
        <v>0.4</v>
      </c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135" t="n">
        <v>39722</v>
      </c>
      <c r="BI116" s="172" t="n">
        <v>0.9</v>
      </c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0"/>
      <c r="CM116" s="206"/>
      <c r="CN116" s="206"/>
      <c r="CO116" s="173"/>
      <c r="CP116" s="0"/>
      <c r="CQ116" s="0"/>
      <c r="CR116" s="0"/>
      <c r="CS116" s="0"/>
      <c r="CT116" s="0"/>
      <c r="CY116" s="174" t="n">
        <f aca="false">M116</f>
        <v>39722</v>
      </c>
      <c r="CZ116" s="175" t="n">
        <f aca="false">AI116+AH116</f>
        <v>0.85</v>
      </c>
      <c r="DA116" s="175" t="n">
        <f aca="false">AI116</f>
        <v>1.1</v>
      </c>
      <c r="DB116" s="175" t="n">
        <f aca="false">AI116+AJ116</f>
        <v>1.4</v>
      </c>
      <c r="DD116" s="175" t="n">
        <f aca="false">Z116</f>
        <v>0.108862514677246</v>
      </c>
      <c r="DE116" s="175" t="n">
        <f aca="false">AA116</f>
        <v>0.217725029354492</v>
      </c>
      <c r="DF116" s="175" t="n">
        <f aca="false">AB116</f>
        <v>0.326587544031738</v>
      </c>
      <c r="DH116" s="174" t="n">
        <f aca="false">BH116</f>
        <v>39722</v>
      </c>
      <c r="DI116" s="128" t="n">
        <f aca="false">BI116</f>
        <v>0.9</v>
      </c>
    </row>
    <row r="117" customFormat="false" ht="12.75" hidden="false" customHeight="false" outlineLevel="0" collapsed="false">
      <c r="A117" s="138" t="n">
        <f aca="false">EOMONTH(A116,0)+1</f>
        <v>49096</v>
      </c>
      <c r="B117" s="128" t="n">
        <f aca="false">'Gas Curves'!C121</f>
        <v>0.059499225441054</v>
      </c>
      <c r="C117" s="128"/>
      <c r="D117" s="167" t="n">
        <v>38869</v>
      </c>
      <c r="E117" s="168" t="n">
        <v>48.95</v>
      </c>
      <c r="F117" s="168" t="n">
        <v>53</v>
      </c>
      <c r="G117" s="168" t="n">
        <v>57.84</v>
      </c>
      <c r="H117" s="152"/>
      <c r="I117" s="168" t="n">
        <v>20.4999996185303</v>
      </c>
      <c r="J117" s="168" t="n">
        <v>22.5249996185303</v>
      </c>
      <c r="K117" s="168" t="n">
        <v>24.9449996185303</v>
      </c>
      <c r="L117" s="134"/>
      <c r="M117" s="135" t="n">
        <v>39753</v>
      </c>
      <c r="N117" s="169" t="n">
        <v>28.8000015258789</v>
      </c>
      <c r="O117" s="169" t="n">
        <v>30.3750015258789</v>
      </c>
      <c r="P117" s="169" t="n">
        <v>31.8825015258789</v>
      </c>
      <c r="Q117" s="65"/>
      <c r="R117" s="169" t="n">
        <v>22.0000003814697</v>
      </c>
      <c r="S117" s="169" t="n">
        <v>27.0000003814697</v>
      </c>
      <c r="T117" s="169" t="n">
        <v>28.5075003814697</v>
      </c>
      <c r="U117" s="65"/>
      <c r="V117" s="169" t="n">
        <v>0</v>
      </c>
      <c r="W117" s="169" t="n">
        <v>0</v>
      </c>
      <c r="X117" s="169" t="n">
        <v>0</v>
      </c>
      <c r="Y117" s="65"/>
      <c r="Z117" s="169" t="n">
        <v>0.108862514677246</v>
      </c>
      <c r="AA117" s="169" t="n">
        <v>0.217725029354492</v>
      </c>
      <c r="AB117" s="169" t="n">
        <v>0.326587544031738</v>
      </c>
      <c r="AC117" s="65"/>
      <c r="AD117" s="169" t="n">
        <v>0.0255228906774536</v>
      </c>
      <c r="AE117" s="169" t="n">
        <v>0.0510457813549071</v>
      </c>
      <c r="AF117" s="169" t="n">
        <v>0.0765686720323607</v>
      </c>
      <c r="AG117" s="65"/>
      <c r="AH117" s="169" t="n">
        <v>-0.25</v>
      </c>
      <c r="AI117" s="169" t="n">
        <v>1.25</v>
      </c>
      <c r="AJ117" s="169" t="n">
        <v>0.3</v>
      </c>
      <c r="AK117" s="65"/>
      <c r="AL117" s="169" t="n">
        <v>-0.15</v>
      </c>
      <c r="AM117" s="169" t="n">
        <v>0.3</v>
      </c>
      <c r="AN117" s="169" t="n">
        <v>0.2</v>
      </c>
      <c r="AO117" s="65"/>
      <c r="AP117" s="134" t="n">
        <v>34</v>
      </c>
      <c r="AQ117" s="170" t="n">
        <v>0.4</v>
      </c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135" t="n">
        <v>39753</v>
      </c>
      <c r="BI117" s="172" t="n">
        <v>0.9</v>
      </c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  <c r="CC117" s="65"/>
      <c r="CD117" s="65"/>
      <c r="CE117" s="65"/>
      <c r="CF117" s="65"/>
      <c r="CG117" s="65"/>
      <c r="CH117" s="0"/>
      <c r="CM117" s="206"/>
      <c r="CN117" s="206"/>
      <c r="CO117" s="173"/>
      <c r="CP117" s="0"/>
      <c r="CQ117" s="0"/>
      <c r="CR117" s="0"/>
      <c r="CS117" s="0"/>
      <c r="CT117" s="0"/>
      <c r="CY117" s="174" t="n">
        <f aca="false">M117</f>
        <v>39753</v>
      </c>
      <c r="CZ117" s="175" t="n">
        <f aca="false">AI117+AH117</f>
        <v>1</v>
      </c>
      <c r="DA117" s="175" t="n">
        <f aca="false">AI117</f>
        <v>1.25</v>
      </c>
      <c r="DB117" s="175" t="n">
        <f aca="false">AI117+AJ117</f>
        <v>1.55</v>
      </c>
      <c r="DD117" s="175" t="n">
        <f aca="false">Z117</f>
        <v>0.108862514677246</v>
      </c>
      <c r="DE117" s="175" t="n">
        <f aca="false">AA117</f>
        <v>0.217725029354492</v>
      </c>
      <c r="DF117" s="175" t="n">
        <f aca="false">AB117</f>
        <v>0.326587544031738</v>
      </c>
      <c r="DH117" s="174" t="n">
        <f aca="false">BH117</f>
        <v>39753</v>
      </c>
      <c r="DI117" s="128" t="n">
        <f aca="false">BI117</f>
        <v>0.9</v>
      </c>
    </row>
    <row r="118" customFormat="false" ht="12.75" hidden="false" customHeight="false" outlineLevel="0" collapsed="false">
      <c r="A118" s="138" t="n">
        <f aca="false">EOMONTH(A117,0)+1</f>
        <v>49126</v>
      </c>
      <c r="B118" s="128" t="n">
        <f aca="false">'Gas Curves'!C122</f>
        <v>0.059558253133085</v>
      </c>
      <c r="C118" s="128"/>
      <c r="D118" s="167" t="n">
        <v>38899</v>
      </c>
      <c r="E118" s="168" t="n">
        <v>62.35</v>
      </c>
      <c r="F118" s="168" t="n">
        <v>72.25</v>
      </c>
      <c r="G118" s="168" t="n">
        <v>82.58</v>
      </c>
      <c r="H118" s="152"/>
      <c r="I118" s="168" t="n">
        <v>21.3</v>
      </c>
      <c r="J118" s="168" t="n">
        <v>26.25</v>
      </c>
      <c r="K118" s="168" t="n">
        <v>31.415</v>
      </c>
      <c r="L118" s="134"/>
      <c r="M118" s="135" t="n">
        <v>39783</v>
      </c>
      <c r="N118" s="169" t="n">
        <v>29.4</v>
      </c>
      <c r="O118" s="169" t="n">
        <v>30.975</v>
      </c>
      <c r="P118" s="169" t="n">
        <v>32.4825</v>
      </c>
      <c r="Q118" s="65"/>
      <c r="R118" s="169" t="n">
        <v>22.5000003814697</v>
      </c>
      <c r="S118" s="169" t="n">
        <v>27.5000003814697</v>
      </c>
      <c r="T118" s="169" t="n">
        <v>29.0075003814697</v>
      </c>
      <c r="U118" s="65"/>
      <c r="V118" s="169" t="n">
        <v>0</v>
      </c>
      <c r="W118" s="169" t="n">
        <v>0</v>
      </c>
      <c r="X118" s="169" t="n">
        <v>0</v>
      </c>
      <c r="Y118" s="65"/>
      <c r="Z118" s="169" t="n">
        <v>0.106689399275586</v>
      </c>
      <c r="AA118" s="169" t="n">
        <v>0.213378798551172</v>
      </c>
      <c r="AB118" s="169" t="n">
        <v>0.320068197826758</v>
      </c>
      <c r="AC118" s="65"/>
      <c r="AD118" s="169" t="n">
        <v>0.0255228906774536</v>
      </c>
      <c r="AE118" s="169" t="n">
        <v>0.0510457813549071</v>
      </c>
      <c r="AF118" s="169" t="n">
        <v>0.0765686720323607</v>
      </c>
      <c r="AG118" s="65"/>
      <c r="AH118" s="169" t="n">
        <v>-0.25</v>
      </c>
      <c r="AI118" s="169" t="n">
        <v>1.25</v>
      </c>
      <c r="AJ118" s="169" t="n">
        <v>0.35</v>
      </c>
      <c r="AK118" s="65"/>
      <c r="AL118" s="169" t="n">
        <v>-0.15</v>
      </c>
      <c r="AM118" s="169" t="n">
        <v>0.3</v>
      </c>
      <c r="AN118" s="169" t="n">
        <v>0.2</v>
      </c>
      <c r="AO118" s="65"/>
      <c r="AP118" s="134" t="n">
        <v>34</v>
      </c>
      <c r="AQ118" s="170" t="n">
        <v>0.4</v>
      </c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135" t="n">
        <v>39783</v>
      </c>
      <c r="BI118" s="172" t="n">
        <v>0.9</v>
      </c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0"/>
      <c r="CM118" s="206"/>
      <c r="CN118" s="206"/>
      <c r="CO118" s="173"/>
      <c r="CP118" s="0"/>
      <c r="CQ118" s="0"/>
      <c r="CR118" s="0"/>
      <c r="CS118" s="0"/>
      <c r="CT118" s="0"/>
      <c r="CY118" s="174" t="n">
        <f aca="false">M118</f>
        <v>39783</v>
      </c>
      <c r="CZ118" s="175" t="n">
        <f aca="false">AI118+AH118</f>
        <v>1</v>
      </c>
      <c r="DA118" s="175" t="n">
        <f aca="false">AI118</f>
        <v>1.25</v>
      </c>
      <c r="DB118" s="175" t="n">
        <f aca="false">AI118+AJ118</f>
        <v>1.6</v>
      </c>
      <c r="DD118" s="175" t="n">
        <f aca="false">Z118</f>
        <v>0.106689399275586</v>
      </c>
      <c r="DE118" s="175" t="n">
        <f aca="false">AA118</f>
        <v>0.213378798551172</v>
      </c>
      <c r="DF118" s="175" t="n">
        <f aca="false">AB118</f>
        <v>0.320068197826758</v>
      </c>
      <c r="DH118" s="174" t="n">
        <f aca="false">BH118</f>
        <v>39783</v>
      </c>
      <c r="DI118" s="128" t="n">
        <f aca="false">BI118</f>
        <v>0.9</v>
      </c>
    </row>
    <row r="119" customFormat="false" ht="12.75" hidden="false" customHeight="false" outlineLevel="0" collapsed="false">
      <c r="A119" s="138" t="n">
        <f aca="false">EOMONTH(A118,0)+1</f>
        <v>49157</v>
      </c>
      <c r="B119" s="128" t="n">
        <f aca="false">'Gas Curves'!C123</f>
        <v>0.059615376707121</v>
      </c>
      <c r="C119" s="128"/>
      <c r="D119" s="167" t="n">
        <v>38930</v>
      </c>
      <c r="E119" s="168" t="n">
        <v>62.35</v>
      </c>
      <c r="F119" s="168" t="n">
        <v>72.25</v>
      </c>
      <c r="G119" s="168" t="n">
        <v>82.58</v>
      </c>
      <c r="H119" s="152"/>
      <c r="I119" s="168" t="n">
        <v>33.4500015258789</v>
      </c>
      <c r="J119" s="168" t="n">
        <v>38.4000015258789</v>
      </c>
      <c r="K119" s="168" t="n">
        <v>43.5650015258789</v>
      </c>
      <c r="L119" s="134"/>
      <c r="M119" s="135" t="n">
        <v>39814</v>
      </c>
      <c r="N119" s="169" t="n">
        <v>32.2294960021973</v>
      </c>
      <c r="O119" s="169" t="n">
        <v>33.8044960021973</v>
      </c>
      <c r="P119" s="169" t="n">
        <v>35.0644960021973</v>
      </c>
      <c r="Q119" s="65"/>
      <c r="R119" s="169" t="n">
        <v>24.9039974212647</v>
      </c>
      <c r="S119" s="169" t="n">
        <v>29.9039974212647</v>
      </c>
      <c r="T119" s="169" t="n">
        <v>31.1639974212647</v>
      </c>
      <c r="U119" s="65"/>
      <c r="V119" s="169" t="n">
        <v>0</v>
      </c>
      <c r="W119" s="169" t="n">
        <v>0</v>
      </c>
      <c r="X119" s="169" t="n">
        <v>0</v>
      </c>
      <c r="Y119" s="65"/>
      <c r="Z119" s="169" t="n">
        <v>0.157440143404336</v>
      </c>
      <c r="AA119" s="169" t="n">
        <v>0.314880286808672</v>
      </c>
      <c r="AB119" s="169" t="n">
        <v>0.472320430213008</v>
      </c>
      <c r="AC119" s="65"/>
      <c r="AD119" s="169" t="n">
        <v>0.0291811716745553</v>
      </c>
      <c r="AE119" s="169" t="n">
        <v>0.0583623433491105</v>
      </c>
      <c r="AF119" s="169" t="n">
        <v>0.0875435150236658</v>
      </c>
      <c r="AG119" s="65"/>
      <c r="AH119" s="169" t="n">
        <v>-0.75</v>
      </c>
      <c r="AI119" s="169" t="n">
        <v>2</v>
      </c>
      <c r="AJ119" s="169" t="n">
        <v>0.75</v>
      </c>
      <c r="AK119" s="65"/>
      <c r="AL119" s="169" t="n">
        <v>-0.15</v>
      </c>
      <c r="AM119" s="169" t="n">
        <v>0.5</v>
      </c>
      <c r="AN119" s="169" t="n">
        <v>0.2</v>
      </c>
      <c r="AO119" s="65"/>
      <c r="AP119" s="134" t="n">
        <v>34</v>
      </c>
      <c r="AQ119" s="170" t="n">
        <v>0.4</v>
      </c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135" t="n">
        <v>39814</v>
      </c>
      <c r="BI119" s="172" t="n">
        <v>0.9</v>
      </c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0"/>
      <c r="CM119" s="206"/>
      <c r="CN119" s="206"/>
      <c r="CO119" s="173"/>
      <c r="CP119" s="0"/>
      <c r="CQ119" s="0"/>
      <c r="CR119" s="0"/>
      <c r="CS119" s="0"/>
      <c r="CT119" s="0"/>
      <c r="CY119" s="174" t="n">
        <f aca="false">M119</f>
        <v>39814</v>
      </c>
      <c r="CZ119" s="175" t="n">
        <f aca="false">AI119+AH119</f>
        <v>1.25</v>
      </c>
      <c r="DA119" s="175" t="n">
        <f aca="false">AI119</f>
        <v>2</v>
      </c>
      <c r="DB119" s="175" t="n">
        <f aca="false">AI119+AJ119</f>
        <v>2.75</v>
      </c>
      <c r="DD119" s="175" t="n">
        <f aca="false">Z119</f>
        <v>0.157440143404336</v>
      </c>
      <c r="DE119" s="175" t="n">
        <f aca="false">AA119</f>
        <v>0.314880286808672</v>
      </c>
      <c r="DF119" s="175" t="n">
        <f aca="false">AB119</f>
        <v>0.472320430213008</v>
      </c>
      <c r="DH119" s="174" t="n">
        <f aca="false">BH119</f>
        <v>39814</v>
      </c>
      <c r="DI119" s="128" t="n">
        <f aca="false">BI119</f>
        <v>0.9</v>
      </c>
    </row>
    <row r="120" customFormat="false" ht="12.75" hidden="false" customHeight="false" outlineLevel="0" collapsed="false">
      <c r="A120" s="138" t="n">
        <f aca="false">EOMONTH(A119,0)+1</f>
        <v>49188</v>
      </c>
      <c r="B120" s="128" t="n">
        <f aca="false">'Gas Curves'!C124</f>
        <v>0.059674404401431</v>
      </c>
      <c r="C120" s="128"/>
      <c r="D120" s="167" t="n">
        <v>38961</v>
      </c>
      <c r="E120" s="168" t="n">
        <v>36.45</v>
      </c>
      <c r="F120" s="168" t="n">
        <v>40.5</v>
      </c>
      <c r="G120" s="168" t="n">
        <v>43.68</v>
      </c>
      <c r="H120" s="152"/>
      <c r="I120" s="168" t="n">
        <v>24.8749996185303</v>
      </c>
      <c r="J120" s="168" t="n">
        <v>26.8999996185303</v>
      </c>
      <c r="K120" s="168" t="n">
        <v>28.4899996185303</v>
      </c>
      <c r="L120" s="134"/>
      <c r="M120" s="135" t="n">
        <v>39845</v>
      </c>
      <c r="N120" s="169" t="n">
        <v>31.8919967651367</v>
      </c>
      <c r="O120" s="169" t="n">
        <v>33.1294967651367</v>
      </c>
      <c r="P120" s="169" t="n">
        <v>34.3894967651367</v>
      </c>
      <c r="Q120" s="65"/>
      <c r="R120" s="169" t="n">
        <v>24.3039970397949</v>
      </c>
      <c r="S120" s="169" t="n">
        <v>29.3039970397949</v>
      </c>
      <c r="T120" s="169" t="n">
        <v>30.5639970397949</v>
      </c>
      <c r="U120" s="65"/>
      <c r="V120" s="169" t="n">
        <v>0</v>
      </c>
      <c r="W120" s="169" t="n">
        <v>0</v>
      </c>
      <c r="X120" s="169" t="n">
        <v>0</v>
      </c>
      <c r="Y120" s="65"/>
      <c r="Z120" s="169" t="n">
        <v>0.152097863089219</v>
      </c>
      <c r="AA120" s="169" t="n">
        <v>0.304195726178437</v>
      </c>
      <c r="AB120" s="169" t="n">
        <v>0.456293589267656</v>
      </c>
      <c r="AC120" s="65"/>
      <c r="AD120" s="169" t="n">
        <v>0.0291811716745553</v>
      </c>
      <c r="AE120" s="169" t="n">
        <v>0.0583623433491105</v>
      </c>
      <c r="AF120" s="169" t="n">
        <v>0.0875435150236658</v>
      </c>
      <c r="AG120" s="65"/>
      <c r="AH120" s="169" t="n">
        <v>-0.75</v>
      </c>
      <c r="AI120" s="169" t="n">
        <v>2</v>
      </c>
      <c r="AJ120" s="169" t="n">
        <v>0.75</v>
      </c>
      <c r="AK120" s="65"/>
      <c r="AL120" s="169" t="n">
        <v>-0.15</v>
      </c>
      <c r="AM120" s="169" t="n">
        <v>0.5</v>
      </c>
      <c r="AN120" s="169" t="n">
        <v>0.2</v>
      </c>
      <c r="AO120" s="65"/>
      <c r="AP120" s="134" t="n">
        <v>35</v>
      </c>
      <c r="AQ120" s="170" t="n">
        <v>0.4</v>
      </c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135" t="n">
        <v>39845</v>
      </c>
      <c r="BI120" s="172" t="n">
        <v>0.9</v>
      </c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  <c r="CC120" s="65"/>
      <c r="CD120" s="65"/>
      <c r="CE120" s="65"/>
      <c r="CF120" s="65"/>
      <c r="CG120" s="65"/>
      <c r="CH120" s="0"/>
      <c r="CM120" s="206"/>
      <c r="CN120" s="206"/>
      <c r="CO120" s="173"/>
      <c r="CP120" s="0"/>
      <c r="CQ120" s="0"/>
      <c r="CR120" s="0"/>
      <c r="CS120" s="0"/>
      <c r="CT120" s="0"/>
      <c r="CY120" s="174" t="n">
        <f aca="false">M120</f>
        <v>39845</v>
      </c>
      <c r="CZ120" s="175" t="n">
        <f aca="false">AI120+AH120</f>
        <v>1.25</v>
      </c>
      <c r="DA120" s="175" t="n">
        <f aca="false">AI120</f>
        <v>2</v>
      </c>
      <c r="DB120" s="175" t="n">
        <f aca="false">AI120+AJ120</f>
        <v>2.75</v>
      </c>
      <c r="DD120" s="175" t="n">
        <f aca="false">Z120</f>
        <v>0.152097863089219</v>
      </c>
      <c r="DE120" s="175" t="n">
        <f aca="false">AA120</f>
        <v>0.304195726178437</v>
      </c>
      <c r="DF120" s="175" t="n">
        <f aca="false">AB120</f>
        <v>0.456293589267656</v>
      </c>
      <c r="DH120" s="174" t="n">
        <f aca="false">BH120</f>
        <v>39845</v>
      </c>
      <c r="DI120" s="128" t="n">
        <f aca="false">BI120</f>
        <v>0.9</v>
      </c>
    </row>
    <row r="121" customFormat="false" ht="12.75" hidden="false" customHeight="false" outlineLevel="0" collapsed="false">
      <c r="A121" s="138" t="n">
        <f aca="false">EOMONTH(A120,0)+1</f>
        <v>49218</v>
      </c>
      <c r="B121" s="128" t="n">
        <f aca="false">'Gas Curves'!C125</f>
        <v>0.059733432096898</v>
      </c>
      <c r="C121" s="128"/>
      <c r="D121" s="167" t="n">
        <v>38991</v>
      </c>
      <c r="E121" s="168" t="n">
        <v>38.4</v>
      </c>
      <c r="F121" s="168" t="n">
        <v>40.5</v>
      </c>
      <c r="G121" s="168" t="n">
        <v>42.51</v>
      </c>
      <c r="H121" s="152"/>
      <c r="I121" s="168" t="n">
        <v>23.8499996185303</v>
      </c>
      <c r="J121" s="168" t="n">
        <v>24.8999996185303</v>
      </c>
      <c r="K121" s="168" t="n">
        <v>25.9049996185303</v>
      </c>
      <c r="L121" s="134"/>
      <c r="M121" s="135" t="n">
        <v>39873</v>
      </c>
      <c r="N121" s="169" t="n">
        <v>26.0374969482422</v>
      </c>
      <c r="O121" s="169" t="n">
        <v>27.2749969482422</v>
      </c>
      <c r="P121" s="169" t="n">
        <v>28.5349969482422</v>
      </c>
      <c r="Q121" s="65"/>
      <c r="R121" s="169" t="n">
        <v>19.0999984741211</v>
      </c>
      <c r="S121" s="169" t="n">
        <v>24.0999984741211</v>
      </c>
      <c r="T121" s="169" t="n">
        <v>25.3599984741211</v>
      </c>
      <c r="U121" s="65"/>
      <c r="V121" s="169" t="n">
        <v>0</v>
      </c>
      <c r="W121" s="169" t="n">
        <v>0</v>
      </c>
      <c r="X121" s="169" t="n">
        <v>0</v>
      </c>
      <c r="Y121" s="65"/>
      <c r="Z121" s="169" t="n">
        <v>0.120576663386787</v>
      </c>
      <c r="AA121" s="169" t="n">
        <v>0.241153326773574</v>
      </c>
      <c r="AB121" s="169" t="n">
        <v>0.361729990160361</v>
      </c>
      <c r="AC121" s="65"/>
      <c r="AD121" s="169" t="n">
        <v>0.0255228906774536</v>
      </c>
      <c r="AE121" s="169" t="n">
        <v>0.0510457813549071</v>
      </c>
      <c r="AF121" s="169" t="n">
        <v>0.0765686720323607</v>
      </c>
      <c r="AG121" s="65"/>
      <c r="AH121" s="169" t="n">
        <v>-0.25</v>
      </c>
      <c r="AI121" s="169" t="n">
        <v>1.3</v>
      </c>
      <c r="AJ121" s="169" t="n">
        <v>0.3</v>
      </c>
      <c r="AK121" s="65"/>
      <c r="AL121" s="169" t="n">
        <v>-0.15</v>
      </c>
      <c r="AM121" s="169" t="n">
        <v>0.35</v>
      </c>
      <c r="AN121" s="169" t="n">
        <v>0.2</v>
      </c>
      <c r="AO121" s="65"/>
      <c r="AP121" s="134" t="n">
        <v>35</v>
      </c>
      <c r="AQ121" s="170" t="n">
        <v>0.4</v>
      </c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135" t="n">
        <v>39873</v>
      </c>
      <c r="BI121" s="172" t="n">
        <v>0.9</v>
      </c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0"/>
      <c r="CM121" s="206"/>
      <c r="CN121" s="206"/>
      <c r="CO121" s="173"/>
      <c r="CP121" s="0"/>
      <c r="CQ121" s="0"/>
      <c r="CR121" s="0"/>
      <c r="CS121" s="0"/>
      <c r="CT121" s="0"/>
      <c r="CY121" s="174" t="n">
        <f aca="false">M121</f>
        <v>39873</v>
      </c>
      <c r="CZ121" s="175" t="n">
        <f aca="false">AI121+AH121</f>
        <v>1.05</v>
      </c>
      <c r="DA121" s="175" t="n">
        <f aca="false">AI121</f>
        <v>1.3</v>
      </c>
      <c r="DB121" s="175" t="n">
        <f aca="false">AI121+AJ121</f>
        <v>1.6</v>
      </c>
      <c r="DD121" s="175" t="n">
        <f aca="false">Z121</f>
        <v>0.120576663386787</v>
      </c>
      <c r="DE121" s="175" t="n">
        <f aca="false">AA121</f>
        <v>0.241153326773574</v>
      </c>
      <c r="DF121" s="175" t="n">
        <f aca="false">AB121</f>
        <v>0.361729990160361</v>
      </c>
      <c r="DH121" s="174" t="n">
        <f aca="false">BH121</f>
        <v>39873</v>
      </c>
      <c r="DI121" s="128" t="n">
        <f aca="false">BI121</f>
        <v>0.9</v>
      </c>
    </row>
    <row r="122" customFormat="false" ht="12.75" hidden="false" customHeight="false" outlineLevel="0" collapsed="false">
      <c r="A122" s="138" t="n">
        <f aca="false">EOMONTH(A121,0)+1</f>
        <v>49249</v>
      </c>
      <c r="B122" s="128" t="n">
        <f aca="false">'Gas Curves'!C126</f>
        <v>0.059786747435735</v>
      </c>
      <c r="C122" s="128"/>
      <c r="D122" s="167" t="n">
        <v>39022</v>
      </c>
      <c r="E122" s="168" t="n">
        <v>40.9</v>
      </c>
      <c r="F122" s="168" t="n">
        <v>43</v>
      </c>
      <c r="G122" s="168" t="n">
        <v>45.01</v>
      </c>
      <c r="H122" s="152"/>
      <c r="I122" s="168" t="n">
        <v>24.5999996185303</v>
      </c>
      <c r="J122" s="168" t="n">
        <v>25.6499996185303</v>
      </c>
      <c r="K122" s="168" t="n">
        <v>26.6549996185303</v>
      </c>
      <c r="L122" s="134"/>
      <c r="M122" s="135" t="n">
        <v>39904</v>
      </c>
      <c r="N122" s="169" t="n">
        <v>25.0249996185303</v>
      </c>
      <c r="O122" s="169" t="n">
        <v>26.5999996185303</v>
      </c>
      <c r="P122" s="169" t="n">
        <v>27.8599996185303</v>
      </c>
      <c r="Q122" s="65"/>
      <c r="R122" s="169" t="n">
        <v>18.5</v>
      </c>
      <c r="S122" s="169" t="n">
        <v>23.5</v>
      </c>
      <c r="T122" s="169" t="n">
        <v>24.76</v>
      </c>
      <c r="U122" s="65"/>
      <c r="V122" s="169" t="n">
        <v>0</v>
      </c>
      <c r="W122" s="169" t="n">
        <v>0</v>
      </c>
      <c r="X122" s="169" t="n">
        <v>0</v>
      </c>
      <c r="Y122" s="65"/>
      <c r="Z122" s="169" t="n">
        <v>0.120410808278965</v>
      </c>
      <c r="AA122" s="169" t="n">
        <v>0.24082161655793</v>
      </c>
      <c r="AB122" s="169" t="n">
        <v>0.361232424836895</v>
      </c>
      <c r="AC122" s="65"/>
      <c r="AD122" s="169" t="n">
        <v>0.0255228906774536</v>
      </c>
      <c r="AE122" s="169" t="n">
        <v>0.0510457813549071</v>
      </c>
      <c r="AF122" s="169" t="n">
        <v>0.0765686720323607</v>
      </c>
      <c r="AG122" s="65"/>
      <c r="AH122" s="169" t="n">
        <v>-0.25</v>
      </c>
      <c r="AI122" s="169" t="n">
        <v>1.1</v>
      </c>
      <c r="AJ122" s="169" t="n">
        <v>0.3</v>
      </c>
      <c r="AK122" s="65"/>
      <c r="AL122" s="169" t="n">
        <v>-0.15</v>
      </c>
      <c r="AM122" s="169" t="n">
        <v>0.35</v>
      </c>
      <c r="AN122" s="169" t="n">
        <v>0.2</v>
      </c>
      <c r="AO122" s="65"/>
      <c r="AP122" s="134" t="n">
        <v>35</v>
      </c>
      <c r="AQ122" s="170" t="n">
        <v>0.4</v>
      </c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135" t="n">
        <v>39904</v>
      </c>
      <c r="BI122" s="172" t="n">
        <v>0.9</v>
      </c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/>
      <c r="CB122" s="65"/>
      <c r="CC122" s="65"/>
      <c r="CD122" s="65"/>
      <c r="CE122" s="65"/>
      <c r="CF122" s="65"/>
      <c r="CG122" s="65"/>
      <c r="CH122" s="0"/>
      <c r="CM122" s="206"/>
      <c r="CN122" s="206"/>
      <c r="CO122" s="173"/>
      <c r="CP122" s="0"/>
      <c r="CQ122" s="0"/>
      <c r="CR122" s="0"/>
      <c r="CS122" s="0"/>
      <c r="CT122" s="0"/>
      <c r="CY122" s="174" t="n">
        <f aca="false">M122</f>
        <v>39904</v>
      </c>
      <c r="CZ122" s="175" t="n">
        <f aca="false">AI122+AH122</f>
        <v>0.85</v>
      </c>
      <c r="DA122" s="175" t="n">
        <f aca="false">AI122</f>
        <v>1.1</v>
      </c>
      <c r="DB122" s="175" t="n">
        <f aca="false">AI122+AJ122</f>
        <v>1.4</v>
      </c>
      <c r="DD122" s="175" t="n">
        <f aca="false">Z122</f>
        <v>0.120410808278965</v>
      </c>
      <c r="DE122" s="175" t="n">
        <f aca="false">AA122</f>
        <v>0.24082161655793</v>
      </c>
      <c r="DF122" s="175" t="n">
        <f aca="false">AB122</f>
        <v>0.361232424836895</v>
      </c>
      <c r="DH122" s="174" t="n">
        <f aca="false">BH122</f>
        <v>39904</v>
      </c>
      <c r="DI122" s="128" t="n">
        <f aca="false">BI122</f>
        <v>0.9</v>
      </c>
    </row>
    <row r="123" customFormat="false" ht="12.75" hidden="false" customHeight="false" outlineLevel="0" collapsed="false">
      <c r="A123" s="138" t="n">
        <f aca="false">EOMONTH(A122,0)+1</f>
        <v>49279</v>
      </c>
      <c r="B123" s="128" t="n">
        <f aca="false">'Gas Curves'!C127</f>
        <v>0.059845775133406</v>
      </c>
      <c r="C123" s="128"/>
      <c r="D123" s="167" t="n">
        <v>39052</v>
      </c>
      <c r="E123" s="168" t="n">
        <v>40.9</v>
      </c>
      <c r="F123" s="168" t="n">
        <v>43</v>
      </c>
      <c r="G123" s="168" t="n">
        <v>45.01</v>
      </c>
      <c r="H123" s="152"/>
      <c r="I123" s="168" t="n">
        <v>24.4999992370605</v>
      </c>
      <c r="J123" s="168" t="n">
        <v>25.5499992370605</v>
      </c>
      <c r="K123" s="168" t="n">
        <v>26.5549992370605</v>
      </c>
      <c r="L123" s="134"/>
      <c r="M123" s="135" t="n">
        <v>39934</v>
      </c>
      <c r="N123" s="169" t="n">
        <v>28.625</v>
      </c>
      <c r="O123" s="169" t="n">
        <v>30.2</v>
      </c>
      <c r="P123" s="169" t="n">
        <v>32.585</v>
      </c>
      <c r="Q123" s="65"/>
      <c r="R123" s="169" t="n">
        <v>21.6999988555908</v>
      </c>
      <c r="S123" s="169" t="n">
        <v>26.6999988555908</v>
      </c>
      <c r="T123" s="169" t="n">
        <v>29.0849988555908</v>
      </c>
      <c r="U123" s="65"/>
      <c r="V123" s="169" t="n">
        <v>0</v>
      </c>
      <c r="W123" s="169" t="n">
        <v>0</v>
      </c>
      <c r="X123" s="169" t="n">
        <v>0</v>
      </c>
      <c r="Y123" s="65"/>
      <c r="Z123" s="169" t="n">
        <v>0.126674893824926</v>
      </c>
      <c r="AA123" s="169" t="n">
        <v>0.253349787649852</v>
      </c>
      <c r="AB123" s="169" t="n">
        <v>0.380024681474777</v>
      </c>
      <c r="AC123" s="65"/>
      <c r="AD123" s="169" t="n">
        <v>0.0291811716745553</v>
      </c>
      <c r="AE123" s="169" t="n">
        <v>0.0583623433491105</v>
      </c>
      <c r="AF123" s="169" t="n">
        <v>0.0875435150236658</v>
      </c>
      <c r="AG123" s="65"/>
      <c r="AH123" s="169" t="n">
        <v>-0.25</v>
      </c>
      <c r="AI123" s="169" t="n">
        <v>1.1</v>
      </c>
      <c r="AJ123" s="169" t="n">
        <v>0.3</v>
      </c>
      <c r="AK123" s="65"/>
      <c r="AL123" s="169" t="n">
        <v>-0.15</v>
      </c>
      <c r="AM123" s="169" t="n">
        <v>0.5</v>
      </c>
      <c r="AN123" s="169" t="n">
        <v>0.2</v>
      </c>
      <c r="AO123" s="65"/>
      <c r="AP123" s="134" t="n">
        <v>36</v>
      </c>
      <c r="AQ123" s="170" t="n">
        <v>0.4</v>
      </c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135" t="n">
        <v>39934</v>
      </c>
      <c r="BI123" s="172" t="n">
        <v>0.9</v>
      </c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0"/>
      <c r="CM123" s="206"/>
      <c r="CN123" s="206"/>
      <c r="CO123" s="173"/>
      <c r="CP123" s="0"/>
      <c r="CQ123" s="0"/>
      <c r="CR123" s="0"/>
      <c r="CS123" s="0"/>
      <c r="CT123" s="0"/>
      <c r="CY123" s="174" t="n">
        <f aca="false">M123</f>
        <v>39934</v>
      </c>
      <c r="CZ123" s="175" t="n">
        <f aca="false">AI123+AH123</f>
        <v>0.85</v>
      </c>
      <c r="DA123" s="175" t="n">
        <f aca="false">AI123</f>
        <v>1.1</v>
      </c>
      <c r="DB123" s="175" t="n">
        <f aca="false">AI123+AJ123</f>
        <v>1.4</v>
      </c>
      <c r="DD123" s="175" t="n">
        <f aca="false">Z123</f>
        <v>0.126674893824926</v>
      </c>
      <c r="DE123" s="175" t="n">
        <f aca="false">AA123</f>
        <v>0.253349787649852</v>
      </c>
      <c r="DF123" s="175" t="n">
        <f aca="false">AB123</f>
        <v>0.380024681474777</v>
      </c>
      <c r="DH123" s="174" t="n">
        <f aca="false">BH123</f>
        <v>39934</v>
      </c>
      <c r="DI123" s="128" t="n">
        <f aca="false">BI123</f>
        <v>0.9</v>
      </c>
    </row>
    <row r="124" customFormat="false" ht="12.75" hidden="false" customHeight="false" outlineLevel="0" collapsed="false">
      <c r="A124" s="138" t="n">
        <f aca="false">EOMONTH(A123,0)+1</f>
        <v>49310</v>
      </c>
      <c r="B124" s="128" t="n">
        <f aca="false">'Gas Curves'!C128</f>
        <v>0.0599028987129</v>
      </c>
      <c r="C124" s="128"/>
      <c r="D124" s="167" t="n">
        <v>39083</v>
      </c>
      <c r="E124" s="168" t="n">
        <v>56.4</v>
      </c>
      <c r="F124" s="168" t="n">
        <v>58.5</v>
      </c>
      <c r="G124" s="168" t="n">
        <v>60.35</v>
      </c>
      <c r="H124" s="152"/>
      <c r="I124" s="168" t="n">
        <v>25.8000003814697</v>
      </c>
      <c r="J124" s="168" t="n">
        <v>26.8500003814697</v>
      </c>
      <c r="K124" s="168" t="n">
        <v>27.6900003814697</v>
      </c>
      <c r="L124" s="134"/>
      <c r="M124" s="135" t="n">
        <v>39965</v>
      </c>
      <c r="N124" s="169" t="n">
        <v>33.9625030517578</v>
      </c>
      <c r="O124" s="169" t="n">
        <v>37.0000030517578</v>
      </c>
      <c r="P124" s="169" t="n">
        <v>40.6300030517578</v>
      </c>
      <c r="Q124" s="65"/>
      <c r="R124" s="169" t="n">
        <v>27.2000026702881</v>
      </c>
      <c r="S124" s="169" t="n">
        <v>32.2000026702881</v>
      </c>
      <c r="T124" s="169" t="n">
        <v>35.8300026702881</v>
      </c>
      <c r="U124" s="65"/>
      <c r="V124" s="169" t="n">
        <v>0</v>
      </c>
      <c r="W124" s="169" t="n">
        <v>0</v>
      </c>
      <c r="X124" s="169" t="n">
        <v>0</v>
      </c>
      <c r="Y124" s="65"/>
      <c r="Z124" s="169" t="n">
        <v>0.135470452069227</v>
      </c>
      <c r="AA124" s="169" t="n">
        <v>0.270940904138453</v>
      </c>
      <c r="AB124" s="169" t="n">
        <v>0.40641135620768</v>
      </c>
      <c r="AC124" s="65"/>
      <c r="AD124" s="169" t="n">
        <v>0.0375186492958567</v>
      </c>
      <c r="AE124" s="169" t="n">
        <v>0.0750372985917135</v>
      </c>
      <c r="AF124" s="169" t="n">
        <v>0.11255594788757</v>
      </c>
      <c r="AG124" s="65"/>
      <c r="AH124" s="169" t="n">
        <v>-0.35</v>
      </c>
      <c r="AI124" s="169" t="n">
        <v>2</v>
      </c>
      <c r="AJ124" s="169" t="n">
        <v>0.3</v>
      </c>
      <c r="AK124" s="65"/>
      <c r="AL124" s="169" t="n">
        <v>-0.15</v>
      </c>
      <c r="AM124" s="169" t="n">
        <v>0.65</v>
      </c>
      <c r="AN124" s="169" t="n">
        <v>0.2</v>
      </c>
      <c r="AO124" s="65"/>
      <c r="AP124" s="134" t="n">
        <v>36</v>
      </c>
      <c r="AQ124" s="170" t="n">
        <v>0.4</v>
      </c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135" t="n">
        <v>39965</v>
      </c>
      <c r="BI124" s="172" t="n">
        <v>0.9</v>
      </c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0"/>
      <c r="CM124" s="206"/>
      <c r="CN124" s="206"/>
      <c r="CO124" s="173"/>
      <c r="CP124" s="0"/>
      <c r="CQ124" s="0"/>
      <c r="CR124" s="0"/>
      <c r="CS124" s="0"/>
      <c r="CT124" s="0"/>
      <c r="CY124" s="174" t="n">
        <f aca="false">M124</f>
        <v>39965</v>
      </c>
      <c r="CZ124" s="175" t="n">
        <f aca="false">AI124+AH124</f>
        <v>1.65</v>
      </c>
      <c r="DA124" s="175" t="n">
        <f aca="false">AI124</f>
        <v>2</v>
      </c>
      <c r="DB124" s="175" t="n">
        <f aca="false">AI124+AJ124</f>
        <v>2.3</v>
      </c>
      <c r="DD124" s="175" t="n">
        <f aca="false">Z124</f>
        <v>0.135470452069227</v>
      </c>
      <c r="DE124" s="175" t="n">
        <f aca="false">AA124</f>
        <v>0.270940904138453</v>
      </c>
      <c r="DF124" s="175" t="n">
        <f aca="false">AB124</f>
        <v>0.40641135620768</v>
      </c>
      <c r="DH124" s="174" t="n">
        <f aca="false">BH124</f>
        <v>39965</v>
      </c>
      <c r="DI124" s="128" t="n">
        <f aca="false">BI124</f>
        <v>0.9</v>
      </c>
    </row>
    <row r="125" customFormat="false" ht="12.75" hidden="false" customHeight="false" outlineLevel="0" collapsed="false">
      <c r="A125" s="138" t="n">
        <f aca="false">EOMONTH(A124,0)+1</f>
        <v>49341</v>
      </c>
      <c r="B125" s="128" t="n">
        <f aca="false">'Gas Curves'!C129</f>
        <v>0.059961926412849</v>
      </c>
      <c r="C125" s="128"/>
      <c r="D125" s="167" t="n">
        <v>39114</v>
      </c>
      <c r="E125" s="168" t="n">
        <v>56.85</v>
      </c>
      <c r="F125" s="168" t="n">
        <v>58.5</v>
      </c>
      <c r="G125" s="168" t="n">
        <v>60.35</v>
      </c>
      <c r="H125" s="152"/>
      <c r="I125" s="168" t="n">
        <v>22.675</v>
      </c>
      <c r="J125" s="168" t="n">
        <v>23.5</v>
      </c>
      <c r="K125" s="168" t="n">
        <v>24.34</v>
      </c>
      <c r="L125" s="134"/>
      <c r="M125" s="135" t="n">
        <v>39995</v>
      </c>
      <c r="N125" s="169" t="n">
        <v>35.9750015258789</v>
      </c>
      <c r="O125" s="169" t="n">
        <v>43.4000015258789</v>
      </c>
      <c r="P125" s="169" t="n">
        <v>51.1475015258789</v>
      </c>
      <c r="Q125" s="65"/>
      <c r="R125" s="169" t="n">
        <v>32.4000015258789</v>
      </c>
      <c r="S125" s="169" t="n">
        <v>37.4000015258789</v>
      </c>
      <c r="T125" s="169" t="n">
        <v>45.1475015258789</v>
      </c>
      <c r="U125" s="65"/>
      <c r="V125" s="169" t="n">
        <v>0</v>
      </c>
      <c r="W125" s="169" t="n">
        <v>0</v>
      </c>
      <c r="X125" s="169" t="n">
        <v>0</v>
      </c>
      <c r="Y125" s="65"/>
      <c r="Z125" s="169" t="n">
        <v>0.161352578105701</v>
      </c>
      <c r="AA125" s="169" t="n">
        <v>0.322705156211402</v>
      </c>
      <c r="AB125" s="169" t="n">
        <v>0.484057734317103</v>
      </c>
      <c r="AC125" s="65"/>
      <c r="AD125" s="169" t="n">
        <v>0.050024865727809</v>
      </c>
      <c r="AE125" s="169" t="n">
        <v>0.100049731455618</v>
      </c>
      <c r="AF125" s="169" t="n">
        <v>0.150074597183427</v>
      </c>
      <c r="AG125" s="65"/>
      <c r="AH125" s="169" t="n">
        <v>-0.35</v>
      </c>
      <c r="AI125" s="169" t="n">
        <v>3</v>
      </c>
      <c r="AJ125" s="169" t="n">
        <v>0.5</v>
      </c>
      <c r="AK125" s="65"/>
      <c r="AL125" s="169" t="n">
        <v>-0.15</v>
      </c>
      <c r="AM125" s="169" t="n">
        <v>0.75</v>
      </c>
      <c r="AN125" s="169" t="n">
        <v>0.2</v>
      </c>
      <c r="AO125" s="65"/>
      <c r="AP125" s="134" t="n">
        <v>36</v>
      </c>
      <c r="AQ125" s="170" t="n">
        <v>0.4</v>
      </c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135" t="n">
        <v>39995</v>
      </c>
      <c r="BI125" s="172" t="n">
        <v>0.9</v>
      </c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0"/>
      <c r="CM125" s="206"/>
      <c r="CN125" s="206"/>
      <c r="CO125" s="173"/>
      <c r="CP125" s="0"/>
      <c r="CQ125" s="0"/>
      <c r="CR125" s="0"/>
      <c r="CS125" s="0"/>
      <c r="CT125" s="0"/>
      <c r="CY125" s="174" t="n">
        <f aca="false">M125</f>
        <v>39995</v>
      </c>
      <c r="CZ125" s="175" t="n">
        <f aca="false">AI125+AH125</f>
        <v>2.65</v>
      </c>
      <c r="DA125" s="175" t="n">
        <f aca="false">AI125</f>
        <v>3</v>
      </c>
      <c r="DB125" s="175" t="n">
        <f aca="false">AI125+AJ125</f>
        <v>3.5</v>
      </c>
      <c r="DD125" s="175" t="n">
        <f aca="false">Z125</f>
        <v>0.161352578105701</v>
      </c>
      <c r="DE125" s="175" t="n">
        <f aca="false">AA125</f>
        <v>0.322705156211402</v>
      </c>
      <c r="DF125" s="175" t="n">
        <f aca="false">AB125</f>
        <v>0.484057734317103</v>
      </c>
      <c r="DH125" s="174" t="n">
        <f aca="false">BH125</f>
        <v>39995</v>
      </c>
      <c r="DI125" s="128" t="n">
        <f aca="false">BI125</f>
        <v>0.9</v>
      </c>
    </row>
    <row r="126" customFormat="false" ht="12.75" hidden="false" customHeight="false" outlineLevel="0" collapsed="false">
      <c r="A126" s="138" t="n">
        <f aca="false">EOMONTH(A125,0)+1</f>
        <v>49369</v>
      </c>
      <c r="B126" s="128" t="n">
        <f aca="false">'Gas Curves'!C130</f>
        <v>0.060019049994547</v>
      </c>
      <c r="C126" s="128"/>
      <c r="D126" s="167" t="n">
        <v>39142</v>
      </c>
      <c r="E126" s="168" t="n">
        <v>39.85</v>
      </c>
      <c r="F126" s="168" t="n">
        <v>41.5</v>
      </c>
      <c r="G126" s="168" t="n">
        <v>43.35</v>
      </c>
      <c r="H126" s="152"/>
      <c r="I126" s="168" t="n">
        <v>23.0749996185303</v>
      </c>
      <c r="J126" s="168" t="n">
        <v>23.8999996185303</v>
      </c>
      <c r="K126" s="168" t="n">
        <v>24.7399996185303</v>
      </c>
      <c r="L126" s="134"/>
      <c r="M126" s="135" t="n">
        <v>40026</v>
      </c>
      <c r="N126" s="169" t="n">
        <v>47.7250015258789</v>
      </c>
      <c r="O126" s="169" t="n">
        <v>55.1500015258789</v>
      </c>
      <c r="P126" s="169" t="n">
        <v>62.8975015258789</v>
      </c>
      <c r="Q126" s="65"/>
      <c r="R126" s="169" t="n">
        <v>44.2000007629395</v>
      </c>
      <c r="S126" s="169" t="n">
        <v>49.2000007629395</v>
      </c>
      <c r="T126" s="169" t="n">
        <v>56.9475007629395</v>
      </c>
      <c r="U126" s="65"/>
      <c r="V126" s="169" t="n">
        <v>0</v>
      </c>
      <c r="W126" s="169" t="n">
        <v>0</v>
      </c>
      <c r="X126" s="169" t="n">
        <v>0</v>
      </c>
      <c r="Y126" s="65"/>
      <c r="Z126" s="169" t="n">
        <v>0.157817245544227</v>
      </c>
      <c r="AA126" s="169" t="n">
        <v>0.315634491088453</v>
      </c>
      <c r="AB126" s="169" t="n">
        <v>0.47345173663268</v>
      </c>
      <c r="AC126" s="65"/>
      <c r="AD126" s="169" t="n">
        <v>0.050024865727809</v>
      </c>
      <c r="AE126" s="169" t="n">
        <v>0.100049731455618</v>
      </c>
      <c r="AF126" s="169" t="n">
        <v>0.150074597183427</v>
      </c>
      <c r="AG126" s="65"/>
      <c r="AH126" s="169" t="n">
        <v>-0.35</v>
      </c>
      <c r="AI126" s="169" t="n">
        <v>3</v>
      </c>
      <c r="AJ126" s="169" t="n">
        <v>0.5</v>
      </c>
      <c r="AK126" s="65"/>
      <c r="AL126" s="169" t="n">
        <v>-0.15</v>
      </c>
      <c r="AM126" s="169" t="n">
        <v>0.75</v>
      </c>
      <c r="AN126" s="169" t="n">
        <v>0.2</v>
      </c>
      <c r="AO126" s="65"/>
      <c r="AP126" s="134" t="n">
        <v>37</v>
      </c>
      <c r="AQ126" s="170" t="n">
        <v>0.4</v>
      </c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135" t="n">
        <v>40026</v>
      </c>
      <c r="BI126" s="172" t="n">
        <v>0.9</v>
      </c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0"/>
      <c r="CM126" s="206"/>
      <c r="CN126" s="206"/>
      <c r="CO126" s="173"/>
      <c r="CP126" s="0"/>
      <c r="CQ126" s="0"/>
      <c r="CR126" s="0"/>
      <c r="CS126" s="0"/>
      <c r="CT126" s="0"/>
      <c r="CY126" s="174" t="n">
        <f aca="false">M126</f>
        <v>40026</v>
      </c>
      <c r="CZ126" s="175" t="n">
        <f aca="false">AI126+AH126</f>
        <v>2.65</v>
      </c>
      <c r="DA126" s="175" t="n">
        <f aca="false">AI126</f>
        <v>3</v>
      </c>
      <c r="DB126" s="175" t="n">
        <f aca="false">AI126+AJ126</f>
        <v>3.5</v>
      </c>
      <c r="DD126" s="175" t="n">
        <f aca="false">Z126</f>
        <v>0.157817245544227</v>
      </c>
      <c r="DE126" s="175" t="n">
        <f aca="false">AA126</f>
        <v>0.315634491088453</v>
      </c>
      <c r="DF126" s="175" t="n">
        <f aca="false">AB126</f>
        <v>0.47345173663268</v>
      </c>
      <c r="DH126" s="174" t="n">
        <f aca="false">BH126</f>
        <v>40026</v>
      </c>
      <c r="DI126" s="128" t="n">
        <f aca="false">BI126</f>
        <v>0.9</v>
      </c>
    </row>
    <row r="127" customFormat="false" ht="12.75" hidden="false" customHeight="false" outlineLevel="0" collapsed="false">
      <c r="A127" s="138" t="n">
        <f aca="false">EOMONTH(A126,0)+1</f>
        <v>49400</v>
      </c>
      <c r="B127" s="128" t="n">
        <f aca="false">'Gas Curves'!C131</f>
        <v>0.060078077696774</v>
      </c>
      <c r="C127" s="128"/>
      <c r="D127" s="167" t="n">
        <v>39173</v>
      </c>
      <c r="E127" s="168" t="n">
        <v>35.9</v>
      </c>
      <c r="F127" s="168" t="n">
        <v>38</v>
      </c>
      <c r="G127" s="168" t="n">
        <v>39.85</v>
      </c>
      <c r="H127" s="152"/>
      <c r="I127" s="168" t="n">
        <v>20.5999996185303</v>
      </c>
      <c r="J127" s="168" t="n">
        <v>21.6499996185303</v>
      </c>
      <c r="K127" s="168" t="n">
        <v>22.4899996185303</v>
      </c>
      <c r="L127" s="134"/>
      <c r="M127" s="135" t="n">
        <v>40057</v>
      </c>
      <c r="N127" s="169" t="n">
        <v>29.4875011444092</v>
      </c>
      <c r="O127" s="169" t="n">
        <v>32.5250011444092</v>
      </c>
      <c r="P127" s="169" t="n">
        <v>34.9100011444092</v>
      </c>
      <c r="Q127" s="65"/>
      <c r="R127" s="169" t="n">
        <v>24.8000015258789</v>
      </c>
      <c r="S127" s="169" t="n">
        <v>29.8000015258789</v>
      </c>
      <c r="T127" s="169" t="n">
        <v>32.1850015258789</v>
      </c>
      <c r="U127" s="65"/>
      <c r="V127" s="169" t="n">
        <v>0</v>
      </c>
      <c r="W127" s="169" t="n">
        <v>0</v>
      </c>
      <c r="X127" s="169" t="n">
        <v>0</v>
      </c>
      <c r="Y127" s="65"/>
      <c r="Z127" s="169" t="n">
        <v>0.119572803523652</v>
      </c>
      <c r="AA127" s="169" t="n">
        <v>0.239145607047305</v>
      </c>
      <c r="AB127" s="169" t="n">
        <v>0.358718410570957</v>
      </c>
      <c r="AC127" s="65"/>
      <c r="AD127" s="169" t="n">
        <v>0.033349910485206</v>
      </c>
      <c r="AE127" s="169" t="n">
        <v>0.066699820970412</v>
      </c>
      <c r="AF127" s="169" t="n">
        <v>0.100049731455618</v>
      </c>
      <c r="AG127" s="65"/>
      <c r="AH127" s="169" t="n">
        <v>-0.35</v>
      </c>
      <c r="AI127" s="169" t="n">
        <v>1.5</v>
      </c>
      <c r="AJ127" s="169" t="n">
        <v>0.3</v>
      </c>
      <c r="AK127" s="65"/>
      <c r="AL127" s="169" t="n">
        <v>-0.15</v>
      </c>
      <c r="AM127" s="169" t="n">
        <v>0.4</v>
      </c>
      <c r="AN127" s="169" t="n">
        <v>0.2</v>
      </c>
      <c r="AO127" s="65"/>
      <c r="AP127" s="134" t="n">
        <v>37</v>
      </c>
      <c r="AQ127" s="170" t="n">
        <v>0.4</v>
      </c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135" t="n">
        <v>40057</v>
      </c>
      <c r="BI127" s="172" t="n">
        <v>0.9</v>
      </c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0"/>
      <c r="CM127" s="206"/>
      <c r="CN127" s="206"/>
      <c r="CO127" s="173"/>
      <c r="CP127" s="0"/>
      <c r="CQ127" s="0"/>
      <c r="CR127" s="0"/>
      <c r="CS127" s="0"/>
      <c r="CT127" s="0"/>
      <c r="CY127" s="174" t="n">
        <f aca="false">M127</f>
        <v>40057</v>
      </c>
      <c r="CZ127" s="175" t="n">
        <f aca="false">AI127+AH127</f>
        <v>1.15</v>
      </c>
      <c r="DA127" s="175" t="n">
        <f aca="false">AI127</f>
        <v>1.5</v>
      </c>
      <c r="DB127" s="175" t="n">
        <f aca="false">AI127+AJ127</f>
        <v>1.8</v>
      </c>
      <c r="DD127" s="175" t="n">
        <f aca="false">Z127</f>
        <v>0.119572803523652</v>
      </c>
      <c r="DE127" s="175" t="n">
        <f aca="false">AA127</f>
        <v>0.239145607047305</v>
      </c>
      <c r="DF127" s="175" t="n">
        <f aca="false">AB127</f>
        <v>0.358718410570957</v>
      </c>
      <c r="DH127" s="174" t="n">
        <f aca="false">BH127</f>
        <v>40057</v>
      </c>
      <c r="DI127" s="128" t="n">
        <f aca="false">BI127</f>
        <v>0.9</v>
      </c>
    </row>
    <row r="128" customFormat="false" ht="12.75" hidden="false" customHeight="false" outlineLevel="0" collapsed="false">
      <c r="A128" s="138" t="n">
        <f aca="false">EOMONTH(A127,0)+1</f>
        <v>49430</v>
      </c>
      <c r="B128" s="128" t="n">
        <f aca="false">'Gas Curves'!C132</f>
        <v>0.06013710540016</v>
      </c>
      <c r="C128" s="128"/>
      <c r="D128" s="167" t="n">
        <v>39203</v>
      </c>
      <c r="E128" s="168" t="n">
        <v>39.9</v>
      </c>
      <c r="F128" s="168" t="n">
        <v>42</v>
      </c>
      <c r="G128" s="168" t="n">
        <v>45.5</v>
      </c>
      <c r="H128" s="152"/>
      <c r="I128" s="168" t="n">
        <v>21.5999996185303</v>
      </c>
      <c r="J128" s="168" t="n">
        <v>22.6499996185303</v>
      </c>
      <c r="K128" s="168" t="n">
        <v>24.2399996185303</v>
      </c>
      <c r="L128" s="134"/>
      <c r="M128" s="135" t="n">
        <v>40087</v>
      </c>
      <c r="N128" s="169" t="n">
        <v>26.9500011444092</v>
      </c>
      <c r="O128" s="169" t="n">
        <v>28.5250011444092</v>
      </c>
      <c r="P128" s="169" t="n">
        <v>30.0325011444092</v>
      </c>
      <c r="Q128" s="65"/>
      <c r="R128" s="169" t="n">
        <v>20.3000015258789</v>
      </c>
      <c r="S128" s="169" t="n">
        <v>25.3000015258789</v>
      </c>
      <c r="T128" s="169" t="n">
        <v>26.8075015258789</v>
      </c>
      <c r="U128" s="65"/>
      <c r="V128" s="169" t="n">
        <v>0</v>
      </c>
      <c r="W128" s="169" t="n">
        <v>0</v>
      </c>
      <c r="X128" s="169" t="n">
        <v>0</v>
      </c>
      <c r="Y128" s="65"/>
      <c r="Z128" s="169" t="n">
        <v>0.103419388943384</v>
      </c>
      <c r="AA128" s="169" t="n">
        <v>0.206838777886768</v>
      </c>
      <c r="AB128" s="169" t="n">
        <v>0.310258166830151</v>
      </c>
      <c r="AC128" s="65"/>
      <c r="AD128" s="169" t="n">
        <v>0.0250124328639045</v>
      </c>
      <c r="AE128" s="169" t="n">
        <v>0.050024865727809</v>
      </c>
      <c r="AF128" s="169" t="n">
        <v>0.0750372985917135</v>
      </c>
      <c r="AG128" s="65"/>
      <c r="AH128" s="169" t="n">
        <v>-0.25</v>
      </c>
      <c r="AI128" s="169" t="n">
        <v>1.1</v>
      </c>
      <c r="AJ128" s="169" t="n">
        <v>0.3</v>
      </c>
      <c r="AK128" s="65"/>
      <c r="AL128" s="169" t="n">
        <v>-0.15</v>
      </c>
      <c r="AM128" s="169" t="n">
        <v>0.35</v>
      </c>
      <c r="AN128" s="169" t="n">
        <v>0.2</v>
      </c>
      <c r="AO128" s="65"/>
      <c r="AP128" s="134" t="n">
        <v>37</v>
      </c>
      <c r="AQ128" s="170" t="n">
        <v>0.4</v>
      </c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135" t="n">
        <v>40087</v>
      </c>
      <c r="BI128" s="172" t="n">
        <v>0.9</v>
      </c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0"/>
      <c r="CM128" s="206"/>
      <c r="CN128" s="206"/>
      <c r="CO128" s="173"/>
      <c r="CP128" s="0"/>
      <c r="CQ128" s="0"/>
      <c r="CR128" s="0"/>
      <c r="CS128" s="0"/>
      <c r="CT128" s="0"/>
      <c r="CY128" s="174" t="n">
        <f aca="false">M128</f>
        <v>40087</v>
      </c>
      <c r="CZ128" s="175" t="n">
        <f aca="false">AI128+AH128</f>
        <v>0.85</v>
      </c>
      <c r="DA128" s="175" t="n">
        <f aca="false">AI128</f>
        <v>1.1</v>
      </c>
      <c r="DB128" s="175" t="n">
        <f aca="false">AI128+AJ128</f>
        <v>1.4</v>
      </c>
      <c r="DD128" s="175" t="n">
        <f aca="false">Z128</f>
        <v>0.103419388943384</v>
      </c>
      <c r="DE128" s="175" t="n">
        <f aca="false">AA128</f>
        <v>0.206838777886768</v>
      </c>
      <c r="DF128" s="175" t="n">
        <f aca="false">AB128</f>
        <v>0.310258166830151</v>
      </c>
      <c r="DH128" s="174" t="n">
        <f aca="false">BH128</f>
        <v>40087</v>
      </c>
      <c r="DI128" s="128" t="n">
        <f aca="false">BI128</f>
        <v>0.9</v>
      </c>
    </row>
    <row r="129" customFormat="false" ht="12.75" hidden="false" customHeight="false" outlineLevel="0" collapsed="false">
      <c r="A129" s="138" t="n">
        <f aca="false">EOMONTH(A128,0)+1</f>
        <v>49461</v>
      </c>
      <c r="B129" s="128" t="n">
        <f aca="false">'Gas Curves'!C133</f>
        <v>0.060194228985183</v>
      </c>
      <c r="C129" s="128"/>
      <c r="D129" s="167" t="n">
        <v>39234</v>
      </c>
      <c r="E129" s="168" t="n">
        <v>47.95</v>
      </c>
      <c r="F129" s="168" t="n">
        <v>52</v>
      </c>
      <c r="G129" s="168" t="n">
        <v>57.33</v>
      </c>
      <c r="H129" s="152"/>
      <c r="I129" s="168" t="n">
        <v>20.9999996185303</v>
      </c>
      <c r="J129" s="168" t="n">
        <v>23.0249996185303</v>
      </c>
      <c r="K129" s="168" t="n">
        <v>25.4449996185303</v>
      </c>
      <c r="L129" s="134"/>
      <c r="M129" s="135" t="n">
        <v>40118</v>
      </c>
      <c r="N129" s="169" t="n">
        <v>29.3000015258789</v>
      </c>
      <c r="O129" s="169" t="n">
        <v>30.8750015258789</v>
      </c>
      <c r="P129" s="169" t="n">
        <v>32.3825015258789</v>
      </c>
      <c r="Q129" s="65"/>
      <c r="R129" s="169" t="n">
        <v>22.5000003814697</v>
      </c>
      <c r="S129" s="169" t="n">
        <v>27.5000003814697</v>
      </c>
      <c r="T129" s="169" t="n">
        <v>29.0075003814697</v>
      </c>
      <c r="U129" s="65"/>
      <c r="V129" s="169" t="n">
        <v>0</v>
      </c>
      <c r="W129" s="169" t="n">
        <v>0</v>
      </c>
      <c r="X129" s="169" t="n">
        <v>0</v>
      </c>
      <c r="Y129" s="65"/>
      <c r="Z129" s="169" t="n">
        <v>0.103419388943384</v>
      </c>
      <c r="AA129" s="169" t="n">
        <v>0.206838777886768</v>
      </c>
      <c r="AB129" s="169" t="n">
        <v>0.310258166830151</v>
      </c>
      <c r="AC129" s="65"/>
      <c r="AD129" s="169" t="n">
        <v>0.0250124328639045</v>
      </c>
      <c r="AE129" s="169" t="n">
        <v>0.050024865727809</v>
      </c>
      <c r="AF129" s="169" t="n">
        <v>0.0750372985917135</v>
      </c>
      <c r="AG129" s="65"/>
      <c r="AH129" s="169" t="n">
        <v>-0.25</v>
      </c>
      <c r="AI129" s="169" t="n">
        <v>1.25</v>
      </c>
      <c r="AJ129" s="169" t="n">
        <v>0.3</v>
      </c>
      <c r="AK129" s="65"/>
      <c r="AL129" s="169" t="n">
        <v>-0.15</v>
      </c>
      <c r="AM129" s="169" t="n">
        <v>0.3</v>
      </c>
      <c r="AN129" s="169" t="n">
        <v>0.2</v>
      </c>
      <c r="AO129" s="65"/>
      <c r="AP129" s="134" t="n">
        <v>38</v>
      </c>
      <c r="AQ129" s="170" t="n">
        <v>0.4</v>
      </c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135" t="n">
        <v>40118</v>
      </c>
      <c r="BI129" s="172" t="n">
        <v>0.9</v>
      </c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0"/>
      <c r="CM129" s="206"/>
      <c r="CN129" s="206"/>
      <c r="CO129" s="173"/>
      <c r="CP129" s="0"/>
      <c r="CQ129" s="0"/>
      <c r="CR129" s="0"/>
      <c r="CS129" s="0"/>
      <c r="CT129" s="0"/>
      <c r="CY129" s="174" t="n">
        <f aca="false">M129</f>
        <v>40118</v>
      </c>
      <c r="CZ129" s="175" t="n">
        <f aca="false">AI129+AH129</f>
        <v>1</v>
      </c>
      <c r="DA129" s="175" t="n">
        <f aca="false">AI129</f>
        <v>1.25</v>
      </c>
      <c r="DB129" s="175" t="n">
        <f aca="false">AI129+AJ129</f>
        <v>1.55</v>
      </c>
      <c r="DD129" s="175" t="n">
        <f aca="false">Z129</f>
        <v>0.103419388943384</v>
      </c>
      <c r="DE129" s="175" t="n">
        <f aca="false">AA129</f>
        <v>0.206838777886768</v>
      </c>
      <c r="DF129" s="175" t="n">
        <f aca="false">AB129</f>
        <v>0.310258166830151</v>
      </c>
      <c r="DH129" s="174" t="n">
        <f aca="false">BH129</f>
        <v>40118</v>
      </c>
      <c r="DI129" s="128" t="n">
        <f aca="false">BI129</f>
        <v>0.9</v>
      </c>
    </row>
    <row r="130" customFormat="false" ht="12.75" hidden="false" customHeight="false" outlineLevel="0" collapsed="false">
      <c r="A130" s="138" t="n">
        <f aca="false">EOMONTH(A129,0)+1</f>
        <v>49491</v>
      </c>
      <c r="B130" s="128" t="n">
        <f aca="false">'Gas Curves'!C134</f>
        <v>0.060253256690845</v>
      </c>
      <c r="C130" s="128"/>
      <c r="D130" s="167" t="n">
        <v>39264</v>
      </c>
      <c r="E130" s="168" t="n">
        <v>61.35</v>
      </c>
      <c r="F130" s="168" t="n">
        <v>71.25</v>
      </c>
      <c r="G130" s="168" t="n">
        <v>82.62</v>
      </c>
      <c r="H130" s="152"/>
      <c r="I130" s="168" t="n">
        <v>21.8</v>
      </c>
      <c r="J130" s="168" t="n">
        <v>26.75</v>
      </c>
      <c r="K130" s="168" t="n">
        <v>31.915</v>
      </c>
      <c r="L130" s="134"/>
      <c r="M130" s="135" t="n">
        <v>40148</v>
      </c>
      <c r="N130" s="169" t="n">
        <v>29.9</v>
      </c>
      <c r="O130" s="169" t="n">
        <v>31.475</v>
      </c>
      <c r="P130" s="169" t="n">
        <v>32.9825</v>
      </c>
      <c r="Q130" s="65"/>
      <c r="R130" s="169" t="n">
        <v>23.0000003814697</v>
      </c>
      <c r="S130" s="169" t="n">
        <v>28.0000003814697</v>
      </c>
      <c r="T130" s="169" t="n">
        <v>29.5075003814697</v>
      </c>
      <c r="U130" s="65"/>
      <c r="V130" s="169" t="n">
        <v>0</v>
      </c>
      <c r="W130" s="169" t="n">
        <v>0</v>
      </c>
      <c r="X130" s="169" t="n">
        <v>0</v>
      </c>
      <c r="Y130" s="65"/>
      <c r="Z130" s="169" t="n">
        <v>0.101354929311807</v>
      </c>
      <c r="AA130" s="169" t="n">
        <v>0.202709858623613</v>
      </c>
      <c r="AB130" s="169" t="n">
        <v>0.30406478793542</v>
      </c>
      <c r="AC130" s="65"/>
      <c r="AD130" s="169" t="n">
        <v>0.0250124328639045</v>
      </c>
      <c r="AE130" s="169" t="n">
        <v>0.050024865727809</v>
      </c>
      <c r="AF130" s="169" t="n">
        <v>0.0750372985917135</v>
      </c>
      <c r="AG130" s="65"/>
      <c r="AH130" s="169" t="n">
        <v>-0.25</v>
      </c>
      <c r="AI130" s="169" t="n">
        <v>1.25</v>
      </c>
      <c r="AJ130" s="169" t="n">
        <v>0.35</v>
      </c>
      <c r="AK130" s="65"/>
      <c r="AL130" s="169" t="n">
        <v>-0.15</v>
      </c>
      <c r="AM130" s="169" t="n">
        <v>0.3</v>
      </c>
      <c r="AN130" s="169" t="n">
        <v>0.2</v>
      </c>
      <c r="AO130" s="65"/>
      <c r="AP130" s="134" t="n">
        <v>38</v>
      </c>
      <c r="AQ130" s="170" t="n">
        <v>0.4</v>
      </c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135" t="n">
        <v>40148</v>
      </c>
      <c r="BI130" s="172" t="n">
        <v>0.9</v>
      </c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  <c r="CC130" s="65"/>
      <c r="CD130" s="65"/>
      <c r="CE130" s="65"/>
      <c r="CF130" s="65"/>
      <c r="CG130" s="65"/>
      <c r="CH130" s="0"/>
      <c r="CM130" s="206"/>
      <c r="CN130" s="206"/>
      <c r="CO130" s="173"/>
      <c r="CP130" s="0"/>
      <c r="CQ130" s="0"/>
      <c r="CR130" s="0"/>
      <c r="CS130" s="0"/>
      <c r="CT130" s="0"/>
      <c r="CY130" s="174" t="n">
        <f aca="false">M130</f>
        <v>40148</v>
      </c>
      <c r="CZ130" s="175" t="n">
        <f aca="false">AI130+AH130</f>
        <v>1</v>
      </c>
      <c r="DA130" s="175" t="n">
        <f aca="false">AI130</f>
        <v>1.25</v>
      </c>
      <c r="DB130" s="175" t="n">
        <f aca="false">AI130+AJ130</f>
        <v>1.6</v>
      </c>
      <c r="DD130" s="175" t="n">
        <f aca="false">Z130</f>
        <v>0.101354929311807</v>
      </c>
      <c r="DE130" s="175" t="n">
        <f aca="false">AA130</f>
        <v>0.202709858623613</v>
      </c>
      <c r="DF130" s="175" t="n">
        <f aca="false">AB130</f>
        <v>0.30406478793542</v>
      </c>
      <c r="DH130" s="174" t="n">
        <f aca="false">BH130</f>
        <v>40148</v>
      </c>
      <c r="DI130" s="128" t="n">
        <f aca="false">BI130</f>
        <v>0.9</v>
      </c>
    </row>
    <row r="131" customFormat="false" ht="12.75" hidden="false" customHeight="false" outlineLevel="0" collapsed="false">
      <c r="A131" s="138" t="n">
        <f aca="false">EOMONTH(A130,0)+1</f>
        <v>49522</v>
      </c>
      <c r="B131" s="128" t="n">
        <f aca="false">'Gas Curves'!C135</f>
        <v>0.060310380278073</v>
      </c>
      <c r="C131" s="128"/>
      <c r="D131" s="167" t="n">
        <v>39295</v>
      </c>
      <c r="E131" s="168" t="n">
        <v>61.35</v>
      </c>
      <c r="F131" s="168" t="n">
        <v>71.25</v>
      </c>
      <c r="G131" s="168" t="n">
        <v>82.62</v>
      </c>
      <c r="H131" s="152"/>
      <c r="I131" s="168" t="n">
        <v>33.9500015258789</v>
      </c>
      <c r="J131" s="168" t="n">
        <v>38.9000015258789</v>
      </c>
      <c r="K131" s="168" t="n">
        <v>44.0650015258789</v>
      </c>
      <c r="L131" s="134"/>
      <c r="M131" s="135" t="n">
        <v>40179</v>
      </c>
      <c r="N131" s="169" t="n">
        <v>32.7294960021973</v>
      </c>
      <c r="O131" s="169" t="n">
        <v>34.3044960021973</v>
      </c>
      <c r="P131" s="169" t="n">
        <v>35.5644960021973</v>
      </c>
      <c r="Q131" s="65"/>
      <c r="R131" s="169" t="n">
        <v>25.4039974212647</v>
      </c>
      <c r="S131" s="169" t="n">
        <v>30.4039974212647</v>
      </c>
      <c r="T131" s="169" t="n">
        <v>31.6639974212647</v>
      </c>
      <c r="U131" s="65"/>
      <c r="V131" s="169" t="n">
        <v>0</v>
      </c>
      <c r="W131" s="169" t="n">
        <v>0</v>
      </c>
      <c r="X131" s="169" t="n">
        <v>0</v>
      </c>
      <c r="Y131" s="65"/>
      <c r="Z131" s="169" t="n">
        <v>0.149568136234119</v>
      </c>
      <c r="AA131" s="169" t="n">
        <v>0.299136272468238</v>
      </c>
      <c r="AB131" s="169" t="n">
        <v>0.448704408702357</v>
      </c>
      <c r="AC131" s="65"/>
      <c r="AD131" s="169" t="n">
        <v>0.0285975482410641</v>
      </c>
      <c r="AE131" s="169" t="n">
        <v>0.0571950964821283</v>
      </c>
      <c r="AF131" s="169" t="n">
        <v>0.0857926447231924</v>
      </c>
      <c r="AG131" s="65"/>
      <c r="AH131" s="169" t="n">
        <v>-0.75</v>
      </c>
      <c r="AI131" s="169" t="n">
        <v>2</v>
      </c>
      <c r="AJ131" s="169" t="n">
        <v>0.75</v>
      </c>
      <c r="AK131" s="65"/>
      <c r="AL131" s="169" t="n">
        <v>-0.15</v>
      </c>
      <c r="AM131" s="169" t="n">
        <v>0.5</v>
      </c>
      <c r="AN131" s="169" t="n">
        <v>0.2</v>
      </c>
      <c r="AO131" s="65"/>
      <c r="AP131" s="134" t="n">
        <v>38</v>
      </c>
      <c r="AQ131" s="170" t="n">
        <v>0.4</v>
      </c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135" t="n">
        <v>40179</v>
      </c>
      <c r="BI131" s="172" t="n">
        <v>0.9</v>
      </c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0"/>
      <c r="CM131" s="206"/>
      <c r="CN131" s="206"/>
      <c r="CO131" s="173"/>
      <c r="CP131" s="0"/>
      <c r="CQ131" s="0"/>
      <c r="CR131" s="0"/>
      <c r="CS131" s="0"/>
      <c r="CT131" s="0"/>
      <c r="CY131" s="174" t="n">
        <f aca="false">M131</f>
        <v>40179</v>
      </c>
      <c r="CZ131" s="175" t="n">
        <f aca="false">AI131+AH131</f>
        <v>1.25</v>
      </c>
      <c r="DA131" s="175" t="n">
        <f aca="false">AI131</f>
        <v>2</v>
      </c>
      <c r="DB131" s="175" t="n">
        <f aca="false">AI131+AJ131</f>
        <v>2.75</v>
      </c>
      <c r="DD131" s="175" t="n">
        <f aca="false">Z131</f>
        <v>0.149568136234119</v>
      </c>
      <c r="DE131" s="175" t="n">
        <f aca="false">AA131</f>
        <v>0.299136272468238</v>
      </c>
      <c r="DF131" s="175" t="n">
        <f aca="false">AB131</f>
        <v>0.448704408702357</v>
      </c>
      <c r="DH131" s="174" t="n">
        <f aca="false">BH131</f>
        <v>40179</v>
      </c>
      <c r="DI131" s="128" t="n">
        <f aca="false">BI131</f>
        <v>0.9</v>
      </c>
    </row>
    <row r="132" customFormat="false" ht="12.75" hidden="false" customHeight="false" outlineLevel="0" collapsed="false">
      <c r="A132" s="138" t="n">
        <f aca="false">EOMONTH(A131,0)+1</f>
        <v>49553</v>
      </c>
      <c r="B132" s="128" t="n">
        <f aca="false">'Gas Curves'!C136</f>
        <v>0.060369407986013</v>
      </c>
      <c r="C132" s="128"/>
      <c r="D132" s="167" t="n">
        <v>39326</v>
      </c>
      <c r="E132" s="168" t="n">
        <v>35.95</v>
      </c>
      <c r="F132" s="168" t="n">
        <v>40</v>
      </c>
      <c r="G132" s="168" t="n">
        <v>43.5</v>
      </c>
      <c r="H132" s="152"/>
      <c r="I132" s="168" t="n">
        <v>25.3749996185303</v>
      </c>
      <c r="J132" s="168" t="n">
        <v>27.3999996185303</v>
      </c>
      <c r="K132" s="168" t="n">
        <v>28.9899996185303</v>
      </c>
      <c r="L132" s="134"/>
      <c r="M132" s="135" t="n">
        <v>40210</v>
      </c>
      <c r="N132" s="169" t="n">
        <v>32.3919967651367</v>
      </c>
      <c r="O132" s="169" t="n">
        <v>33.6294967651367</v>
      </c>
      <c r="P132" s="169" t="n">
        <v>34.8894967651367</v>
      </c>
      <c r="Q132" s="65"/>
      <c r="R132" s="169" t="n">
        <v>24.8039970397949</v>
      </c>
      <c r="S132" s="169" t="n">
        <v>29.8039970397949</v>
      </c>
      <c r="T132" s="169" t="n">
        <v>31.0639970397949</v>
      </c>
      <c r="U132" s="65"/>
      <c r="V132" s="169" t="n">
        <v>0</v>
      </c>
      <c r="W132" s="169" t="n">
        <v>0</v>
      </c>
      <c r="X132" s="169" t="n">
        <v>0</v>
      </c>
      <c r="Y132" s="65"/>
      <c r="Z132" s="169" t="n">
        <v>0.144492969934758</v>
      </c>
      <c r="AA132" s="169" t="n">
        <v>0.288985939869516</v>
      </c>
      <c r="AB132" s="169" t="n">
        <v>0.433478909804273</v>
      </c>
      <c r="AC132" s="65"/>
      <c r="AD132" s="169" t="n">
        <v>0.0285975482410641</v>
      </c>
      <c r="AE132" s="169" t="n">
        <v>0.0571950964821283</v>
      </c>
      <c r="AF132" s="169" t="n">
        <v>0.0857926447231924</v>
      </c>
      <c r="AG132" s="65"/>
      <c r="AH132" s="169" t="n">
        <v>-0.75</v>
      </c>
      <c r="AI132" s="169" t="n">
        <v>2</v>
      </c>
      <c r="AJ132" s="169" t="n">
        <v>0.75</v>
      </c>
      <c r="AK132" s="65"/>
      <c r="AL132" s="169" t="n">
        <v>-0.15</v>
      </c>
      <c r="AM132" s="169" t="n">
        <v>0.5</v>
      </c>
      <c r="AN132" s="169" t="n">
        <v>0.2</v>
      </c>
      <c r="AO132" s="65"/>
      <c r="AP132" s="134" t="n">
        <v>39</v>
      </c>
      <c r="AQ132" s="170" t="n">
        <v>0.4</v>
      </c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135" t="n">
        <v>40210</v>
      </c>
      <c r="BI132" s="172" t="n">
        <v>0.9</v>
      </c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  <c r="CC132" s="65"/>
      <c r="CD132" s="65"/>
      <c r="CE132" s="65"/>
      <c r="CF132" s="65"/>
      <c r="CG132" s="65"/>
      <c r="CH132" s="0"/>
      <c r="CM132" s="206"/>
      <c r="CN132" s="206"/>
      <c r="CO132" s="173"/>
      <c r="CP132" s="0"/>
      <c r="CQ132" s="0"/>
      <c r="CR132" s="0"/>
      <c r="CS132" s="0"/>
      <c r="CT132" s="0"/>
      <c r="CY132" s="174" t="n">
        <f aca="false">M132</f>
        <v>40210</v>
      </c>
      <c r="CZ132" s="175" t="n">
        <f aca="false">AI132+AH132</f>
        <v>1.25</v>
      </c>
      <c r="DA132" s="175" t="n">
        <f aca="false">AI132</f>
        <v>2</v>
      </c>
      <c r="DB132" s="175" t="n">
        <f aca="false">AI132+AJ132</f>
        <v>2.75</v>
      </c>
      <c r="DD132" s="175" t="n">
        <f aca="false">Z132</f>
        <v>0.144492969934758</v>
      </c>
      <c r="DE132" s="175" t="n">
        <f aca="false">AA132</f>
        <v>0.288985939869516</v>
      </c>
      <c r="DF132" s="175" t="n">
        <f aca="false">AB132</f>
        <v>0.433478909804273</v>
      </c>
      <c r="DH132" s="174" t="n">
        <f aca="false">BH132</f>
        <v>40210</v>
      </c>
      <c r="DI132" s="128" t="n">
        <f aca="false">BI132</f>
        <v>0.9</v>
      </c>
    </row>
    <row r="133" customFormat="false" ht="12.75" hidden="false" customHeight="false" outlineLevel="0" collapsed="false">
      <c r="A133" s="138" t="n">
        <f aca="false">EOMONTH(A132,0)+1</f>
        <v>49583</v>
      </c>
      <c r="B133" s="128" t="n">
        <f aca="false">'Gas Curves'!C137</f>
        <v>0.060406163350889</v>
      </c>
      <c r="C133" s="128"/>
      <c r="D133" s="167" t="n">
        <v>39356</v>
      </c>
      <c r="E133" s="168" t="n">
        <v>37.9</v>
      </c>
      <c r="F133" s="168" t="n">
        <v>40</v>
      </c>
      <c r="G133" s="168" t="n">
        <v>42.22</v>
      </c>
      <c r="H133" s="152"/>
      <c r="I133" s="168" t="n">
        <v>24.3499996185303</v>
      </c>
      <c r="J133" s="168" t="n">
        <v>25.3999996185303</v>
      </c>
      <c r="K133" s="168" t="n">
        <v>26.4049996185303</v>
      </c>
      <c r="L133" s="134"/>
      <c r="M133" s="135" t="n">
        <v>40238</v>
      </c>
      <c r="N133" s="169" t="n">
        <v>26.5374969482422</v>
      </c>
      <c r="O133" s="169" t="n">
        <v>27.7749969482422</v>
      </c>
      <c r="P133" s="169" t="n">
        <v>29.0349969482422</v>
      </c>
      <c r="Q133" s="65"/>
      <c r="R133" s="169" t="n">
        <v>19.5999984741211</v>
      </c>
      <c r="S133" s="169" t="n">
        <v>24.5999984741211</v>
      </c>
      <c r="T133" s="169" t="n">
        <v>25.8599984741211</v>
      </c>
      <c r="U133" s="65"/>
      <c r="V133" s="169" t="n">
        <v>0</v>
      </c>
      <c r="W133" s="169" t="n">
        <v>0</v>
      </c>
      <c r="X133" s="169" t="n">
        <v>0</v>
      </c>
      <c r="Y133" s="65"/>
      <c r="Z133" s="169" t="n">
        <v>0.114547830217448</v>
      </c>
      <c r="AA133" s="169" t="n">
        <v>0.229095660434895</v>
      </c>
      <c r="AB133" s="169" t="n">
        <v>0.343643490652343</v>
      </c>
      <c r="AC133" s="65"/>
      <c r="AD133" s="169" t="n">
        <v>0.0250124328639045</v>
      </c>
      <c r="AE133" s="169" t="n">
        <v>0.050024865727809</v>
      </c>
      <c r="AF133" s="169" t="n">
        <v>0.0750372985917135</v>
      </c>
      <c r="AG133" s="65"/>
      <c r="AH133" s="169" t="n">
        <v>-0.25</v>
      </c>
      <c r="AI133" s="169" t="n">
        <v>1.3</v>
      </c>
      <c r="AJ133" s="169" t="n">
        <v>0.3</v>
      </c>
      <c r="AK133" s="65"/>
      <c r="AL133" s="169" t="n">
        <v>-0.15</v>
      </c>
      <c r="AM133" s="169" t="n">
        <v>0.35</v>
      </c>
      <c r="AN133" s="169" t="n">
        <v>0.2</v>
      </c>
      <c r="AO133" s="65"/>
      <c r="AP133" s="134" t="n">
        <v>39</v>
      </c>
      <c r="AQ133" s="170" t="n">
        <v>0.4</v>
      </c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135" t="n">
        <v>40238</v>
      </c>
      <c r="BI133" s="172" t="n">
        <v>0.9</v>
      </c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  <c r="CC133" s="65"/>
      <c r="CD133" s="65"/>
      <c r="CE133" s="65"/>
      <c r="CF133" s="65"/>
      <c r="CG133" s="65"/>
      <c r="CH133" s="0"/>
      <c r="CM133" s="206"/>
      <c r="CN133" s="206"/>
      <c r="CO133" s="173"/>
      <c r="CP133" s="0"/>
      <c r="CQ133" s="0"/>
      <c r="CR133" s="0"/>
      <c r="CS133" s="0"/>
      <c r="CT133" s="0"/>
      <c r="CY133" s="174" t="n">
        <f aca="false">M133</f>
        <v>40238</v>
      </c>
      <c r="CZ133" s="175" t="n">
        <f aca="false">AI133+AH133</f>
        <v>1.05</v>
      </c>
      <c r="DA133" s="175" t="n">
        <f aca="false">AI133</f>
        <v>1.3</v>
      </c>
      <c r="DB133" s="175" t="n">
        <f aca="false">AI133+AJ133</f>
        <v>1.6</v>
      </c>
      <c r="DD133" s="175" t="n">
        <f aca="false">Z133</f>
        <v>0.114547830217448</v>
      </c>
      <c r="DE133" s="175" t="n">
        <f aca="false">AA133</f>
        <v>0.229095660434895</v>
      </c>
      <c r="DF133" s="175" t="n">
        <f aca="false">AB133</f>
        <v>0.343643490652343</v>
      </c>
      <c r="DH133" s="174" t="n">
        <f aca="false">BH133</f>
        <v>40238</v>
      </c>
      <c r="DI133" s="128" t="n">
        <f aca="false">BI133</f>
        <v>0.9</v>
      </c>
    </row>
    <row r="134" customFormat="false" ht="12.75" hidden="false" customHeight="false" outlineLevel="0" collapsed="false">
      <c r="A134" s="138" t="n">
        <f aca="false">EOMONTH(A133,0)+1</f>
        <v>49614</v>
      </c>
      <c r="B134" s="128" t="n">
        <f aca="false">'Gas Curves'!C138</f>
        <v>0.060428297419457</v>
      </c>
      <c r="C134" s="128"/>
      <c r="D134" s="167" t="n">
        <v>39387</v>
      </c>
      <c r="E134" s="168" t="n">
        <v>40.4</v>
      </c>
      <c r="F134" s="168" t="n">
        <v>42.5</v>
      </c>
      <c r="G134" s="168" t="n">
        <v>44.72</v>
      </c>
      <c r="H134" s="152"/>
      <c r="I134" s="168" t="n">
        <v>25.0999996185303</v>
      </c>
      <c r="J134" s="168" t="n">
        <v>26.1499996185303</v>
      </c>
      <c r="K134" s="168" t="n">
        <v>27.1549996185303</v>
      </c>
      <c r="L134" s="134"/>
      <c r="M134" s="135" t="n">
        <v>40269</v>
      </c>
      <c r="N134" s="169" t="n">
        <v>25.5249996185303</v>
      </c>
      <c r="O134" s="169" t="n">
        <v>27.0999996185303</v>
      </c>
      <c r="P134" s="169" t="n">
        <v>28.3599996185303</v>
      </c>
      <c r="Q134" s="65"/>
      <c r="R134" s="169" t="n">
        <v>19</v>
      </c>
      <c r="S134" s="169" t="n">
        <v>24</v>
      </c>
      <c r="T134" s="169" t="n">
        <v>25.26</v>
      </c>
      <c r="U134" s="65"/>
      <c r="V134" s="169" t="n">
        <v>0</v>
      </c>
      <c r="W134" s="169" t="n">
        <v>0</v>
      </c>
      <c r="X134" s="169" t="n">
        <v>0</v>
      </c>
      <c r="Y134" s="65"/>
      <c r="Z134" s="169" t="n">
        <v>0.114390267865017</v>
      </c>
      <c r="AA134" s="169" t="n">
        <v>0.228780535730033</v>
      </c>
      <c r="AB134" s="169" t="n">
        <v>0.34317080359505</v>
      </c>
      <c r="AC134" s="65"/>
      <c r="AD134" s="169" t="n">
        <v>0.0250124328639045</v>
      </c>
      <c r="AE134" s="169" t="n">
        <v>0.050024865727809</v>
      </c>
      <c r="AF134" s="169" t="n">
        <v>0.0750372985917135</v>
      </c>
      <c r="AG134" s="65"/>
      <c r="AH134" s="169" t="n">
        <v>-0.25</v>
      </c>
      <c r="AI134" s="169" t="n">
        <v>1.1</v>
      </c>
      <c r="AJ134" s="169" t="n">
        <v>0.3</v>
      </c>
      <c r="AK134" s="65"/>
      <c r="AL134" s="169" t="n">
        <v>-0.15</v>
      </c>
      <c r="AM134" s="169" t="n">
        <v>0.35</v>
      </c>
      <c r="AN134" s="169" t="n">
        <v>0.2</v>
      </c>
      <c r="AO134" s="65"/>
      <c r="AP134" s="134" t="n">
        <v>39</v>
      </c>
      <c r="AQ134" s="170" t="n">
        <v>0.4</v>
      </c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135" t="n">
        <v>40269</v>
      </c>
      <c r="BI134" s="172" t="n">
        <v>0.9</v>
      </c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0"/>
      <c r="CM134" s="206"/>
      <c r="CN134" s="206"/>
      <c r="CO134" s="173"/>
      <c r="CP134" s="0"/>
      <c r="CQ134" s="0"/>
      <c r="CR134" s="0"/>
      <c r="CS134" s="0"/>
      <c r="CT134" s="0"/>
      <c r="CY134" s="174" t="n">
        <f aca="false">M134</f>
        <v>40269</v>
      </c>
      <c r="CZ134" s="175" t="n">
        <f aca="false">AI134+AH134</f>
        <v>0.85</v>
      </c>
      <c r="DA134" s="175" t="n">
        <f aca="false">AI134</f>
        <v>1.1</v>
      </c>
      <c r="DB134" s="175" t="n">
        <f aca="false">AI134+AJ134</f>
        <v>1.4</v>
      </c>
      <c r="DD134" s="175" t="n">
        <f aca="false">Z134</f>
        <v>0.114390267865017</v>
      </c>
      <c r="DE134" s="175" t="n">
        <f aca="false">AA134</f>
        <v>0.228780535730033</v>
      </c>
      <c r="DF134" s="175" t="n">
        <f aca="false">AB134</f>
        <v>0.34317080359505</v>
      </c>
      <c r="DH134" s="174" t="n">
        <f aca="false">BH134</f>
        <v>40269</v>
      </c>
      <c r="DI134" s="128" t="n">
        <f aca="false">BI134</f>
        <v>0.9</v>
      </c>
    </row>
    <row r="135" customFormat="false" ht="12.75" hidden="false" customHeight="false" outlineLevel="0" collapsed="false">
      <c r="A135" s="138" t="n">
        <f aca="false">EOMONTH(A134,0)+1</f>
        <v>49644</v>
      </c>
      <c r="B135" s="128" t="n">
        <f aca="false">'Gas Curves'!C139</f>
        <v>0.06045280299556</v>
      </c>
      <c r="C135" s="128"/>
      <c r="D135" s="167" t="n">
        <v>39417</v>
      </c>
      <c r="E135" s="168" t="n">
        <v>40.4</v>
      </c>
      <c r="F135" s="168" t="n">
        <v>42.5</v>
      </c>
      <c r="G135" s="168" t="n">
        <v>44.72</v>
      </c>
      <c r="H135" s="152"/>
      <c r="I135" s="168" t="n">
        <v>24.9999992370605</v>
      </c>
      <c r="J135" s="168" t="n">
        <v>26.0499992370605</v>
      </c>
      <c r="K135" s="168" t="n">
        <v>27.0549992370605</v>
      </c>
      <c r="L135" s="134"/>
      <c r="M135" s="135" t="n">
        <v>40299</v>
      </c>
      <c r="N135" s="169" t="n">
        <v>29.125</v>
      </c>
      <c r="O135" s="169" t="n">
        <v>30.7</v>
      </c>
      <c r="P135" s="169" t="n">
        <v>33.085</v>
      </c>
      <c r="Q135" s="65"/>
      <c r="R135" s="169" t="n">
        <v>22.1999988555908</v>
      </c>
      <c r="S135" s="169" t="n">
        <v>27.1999988555908</v>
      </c>
      <c r="T135" s="169" t="n">
        <v>29.5849988555908</v>
      </c>
      <c r="U135" s="65"/>
      <c r="V135" s="169" t="n">
        <v>0</v>
      </c>
      <c r="W135" s="169" t="n">
        <v>0</v>
      </c>
      <c r="X135" s="169" t="n">
        <v>0</v>
      </c>
      <c r="Y135" s="65"/>
      <c r="Z135" s="169" t="n">
        <v>0.120341149133679</v>
      </c>
      <c r="AA135" s="169" t="n">
        <v>0.240682298267359</v>
      </c>
      <c r="AB135" s="169" t="n">
        <v>0.361023447401038</v>
      </c>
      <c r="AC135" s="65"/>
      <c r="AD135" s="169" t="n">
        <v>0.0285975482410641</v>
      </c>
      <c r="AE135" s="169" t="n">
        <v>0.0571950964821283</v>
      </c>
      <c r="AF135" s="169" t="n">
        <v>0.0857926447231924</v>
      </c>
      <c r="AG135" s="65"/>
      <c r="AH135" s="169" t="n">
        <v>-0.25</v>
      </c>
      <c r="AI135" s="169" t="n">
        <v>1.1</v>
      </c>
      <c r="AJ135" s="169" t="n">
        <v>0.3</v>
      </c>
      <c r="AK135" s="65"/>
      <c r="AL135" s="169" t="n">
        <v>-0.15</v>
      </c>
      <c r="AM135" s="169" t="n">
        <v>0.5</v>
      </c>
      <c r="AN135" s="169" t="n">
        <v>0.2</v>
      </c>
      <c r="AO135" s="65"/>
      <c r="AP135" s="134" t="n">
        <v>40</v>
      </c>
      <c r="AQ135" s="170" t="n">
        <v>0.4</v>
      </c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135" t="n">
        <v>40299</v>
      </c>
      <c r="BI135" s="172" t="n">
        <v>0.9</v>
      </c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0"/>
      <c r="CM135" s="206"/>
      <c r="CN135" s="206"/>
      <c r="CO135" s="173"/>
      <c r="CP135" s="0"/>
      <c r="CQ135" s="0"/>
      <c r="CR135" s="0"/>
      <c r="CS135" s="0"/>
      <c r="CT135" s="0"/>
      <c r="CY135" s="174" t="n">
        <f aca="false">M135</f>
        <v>40299</v>
      </c>
      <c r="CZ135" s="175" t="n">
        <f aca="false">AI135+AH135</f>
        <v>0.85</v>
      </c>
      <c r="DA135" s="175" t="n">
        <f aca="false">AI135</f>
        <v>1.1</v>
      </c>
      <c r="DB135" s="175" t="n">
        <f aca="false">AI135+AJ135</f>
        <v>1.4</v>
      </c>
      <c r="DD135" s="175" t="n">
        <f aca="false">Z135</f>
        <v>0.120341149133679</v>
      </c>
      <c r="DE135" s="175" t="n">
        <f aca="false">AA135</f>
        <v>0.240682298267359</v>
      </c>
      <c r="DF135" s="175" t="n">
        <f aca="false">AB135</f>
        <v>0.361023447401038</v>
      </c>
      <c r="DH135" s="174" t="n">
        <f aca="false">BH135</f>
        <v>40299</v>
      </c>
      <c r="DI135" s="128" t="n">
        <f aca="false">BI135</f>
        <v>0.9</v>
      </c>
    </row>
    <row r="136" customFormat="false" ht="12.75" hidden="false" customHeight="false" outlineLevel="0" collapsed="false">
      <c r="A136" s="138" t="n">
        <f aca="false">EOMONTH(A135,0)+1</f>
        <v>49675</v>
      </c>
      <c r="B136" s="128" t="n">
        <f aca="false">'Gas Curves'!C140</f>
        <v>0.060476518069398</v>
      </c>
      <c r="C136" s="128"/>
      <c r="D136" s="167" t="n">
        <v>39448</v>
      </c>
      <c r="E136" s="168" t="n">
        <v>55.9</v>
      </c>
      <c r="F136" s="168" t="n">
        <v>58</v>
      </c>
      <c r="G136" s="168" t="n">
        <v>60.04</v>
      </c>
      <c r="H136" s="152"/>
      <c r="I136" s="168" t="n">
        <v>26.3000003814697</v>
      </c>
      <c r="J136" s="168" t="n">
        <v>27.3500003814697</v>
      </c>
      <c r="K136" s="168" t="n">
        <v>28.1900003814697</v>
      </c>
      <c r="L136" s="134"/>
      <c r="M136" s="135" t="n">
        <v>40330</v>
      </c>
      <c r="N136" s="169" t="n">
        <v>34.4625030517578</v>
      </c>
      <c r="O136" s="169" t="n">
        <v>37.5000030517578</v>
      </c>
      <c r="P136" s="169" t="n">
        <v>41.1300030517578</v>
      </c>
      <c r="Q136" s="65"/>
      <c r="R136" s="169" t="n">
        <v>27.7000026702881</v>
      </c>
      <c r="S136" s="169" t="n">
        <v>32.7000026702881</v>
      </c>
      <c r="T136" s="169" t="n">
        <v>36.3300026702881</v>
      </c>
      <c r="U136" s="65"/>
      <c r="V136" s="169" t="n">
        <v>0</v>
      </c>
      <c r="W136" s="169" t="n">
        <v>0</v>
      </c>
      <c r="X136" s="169" t="n">
        <v>0</v>
      </c>
      <c r="Y136" s="65"/>
      <c r="Z136" s="169" t="n">
        <v>0.128696929465765</v>
      </c>
      <c r="AA136" s="169" t="n">
        <v>0.25739385893153</v>
      </c>
      <c r="AB136" s="169" t="n">
        <v>0.386090788397296</v>
      </c>
      <c r="AC136" s="65"/>
      <c r="AD136" s="169" t="n">
        <v>0.0367682763099396</v>
      </c>
      <c r="AE136" s="169" t="n">
        <v>0.0735365526198792</v>
      </c>
      <c r="AF136" s="169" t="n">
        <v>0.110304828929819</v>
      </c>
      <c r="AG136" s="65"/>
      <c r="AH136" s="169" t="n">
        <v>-0.35</v>
      </c>
      <c r="AI136" s="169" t="n">
        <v>2</v>
      </c>
      <c r="AJ136" s="169" t="n">
        <v>0.3</v>
      </c>
      <c r="AK136" s="65"/>
      <c r="AL136" s="169" t="n">
        <v>-0.15</v>
      </c>
      <c r="AM136" s="169" t="n">
        <v>0.65</v>
      </c>
      <c r="AN136" s="169" t="n">
        <v>0.2</v>
      </c>
      <c r="AO136" s="65"/>
      <c r="AP136" s="134" t="n">
        <v>40</v>
      </c>
      <c r="AQ136" s="170" t="n">
        <v>0.4</v>
      </c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135" t="n">
        <v>40330</v>
      </c>
      <c r="BI136" s="172" t="n">
        <v>0.9</v>
      </c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  <c r="CC136" s="65"/>
      <c r="CD136" s="65"/>
      <c r="CE136" s="65"/>
      <c r="CF136" s="65"/>
      <c r="CG136" s="65"/>
      <c r="CH136" s="0"/>
      <c r="CM136" s="206"/>
      <c r="CN136" s="206"/>
      <c r="CO136" s="173"/>
      <c r="CP136" s="0"/>
      <c r="CQ136" s="0"/>
      <c r="CR136" s="0"/>
      <c r="CS136" s="0"/>
      <c r="CT136" s="0"/>
      <c r="CY136" s="174" t="n">
        <f aca="false">M136</f>
        <v>40330</v>
      </c>
      <c r="CZ136" s="175" t="n">
        <f aca="false">AI136+AH136</f>
        <v>1.65</v>
      </c>
      <c r="DA136" s="175" t="n">
        <f aca="false">AI136</f>
        <v>2</v>
      </c>
      <c r="DB136" s="175" t="n">
        <f aca="false">AI136+AJ136</f>
        <v>2.3</v>
      </c>
      <c r="DD136" s="175" t="n">
        <f aca="false">Z136</f>
        <v>0.128696929465765</v>
      </c>
      <c r="DE136" s="175" t="n">
        <f aca="false">AA136</f>
        <v>0.25739385893153</v>
      </c>
      <c r="DF136" s="175" t="n">
        <f aca="false">AB136</f>
        <v>0.386090788397296</v>
      </c>
      <c r="DH136" s="174" t="n">
        <f aca="false">BH136</f>
        <v>40330</v>
      </c>
      <c r="DI136" s="128" t="n">
        <f aca="false">BI136</f>
        <v>0.9</v>
      </c>
    </row>
    <row r="137" customFormat="false" ht="12.75" hidden="false" customHeight="false" outlineLevel="0" collapsed="false">
      <c r="A137" s="138" t="n">
        <f aca="false">EOMONTH(A136,0)+1</f>
        <v>49706</v>
      </c>
      <c r="B137" s="128" t="n">
        <f aca="false">'Gas Curves'!C141</f>
        <v>0.060501023645895</v>
      </c>
      <c r="C137" s="128"/>
      <c r="D137" s="167" t="n">
        <v>39479</v>
      </c>
      <c r="E137" s="168" t="n">
        <v>56.35</v>
      </c>
      <c r="F137" s="168" t="n">
        <v>58</v>
      </c>
      <c r="G137" s="168" t="n">
        <v>60.04</v>
      </c>
      <c r="H137" s="152"/>
      <c r="I137" s="168" t="n">
        <v>23.175</v>
      </c>
      <c r="J137" s="168" t="n">
        <v>24</v>
      </c>
      <c r="K137" s="168" t="n">
        <v>24.84</v>
      </c>
      <c r="L137" s="134"/>
      <c r="M137" s="135" t="n">
        <v>40360</v>
      </c>
      <c r="N137" s="169" t="n">
        <v>36.4750015258789</v>
      </c>
      <c r="O137" s="169" t="n">
        <v>43.9000015258789</v>
      </c>
      <c r="P137" s="169" t="n">
        <v>51.6475015258789</v>
      </c>
      <c r="Q137" s="65"/>
      <c r="R137" s="169" t="n">
        <v>32.9000015258789</v>
      </c>
      <c r="S137" s="169" t="n">
        <v>37.9000015258789</v>
      </c>
      <c r="T137" s="169" t="n">
        <v>45.6475015258789</v>
      </c>
      <c r="U137" s="65"/>
      <c r="V137" s="169" t="n">
        <v>0</v>
      </c>
      <c r="W137" s="169" t="n">
        <v>0</v>
      </c>
      <c r="X137" s="169" t="n">
        <v>0</v>
      </c>
      <c r="Y137" s="65"/>
      <c r="Z137" s="169" t="n">
        <v>0.153284949200416</v>
      </c>
      <c r="AA137" s="169" t="n">
        <v>0.306569898400832</v>
      </c>
      <c r="AB137" s="169" t="n">
        <v>0.459854847601248</v>
      </c>
      <c r="AC137" s="65"/>
      <c r="AD137" s="169" t="n">
        <v>0.0490243684132528</v>
      </c>
      <c r="AE137" s="169" t="n">
        <v>0.0980487368265056</v>
      </c>
      <c r="AF137" s="169" t="n">
        <v>0.147073105239758</v>
      </c>
      <c r="AG137" s="65"/>
      <c r="AH137" s="169" t="n">
        <v>-0.35</v>
      </c>
      <c r="AI137" s="169" t="n">
        <v>3</v>
      </c>
      <c r="AJ137" s="169" t="n">
        <v>0.5</v>
      </c>
      <c r="AK137" s="65"/>
      <c r="AL137" s="169" t="n">
        <v>-0.15</v>
      </c>
      <c r="AM137" s="169" t="n">
        <v>0.75</v>
      </c>
      <c r="AN137" s="169" t="n">
        <v>0.2</v>
      </c>
      <c r="AO137" s="65"/>
      <c r="AP137" s="134" t="n">
        <v>40</v>
      </c>
      <c r="AQ137" s="170" t="n">
        <v>0.4</v>
      </c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135" t="n">
        <v>40360</v>
      </c>
      <c r="BI137" s="172" t="n">
        <v>0.9</v>
      </c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  <c r="CC137" s="65"/>
      <c r="CD137" s="65"/>
      <c r="CE137" s="65"/>
      <c r="CF137" s="65"/>
      <c r="CG137" s="65"/>
      <c r="CH137" s="0"/>
      <c r="CM137" s="206"/>
      <c r="CN137" s="206"/>
      <c r="CO137" s="173"/>
      <c r="CP137" s="0"/>
      <c r="CQ137" s="0"/>
      <c r="CR137" s="0"/>
      <c r="CS137" s="0"/>
      <c r="CT137" s="0"/>
      <c r="CY137" s="174" t="n">
        <f aca="false">M137</f>
        <v>40360</v>
      </c>
      <c r="CZ137" s="175" t="n">
        <f aca="false">AI137+AH137</f>
        <v>2.65</v>
      </c>
      <c r="DA137" s="175" t="n">
        <f aca="false">AI137</f>
        <v>3</v>
      </c>
      <c r="DB137" s="175" t="n">
        <f aca="false">AI137+AJ137</f>
        <v>3.5</v>
      </c>
      <c r="DD137" s="175" t="n">
        <f aca="false">Z137</f>
        <v>0.153284949200416</v>
      </c>
      <c r="DE137" s="175" t="n">
        <f aca="false">AA137</f>
        <v>0.306569898400832</v>
      </c>
      <c r="DF137" s="175" t="n">
        <f aca="false">AB137</f>
        <v>0.459854847601248</v>
      </c>
      <c r="DH137" s="174" t="n">
        <f aca="false">BH137</f>
        <v>40360</v>
      </c>
      <c r="DI137" s="128" t="n">
        <f aca="false">BI137</f>
        <v>0.9</v>
      </c>
    </row>
    <row r="138" customFormat="false" ht="12.75" hidden="false" customHeight="false" outlineLevel="0" collapsed="false">
      <c r="A138" s="138" t="n">
        <f aca="false">EOMONTH(A137,0)+1</f>
        <v>49735</v>
      </c>
      <c r="B138" s="128" t="n">
        <f aca="false">'Gas Curves'!C142</f>
        <v>0.060524738720113</v>
      </c>
      <c r="C138" s="128"/>
      <c r="D138" s="167" t="n">
        <v>39508</v>
      </c>
      <c r="E138" s="168" t="n">
        <v>39.35</v>
      </c>
      <c r="F138" s="168" t="n">
        <v>41</v>
      </c>
      <c r="G138" s="168" t="n">
        <v>43.04</v>
      </c>
      <c r="H138" s="152"/>
      <c r="I138" s="168" t="n">
        <v>23.5749996185303</v>
      </c>
      <c r="J138" s="168" t="n">
        <v>24.3999996185303</v>
      </c>
      <c r="K138" s="168" t="n">
        <v>25.2399996185303</v>
      </c>
      <c r="L138" s="134"/>
      <c r="M138" s="135" t="n">
        <v>40391</v>
      </c>
      <c r="N138" s="169" t="n">
        <v>48.2250015258789</v>
      </c>
      <c r="O138" s="169" t="n">
        <v>55.6500015258789</v>
      </c>
      <c r="P138" s="169" t="n">
        <v>63.3975015258789</v>
      </c>
      <c r="Q138" s="65"/>
      <c r="R138" s="169" t="n">
        <v>44.7000007629395</v>
      </c>
      <c r="S138" s="169" t="n">
        <v>49.7000007629395</v>
      </c>
      <c r="T138" s="169" t="n">
        <v>57.4475007629395</v>
      </c>
      <c r="U138" s="65"/>
      <c r="V138" s="169" t="n">
        <v>0</v>
      </c>
      <c r="W138" s="169" t="n">
        <v>0</v>
      </c>
      <c r="X138" s="169" t="n">
        <v>0</v>
      </c>
      <c r="Y138" s="65"/>
      <c r="Z138" s="169" t="n">
        <v>0.149926383267015</v>
      </c>
      <c r="AA138" s="169" t="n">
        <v>0.29985276653403</v>
      </c>
      <c r="AB138" s="169" t="n">
        <v>0.449779149801046</v>
      </c>
      <c r="AC138" s="65"/>
      <c r="AD138" s="169" t="n">
        <v>0.0490243684132528</v>
      </c>
      <c r="AE138" s="169" t="n">
        <v>0.0980487368265056</v>
      </c>
      <c r="AF138" s="169" t="n">
        <v>0.147073105239758</v>
      </c>
      <c r="AG138" s="65"/>
      <c r="AH138" s="169" t="n">
        <v>-0.35</v>
      </c>
      <c r="AI138" s="169" t="n">
        <v>3</v>
      </c>
      <c r="AJ138" s="169" t="n">
        <v>0.5</v>
      </c>
      <c r="AK138" s="65"/>
      <c r="AL138" s="169" t="n">
        <v>-0.15</v>
      </c>
      <c r="AM138" s="169" t="n">
        <v>0.75</v>
      </c>
      <c r="AN138" s="169" t="n">
        <v>0.2</v>
      </c>
      <c r="AO138" s="65"/>
      <c r="AP138" s="134" t="n">
        <v>41</v>
      </c>
      <c r="AQ138" s="170" t="n">
        <v>0.4</v>
      </c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135" t="n">
        <v>40391</v>
      </c>
      <c r="BI138" s="172" t="n">
        <v>0.9</v>
      </c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5"/>
      <c r="CF138" s="65"/>
      <c r="CG138" s="65"/>
      <c r="CH138" s="0"/>
      <c r="CM138" s="206"/>
      <c r="CN138" s="206"/>
      <c r="CO138" s="173"/>
      <c r="CP138" s="0"/>
      <c r="CQ138" s="0"/>
      <c r="CR138" s="0"/>
      <c r="CS138" s="0"/>
      <c r="CT138" s="0"/>
      <c r="CY138" s="174" t="n">
        <f aca="false">M138</f>
        <v>40391</v>
      </c>
      <c r="CZ138" s="175" t="n">
        <f aca="false">AI138+AH138</f>
        <v>2.65</v>
      </c>
      <c r="DA138" s="175" t="n">
        <f aca="false">AI138</f>
        <v>3</v>
      </c>
      <c r="DB138" s="175" t="n">
        <f aca="false">AI138+AJ138</f>
        <v>3.5</v>
      </c>
      <c r="DD138" s="175" t="n">
        <f aca="false">Z138</f>
        <v>0.149926383267015</v>
      </c>
      <c r="DE138" s="175" t="n">
        <f aca="false">AA138</f>
        <v>0.29985276653403</v>
      </c>
      <c r="DF138" s="175" t="n">
        <f aca="false">AB138</f>
        <v>0.449779149801046</v>
      </c>
      <c r="DH138" s="174" t="n">
        <f aca="false">BH138</f>
        <v>40391</v>
      </c>
      <c r="DI138" s="128" t="n">
        <f aca="false">BI138</f>
        <v>0.9</v>
      </c>
    </row>
    <row r="139" customFormat="false" ht="12.75" hidden="false" customHeight="false" outlineLevel="0" collapsed="false">
      <c r="A139" s="138" t="n">
        <f aca="false">EOMONTH(A138,0)+1</f>
        <v>49766</v>
      </c>
      <c r="B139" s="128" t="n">
        <f aca="false">'Gas Curves'!C143</f>
        <v>0.060549244297002</v>
      </c>
      <c r="C139" s="128"/>
      <c r="D139" s="167" t="n">
        <v>39539</v>
      </c>
      <c r="E139" s="168" t="n">
        <v>35.4</v>
      </c>
      <c r="F139" s="168" t="n">
        <v>37.5</v>
      </c>
      <c r="G139" s="168" t="n">
        <v>39.54</v>
      </c>
      <c r="H139" s="152"/>
      <c r="I139" s="168" t="n">
        <v>21.0999996185303</v>
      </c>
      <c r="J139" s="168" t="n">
        <v>22.1499996185303</v>
      </c>
      <c r="K139" s="168" t="n">
        <v>22.9899996185303</v>
      </c>
      <c r="L139" s="134"/>
      <c r="M139" s="135" t="n">
        <v>40422</v>
      </c>
      <c r="N139" s="169" t="n">
        <v>29.9875011444092</v>
      </c>
      <c r="O139" s="169" t="n">
        <v>33.0250011444092</v>
      </c>
      <c r="P139" s="169" t="n">
        <v>35.4100011444092</v>
      </c>
      <c r="Q139" s="65"/>
      <c r="R139" s="169" t="n">
        <v>25.3000015258789</v>
      </c>
      <c r="S139" s="169" t="n">
        <v>30.3000015258789</v>
      </c>
      <c r="T139" s="169" t="n">
        <v>32.6850015258789</v>
      </c>
      <c r="U139" s="65"/>
      <c r="V139" s="169" t="n">
        <v>0</v>
      </c>
      <c r="W139" s="169" t="n">
        <v>0</v>
      </c>
      <c r="X139" s="169" t="n">
        <v>0</v>
      </c>
      <c r="Y139" s="65"/>
      <c r="Z139" s="169" t="n">
        <v>0.11359416334747</v>
      </c>
      <c r="AA139" s="169" t="n">
        <v>0.227188326694939</v>
      </c>
      <c r="AB139" s="169" t="n">
        <v>0.340782490042409</v>
      </c>
      <c r="AC139" s="65"/>
      <c r="AD139" s="169" t="n">
        <v>0.0326829122755019</v>
      </c>
      <c r="AE139" s="169" t="n">
        <v>0.0653658245510037</v>
      </c>
      <c r="AF139" s="169" t="n">
        <v>0.0980487368265056</v>
      </c>
      <c r="AG139" s="65"/>
      <c r="AH139" s="169" t="n">
        <v>-0.35</v>
      </c>
      <c r="AI139" s="169" t="n">
        <v>1.5</v>
      </c>
      <c r="AJ139" s="169" t="n">
        <v>0.3</v>
      </c>
      <c r="AK139" s="65"/>
      <c r="AL139" s="169" t="n">
        <v>-0.15</v>
      </c>
      <c r="AM139" s="169" t="n">
        <v>0.4</v>
      </c>
      <c r="AN139" s="169" t="n">
        <v>0.2</v>
      </c>
      <c r="AO139" s="65"/>
      <c r="AP139" s="134" t="n">
        <v>41</v>
      </c>
      <c r="AQ139" s="170" t="n">
        <v>0.4</v>
      </c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135" t="n">
        <v>40422</v>
      </c>
      <c r="BI139" s="172" t="n">
        <v>0.9</v>
      </c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0"/>
      <c r="CM139" s="206"/>
      <c r="CN139" s="206"/>
      <c r="CO139" s="173"/>
      <c r="CP139" s="0"/>
      <c r="CQ139" s="0"/>
      <c r="CR139" s="0"/>
      <c r="CS139" s="0"/>
      <c r="CT139" s="0"/>
      <c r="CY139" s="174" t="n">
        <f aca="false">M139</f>
        <v>40422</v>
      </c>
      <c r="CZ139" s="175" t="n">
        <f aca="false">AI139+AH139</f>
        <v>1.15</v>
      </c>
      <c r="DA139" s="175" t="n">
        <f aca="false">AI139</f>
        <v>1.5</v>
      </c>
      <c r="DB139" s="175" t="n">
        <f aca="false">AI139+AJ139</f>
        <v>1.8</v>
      </c>
      <c r="DD139" s="175" t="n">
        <f aca="false">Z139</f>
        <v>0.11359416334747</v>
      </c>
      <c r="DE139" s="175" t="n">
        <f aca="false">AA139</f>
        <v>0.227188326694939</v>
      </c>
      <c r="DF139" s="175" t="n">
        <f aca="false">AB139</f>
        <v>0.340782490042409</v>
      </c>
      <c r="DH139" s="174" t="n">
        <f aca="false">BH139</f>
        <v>40422</v>
      </c>
      <c r="DI139" s="128" t="n">
        <f aca="false">BI139</f>
        <v>0.9</v>
      </c>
    </row>
    <row r="140" customFormat="false" ht="12.75" hidden="false" customHeight="false" outlineLevel="0" collapsed="false">
      <c r="A140" s="138" t="n">
        <f aca="false">EOMONTH(A139,0)+1</f>
        <v>49796</v>
      </c>
      <c r="B140" s="128" t="n">
        <f aca="false">'Gas Curves'!C144</f>
        <v>0.06057374987409</v>
      </c>
      <c r="C140" s="128"/>
      <c r="D140" s="167" t="n">
        <v>39569</v>
      </c>
      <c r="E140" s="168" t="n">
        <v>38.9</v>
      </c>
      <c r="F140" s="168" t="n">
        <v>41</v>
      </c>
      <c r="G140" s="168" t="n">
        <v>44.85</v>
      </c>
      <c r="H140" s="152"/>
      <c r="I140" s="168" t="n">
        <v>22.0999996185303</v>
      </c>
      <c r="J140" s="168" t="n">
        <v>23.1499996185303</v>
      </c>
      <c r="K140" s="168" t="n">
        <v>24.7399996185303</v>
      </c>
      <c r="L140" s="134"/>
      <c r="M140" s="135" t="n">
        <v>40452</v>
      </c>
      <c r="N140" s="169" t="n">
        <v>27.4500011444092</v>
      </c>
      <c r="O140" s="169" t="n">
        <v>29.0250011444092</v>
      </c>
      <c r="P140" s="169" t="n">
        <v>30.5325011444092</v>
      </c>
      <c r="Q140" s="65"/>
      <c r="R140" s="169" t="n">
        <v>20.8000015258789</v>
      </c>
      <c r="S140" s="169" t="n">
        <v>25.8000015258789</v>
      </c>
      <c r="T140" s="169" t="n">
        <v>27.3075015258789</v>
      </c>
      <c r="U140" s="65"/>
      <c r="V140" s="169" t="n">
        <v>0</v>
      </c>
      <c r="W140" s="169" t="n">
        <v>0</v>
      </c>
      <c r="X140" s="169" t="n">
        <v>0</v>
      </c>
      <c r="Y140" s="65"/>
      <c r="Z140" s="169" t="n">
        <v>0.0982484194962146</v>
      </c>
      <c r="AA140" s="169" t="n">
        <v>0.196496838992429</v>
      </c>
      <c r="AB140" s="169" t="n">
        <v>0.294745258488644</v>
      </c>
      <c r="AC140" s="65"/>
      <c r="AD140" s="169" t="n">
        <v>0.0245121842066264</v>
      </c>
      <c r="AE140" s="169" t="n">
        <v>0.0490243684132528</v>
      </c>
      <c r="AF140" s="169" t="n">
        <v>0.0735365526198792</v>
      </c>
      <c r="AG140" s="65"/>
      <c r="AH140" s="169" t="n">
        <v>-0.25</v>
      </c>
      <c r="AI140" s="169" t="n">
        <v>1.1</v>
      </c>
      <c r="AJ140" s="169" t="n">
        <v>0.3</v>
      </c>
      <c r="AK140" s="65"/>
      <c r="AL140" s="169" t="n">
        <v>-0.15</v>
      </c>
      <c r="AM140" s="169" t="n">
        <v>0.35</v>
      </c>
      <c r="AN140" s="169" t="n">
        <v>0.2</v>
      </c>
      <c r="AO140" s="65"/>
      <c r="AP140" s="134" t="n">
        <v>41</v>
      </c>
      <c r="AQ140" s="170" t="n">
        <v>0.4</v>
      </c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135" t="n">
        <v>40452</v>
      </c>
      <c r="BI140" s="172" t="n">
        <v>0.9</v>
      </c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  <c r="CC140" s="65"/>
      <c r="CD140" s="65"/>
      <c r="CE140" s="65"/>
      <c r="CF140" s="65"/>
      <c r="CG140" s="65"/>
      <c r="CH140" s="0"/>
      <c r="CM140" s="206"/>
      <c r="CN140" s="206"/>
      <c r="CO140" s="173"/>
      <c r="CP140" s="0"/>
      <c r="CQ140" s="0"/>
      <c r="CR140" s="0"/>
      <c r="CS140" s="0"/>
      <c r="CT140" s="0"/>
      <c r="CY140" s="174" t="n">
        <f aca="false">M140</f>
        <v>40452</v>
      </c>
      <c r="CZ140" s="175" t="n">
        <f aca="false">AI140+AH140</f>
        <v>0.85</v>
      </c>
      <c r="DA140" s="175" t="n">
        <f aca="false">AI140</f>
        <v>1.1</v>
      </c>
      <c r="DB140" s="175" t="n">
        <f aca="false">AI140+AJ140</f>
        <v>1.4</v>
      </c>
      <c r="DD140" s="175" t="n">
        <f aca="false">Z140</f>
        <v>0.0982484194962146</v>
      </c>
      <c r="DE140" s="175" t="n">
        <f aca="false">AA140</f>
        <v>0.196496838992429</v>
      </c>
      <c r="DF140" s="175" t="n">
        <f aca="false">AB140</f>
        <v>0.294745258488644</v>
      </c>
      <c r="DH140" s="174" t="n">
        <f aca="false">BH140</f>
        <v>40452</v>
      </c>
      <c r="DI140" s="128" t="n">
        <f aca="false">BI140</f>
        <v>0.9</v>
      </c>
    </row>
    <row r="141" customFormat="false" ht="12.75" hidden="false" customHeight="false" outlineLevel="0" collapsed="false">
      <c r="A141" s="138" t="n">
        <f aca="false">EOMONTH(A140,0)+1</f>
        <v>49827</v>
      </c>
      <c r="B141" s="128" t="n">
        <f aca="false">'Gas Curves'!C145</f>
        <v>0.060597464948881</v>
      </c>
      <c r="C141" s="128"/>
      <c r="D141" s="167" t="n">
        <v>39600</v>
      </c>
      <c r="E141" s="168" t="n">
        <v>46.95</v>
      </c>
      <c r="F141" s="168" t="n">
        <v>51</v>
      </c>
      <c r="G141" s="168" t="n">
        <v>56.87</v>
      </c>
      <c r="H141" s="152"/>
      <c r="I141" s="168" t="n">
        <v>21.4999996185303</v>
      </c>
      <c r="J141" s="168" t="n">
        <v>23.5249996185303</v>
      </c>
      <c r="K141" s="168" t="n">
        <v>25.9449996185303</v>
      </c>
      <c r="L141" s="134"/>
      <c r="M141" s="135" t="n">
        <v>40483</v>
      </c>
      <c r="N141" s="169" t="n">
        <v>29.8000015258789</v>
      </c>
      <c r="O141" s="169" t="n">
        <v>31.3750015258789</v>
      </c>
      <c r="P141" s="169" t="n">
        <v>32.8825015258789</v>
      </c>
      <c r="Q141" s="65"/>
      <c r="R141" s="169" t="n">
        <v>23.0000003814697</v>
      </c>
      <c r="S141" s="169" t="n">
        <v>28.0000003814697</v>
      </c>
      <c r="T141" s="169" t="n">
        <v>29.5075003814697</v>
      </c>
      <c r="U141" s="65"/>
      <c r="V141" s="169" t="n">
        <v>0</v>
      </c>
      <c r="W141" s="169" t="n">
        <v>0</v>
      </c>
      <c r="X141" s="169" t="n">
        <v>0</v>
      </c>
      <c r="Y141" s="65"/>
      <c r="Z141" s="169" t="n">
        <v>0.0982484194962146</v>
      </c>
      <c r="AA141" s="169" t="n">
        <v>0.196496838992429</v>
      </c>
      <c r="AB141" s="169" t="n">
        <v>0.294745258488644</v>
      </c>
      <c r="AC141" s="65"/>
      <c r="AD141" s="169" t="n">
        <v>0.0245121842066264</v>
      </c>
      <c r="AE141" s="169" t="n">
        <v>0.0490243684132528</v>
      </c>
      <c r="AF141" s="169" t="n">
        <v>0.0735365526198792</v>
      </c>
      <c r="AG141" s="65"/>
      <c r="AH141" s="169" t="n">
        <v>-0.25</v>
      </c>
      <c r="AI141" s="169" t="n">
        <v>1.25</v>
      </c>
      <c r="AJ141" s="169" t="n">
        <v>0.3</v>
      </c>
      <c r="AK141" s="65"/>
      <c r="AL141" s="169" t="n">
        <v>-0.15</v>
      </c>
      <c r="AM141" s="169" t="n">
        <v>0.3</v>
      </c>
      <c r="AN141" s="169" t="n">
        <v>0.2</v>
      </c>
      <c r="AO141" s="65"/>
      <c r="AP141" s="134" t="n">
        <v>42</v>
      </c>
      <c r="AQ141" s="170" t="n">
        <v>0.4</v>
      </c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135" t="n">
        <v>40483</v>
      </c>
      <c r="BI141" s="172" t="n">
        <v>0.9</v>
      </c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  <c r="CE141" s="65"/>
      <c r="CF141" s="65"/>
      <c r="CG141" s="65"/>
      <c r="CH141" s="0"/>
      <c r="CM141" s="206"/>
      <c r="CN141" s="206"/>
      <c r="CO141" s="173"/>
      <c r="CP141" s="0"/>
      <c r="CQ141" s="0"/>
      <c r="CR141" s="0"/>
      <c r="CS141" s="0"/>
      <c r="CT141" s="0"/>
      <c r="CY141" s="174" t="n">
        <f aca="false">M141</f>
        <v>40483</v>
      </c>
      <c r="CZ141" s="175" t="n">
        <f aca="false">AI141+AH141</f>
        <v>1</v>
      </c>
      <c r="DA141" s="175" t="n">
        <f aca="false">AI141</f>
        <v>1.25</v>
      </c>
      <c r="DB141" s="175" t="n">
        <f aca="false">AI141+AJ141</f>
        <v>1.55</v>
      </c>
      <c r="DD141" s="175" t="n">
        <f aca="false">Z141</f>
        <v>0.0982484194962146</v>
      </c>
      <c r="DE141" s="175" t="n">
        <f aca="false">AA141</f>
        <v>0.196496838992429</v>
      </c>
      <c r="DF141" s="175" t="n">
        <f aca="false">AB141</f>
        <v>0.294745258488644</v>
      </c>
      <c r="DH141" s="174" t="n">
        <f aca="false">BH141</f>
        <v>40483</v>
      </c>
      <c r="DI141" s="128" t="n">
        <f aca="false">BI141</f>
        <v>0.9</v>
      </c>
    </row>
    <row r="142" customFormat="false" ht="12.75" hidden="false" customHeight="false" outlineLevel="0" collapsed="false">
      <c r="A142" s="138" t="n">
        <f aca="false">EOMONTH(A141,0)+1</f>
        <v>49857</v>
      </c>
      <c r="B142" s="128" t="n">
        <f aca="false">'Gas Curves'!C146</f>
        <v>0.060621970526362</v>
      </c>
      <c r="C142" s="128"/>
      <c r="D142" s="167" t="n">
        <v>39630</v>
      </c>
      <c r="E142" s="168" t="n">
        <v>60.35</v>
      </c>
      <c r="F142" s="168" t="n">
        <v>70.25</v>
      </c>
      <c r="G142" s="168" t="n">
        <v>82.76</v>
      </c>
      <c r="H142" s="152"/>
      <c r="I142" s="168" t="n">
        <v>22.3</v>
      </c>
      <c r="J142" s="168" t="n">
        <v>27.25</v>
      </c>
      <c r="K142" s="168" t="n">
        <v>32.415</v>
      </c>
      <c r="L142" s="134"/>
      <c r="M142" s="135" t="n">
        <v>40513</v>
      </c>
      <c r="N142" s="169" t="n">
        <v>30.4</v>
      </c>
      <c r="O142" s="169" t="n">
        <v>31.975</v>
      </c>
      <c r="P142" s="169" t="n">
        <v>33.4825</v>
      </c>
      <c r="Q142" s="65"/>
      <c r="R142" s="169" t="n">
        <v>23.5000003814697</v>
      </c>
      <c r="S142" s="169" t="n">
        <v>28.5000003814697</v>
      </c>
      <c r="T142" s="169" t="n">
        <v>30.0075003814697</v>
      </c>
      <c r="U142" s="65"/>
      <c r="V142" s="169" t="n">
        <v>0</v>
      </c>
      <c r="W142" s="169" t="n">
        <v>0</v>
      </c>
      <c r="X142" s="169" t="n">
        <v>0</v>
      </c>
      <c r="Y142" s="65"/>
      <c r="Z142" s="169" t="n">
        <v>0.0962871828462163</v>
      </c>
      <c r="AA142" s="169" t="n">
        <v>0.192574365692433</v>
      </c>
      <c r="AB142" s="169" t="n">
        <v>0.288861548538649</v>
      </c>
      <c r="AC142" s="65"/>
      <c r="AD142" s="169" t="n">
        <v>0.0245121842066264</v>
      </c>
      <c r="AE142" s="169" t="n">
        <v>0.0490243684132528</v>
      </c>
      <c r="AF142" s="169" t="n">
        <v>0.0735365526198792</v>
      </c>
      <c r="AG142" s="65"/>
      <c r="AH142" s="169" t="n">
        <v>-0.25</v>
      </c>
      <c r="AI142" s="169" t="n">
        <v>1.25</v>
      </c>
      <c r="AJ142" s="169" t="n">
        <v>0.35</v>
      </c>
      <c r="AK142" s="65"/>
      <c r="AL142" s="169" t="n">
        <v>-0.15</v>
      </c>
      <c r="AM142" s="169" t="n">
        <v>0.3</v>
      </c>
      <c r="AN142" s="169" t="n">
        <v>0.2</v>
      </c>
      <c r="AO142" s="65"/>
      <c r="AP142" s="134" t="n">
        <v>42</v>
      </c>
      <c r="AQ142" s="170" t="n">
        <v>0.4</v>
      </c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135" t="n">
        <v>40513</v>
      </c>
      <c r="BI142" s="172" t="n">
        <v>0.9</v>
      </c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  <c r="CC142" s="65"/>
      <c r="CD142" s="65"/>
      <c r="CE142" s="65"/>
      <c r="CF142" s="65"/>
      <c r="CG142" s="65"/>
      <c r="CH142" s="0"/>
      <c r="CM142" s="206"/>
      <c r="CN142" s="206"/>
      <c r="CO142" s="173"/>
      <c r="CP142" s="0"/>
      <c r="CQ142" s="0"/>
      <c r="CR142" s="0"/>
      <c r="CS142" s="0"/>
      <c r="CT142" s="0"/>
      <c r="CY142" s="174" t="n">
        <f aca="false">M142</f>
        <v>40513</v>
      </c>
      <c r="CZ142" s="175" t="n">
        <f aca="false">AI142+AH142</f>
        <v>1</v>
      </c>
      <c r="DA142" s="175" t="n">
        <f aca="false">AI142</f>
        <v>1.25</v>
      </c>
      <c r="DB142" s="175" t="n">
        <f aca="false">AI142+AJ142</f>
        <v>1.6</v>
      </c>
      <c r="DD142" s="175" t="n">
        <f aca="false">Z142</f>
        <v>0.0962871828462163</v>
      </c>
      <c r="DE142" s="175" t="n">
        <f aca="false">AA142</f>
        <v>0.192574365692433</v>
      </c>
      <c r="DF142" s="175" t="n">
        <f aca="false">AB142</f>
        <v>0.288861548538649</v>
      </c>
      <c r="DH142" s="174" t="n">
        <f aca="false">BH142</f>
        <v>40513</v>
      </c>
      <c r="DI142" s="128" t="n">
        <f aca="false">BI142</f>
        <v>0.9</v>
      </c>
    </row>
    <row r="143" customFormat="false" ht="12.75" hidden="false" customHeight="false" outlineLevel="0" collapsed="false">
      <c r="A143" s="138" t="n">
        <f aca="false">EOMONTH(A142,0)+1</f>
        <v>49888</v>
      </c>
      <c r="B143" s="128" t="n">
        <f aca="false">'Gas Curves'!C147</f>
        <v>0.060645685601532</v>
      </c>
      <c r="C143" s="128"/>
      <c r="D143" s="167" t="n">
        <v>39661</v>
      </c>
      <c r="E143" s="168" t="n">
        <v>60.35</v>
      </c>
      <c r="F143" s="168" t="n">
        <v>70.25</v>
      </c>
      <c r="G143" s="168" t="n">
        <v>82.76</v>
      </c>
      <c r="H143" s="152"/>
      <c r="I143" s="168" t="n">
        <v>34.4500015258789</v>
      </c>
      <c r="J143" s="168" t="n">
        <v>39.4000015258789</v>
      </c>
      <c r="K143" s="168" t="n">
        <v>44.5650015258789</v>
      </c>
      <c r="L143" s="134"/>
      <c r="M143" s="135" t="n">
        <v>40544</v>
      </c>
      <c r="N143" s="169" t="n">
        <v>32.9794960021973</v>
      </c>
      <c r="O143" s="169" t="n">
        <v>34.5544960021973</v>
      </c>
      <c r="P143" s="169" t="n">
        <v>35.8144960021973</v>
      </c>
      <c r="Q143" s="65"/>
      <c r="R143" s="169" t="n">
        <v>25.6539974212647</v>
      </c>
      <c r="S143" s="169" t="n">
        <v>30.6539974212647</v>
      </c>
      <c r="T143" s="169" t="n">
        <v>31.9139974212647</v>
      </c>
      <c r="U143" s="65"/>
      <c r="V143" s="169" t="n">
        <v>0</v>
      </c>
      <c r="W143" s="169" t="n">
        <v>0</v>
      </c>
      <c r="X143" s="169" t="n">
        <v>0</v>
      </c>
      <c r="Y143" s="65"/>
      <c r="Z143" s="169" t="n">
        <v>0.142089729422413</v>
      </c>
      <c r="AA143" s="169" t="n">
        <v>0.284179458844826</v>
      </c>
      <c r="AB143" s="169" t="n">
        <v>0.426269188267239</v>
      </c>
      <c r="AC143" s="65"/>
      <c r="AD143" s="169" t="n">
        <v>0.0280255972762429</v>
      </c>
      <c r="AE143" s="169" t="n">
        <v>0.0560511945524857</v>
      </c>
      <c r="AF143" s="169" t="n">
        <v>0.0840767918287286</v>
      </c>
      <c r="AG143" s="65"/>
      <c r="AH143" s="169" t="n">
        <v>-0.75</v>
      </c>
      <c r="AI143" s="169" t="n">
        <v>2</v>
      </c>
      <c r="AJ143" s="169" t="n">
        <v>0.75</v>
      </c>
      <c r="AK143" s="65"/>
      <c r="AL143" s="169" t="n">
        <v>-0.15</v>
      </c>
      <c r="AM143" s="169" t="n">
        <v>0.5</v>
      </c>
      <c r="AN143" s="169" t="n">
        <v>0.2</v>
      </c>
      <c r="AO143" s="65"/>
      <c r="AP143" s="134" t="n">
        <v>42</v>
      </c>
      <c r="AQ143" s="170" t="n">
        <v>0.4</v>
      </c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135" t="n">
        <v>40544</v>
      </c>
      <c r="BI143" s="172" t="n">
        <v>0.9</v>
      </c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  <c r="CD143" s="65"/>
      <c r="CE143" s="65"/>
      <c r="CF143" s="65"/>
      <c r="CG143" s="65"/>
      <c r="CH143" s="0"/>
      <c r="CM143" s="206"/>
      <c r="CN143" s="206"/>
      <c r="CO143" s="173"/>
      <c r="CP143" s="0"/>
      <c r="CQ143" s="0"/>
      <c r="CR143" s="0"/>
      <c r="CS143" s="0"/>
      <c r="CT143" s="0"/>
      <c r="CY143" s="174" t="n">
        <f aca="false">M143</f>
        <v>40544</v>
      </c>
      <c r="CZ143" s="175" t="n">
        <f aca="false">AI143+AH143</f>
        <v>1.25</v>
      </c>
      <c r="DA143" s="175" t="n">
        <f aca="false">AI143</f>
        <v>2</v>
      </c>
      <c r="DB143" s="175" t="n">
        <f aca="false">AI143+AJ143</f>
        <v>2.75</v>
      </c>
      <c r="DD143" s="175" t="n">
        <f aca="false">Z143</f>
        <v>0.142089729422413</v>
      </c>
      <c r="DE143" s="175" t="n">
        <f aca="false">AA143</f>
        <v>0.284179458844826</v>
      </c>
      <c r="DF143" s="175" t="n">
        <f aca="false">AB143</f>
        <v>0.426269188267239</v>
      </c>
      <c r="DH143" s="174" t="n">
        <f aca="false">BH143</f>
        <v>40544</v>
      </c>
      <c r="DI143" s="128" t="n">
        <f aca="false">BI143</f>
        <v>0.9</v>
      </c>
    </row>
    <row r="144" customFormat="false" ht="12.75" hidden="false" customHeight="false" outlineLevel="0" collapsed="false">
      <c r="A144" s="138" t="n">
        <f aca="false">EOMONTH(A143,0)+1</f>
        <v>49919</v>
      </c>
      <c r="B144" s="128" t="n">
        <f aca="false">'Gas Curves'!C148</f>
        <v>0.060670191179406</v>
      </c>
      <c r="C144" s="128"/>
      <c r="D144" s="167" t="n">
        <v>39692</v>
      </c>
      <c r="E144" s="168" t="n">
        <v>35.45</v>
      </c>
      <c r="F144" s="168" t="n">
        <v>39.5</v>
      </c>
      <c r="G144" s="168" t="n">
        <v>43.35</v>
      </c>
      <c r="H144" s="152"/>
      <c r="I144" s="168" t="n">
        <v>25.8749996185303</v>
      </c>
      <c r="J144" s="168" t="n">
        <v>27.8999996185303</v>
      </c>
      <c r="K144" s="168" t="n">
        <v>29.4899996185303</v>
      </c>
      <c r="L144" s="134"/>
      <c r="M144" s="135" t="n">
        <v>40575</v>
      </c>
      <c r="N144" s="169" t="n">
        <v>32.6419967651367</v>
      </c>
      <c r="O144" s="169" t="n">
        <v>33.8794967651367</v>
      </c>
      <c r="P144" s="169" t="n">
        <v>35.1394967651367</v>
      </c>
      <c r="Q144" s="65"/>
      <c r="R144" s="169" t="n">
        <v>25.0539970397949</v>
      </c>
      <c r="S144" s="169" t="n">
        <v>30.0539970397949</v>
      </c>
      <c r="T144" s="169" t="n">
        <v>31.3139970397949</v>
      </c>
      <c r="U144" s="65"/>
      <c r="V144" s="169" t="n">
        <v>0</v>
      </c>
      <c r="W144" s="169" t="n">
        <v>0</v>
      </c>
      <c r="X144" s="169" t="n">
        <v>0</v>
      </c>
      <c r="Y144" s="65"/>
      <c r="Z144" s="169" t="n">
        <v>0.13726832143802</v>
      </c>
      <c r="AA144" s="169" t="n">
        <v>0.27453664287604</v>
      </c>
      <c r="AB144" s="169" t="n">
        <v>0.41180496431406</v>
      </c>
      <c r="AC144" s="65"/>
      <c r="AD144" s="169" t="n">
        <v>0.0280255972762429</v>
      </c>
      <c r="AE144" s="169" t="n">
        <v>0.0560511945524857</v>
      </c>
      <c r="AF144" s="169" t="n">
        <v>0.0840767918287286</v>
      </c>
      <c r="AG144" s="65"/>
      <c r="AH144" s="169" t="n">
        <v>-0.75</v>
      </c>
      <c r="AI144" s="169" t="n">
        <v>2</v>
      </c>
      <c r="AJ144" s="169" t="n">
        <v>0.75</v>
      </c>
      <c r="AK144" s="65"/>
      <c r="AL144" s="169" t="n">
        <v>-0.15</v>
      </c>
      <c r="AM144" s="169" t="n">
        <v>0.5</v>
      </c>
      <c r="AN144" s="169" t="n">
        <v>0.2</v>
      </c>
      <c r="AO144" s="65"/>
      <c r="AP144" s="134" t="n">
        <v>43</v>
      </c>
      <c r="AQ144" s="170" t="n">
        <v>0.4</v>
      </c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135" t="n">
        <v>40575</v>
      </c>
      <c r="BI144" s="172" t="n">
        <v>0.9</v>
      </c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  <c r="CC144" s="65"/>
      <c r="CD144" s="65"/>
      <c r="CE144" s="65"/>
      <c r="CF144" s="65"/>
      <c r="CG144" s="65"/>
      <c r="CH144" s="0"/>
      <c r="CM144" s="206"/>
      <c r="CN144" s="206"/>
      <c r="CO144" s="173"/>
      <c r="CP144" s="0"/>
      <c r="CQ144" s="0"/>
      <c r="CR144" s="0"/>
      <c r="CS144" s="0"/>
      <c r="CT144" s="0"/>
      <c r="CY144" s="174" t="n">
        <f aca="false">M144</f>
        <v>40575</v>
      </c>
      <c r="CZ144" s="175" t="n">
        <f aca="false">AI144+AH144</f>
        <v>1.25</v>
      </c>
      <c r="DA144" s="175" t="n">
        <f aca="false">AI144</f>
        <v>2</v>
      </c>
      <c r="DB144" s="175" t="n">
        <f aca="false">AI144+AJ144</f>
        <v>2.75</v>
      </c>
      <c r="DD144" s="175" t="n">
        <f aca="false">Z144</f>
        <v>0.13726832143802</v>
      </c>
      <c r="DE144" s="175" t="n">
        <f aca="false">AA144</f>
        <v>0.27453664287604</v>
      </c>
      <c r="DF144" s="175" t="n">
        <f aca="false">AB144</f>
        <v>0.41180496431406</v>
      </c>
      <c r="DH144" s="174" t="n">
        <f aca="false">BH144</f>
        <v>40575</v>
      </c>
      <c r="DI144" s="128" t="n">
        <f aca="false">BI144</f>
        <v>0.9</v>
      </c>
    </row>
    <row r="145" customFormat="false" ht="12.75" hidden="false" customHeight="false" outlineLevel="0" collapsed="false">
      <c r="A145" s="138" t="n">
        <f aca="false">EOMONTH(A144,0)+1</f>
        <v>49949</v>
      </c>
      <c r="B145" s="128" t="n">
        <f aca="false">'Gas Curves'!C149</f>
        <v>0.060694696757479</v>
      </c>
      <c r="C145" s="128"/>
      <c r="D145" s="167" t="n">
        <v>39722</v>
      </c>
      <c r="E145" s="168" t="n">
        <v>37.4</v>
      </c>
      <c r="F145" s="168" t="n">
        <v>39.5</v>
      </c>
      <c r="G145" s="168" t="n">
        <v>41.95</v>
      </c>
      <c r="H145" s="152"/>
      <c r="I145" s="168" t="n">
        <v>24.8499996185303</v>
      </c>
      <c r="J145" s="168" t="n">
        <v>25.8999996185303</v>
      </c>
      <c r="K145" s="168" t="n">
        <v>26.9049996185303</v>
      </c>
      <c r="L145" s="134"/>
      <c r="M145" s="135" t="n">
        <v>40603</v>
      </c>
      <c r="N145" s="169" t="n">
        <v>26.7874969482422</v>
      </c>
      <c r="O145" s="169" t="n">
        <v>28.0249969482422</v>
      </c>
      <c r="P145" s="169" t="n">
        <v>29.2849969482422</v>
      </c>
      <c r="Q145" s="65"/>
      <c r="R145" s="169" t="n">
        <v>19.8499984741211</v>
      </c>
      <c r="S145" s="169" t="n">
        <v>24.8499984741211</v>
      </c>
      <c r="T145" s="169" t="n">
        <v>26.1099984741211</v>
      </c>
      <c r="U145" s="65"/>
      <c r="V145" s="169" t="n">
        <v>0</v>
      </c>
      <c r="W145" s="169" t="n">
        <v>0</v>
      </c>
      <c r="X145" s="169" t="n">
        <v>0</v>
      </c>
      <c r="Y145" s="65"/>
      <c r="Z145" s="169" t="n">
        <v>0.108820438706575</v>
      </c>
      <c r="AA145" s="169" t="n">
        <v>0.217640877413151</v>
      </c>
      <c r="AB145" s="169" t="n">
        <v>0.326461316119726</v>
      </c>
      <c r="AC145" s="65"/>
      <c r="AD145" s="169" t="n">
        <v>0.0245121842066264</v>
      </c>
      <c r="AE145" s="169" t="n">
        <v>0.0490243684132528</v>
      </c>
      <c r="AF145" s="169" t="n">
        <v>0.0735365526198792</v>
      </c>
      <c r="AG145" s="65"/>
      <c r="AH145" s="169" t="n">
        <v>-0.25</v>
      </c>
      <c r="AI145" s="169" t="n">
        <v>1.3</v>
      </c>
      <c r="AJ145" s="169" t="n">
        <v>0.3</v>
      </c>
      <c r="AK145" s="65"/>
      <c r="AL145" s="169" t="n">
        <v>-0.15</v>
      </c>
      <c r="AM145" s="169" t="n">
        <v>0.35</v>
      </c>
      <c r="AN145" s="169" t="n">
        <v>0.2</v>
      </c>
      <c r="AO145" s="65"/>
      <c r="AP145" s="134" t="n">
        <v>43</v>
      </c>
      <c r="AQ145" s="170" t="n">
        <v>0.4</v>
      </c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135" t="n">
        <v>40603</v>
      </c>
      <c r="BI145" s="172" t="n">
        <v>0.9</v>
      </c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  <c r="CC145" s="65"/>
      <c r="CD145" s="65"/>
      <c r="CE145" s="65"/>
      <c r="CF145" s="65"/>
      <c r="CG145" s="65"/>
      <c r="CH145" s="0"/>
      <c r="CM145" s="206"/>
      <c r="CN145" s="206"/>
      <c r="CO145" s="173"/>
      <c r="CP145" s="0"/>
      <c r="CQ145" s="0"/>
      <c r="CR145" s="0"/>
      <c r="CS145" s="0"/>
      <c r="CT145" s="0"/>
      <c r="CY145" s="174" t="n">
        <f aca="false">M145</f>
        <v>40603</v>
      </c>
      <c r="CZ145" s="175" t="n">
        <f aca="false">AI145+AH145</f>
        <v>1.05</v>
      </c>
      <c r="DA145" s="175" t="n">
        <f aca="false">AI145</f>
        <v>1.3</v>
      </c>
      <c r="DB145" s="175" t="n">
        <f aca="false">AI145+AJ145</f>
        <v>1.6</v>
      </c>
      <c r="DD145" s="175" t="n">
        <f aca="false">Z145</f>
        <v>0.108820438706575</v>
      </c>
      <c r="DE145" s="175" t="n">
        <f aca="false">AA145</f>
        <v>0.217640877413151</v>
      </c>
      <c r="DF145" s="175" t="n">
        <f aca="false">AB145</f>
        <v>0.326461316119726</v>
      </c>
      <c r="DH145" s="174" t="n">
        <f aca="false">BH145</f>
        <v>40603</v>
      </c>
      <c r="DI145" s="128" t="n">
        <f aca="false">BI145</f>
        <v>0.9</v>
      </c>
    </row>
    <row r="146" customFormat="false" ht="12.75" hidden="false" customHeight="false" outlineLevel="0" collapsed="false">
      <c r="A146" s="138" t="n">
        <f aca="false">EOMONTH(A145,0)+1</f>
        <v>49980</v>
      </c>
      <c r="B146" s="128" t="n">
        <f aca="false">'Gas Curves'!C150</f>
        <v>0.060717621330695</v>
      </c>
      <c r="C146" s="128"/>
      <c r="D146" s="167" t="n">
        <v>39753</v>
      </c>
      <c r="E146" s="168" t="n">
        <v>39.9</v>
      </c>
      <c r="F146" s="168" t="n">
        <v>42</v>
      </c>
      <c r="G146" s="168" t="n">
        <v>44.45</v>
      </c>
      <c r="H146" s="152"/>
      <c r="I146" s="168" t="n">
        <v>25.5999996185303</v>
      </c>
      <c r="J146" s="168" t="n">
        <v>26.6499996185303</v>
      </c>
      <c r="K146" s="168" t="n">
        <v>27.6549996185303</v>
      </c>
      <c r="L146" s="134"/>
      <c r="M146" s="135" t="n">
        <v>40634</v>
      </c>
      <c r="N146" s="169" t="n">
        <v>25.7749996185303</v>
      </c>
      <c r="O146" s="169" t="n">
        <v>27.3499996185303</v>
      </c>
      <c r="P146" s="169" t="n">
        <v>28.6099996185303</v>
      </c>
      <c r="Q146" s="65"/>
      <c r="R146" s="169" t="n">
        <v>19.25</v>
      </c>
      <c r="S146" s="169" t="n">
        <v>24.25</v>
      </c>
      <c r="T146" s="169" t="n">
        <v>25.51</v>
      </c>
      <c r="U146" s="65"/>
      <c r="V146" s="169" t="n">
        <v>0</v>
      </c>
      <c r="W146" s="169" t="n">
        <v>0</v>
      </c>
      <c r="X146" s="169" t="n">
        <v>0</v>
      </c>
      <c r="Y146" s="65"/>
      <c r="Z146" s="169" t="n">
        <v>0.108670754471766</v>
      </c>
      <c r="AA146" s="169" t="n">
        <v>0.217341508943532</v>
      </c>
      <c r="AB146" s="169" t="n">
        <v>0.326012263415297</v>
      </c>
      <c r="AC146" s="65"/>
      <c r="AD146" s="169" t="n">
        <v>0.0245121842066264</v>
      </c>
      <c r="AE146" s="169" t="n">
        <v>0.0490243684132528</v>
      </c>
      <c r="AF146" s="169" t="n">
        <v>0.0735365526198792</v>
      </c>
      <c r="AG146" s="65"/>
      <c r="AH146" s="169" t="n">
        <v>-0.25</v>
      </c>
      <c r="AI146" s="169" t="n">
        <v>1.1</v>
      </c>
      <c r="AJ146" s="169" t="n">
        <v>0.3</v>
      </c>
      <c r="AK146" s="65"/>
      <c r="AL146" s="169" t="n">
        <v>-0.15</v>
      </c>
      <c r="AM146" s="169" t="n">
        <v>0.35</v>
      </c>
      <c r="AN146" s="169" t="n">
        <v>0.2</v>
      </c>
      <c r="AO146" s="65"/>
      <c r="AP146" s="134" t="n">
        <v>43</v>
      </c>
      <c r="AQ146" s="170" t="n">
        <v>0.4</v>
      </c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135" t="n">
        <v>40634</v>
      </c>
      <c r="BI146" s="172" t="n">
        <v>0.9</v>
      </c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5"/>
      <c r="CC146" s="65"/>
      <c r="CD146" s="65"/>
      <c r="CE146" s="65"/>
      <c r="CF146" s="65"/>
      <c r="CG146" s="65"/>
      <c r="CH146" s="0"/>
      <c r="CM146" s="206"/>
      <c r="CN146" s="206"/>
      <c r="CO146" s="173"/>
      <c r="CP146" s="0"/>
      <c r="CQ146" s="0"/>
      <c r="CR146" s="0"/>
      <c r="CS146" s="0"/>
      <c r="CT146" s="0"/>
      <c r="CY146" s="174" t="n">
        <f aca="false">M146</f>
        <v>40634</v>
      </c>
      <c r="CZ146" s="175" t="n">
        <f aca="false">AI146+AH146</f>
        <v>0.85</v>
      </c>
      <c r="DA146" s="175" t="n">
        <f aca="false">AI146</f>
        <v>1.1</v>
      </c>
      <c r="DB146" s="175" t="n">
        <f aca="false">AI146+AJ146</f>
        <v>1.4</v>
      </c>
      <c r="DD146" s="175" t="n">
        <f aca="false">Z146</f>
        <v>0.108670754471766</v>
      </c>
      <c r="DE146" s="175" t="n">
        <f aca="false">AA146</f>
        <v>0.217341508943532</v>
      </c>
      <c r="DF146" s="175" t="n">
        <f aca="false">AB146</f>
        <v>0.326012263415297</v>
      </c>
      <c r="DH146" s="174" t="n">
        <f aca="false">BH146</f>
        <v>40634</v>
      </c>
      <c r="DI146" s="128" t="n">
        <f aca="false">BI146</f>
        <v>0.9</v>
      </c>
    </row>
    <row r="147" customFormat="false" ht="12.75" hidden="false" customHeight="false" outlineLevel="0" collapsed="false">
      <c r="A147" s="138" t="n">
        <f aca="false">EOMONTH(A146,0)+1</f>
        <v>50010</v>
      </c>
      <c r="B147" s="128" t="n">
        <f aca="false">'Gas Curves'!C151</f>
        <v>0.060742126909153</v>
      </c>
      <c r="C147" s="128"/>
      <c r="D147" s="167" t="n">
        <v>39783</v>
      </c>
      <c r="E147" s="168" t="n">
        <v>39.9</v>
      </c>
      <c r="F147" s="168" t="n">
        <v>42</v>
      </c>
      <c r="G147" s="168" t="n">
        <v>44.45</v>
      </c>
      <c r="H147" s="152"/>
      <c r="I147" s="168" t="n">
        <v>25.4999992370605</v>
      </c>
      <c r="J147" s="168" t="n">
        <v>26.5499992370605</v>
      </c>
      <c r="K147" s="168" t="n">
        <v>27.5549992370605</v>
      </c>
      <c r="L147" s="134"/>
      <c r="M147" s="135" t="n">
        <v>40664</v>
      </c>
      <c r="N147" s="169" t="n">
        <v>29.375</v>
      </c>
      <c r="O147" s="169" t="n">
        <v>30.95</v>
      </c>
      <c r="P147" s="169" t="n">
        <v>33.335</v>
      </c>
      <c r="Q147" s="65"/>
      <c r="R147" s="169" t="n">
        <v>22.4499988555908</v>
      </c>
      <c r="S147" s="169" t="n">
        <v>27.4499988555908</v>
      </c>
      <c r="T147" s="169" t="n">
        <v>29.8349988555908</v>
      </c>
      <c r="U147" s="65"/>
      <c r="V147" s="169" t="n">
        <v>0</v>
      </c>
      <c r="W147" s="169" t="n">
        <v>0</v>
      </c>
      <c r="X147" s="169" t="n">
        <v>0</v>
      </c>
      <c r="Y147" s="65"/>
      <c r="Z147" s="169" t="n">
        <v>0.114324091676995</v>
      </c>
      <c r="AA147" s="169" t="n">
        <v>0.228648183353991</v>
      </c>
      <c r="AB147" s="169" t="n">
        <v>0.342972275030986</v>
      </c>
      <c r="AC147" s="65"/>
      <c r="AD147" s="169" t="n">
        <v>0.0280255972762429</v>
      </c>
      <c r="AE147" s="169" t="n">
        <v>0.0560511945524857</v>
      </c>
      <c r="AF147" s="169" t="n">
        <v>0.0840767918287286</v>
      </c>
      <c r="AG147" s="65"/>
      <c r="AH147" s="169" t="n">
        <v>-0.25</v>
      </c>
      <c r="AI147" s="169" t="n">
        <v>1.1</v>
      </c>
      <c r="AJ147" s="169" t="n">
        <v>0.3</v>
      </c>
      <c r="AK147" s="65"/>
      <c r="AL147" s="169" t="n">
        <v>-0.15</v>
      </c>
      <c r="AM147" s="169" t="n">
        <v>0.5</v>
      </c>
      <c r="AN147" s="169" t="n">
        <v>0.2</v>
      </c>
      <c r="AO147" s="65"/>
      <c r="AP147" s="134" t="n">
        <v>44</v>
      </c>
      <c r="AQ147" s="170" t="n">
        <v>0.4</v>
      </c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135" t="n">
        <v>40664</v>
      </c>
      <c r="BI147" s="172" t="n">
        <v>0.9</v>
      </c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0"/>
      <c r="CM147" s="206"/>
      <c r="CN147" s="206"/>
      <c r="CO147" s="173"/>
      <c r="CP147" s="0"/>
      <c r="CQ147" s="0"/>
      <c r="CR147" s="0"/>
      <c r="CS147" s="0"/>
      <c r="CT147" s="0"/>
      <c r="CY147" s="174" t="n">
        <f aca="false">M147</f>
        <v>40664</v>
      </c>
      <c r="CZ147" s="175" t="n">
        <f aca="false">AI147+AH147</f>
        <v>0.85</v>
      </c>
      <c r="DA147" s="175" t="n">
        <f aca="false">AI147</f>
        <v>1.1</v>
      </c>
      <c r="DB147" s="175" t="n">
        <f aca="false">AI147+AJ147</f>
        <v>1.4</v>
      </c>
      <c r="DD147" s="175" t="n">
        <f aca="false">Z147</f>
        <v>0.114324091676995</v>
      </c>
      <c r="DE147" s="175" t="n">
        <f aca="false">AA147</f>
        <v>0.228648183353991</v>
      </c>
      <c r="DF147" s="175" t="n">
        <f aca="false">AB147</f>
        <v>0.342972275030986</v>
      </c>
      <c r="DH147" s="174" t="n">
        <f aca="false">BH147</f>
        <v>40664</v>
      </c>
      <c r="DI147" s="128" t="n">
        <f aca="false">BI147</f>
        <v>0.9</v>
      </c>
    </row>
    <row r="148" customFormat="false" ht="12.75" hidden="false" customHeight="false" outlineLevel="0" collapsed="false">
      <c r="A148" s="138" t="n">
        <f aca="false">EOMONTH(A147,0)+1</f>
        <v>50041</v>
      </c>
      <c r="B148" s="128" t="n">
        <f aca="false">'Gas Curves'!C152</f>
        <v>0.060765841985271</v>
      </c>
      <c r="C148" s="128"/>
      <c r="D148" s="167" t="n">
        <v>39814</v>
      </c>
      <c r="E148" s="168" t="n">
        <v>55.4</v>
      </c>
      <c r="F148" s="168" t="n">
        <v>57.5</v>
      </c>
      <c r="G148" s="168" t="n">
        <v>59.54</v>
      </c>
      <c r="H148" s="152"/>
      <c r="I148" s="168" t="n">
        <v>26.8000003814697</v>
      </c>
      <c r="J148" s="168" t="n">
        <v>27.8500003814697</v>
      </c>
      <c r="K148" s="168" t="n">
        <v>28.6900003814697</v>
      </c>
      <c r="L148" s="134"/>
      <c r="M148" s="135" t="n">
        <v>40695</v>
      </c>
      <c r="N148" s="169" t="n">
        <v>34.7125030517578</v>
      </c>
      <c r="O148" s="169" t="n">
        <v>37.7500030517578</v>
      </c>
      <c r="P148" s="169" t="n">
        <v>41.3800030517578</v>
      </c>
      <c r="Q148" s="65"/>
      <c r="R148" s="169" t="n">
        <v>27.9500026702881</v>
      </c>
      <c r="S148" s="169" t="n">
        <v>32.9500026702881</v>
      </c>
      <c r="T148" s="169" t="n">
        <v>36.5800026702881</v>
      </c>
      <c r="U148" s="65"/>
      <c r="V148" s="169" t="n">
        <v>0</v>
      </c>
      <c r="W148" s="169" t="n">
        <v>0</v>
      </c>
      <c r="X148" s="169" t="n">
        <v>0</v>
      </c>
      <c r="Y148" s="65"/>
      <c r="Z148" s="169" t="n">
        <v>0.122262082992477</v>
      </c>
      <c r="AA148" s="169" t="n">
        <v>0.244524165984954</v>
      </c>
      <c r="AB148" s="169" t="n">
        <v>0.366786248977431</v>
      </c>
      <c r="AC148" s="65"/>
      <c r="AD148" s="169" t="n">
        <v>0.0360329107837408</v>
      </c>
      <c r="AE148" s="169" t="n">
        <v>0.0720658215674816</v>
      </c>
      <c r="AF148" s="169" t="n">
        <v>0.108098732351222</v>
      </c>
      <c r="AG148" s="65"/>
      <c r="AH148" s="169" t="n">
        <v>-0.35</v>
      </c>
      <c r="AI148" s="169" t="n">
        <v>2</v>
      </c>
      <c r="AJ148" s="169" t="n">
        <v>0.3</v>
      </c>
      <c r="AK148" s="65"/>
      <c r="AL148" s="169" t="n">
        <v>-0.15</v>
      </c>
      <c r="AM148" s="169" t="n">
        <v>0.65</v>
      </c>
      <c r="AN148" s="169" t="n">
        <v>0.2</v>
      </c>
      <c r="AO148" s="65"/>
      <c r="AP148" s="134" t="n">
        <v>44</v>
      </c>
      <c r="AQ148" s="170" t="n">
        <v>0.4</v>
      </c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135" t="n">
        <v>40695</v>
      </c>
      <c r="BI148" s="172" t="n">
        <v>0.9</v>
      </c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5"/>
      <c r="CF148" s="65"/>
      <c r="CG148" s="65"/>
      <c r="CH148" s="0"/>
      <c r="CM148" s="206"/>
      <c r="CN148" s="206"/>
      <c r="CO148" s="173"/>
      <c r="CP148" s="0"/>
      <c r="CQ148" s="0"/>
      <c r="CR148" s="0"/>
      <c r="CS148" s="0"/>
      <c r="CT148" s="0"/>
      <c r="CY148" s="174" t="n">
        <f aca="false">M148</f>
        <v>40695</v>
      </c>
      <c r="CZ148" s="175" t="n">
        <f aca="false">AI148+AH148</f>
        <v>1.65</v>
      </c>
      <c r="DA148" s="175" t="n">
        <f aca="false">AI148</f>
        <v>2</v>
      </c>
      <c r="DB148" s="175" t="n">
        <f aca="false">AI148+AJ148</f>
        <v>2.3</v>
      </c>
      <c r="DD148" s="175" t="n">
        <f aca="false">Z148</f>
        <v>0.122262082992477</v>
      </c>
      <c r="DE148" s="175" t="n">
        <f aca="false">AA148</f>
        <v>0.244524165984954</v>
      </c>
      <c r="DF148" s="175" t="n">
        <f aca="false">AB148</f>
        <v>0.366786248977431</v>
      </c>
      <c r="DH148" s="174" t="n">
        <f aca="false">BH148</f>
        <v>40695</v>
      </c>
      <c r="DI148" s="128" t="n">
        <f aca="false">BI148</f>
        <v>0.9</v>
      </c>
    </row>
    <row r="149" customFormat="false" ht="12.75" hidden="false" customHeight="false" outlineLevel="0" collapsed="false">
      <c r="A149" s="138" t="n">
        <f aca="false">EOMONTH(A148,0)+1</f>
        <v>50072</v>
      </c>
      <c r="B149" s="128" t="n">
        <f aca="false">'Gas Curves'!C153</f>
        <v>0.060790347564122</v>
      </c>
      <c r="C149" s="128"/>
      <c r="D149" s="167" t="n">
        <v>39845</v>
      </c>
      <c r="E149" s="168" t="n">
        <v>55.85</v>
      </c>
      <c r="F149" s="168" t="n">
        <v>57.5</v>
      </c>
      <c r="G149" s="168" t="n">
        <v>59.54</v>
      </c>
      <c r="H149" s="152"/>
      <c r="I149" s="168" t="n">
        <v>23.675</v>
      </c>
      <c r="J149" s="168" t="n">
        <v>24.5</v>
      </c>
      <c r="K149" s="168" t="n">
        <v>25.34</v>
      </c>
      <c r="L149" s="134"/>
      <c r="M149" s="135" t="n">
        <v>40725</v>
      </c>
      <c r="N149" s="169" t="n">
        <v>36.7250015258789</v>
      </c>
      <c r="O149" s="169" t="n">
        <v>44.1500015258789</v>
      </c>
      <c r="P149" s="169" t="n">
        <v>51.8975015258789</v>
      </c>
      <c r="Q149" s="65"/>
      <c r="R149" s="169" t="n">
        <v>33.1500015258789</v>
      </c>
      <c r="S149" s="169" t="n">
        <v>38.1500015258789</v>
      </c>
      <c r="T149" s="169" t="n">
        <v>45.8975015258789</v>
      </c>
      <c r="U149" s="65"/>
      <c r="V149" s="169" t="n">
        <v>0</v>
      </c>
      <c r="W149" s="169" t="n">
        <v>0</v>
      </c>
      <c r="X149" s="169" t="n">
        <v>0</v>
      </c>
      <c r="Y149" s="65"/>
      <c r="Z149" s="169" t="n">
        <v>0.145620701740395</v>
      </c>
      <c r="AA149" s="169" t="n">
        <v>0.291241403480791</v>
      </c>
      <c r="AB149" s="169" t="n">
        <v>0.436862105221186</v>
      </c>
      <c r="AC149" s="65"/>
      <c r="AD149" s="169" t="n">
        <v>0.0480438810449877</v>
      </c>
      <c r="AE149" s="169" t="n">
        <v>0.0960877620899755</v>
      </c>
      <c r="AF149" s="169" t="n">
        <v>0.144131643134963</v>
      </c>
      <c r="AG149" s="65"/>
      <c r="AH149" s="169" t="n">
        <v>-0.35</v>
      </c>
      <c r="AI149" s="169" t="n">
        <v>3</v>
      </c>
      <c r="AJ149" s="169" t="n">
        <v>0.5</v>
      </c>
      <c r="AK149" s="65"/>
      <c r="AL149" s="169" t="n">
        <v>-0.15</v>
      </c>
      <c r="AM149" s="169" t="n">
        <v>0.75</v>
      </c>
      <c r="AN149" s="169" t="n">
        <v>0.2</v>
      </c>
      <c r="AO149" s="65"/>
      <c r="AP149" s="134" t="n">
        <v>44</v>
      </c>
      <c r="AQ149" s="170" t="n">
        <v>0.4</v>
      </c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135" t="n">
        <v>40725</v>
      </c>
      <c r="BI149" s="172" t="n">
        <v>0.9</v>
      </c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  <c r="CC149" s="65"/>
      <c r="CD149" s="65"/>
      <c r="CE149" s="65"/>
      <c r="CF149" s="65"/>
      <c r="CG149" s="65"/>
      <c r="CH149" s="0"/>
      <c r="CM149" s="206"/>
      <c r="CN149" s="206"/>
      <c r="CO149" s="173"/>
      <c r="CP149" s="0"/>
      <c r="CQ149" s="0"/>
      <c r="CR149" s="0"/>
      <c r="CS149" s="0"/>
      <c r="CT149" s="0"/>
      <c r="CY149" s="174" t="n">
        <f aca="false">M149</f>
        <v>40725</v>
      </c>
      <c r="CZ149" s="175" t="n">
        <f aca="false">AI149+AH149</f>
        <v>2.65</v>
      </c>
      <c r="DA149" s="175" t="n">
        <f aca="false">AI149</f>
        <v>3</v>
      </c>
      <c r="DB149" s="175" t="n">
        <f aca="false">AI149+AJ149</f>
        <v>3.5</v>
      </c>
      <c r="DD149" s="175" t="n">
        <f aca="false">Z149</f>
        <v>0.145620701740395</v>
      </c>
      <c r="DE149" s="175" t="n">
        <f aca="false">AA149</f>
        <v>0.291241403480791</v>
      </c>
      <c r="DF149" s="175" t="n">
        <f aca="false">AB149</f>
        <v>0.436862105221186</v>
      </c>
      <c r="DH149" s="174" t="n">
        <f aca="false">BH149</f>
        <v>40725</v>
      </c>
      <c r="DI149" s="128" t="n">
        <f aca="false">BI149</f>
        <v>0.9</v>
      </c>
    </row>
    <row r="150" customFormat="false" ht="12.75" hidden="false" customHeight="false" outlineLevel="0" collapsed="false">
      <c r="A150" s="138" t="n">
        <f aca="false">EOMONTH(A149,0)+1</f>
        <v>50100</v>
      </c>
      <c r="B150" s="128" t="n">
        <f aca="false">'Gas Curves'!C154</f>
        <v>0.060814062640619</v>
      </c>
      <c r="C150" s="128"/>
      <c r="D150" s="167" t="n">
        <v>39873</v>
      </c>
      <c r="E150" s="168" t="n">
        <v>38.85</v>
      </c>
      <c r="F150" s="168" t="n">
        <v>40.5</v>
      </c>
      <c r="G150" s="168" t="n">
        <v>42.54</v>
      </c>
      <c r="H150" s="152"/>
      <c r="I150" s="168" t="n">
        <v>24.0749996185303</v>
      </c>
      <c r="J150" s="168" t="n">
        <v>24.8999996185303</v>
      </c>
      <c r="K150" s="168" t="n">
        <v>25.7399996185303</v>
      </c>
      <c r="L150" s="134"/>
      <c r="M150" s="135" t="n">
        <v>40756</v>
      </c>
      <c r="N150" s="169" t="n">
        <v>48.4750015258789</v>
      </c>
      <c r="O150" s="169" t="n">
        <v>55.9000015258789</v>
      </c>
      <c r="P150" s="169" t="n">
        <v>63.6475015258789</v>
      </c>
      <c r="Q150" s="65"/>
      <c r="R150" s="169" t="n">
        <v>44.9500007629395</v>
      </c>
      <c r="S150" s="169" t="n">
        <v>49.9500007629395</v>
      </c>
      <c r="T150" s="169" t="n">
        <v>57.6975007629395</v>
      </c>
      <c r="U150" s="65"/>
      <c r="V150" s="169" t="n">
        <v>0</v>
      </c>
      <c r="W150" s="169" t="n">
        <v>0</v>
      </c>
      <c r="X150" s="169" t="n">
        <v>0</v>
      </c>
      <c r="Y150" s="65"/>
      <c r="Z150" s="169" t="n">
        <v>0.142430064103664</v>
      </c>
      <c r="AA150" s="169" t="n">
        <v>0.284860128207329</v>
      </c>
      <c r="AB150" s="169" t="n">
        <v>0.427290192310993</v>
      </c>
      <c r="AC150" s="65"/>
      <c r="AD150" s="169" t="n">
        <v>0.0480438810449877</v>
      </c>
      <c r="AE150" s="169" t="n">
        <v>0.0960877620899755</v>
      </c>
      <c r="AF150" s="169" t="n">
        <v>0.144131643134963</v>
      </c>
      <c r="AG150" s="65"/>
      <c r="AH150" s="169" t="n">
        <v>-0.35</v>
      </c>
      <c r="AI150" s="169" t="n">
        <v>3</v>
      </c>
      <c r="AJ150" s="169" t="n">
        <v>0.5</v>
      </c>
      <c r="AK150" s="65"/>
      <c r="AL150" s="169" t="n">
        <v>-0.15</v>
      </c>
      <c r="AM150" s="169" t="n">
        <v>0.75</v>
      </c>
      <c r="AN150" s="169" t="n">
        <v>0.2</v>
      </c>
      <c r="AO150" s="65"/>
      <c r="AP150" s="134" t="n">
        <v>45</v>
      </c>
      <c r="AQ150" s="170" t="n">
        <v>0.4</v>
      </c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135" t="n">
        <v>40756</v>
      </c>
      <c r="BI150" s="172" t="n">
        <v>0.9</v>
      </c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5"/>
      <c r="CC150" s="65"/>
      <c r="CD150" s="65"/>
      <c r="CE150" s="65"/>
      <c r="CF150" s="65"/>
      <c r="CG150" s="65"/>
      <c r="CH150" s="0"/>
      <c r="CM150" s="206"/>
      <c r="CN150" s="206"/>
      <c r="CO150" s="173"/>
      <c r="CP150" s="0"/>
      <c r="CQ150" s="0"/>
      <c r="CR150" s="0"/>
      <c r="CS150" s="0"/>
      <c r="CT150" s="0"/>
      <c r="CY150" s="174" t="n">
        <f aca="false">M150</f>
        <v>40756</v>
      </c>
      <c r="CZ150" s="175" t="n">
        <f aca="false">AI150+AH150</f>
        <v>2.65</v>
      </c>
      <c r="DA150" s="175" t="n">
        <f aca="false">AI150</f>
        <v>3</v>
      </c>
      <c r="DB150" s="175" t="n">
        <f aca="false">AI150+AJ150</f>
        <v>3.5</v>
      </c>
      <c r="DD150" s="175" t="n">
        <f aca="false">Z150</f>
        <v>0.142430064103664</v>
      </c>
      <c r="DE150" s="175" t="n">
        <f aca="false">AA150</f>
        <v>0.284860128207329</v>
      </c>
      <c r="DF150" s="175" t="n">
        <f aca="false">AB150</f>
        <v>0.427290192310993</v>
      </c>
      <c r="DH150" s="174" t="n">
        <f aca="false">BH150</f>
        <v>40756</v>
      </c>
      <c r="DI150" s="128" t="n">
        <f aca="false">BI150</f>
        <v>0.9</v>
      </c>
    </row>
    <row r="151" customFormat="false" ht="12.75" hidden="false" customHeight="false" outlineLevel="0" collapsed="false">
      <c r="A151" s="138" t="n">
        <f aca="false">EOMONTH(A150,0)+1</f>
        <v>50131</v>
      </c>
      <c r="B151" s="128" t="n">
        <f aca="false">'Gas Curves'!C155</f>
        <v>0.060838568219863</v>
      </c>
      <c r="C151" s="128"/>
      <c r="D151" s="167" t="n">
        <v>39904</v>
      </c>
      <c r="E151" s="168" t="n">
        <v>34.9</v>
      </c>
      <c r="F151" s="168" t="n">
        <v>37</v>
      </c>
      <c r="G151" s="168" t="n">
        <v>39.04</v>
      </c>
      <c r="H151" s="152"/>
      <c r="I151" s="168" t="n">
        <v>21.5999996185303</v>
      </c>
      <c r="J151" s="168" t="n">
        <v>22.6499996185303</v>
      </c>
      <c r="K151" s="168" t="n">
        <v>23.4899996185303</v>
      </c>
      <c r="L151" s="134"/>
      <c r="M151" s="135" t="n">
        <v>40787</v>
      </c>
      <c r="N151" s="169" t="n">
        <v>30.2375011444092</v>
      </c>
      <c r="O151" s="169" t="n">
        <v>33.2750011444092</v>
      </c>
      <c r="P151" s="169" t="n">
        <v>35.6600011444092</v>
      </c>
      <c r="Q151" s="65"/>
      <c r="R151" s="169" t="n">
        <v>25.5500015258789</v>
      </c>
      <c r="S151" s="169" t="n">
        <v>30.5500015258789</v>
      </c>
      <c r="T151" s="169" t="n">
        <v>32.9350015258789</v>
      </c>
      <c r="U151" s="65"/>
      <c r="V151" s="169" t="n">
        <v>0</v>
      </c>
      <c r="W151" s="169" t="n">
        <v>0</v>
      </c>
      <c r="X151" s="169" t="n">
        <v>0</v>
      </c>
      <c r="Y151" s="65"/>
      <c r="Z151" s="169" t="n">
        <v>0.107914455180096</v>
      </c>
      <c r="AA151" s="169" t="n">
        <v>0.215828910360192</v>
      </c>
      <c r="AB151" s="169" t="n">
        <v>0.323743365540289</v>
      </c>
      <c r="AC151" s="65"/>
      <c r="AD151" s="169" t="n">
        <v>0.0320292540299918</v>
      </c>
      <c r="AE151" s="169" t="n">
        <v>0.0640585080599837</v>
      </c>
      <c r="AF151" s="169" t="n">
        <v>0.0960877620899755</v>
      </c>
      <c r="AG151" s="65"/>
      <c r="AH151" s="169" t="n">
        <v>-0.35</v>
      </c>
      <c r="AI151" s="169" t="n">
        <v>1.5</v>
      </c>
      <c r="AJ151" s="169" t="n">
        <v>0.3</v>
      </c>
      <c r="AK151" s="65"/>
      <c r="AL151" s="169" t="n">
        <v>-0.15</v>
      </c>
      <c r="AM151" s="169" t="n">
        <v>0.4</v>
      </c>
      <c r="AN151" s="169" t="n">
        <v>0.2</v>
      </c>
      <c r="AO151" s="65"/>
      <c r="AP151" s="134" t="n">
        <v>45</v>
      </c>
      <c r="AQ151" s="170" t="n">
        <v>0.4</v>
      </c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135" t="n">
        <v>40787</v>
      </c>
      <c r="BI151" s="172" t="n">
        <v>0.9</v>
      </c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  <c r="CC151" s="65"/>
      <c r="CD151" s="65"/>
      <c r="CE151" s="65"/>
      <c r="CF151" s="65"/>
      <c r="CG151" s="65"/>
      <c r="CH151" s="0"/>
      <c r="CM151" s="206"/>
      <c r="CN151" s="206"/>
      <c r="CO151" s="173"/>
      <c r="CP151" s="0"/>
      <c r="CQ151" s="0"/>
      <c r="CR151" s="0"/>
      <c r="CS151" s="0"/>
      <c r="CT151" s="0"/>
      <c r="CY151" s="174" t="n">
        <f aca="false">M151</f>
        <v>40787</v>
      </c>
      <c r="CZ151" s="175" t="n">
        <f aca="false">AI151+AH151</f>
        <v>1.15</v>
      </c>
      <c r="DA151" s="175" t="n">
        <f aca="false">AI151</f>
        <v>1.5</v>
      </c>
      <c r="DB151" s="175" t="n">
        <f aca="false">AI151+AJ151</f>
        <v>1.8</v>
      </c>
      <c r="DD151" s="175" t="n">
        <f aca="false">Z151</f>
        <v>0.107914455180096</v>
      </c>
      <c r="DE151" s="175" t="n">
        <f aca="false">AA151</f>
        <v>0.215828910360192</v>
      </c>
      <c r="DF151" s="175" t="n">
        <f aca="false">AB151</f>
        <v>0.323743365540289</v>
      </c>
      <c r="DH151" s="174" t="n">
        <f aca="false">BH151</f>
        <v>40787</v>
      </c>
      <c r="DI151" s="128" t="n">
        <f aca="false">BI151</f>
        <v>0.9</v>
      </c>
    </row>
    <row r="152" customFormat="false" ht="12.75" hidden="false" customHeight="false" outlineLevel="0" collapsed="false">
      <c r="A152" s="138" t="n">
        <f aca="false">EOMONTH(A151,0)+1</f>
        <v>50161</v>
      </c>
      <c r="B152" s="128" t="n">
        <f aca="false">'Gas Curves'!C156</f>
        <v>0.060863073799306</v>
      </c>
      <c r="C152" s="128"/>
      <c r="D152" s="167" t="n">
        <v>39934</v>
      </c>
      <c r="E152" s="168" t="n">
        <v>38.4</v>
      </c>
      <c r="F152" s="168" t="n">
        <v>40.5</v>
      </c>
      <c r="G152" s="168" t="n">
        <v>44.35</v>
      </c>
      <c r="H152" s="152"/>
      <c r="I152" s="168" t="n">
        <v>22.5999996185303</v>
      </c>
      <c r="J152" s="168" t="n">
        <v>23.6499996185303</v>
      </c>
      <c r="K152" s="168" t="n">
        <v>25.2399996185303</v>
      </c>
      <c r="L152" s="134"/>
      <c r="M152" s="135" t="n">
        <v>40817</v>
      </c>
      <c r="N152" s="169" t="n">
        <v>27.7000011444092</v>
      </c>
      <c r="O152" s="169" t="n">
        <v>29.2750011444092</v>
      </c>
      <c r="P152" s="169" t="n">
        <v>30.7825011444092</v>
      </c>
      <c r="Q152" s="65"/>
      <c r="R152" s="169" t="n">
        <v>21.0500015258789</v>
      </c>
      <c r="S152" s="169" t="n">
        <v>26.0500015258789</v>
      </c>
      <c r="T152" s="169" t="n">
        <v>27.5575015258789</v>
      </c>
      <c r="U152" s="65"/>
      <c r="V152" s="169" t="n">
        <v>0</v>
      </c>
      <c r="W152" s="169" t="n">
        <v>0</v>
      </c>
      <c r="X152" s="169" t="n">
        <v>0</v>
      </c>
      <c r="Y152" s="65"/>
      <c r="Z152" s="169" t="n">
        <v>0.0933359985214038</v>
      </c>
      <c r="AA152" s="169" t="n">
        <v>0.186671997042808</v>
      </c>
      <c r="AB152" s="169" t="n">
        <v>0.280007995564212</v>
      </c>
      <c r="AC152" s="65"/>
      <c r="AD152" s="169" t="n">
        <v>0.0240219405224939</v>
      </c>
      <c r="AE152" s="169" t="n">
        <v>0.0480438810449877</v>
      </c>
      <c r="AF152" s="169" t="n">
        <v>0.0720658215674816</v>
      </c>
      <c r="AG152" s="65"/>
      <c r="AH152" s="169" t="n">
        <v>-0.25</v>
      </c>
      <c r="AI152" s="169" t="n">
        <v>1.1</v>
      </c>
      <c r="AJ152" s="169" t="n">
        <v>0.3</v>
      </c>
      <c r="AK152" s="65"/>
      <c r="AL152" s="169" t="n">
        <v>-0.15</v>
      </c>
      <c r="AM152" s="169" t="n">
        <v>0.35</v>
      </c>
      <c r="AN152" s="169" t="n">
        <v>0.2</v>
      </c>
      <c r="AO152" s="65"/>
      <c r="AP152" s="134" t="n">
        <v>45</v>
      </c>
      <c r="AQ152" s="170" t="n">
        <v>0.4</v>
      </c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135" t="n">
        <v>40817</v>
      </c>
      <c r="BI152" s="172" t="n">
        <v>0.9</v>
      </c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  <c r="CC152" s="65"/>
      <c r="CD152" s="65"/>
      <c r="CE152" s="65"/>
      <c r="CF152" s="65"/>
      <c r="CG152" s="65"/>
      <c r="CH152" s="0"/>
      <c r="CM152" s="206"/>
      <c r="CN152" s="206"/>
      <c r="CO152" s="173"/>
      <c r="CP152" s="0"/>
      <c r="CQ152" s="0"/>
      <c r="CR152" s="0"/>
      <c r="CS152" s="0"/>
      <c r="CT152" s="0"/>
      <c r="CY152" s="174" t="n">
        <f aca="false">M152</f>
        <v>40817</v>
      </c>
      <c r="CZ152" s="175" t="n">
        <f aca="false">AI152+AH152</f>
        <v>0.85</v>
      </c>
      <c r="DA152" s="175" t="n">
        <f aca="false">AI152</f>
        <v>1.1</v>
      </c>
      <c r="DB152" s="175" t="n">
        <f aca="false">AI152+AJ152</f>
        <v>1.4</v>
      </c>
      <c r="DD152" s="175" t="n">
        <f aca="false">Z152</f>
        <v>0.0933359985214038</v>
      </c>
      <c r="DE152" s="175" t="n">
        <f aca="false">AA152</f>
        <v>0.186671997042808</v>
      </c>
      <c r="DF152" s="175" t="n">
        <f aca="false">AB152</f>
        <v>0.280007995564212</v>
      </c>
      <c r="DH152" s="174" t="n">
        <f aca="false">BH152</f>
        <v>40817</v>
      </c>
      <c r="DI152" s="128" t="n">
        <f aca="false">BI152</f>
        <v>0.9</v>
      </c>
    </row>
    <row r="153" customFormat="false" ht="12.75" hidden="false" customHeight="false" outlineLevel="0" collapsed="false">
      <c r="A153" s="138" t="n">
        <f aca="false">EOMONTH(A152,0)+1</f>
        <v>50192</v>
      </c>
      <c r="B153" s="128" t="n">
        <f aca="false">'Gas Curves'!C157</f>
        <v>0.060886788876376</v>
      </c>
      <c r="C153" s="128"/>
      <c r="D153" s="167" t="n">
        <v>39965</v>
      </c>
      <c r="E153" s="168" t="n">
        <v>46.45</v>
      </c>
      <c r="F153" s="168" t="n">
        <v>50.5</v>
      </c>
      <c r="G153" s="168" t="n">
        <v>56.37</v>
      </c>
      <c r="H153" s="152"/>
      <c r="I153" s="168" t="n">
        <v>21.9999996185303</v>
      </c>
      <c r="J153" s="168" t="n">
        <v>24.0249996185303</v>
      </c>
      <c r="K153" s="168" t="n">
        <v>26.4449996185303</v>
      </c>
      <c r="L153" s="134"/>
      <c r="M153" s="135" t="n">
        <v>40848</v>
      </c>
      <c r="N153" s="169" t="n">
        <v>30.0500015258789</v>
      </c>
      <c r="O153" s="169" t="n">
        <v>31.6250015258789</v>
      </c>
      <c r="P153" s="169" t="n">
        <v>33.1325015258789</v>
      </c>
      <c r="Q153" s="65"/>
      <c r="R153" s="169" t="n">
        <v>23.2500003814697</v>
      </c>
      <c r="S153" s="169" t="n">
        <v>28.2500003814697</v>
      </c>
      <c r="T153" s="169" t="n">
        <v>29.7575003814697</v>
      </c>
      <c r="U153" s="65"/>
      <c r="V153" s="169" t="n">
        <v>0</v>
      </c>
      <c r="W153" s="169" t="n">
        <v>0</v>
      </c>
      <c r="X153" s="169" t="n">
        <v>0</v>
      </c>
      <c r="Y153" s="65"/>
      <c r="Z153" s="169" t="n">
        <v>0.0933359985214038</v>
      </c>
      <c r="AA153" s="169" t="n">
        <v>0.186671997042808</v>
      </c>
      <c r="AB153" s="169" t="n">
        <v>0.280007995564212</v>
      </c>
      <c r="AC153" s="65"/>
      <c r="AD153" s="169" t="n">
        <v>0.0240219405224939</v>
      </c>
      <c r="AE153" s="169" t="n">
        <v>0.0480438810449877</v>
      </c>
      <c r="AF153" s="169" t="n">
        <v>0.0720658215674816</v>
      </c>
      <c r="AG153" s="65"/>
      <c r="AH153" s="169" t="n">
        <v>-0.25</v>
      </c>
      <c r="AI153" s="169" t="n">
        <v>1.25</v>
      </c>
      <c r="AJ153" s="169" t="n">
        <v>0.3</v>
      </c>
      <c r="AK153" s="65"/>
      <c r="AL153" s="169" t="n">
        <v>-0.15</v>
      </c>
      <c r="AM153" s="169" t="n">
        <v>0.3</v>
      </c>
      <c r="AN153" s="169" t="n">
        <v>0.2</v>
      </c>
      <c r="AO153" s="65"/>
      <c r="AP153" s="134" t="n">
        <v>46</v>
      </c>
      <c r="AQ153" s="170" t="n">
        <v>0.4</v>
      </c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135" t="n">
        <v>40848</v>
      </c>
      <c r="BI153" s="172" t="n">
        <v>0.9</v>
      </c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  <c r="CC153" s="65"/>
      <c r="CD153" s="65"/>
      <c r="CE153" s="65"/>
      <c r="CF153" s="65"/>
      <c r="CG153" s="65"/>
      <c r="CH153" s="0"/>
      <c r="CM153" s="206"/>
      <c r="CN153" s="206"/>
      <c r="CO153" s="173"/>
      <c r="CP153" s="0"/>
      <c r="CQ153" s="0"/>
      <c r="CR153" s="0"/>
      <c r="CS153" s="0"/>
      <c r="CT153" s="0"/>
      <c r="CY153" s="174" t="n">
        <f aca="false">M153</f>
        <v>40848</v>
      </c>
      <c r="CZ153" s="175" t="n">
        <f aca="false">AI153+AH153</f>
        <v>1</v>
      </c>
      <c r="DA153" s="175" t="n">
        <f aca="false">AI153</f>
        <v>1.25</v>
      </c>
      <c r="DB153" s="175" t="n">
        <f aca="false">AI153+AJ153</f>
        <v>1.55</v>
      </c>
      <c r="DD153" s="175" t="n">
        <f aca="false">Z153</f>
        <v>0.0933359985214038</v>
      </c>
      <c r="DE153" s="175" t="n">
        <f aca="false">AA153</f>
        <v>0.186671997042808</v>
      </c>
      <c r="DF153" s="175" t="n">
        <f aca="false">AB153</f>
        <v>0.280007995564212</v>
      </c>
      <c r="DH153" s="174" t="n">
        <f aca="false">BH153</f>
        <v>40848</v>
      </c>
      <c r="DI153" s="128" t="n">
        <f aca="false">BI153</f>
        <v>0.9</v>
      </c>
    </row>
    <row r="154" customFormat="false" ht="12.75" hidden="false" customHeight="false" outlineLevel="0" collapsed="false">
      <c r="A154" s="138" t="n">
        <f aca="false">EOMONTH(A153,0)+1</f>
        <v>50222</v>
      </c>
      <c r="B154" s="128" t="n">
        <f aca="false">'Gas Curves'!C158</f>
        <v>0.060911294456211</v>
      </c>
      <c r="C154" s="128"/>
      <c r="D154" s="167" t="n">
        <v>39995</v>
      </c>
      <c r="E154" s="168" t="n">
        <v>59.85</v>
      </c>
      <c r="F154" s="168" t="n">
        <v>69.75</v>
      </c>
      <c r="G154" s="168" t="n">
        <v>82.26</v>
      </c>
      <c r="H154" s="152"/>
      <c r="I154" s="168" t="n">
        <v>22.8</v>
      </c>
      <c r="J154" s="168" t="n">
        <v>27.75</v>
      </c>
      <c r="K154" s="168" t="n">
        <v>32.915</v>
      </c>
      <c r="L154" s="134"/>
      <c r="M154" s="135" t="n">
        <v>40878</v>
      </c>
      <c r="N154" s="169" t="n">
        <v>30.65</v>
      </c>
      <c r="O154" s="169" t="n">
        <v>32.225</v>
      </c>
      <c r="P154" s="169" t="n">
        <v>33.7325</v>
      </c>
      <c r="Q154" s="65"/>
      <c r="R154" s="169" t="n">
        <v>23.7500003814697</v>
      </c>
      <c r="S154" s="169" t="n">
        <v>28.7500003814697</v>
      </c>
      <c r="T154" s="169" t="n">
        <v>30.2575003814697</v>
      </c>
      <c r="U154" s="65"/>
      <c r="V154" s="169" t="n">
        <v>0</v>
      </c>
      <c r="W154" s="169" t="n">
        <v>0</v>
      </c>
      <c r="X154" s="169" t="n">
        <v>0</v>
      </c>
      <c r="Y154" s="65"/>
      <c r="Z154" s="169" t="n">
        <v>0.0914728237039055</v>
      </c>
      <c r="AA154" s="169" t="n">
        <v>0.182945647407811</v>
      </c>
      <c r="AB154" s="169" t="n">
        <v>0.274418471111716</v>
      </c>
      <c r="AC154" s="65"/>
      <c r="AD154" s="169" t="n">
        <v>0.0240219405224939</v>
      </c>
      <c r="AE154" s="169" t="n">
        <v>0.0480438810449877</v>
      </c>
      <c r="AF154" s="169" t="n">
        <v>0.0720658215674816</v>
      </c>
      <c r="AG154" s="65"/>
      <c r="AH154" s="169" t="n">
        <v>-0.25</v>
      </c>
      <c r="AI154" s="169" t="n">
        <v>1.25</v>
      </c>
      <c r="AJ154" s="169" t="n">
        <v>0.35</v>
      </c>
      <c r="AK154" s="65"/>
      <c r="AL154" s="169" t="n">
        <v>-0.15</v>
      </c>
      <c r="AM154" s="169" t="n">
        <v>0.3</v>
      </c>
      <c r="AN154" s="169" t="n">
        <v>0.2</v>
      </c>
      <c r="AO154" s="65"/>
      <c r="AP154" s="134" t="n">
        <v>46</v>
      </c>
      <c r="AQ154" s="170" t="n">
        <v>0.4</v>
      </c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135" t="n">
        <v>40878</v>
      </c>
      <c r="BI154" s="172" t="n">
        <v>0.9</v>
      </c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  <c r="CC154" s="65"/>
      <c r="CD154" s="65"/>
      <c r="CE154" s="65"/>
      <c r="CF154" s="65"/>
      <c r="CG154" s="65"/>
      <c r="CH154" s="0"/>
      <c r="CM154" s="206"/>
      <c r="CN154" s="206"/>
      <c r="CO154" s="173"/>
      <c r="CP154" s="0"/>
      <c r="CQ154" s="0"/>
      <c r="CR154" s="0"/>
      <c r="CS154" s="0"/>
      <c r="CT154" s="0"/>
      <c r="CY154" s="174" t="n">
        <f aca="false">M154</f>
        <v>40878</v>
      </c>
      <c r="CZ154" s="175" t="n">
        <f aca="false">AI154+AH154</f>
        <v>1</v>
      </c>
      <c r="DA154" s="175" t="n">
        <f aca="false">AI154</f>
        <v>1.25</v>
      </c>
      <c r="DB154" s="175" t="n">
        <f aca="false">AI154+AJ154</f>
        <v>1.6</v>
      </c>
      <c r="DD154" s="175" t="n">
        <f aca="false">Z154</f>
        <v>0.0914728237039055</v>
      </c>
      <c r="DE154" s="175" t="n">
        <f aca="false">AA154</f>
        <v>0.182945647407811</v>
      </c>
      <c r="DF154" s="175" t="n">
        <f aca="false">AB154</f>
        <v>0.274418471111716</v>
      </c>
      <c r="DH154" s="174" t="n">
        <f aca="false">BH154</f>
        <v>40878</v>
      </c>
      <c r="DI154" s="128" t="n">
        <f aca="false">BI154</f>
        <v>0.9</v>
      </c>
    </row>
    <row r="155" customFormat="false" ht="12.75" hidden="false" customHeight="false" outlineLevel="0" collapsed="false">
      <c r="A155" s="138" t="n">
        <f aca="false">EOMONTH(A154,0)+1</f>
        <v>50253</v>
      </c>
      <c r="B155" s="128" t="n">
        <f aca="false">'Gas Curves'!C159</f>
        <v>0.060935009533661</v>
      </c>
      <c r="C155" s="128"/>
      <c r="D155" s="167" t="n">
        <v>40026</v>
      </c>
      <c r="E155" s="168" t="n">
        <v>59.85</v>
      </c>
      <c r="F155" s="168" t="n">
        <v>69.75</v>
      </c>
      <c r="G155" s="168" t="n">
        <v>82.26</v>
      </c>
      <c r="H155" s="152"/>
      <c r="I155" s="168" t="n">
        <v>34.9500015258789</v>
      </c>
      <c r="J155" s="168" t="n">
        <v>39.9000015258789</v>
      </c>
      <c r="K155" s="168" t="n">
        <v>45.0650015258789</v>
      </c>
      <c r="L155" s="134"/>
      <c r="M155" s="135" t="n">
        <v>40909</v>
      </c>
      <c r="N155" s="169" t="n">
        <v>33.2294960021973</v>
      </c>
      <c r="O155" s="169" t="n">
        <v>34.8044960021973</v>
      </c>
      <c r="P155" s="169" t="n">
        <v>36.0644960021973</v>
      </c>
      <c r="Q155" s="65"/>
      <c r="R155" s="169" t="n">
        <v>25.9039974212647</v>
      </c>
      <c r="S155" s="169" t="n">
        <v>30.9039974212647</v>
      </c>
      <c r="T155" s="169" t="n">
        <v>32.1639974212647</v>
      </c>
      <c r="U155" s="65"/>
      <c r="V155" s="169" t="n">
        <v>0</v>
      </c>
      <c r="W155" s="169" t="n">
        <v>0</v>
      </c>
      <c r="X155" s="169" t="n">
        <v>0</v>
      </c>
      <c r="Y155" s="65"/>
      <c r="Z155" s="169" t="n">
        <v>0.134985242951292</v>
      </c>
      <c r="AA155" s="169" t="n">
        <v>0.269970485902585</v>
      </c>
      <c r="AB155" s="169" t="n">
        <v>0.404955728853877</v>
      </c>
      <c r="AC155" s="65"/>
      <c r="AD155" s="169" t="n">
        <v>0.027465085330718</v>
      </c>
      <c r="AE155" s="169" t="n">
        <v>0.054930170661436</v>
      </c>
      <c r="AF155" s="169" t="n">
        <v>0.082395255992154</v>
      </c>
      <c r="AG155" s="65"/>
      <c r="AH155" s="169" t="n">
        <v>-0.75</v>
      </c>
      <c r="AI155" s="169" t="n">
        <v>2</v>
      </c>
      <c r="AJ155" s="169" t="n">
        <v>0.75</v>
      </c>
      <c r="AK155" s="65"/>
      <c r="AL155" s="169" t="n">
        <v>-0.15</v>
      </c>
      <c r="AM155" s="169" t="n">
        <v>0.5</v>
      </c>
      <c r="AN155" s="169" t="n">
        <v>0.2</v>
      </c>
      <c r="AO155" s="65"/>
      <c r="AP155" s="134" t="n">
        <v>46</v>
      </c>
      <c r="AQ155" s="170" t="n">
        <v>0.4</v>
      </c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135" t="n">
        <v>40909</v>
      </c>
      <c r="BI155" s="172" t="n">
        <v>0.9</v>
      </c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  <c r="CC155" s="65"/>
      <c r="CD155" s="65"/>
      <c r="CE155" s="65"/>
      <c r="CF155" s="65"/>
      <c r="CG155" s="65"/>
      <c r="CH155" s="0"/>
      <c r="CM155" s="206"/>
      <c r="CN155" s="206"/>
      <c r="CO155" s="173"/>
      <c r="CP155" s="0"/>
      <c r="CQ155" s="0"/>
      <c r="CR155" s="0"/>
      <c r="CS155" s="0"/>
      <c r="CT155" s="0"/>
      <c r="CY155" s="174" t="n">
        <f aca="false">M155</f>
        <v>40909</v>
      </c>
      <c r="CZ155" s="175" t="n">
        <f aca="false">AI155+AH155</f>
        <v>1.25</v>
      </c>
      <c r="DA155" s="175" t="n">
        <f aca="false">AI155</f>
        <v>2</v>
      </c>
      <c r="DB155" s="175" t="n">
        <f aca="false">AI155+AJ155</f>
        <v>2.75</v>
      </c>
      <c r="DD155" s="175" t="n">
        <f aca="false">Z155</f>
        <v>0.134985242951292</v>
      </c>
      <c r="DE155" s="175" t="n">
        <f aca="false">AA155</f>
        <v>0.269970485902585</v>
      </c>
      <c r="DF155" s="175" t="n">
        <f aca="false">AB155</f>
        <v>0.404955728853877</v>
      </c>
      <c r="DH155" s="174" t="n">
        <f aca="false">BH155</f>
        <v>40909</v>
      </c>
      <c r="DI155" s="128" t="n">
        <f aca="false">BI155</f>
        <v>0.9</v>
      </c>
    </row>
    <row r="156" customFormat="false" ht="12.75" hidden="false" customHeight="false" outlineLevel="0" collapsed="false">
      <c r="A156" s="138" t="n">
        <f aca="false">EOMONTH(A155,0)+1</f>
        <v>50284</v>
      </c>
      <c r="B156" s="128" t="n">
        <f aca="false">'Gas Curves'!C160</f>
        <v>0.060959515113889</v>
      </c>
      <c r="C156" s="128"/>
      <c r="D156" s="167" t="n">
        <v>40057</v>
      </c>
      <c r="E156" s="168" t="n">
        <v>34.95</v>
      </c>
      <c r="F156" s="168" t="n">
        <v>39</v>
      </c>
      <c r="G156" s="168" t="n">
        <v>42.85</v>
      </c>
      <c r="H156" s="152"/>
      <c r="I156" s="168" t="n">
        <v>26.3749996185303</v>
      </c>
      <c r="J156" s="168" t="n">
        <v>28.3999996185303</v>
      </c>
      <c r="K156" s="168" t="n">
        <v>29.9899996185303</v>
      </c>
      <c r="L156" s="134"/>
      <c r="M156" s="135" t="n">
        <v>40940</v>
      </c>
      <c r="N156" s="169" t="n">
        <v>32.8919967651367</v>
      </c>
      <c r="O156" s="169" t="n">
        <v>34.1294967651367</v>
      </c>
      <c r="P156" s="169" t="n">
        <v>35.3894967651367</v>
      </c>
      <c r="Q156" s="65"/>
      <c r="R156" s="169" t="n">
        <v>25.3039970397949</v>
      </c>
      <c r="S156" s="169" t="n">
        <v>30.3039970397949</v>
      </c>
      <c r="T156" s="169" t="n">
        <v>31.5639970397949</v>
      </c>
      <c r="U156" s="65"/>
      <c r="V156" s="169" t="n">
        <v>0</v>
      </c>
      <c r="W156" s="169" t="n">
        <v>0</v>
      </c>
      <c r="X156" s="169" t="n">
        <v>0</v>
      </c>
      <c r="Y156" s="65"/>
      <c r="Z156" s="169" t="n">
        <v>0.130404905366119</v>
      </c>
      <c r="AA156" s="169" t="n">
        <v>0.260809810732238</v>
      </c>
      <c r="AB156" s="169" t="n">
        <v>0.391214716098357</v>
      </c>
      <c r="AC156" s="65"/>
      <c r="AD156" s="169" t="n">
        <v>0.027465085330718</v>
      </c>
      <c r="AE156" s="169" t="n">
        <v>0.054930170661436</v>
      </c>
      <c r="AF156" s="169" t="n">
        <v>0.082395255992154</v>
      </c>
      <c r="AG156" s="65"/>
      <c r="AH156" s="169" t="n">
        <v>-0.75</v>
      </c>
      <c r="AI156" s="169" t="n">
        <v>2</v>
      </c>
      <c r="AJ156" s="169" t="n">
        <v>0.75</v>
      </c>
      <c r="AK156" s="65"/>
      <c r="AL156" s="169" t="n">
        <v>-0.15</v>
      </c>
      <c r="AM156" s="169" t="n">
        <v>0.5</v>
      </c>
      <c r="AN156" s="169" t="n">
        <v>0.2</v>
      </c>
      <c r="AO156" s="65"/>
      <c r="AP156" s="134" t="n">
        <v>47</v>
      </c>
      <c r="AQ156" s="170" t="n">
        <v>0.4</v>
      </c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135" t="n">
        <v>40940</v>
      </c>
      <c r="BI156" s="172" t="n">
        <v>0.9</v>
      </c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0"/>
      <c r="CM156" s="206"/>
      <c r="CN156" s="206"/>
      <c r="CO156" s="173"/>
      <c r="CP156" s="0"/>
      <c r="CQ156" s="0"/>
      <c r="CR156" s="0"/>
      <c r="CS156" s="0"/>
      <c r="CT156" s="0"/>
      <c r="CY156" s="174" t="n">
        <f aca="false">M156</f>
        <v>40940</v>
      </c>
      <c r="CZ156" s="175" t="n">
        <f aca="false">AI156+AH156</f>
        <v>1.25</v>
      </c>
      <c r="DA156" s="175" t="n">
        <f aca="false">AI156</f>
        <v>2</v>
      </c>
      <c r="DB156" s="175" t="n">
        <f aca="false">AI156+AJ156</f>
        <v>2.75</v>
      </c>
      <c r="DD156" s="175" t="n">
        <f aca="false">Z156</f>
        <v>0.130404905366119</v>
      </c>
      <c r="DE156" s="175" t="n">
        <f aca="false">AA156</f>
        <v>0.260809810732238</v>
      </c>
      <c r="DF156" s="175" t="n">
        <f aca="false">AB156</f>
        <v>0.391214716098357</v>
      </c>
      <c r="DH156" s="174" t="n">
        <f aca="false">BH156</f>
        <v>40940</v>
      </c>
      <c r="DI156" s="128" t="n">
        <f aca="false">BI156</f>
        <v>0.9</v>
      </c>
    </row>
    <row r="157" customFormat="false" ht="12.75" hidden="false" customHeight="false" outlineLevel="0" collapsed="false">
      <c r="A157" s="138" t="n">
        <f aca="false">EOMONTH(A156,0)+1</f>
        <v>50314</v>
      </c>
      <c r="B157" s="128" t="n">
        <f aca="false">'Gas Curves'!C161</f>
        <v>0.060984020694317</v>
      </c>
      <c r="C157" s="128"/>
      <c r="D157" s="167" t="n">
        <v>40087</v>
      </c>
      <c r="E157" s="168" t="n">
        <v>36.9</v>
      </c>
      <c r="F157" s="168" t="n">
        <v>39</v>
      </c>
      <c r="G157" s="168" t="n">
        <v>41.45</v>
      </c>
      <c r="H157" s="152"/>
      <c r="I157" s="168" t="n">
        <v>25.3499996185303</v>
      </c>
      <c r="J157" s="168" t="n">
        <v>26.3999996185303</v>
      </c>
      <c r="K157" s="168" t="n">
        <v>27.4049996185303</v>
      </c>
      <c r="L157" s="134"/>
      <c r="M157" s="135" t="n">
        <v>40969</v>
      </c>
      <c r="N157" s="169" t="n">
        <v>27.0374969482422</v>
      </c>
      <c r="O157" s="169" t="n">
        <v>28.2749969482422</v>
      </c>
      <c r="P157" s="169" t="n">
        <v>29.5349969482422</v>
      </c>
      <c r="Q157" s="65"/>
      <c r="R157" s="169" t="n">
        <v>20.0999984741211</v>
      </c>
      <c r="S157" s="169" t="n">
        <v>25.0999984741211</v>
      </c>
      <c r="T157" s="169" t="n">
        <v>26.3599984741211</v>
      </c>
      <c r="U157" s="65"/>
      <c r="V157" s="169" t="n">
        <v>0</v>
      </c>
      <c r="W157" s="169" t="n">
        <v>0</v>
      </c>
      <c r="X157" s="169" t="n">
        <v>0</v>
      </c>
      <c r="Y157" s="65"/>
      <c r="Z157" s="169" t="n">
        <v>0.103379416771247</v>
      </c>
      <c r="AA157" s="169" t="n">
        <v>0.206758833542493</v>
      </c>
      <c r="AB157" s="169" t="n">
        <v>0.31013825031374</v>
      </c>
      <c r="AC157" s="65"/>
      <c r="AD157" s="169" t="n">
        <v>0.0240219405224939</v>
      </c>
      <c r="AE157" s="169" t="n">
        <v>0.0480438810449877</v>
      </c>
      <c r="AF157" s="169" t="n">
        <v>0.0720658215674816</v>
      </c>
      <c r="AG157" s="65"/>
      <c r="AH157" s="169" t="n">
        <v>-0.25</v>
      </c>
      <c r="AI157" s="169" t="n">
        <v>1.3</v>
      </c>
      <c r="AJ157" s="169" t="n">
        <v>0.3</v>
      </c>
      <c r="AK157" s="65"/>
      <c r="AL157" s="169" t="n">
        <v>-0.15</v>
      </c>
      <c r="AM157" s="169" t="n">
        <v>0.35</v>
      </c>
      <c r="AN157" s="169" t="n">
        <v>0.2</v>
      </c>
      <c r="AO157" s="65"/>
      <c r="AP157" s="134" t="n">
        <v>47</v>
      </c>
      <c r="AQ157" s="170" t="n">
        <v>0.4</v>
      </c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135" t="n">
        <v>40969</v>
      </c>
      <c r="BI157" s="172" t="n">
        <v>0.9</v>
      </c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0"/>
      <c r="CM157" s="206"/>
      <c r="CN157" s="206"/>
      <c r="CO157" s="173"/>
      <c r="CP157" s="0"/>
      <c r="CQ157" s="0"/>
      <c r="CR157" s="0"/>
      <c r="CS157" s="0"/>
      <c r="CT157" s="0"/>
      <c r="CY157" s="174" t="n">
        <f aca="false">M157</f>
        <v>40969</v>
      </c>
      <c r="CZ157" s="175" t="n">
        <f aca="false">AI157+AH157</f>
        <v>1.05</v>
      </c>
      <c r="DA157" s="175" t="n">
        <f aca="false">AI157</f>
        <v>1.3</v>
      </c>
      <c r="DB157" s="175" t="n">
        <f aca="false">AI157+AJ157</f>
        <v>1.6</v>
      </c>
      <c r="DD157" s="175" t="n">
        <f aca="false">Z157</f>
        <v>0.103379416771247</v>
      </c>
      <c r="DE157" s="175" t="n">
        <f aca="false">AA157</f>
        <v>0.206758833542493</v>
      </c>
      <c r="DF157" s="175" t="n">
        <f aca="false">AB157</f>
        <v>0.31013825031374</v>
      </c>
      <c r="DH157" s="174" t="n">
        <f aca="false">BH157</f>
        <v>40969</v>
      </c>
      <c r="DI157" s="128" t="n">
        <f aca="false">BI157</f>
        <v>0.9</v>
      </c>
    </row>
    <row r="158" customFormat="false" ht="12.75" hidden="false" customHeight="false" outlineLevel="0" collapsed="false">
      <c r="A158" s="138" t="n">
        <f aca="false">EOMONTH(A157,0)+1</f>
        <v>50345</v>
      </c>
      <c r="B158" s="128" t="n">
        <f aca="false">'Gas Curves'!C162</f>
        <v>0.061006154767133</v>
      </c>
      <c r="C158" s="128"/>
      <c r="D158" s="167" t="n">
        <v>40118</v>
      </c>
      <c r="E158" s="168" t="n">
        <v>39.4</v>
      </c>
      <c r="F158" s="168" t="n">
        <v>41.5</v>
      </c>
      <c r="G158" s="168" t="n">
        <v>43.95</v>
      </c>
      <c r="H158" s="152"/>
      <c r="I158" s="168" t="n">
        <v>26.0999996185303</v>
      </c>
      <c r="J158" s="168" t="n">
        <v>27.1499996185303</v>
      </c>
      <c r="K158" s="168" t="n">
        <v>28.1549996185303</v>
      </c>
      <c r="L158" s="134"/>
      <c r="M158" s="135" t="n">
        <v>41000</v>
      </c>
      <c r="N158" s="169" t="n">
        <v>26.0249996185303</v>
      </c>
      <c r="O158" s="169" t="n">
        <v>27.5999996185303</v>
      </c>
      <c r="P158" s="169" t="n">
        <v>28.8599996185303</v>
      </c>
      <c r="Q158" s="65"/>
      <c r="R158" s="169" t="n">
        <v>19.5</v>
      </c>
      <c r="S158" s="169" t="n">
        <v>24.5</v>
      </c>
      <c r="T158" s="169" t="n">
        <v>25.76</v>
      </c>
      <c r="U158" s="65"/>
      <c r="V158" s="169" t="n">
        <v>0</v>
      </c>
      <c r="W158" s="169" t="n">
        <v>0</v>
      </c>
      <c r="X158" s="169" t="n">
        <v>0</v>
      </c>
      <c r="Y158" s="65"/>
      <c r="Z158" s="169" t="n">
        <v>0.103237216748177</v>
      </c>
      <c r="AA158" s="169" t="n">
        <v>0.206474433496355</v>
      </c>
      <c r="AB158" s="169" t="n">
        <v>0.309711650244532</v>
      </c>
      <c r="AC158" s="65"/>
      <c r="AD158" s="169" t="n">
        <v>0.0240219405224939</v>
      </c>
      <c r="AE158" s="169" t="n">
        <v>0.0480438810449877</v>
      </c>
      <c r="AF158" s="169" t="n">
        <v>0.0720658215674816</v>
      </c>
      <c r="AG158" s="65"/>
      <c r="AH158" s="169" t="n">
        <v>-0.25</v>
      </c>
      <c r="AI158" s="169" t="n">
        <v>1.1</v>
      </c>
      <c r="AJ158" s="169" t="n">
        <v>0.3</v>
      </c>
      <c r="AK158" s="65"/>
      <c r="AL158" s="169" t="n">
        <v>-0.15</v>
      </c>
      <c r="AM158" s="169" t="n">
        <v>0.35</v>
      </c>
      <c r="AN158" s="169" t="n">
        <v>0.2</v>
      </c>
      <c r="AO158" s="65"/>
      <c r="AP158" s="134" t="n">
        <v>47</v>
      </c>
      <c r="AQ158" s="170" t="n">
        <v>0.4</v>
      </c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135" t="n">
        <v>41000</v>
      </c>
      <c r="BI158" s="172" t="n">
        <v>0.9</v>
      </c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0"/>
      <c r="CM158" s="206"/>
      <c r="CN158" s="206"/>
      <c r="CO158" s="173"/>
      <c r="CP158" s="0"/>
      <c r="CQ158" s="0"/>
      <c r="CR158" s="0"/>
      <c r="CS158" s="0"/>
      <c r="CT158" s="0"/>
      <c r="CY158" s="174" t="n">
        <f aca="false">M158</f>
        <v>41000</v>
      </c>
      <c r="CZ158" s="175" t="n">
        <f aca="false">AI158+AH158</f>
        <v>0.85</v>
      </c>
      <c r="DA158" s="175" t="n">
        <f aca="false">AI158</f>
        <v>1.1</v>
      </c>
      <c r="DB158" s="175" t="n">
        <f aca="false">AI158+AJ158</f>
        <v>1.4</v>
      </c>
      <c r="DD158" s="175" t="n">
        <f aca="false">Z158</f>
        <v>0.103237216748177</v>
      </c>
      <c r="DE158" s="175" t="n">
        <f aca="false">AA158</f>
        <v>0.206474433496355</v>
      </c>
      <c r="DF158" s="175" t="n">
        <f aca="false">AB158</f>
        <v>0.309711650244532</v>
      </c>
      <c r="DH158" s="174" t="n">
        <f aca="false">BH158</f>
        <v>41000</v>
      </c>
      <c r="DI158" s="128" t="n">
        <f aca="false">BI158</f>
        <v>0.9</v>
      </c>
    </row>
    <row r="159" customFormat="false" ht="12.75" hidden="false" customHeight="false" outlineLevel="0" collapsed="false">
      <c r="A159" s="138" t="n">
        <f aca="false">EOMONTH(A158,0)+1</f>
        <v>50375</v>
      </c>
      <c r="B159" s="128" t="n">
        <f aca="false">'Gas Curves'!C163</f>
        <v>0.061030660347939</v>
      </c>
      <c r="C159" s="128"/>
      <c r="D159" s="167" t="n">
        <v>40148</v>
      </c>
      <c r="E159" s="168" t="n">
        <v>39.4</v>
      </c>
      <c r="F159" s="168" t="n">
        <v>41.5</v>
      </c>
      <c r="G159" s="168" t="n">
        <v>43.95</v>
      </c>
      <c r="H159" s="152"/>
      <c r="I159" s="168" t="n">
        <v>25.9999992370605</v>
      </c>
      <c r="J159" s="168" t="n">
        <v>27.0499992370605</v>
      </c>
      <c r="K159" s="168" t="n">
        <v>28.0549992370605</v>
      </c>
      <c r="L159" s="134"/>
      <c r="M159" s="135" t="n">
        <v>41030</v>
      </c>
      <c r="N159" s="169" t="n">
        <v>29.625</v>
      </c>
      <c r="O159" s="169" t="n">
        <v>31.2</v>
      </c>
      <c r="P159" s="169" t="n">
        <v>33.585</v>
      </c>
      <c r="Q159" s="65"/>
      <c r="R159" s="169" t="n">
        <v>22.6999988555908</v>
      </c>
      <c r="S159" s="169" t="n">
        <v>27.6999988555908</v>
      </c>
      <c r="T159" s="169" t="n">
        <v>30.0849988555908</v>
      </c>
      <c r="U159" s="65"/>
      <c r="V159" s="169" t="n">
        <v>0</v>
      </c>
      <c r="W159" s="169" t="n">
        <v>0</v>
      </c>
      <c r="X159" s="169" t="n">
        <v>0</v>
      </c>
      <c r="Y159" s="65"/>
      <c r="Z159" s="169" t="n">
        <v>0.108607887093146</v>
      </c>
      <c r="AA159" s="169" t="n">
        <v>0.217215774186291</v>
      </c>
      <c r="AB159" s="169" t="n">
        <v>0.325823661279437</v>
      </c>
      <c r="AC159" s="65"/>
      <c r="AD159" s="169" t="n">
        <v>0.027465085330718</v>
      </c>
      <c r="AE159" s="169" t="n">
        <v>0.054930170661436</v>
      </c>
      <c r="AF159" s="169" t="n">
        <v>0.082395255992154</v>
      </c>
      <c r="AG159" s="65"/>
      <c r="AH159" s="169" t="n">
        <v>-0.25</v>
      </c>
      <c r="AI159" s="169" t="n">
        <v>1.1</v>
      </c>
      <c r="AJ159" s="169" t="n">
        <v>0.3</v>
      </c>
      <c r="AK159" s="65"/>
      <c r="AL159" s="169" t="n">
        <v>-0.15</v>
      </c>
      <c r="AM159" s="169" t="n">
        <v>0.5</v>
      </c>
      <c r="AN159" s="169" t="n">
        <v>0.2</v>
      </c>
      <c r="AO159" s="65"/>
      <c r="AP159" s="134" t="n">
        <v>48</v>
      </c>
      <c r="AQ159" s="170" t="n">
        <v>0.4</v>
      </c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135" t="n">
        <v>41030</v>
      </c>
      <c r="BI159" s="172" t="n">
        <v>0.9</v>
      </c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  <c r="CC159" s="65"/>
      <c r="CD159" s="65"/>
      <c r="CE159" s="65"/>
      <c r="CF159" s="65"/>
      <c r="CG159" s="65"/>
      <c r="CH159" s="0"/>
      <c r="CM159" s="206"/>
      <c r="CN159" s="206"/>
      <c r="CO159" s="173"/>
      <c r="CP159" s="0"/>
      <c r="CQ159" s="0"/>
      <c r="CR159" s="0"/>
      <c r="CS159" s="0"/>
      <c r="CT159" s="0"/>
      <c r="CY159" s="174" t="n">
        <f aca="false">M159</f>
        <v>41030</v>
      </c>
      <c r="CZ159" s="175" t="n">
        <f aca="false">AI159+AH159</f>
        <v>0.85</v>
      </c>
      <c r="DA159" s="175" t="n">
        <f aca="false">AI159</f>
        <v>1.1</v>
      </c>
      <c r="DB159" s="175" t="n">
        <f aca="false">AI159+AJ159</f>
        <v>1.4</v>
      </c>
      <c r="DD159" s="175" t="n">
        <f aca="false">Z159</f>
        <v>0.108607887093146</v>
      </c>
      <c r="DE159" s="175" t="n">
        <f aca="false">AA159</f>
        <v>0.217215774186291</v>
      </c>
      <c r="DF159" s="175" t="n">
        <f aca="false">AB159</f>
        <v>0.325823661279437</v>
      </c>
      <c r="DH159" s="174" t="n">
        <f aca="false">BH159</f>
        <v>41030</v>
      </c>
      <c r="DI159" s="128" t="n">
        <f aca="false">BI159</f>
        <v>0.9</v>
      </c>
    </row>
    <row r="160" customFormat="false" ht="12.75" hidden="false" customHeight="false" outlineLevel="0" collapsed="false">
      <c r="A160" s="138" t="n">
        <f aca="false">EOMONTH(A159,0)+1</f>
        <v>50406</v>
      </c>
      <c r="B160" s="128" t="n">
        <f aca="false">'Gas Curves'!C164</f>
        <v>0.06105437542633</v>
      </c>
      <c r="C160" s="128"/>
      <c r="D160" s="167" t="n">
        <v>40179</v>
      </c>
      <c r="E160" s="168" t="n">
        <v>54.97</v>
      </c>
      <c r="F160" s="168" t="n">
        <v>57.6</v>
      </c>
      <c r="G160" s="168" t="n">
        <v>59.64</v>
      </c>
      <c r="H160" s="152"/>
      <c r="I160" s="168" t="n">
        <v>27.0350003814697</v>
      </c>
      <c r="J160" s="168" t="n">
        <v>28.3500003814697</v>
      </c>
      <c r="K160" s="168" t="n">
        <v>29.1900003814697</v>
      </c>
      <c r="L160" s="134"/>
      <c r="M160" s="135" t="n">
        <v>41061</v>
      </c>
      <c r="N160" s="169" t="n">
        <v>34.9625030517578</v>
      </c>
      <c r="O160" s="169" t="n">
        <v>38.0000030517578</v>
      </c>
      <c r="P160" s="169" t="n">
        <v>41.6300030517578</v>
      </c>
      <c r="Q160" s="65"/>
      <c r="R160" s="169" t="n">
        <v>28.2000026702881</v>
      </c>
      <c r="S160" s="169" t="n">
        <v>33.2000026702881</v>
      </c>
      <c r="T160" s="169" t="n">
        <v>36.8300026702881</v>
      </c>
      <c r="U160" s="65"/>
      <c r="V160" s="169" t="n">
        <v>0</v>
      </c>
      <c r="W160" s="169" t="n">
        <v>0</v>
      </c>
      <c r="X160" s="169" t="n">
        <v>0</v>
      </c>
      <c r="Y160" s="65"/>
      <c r="Z160" s="169" t="n">
        <v>0.116148978842853</v>
      </c>
      <c r="AA160" s="169" t="n">
        <v>0.232297957685706</v>
      </c>
      <c r="AB160" s="169" t="n">
        <v>0.348446936528559</v>
      </c>
      <c r="AC160" s="65"/>
      <c r="AD160" s="169" t="n">
        <v>0.035312252568066</v>
      </c>
      <c r="AE160" s="169" t="n">
        <v>0.070624505136132</v>
      </c>
      <c r="AF160" s="169" t="n">
        <v>0.105936757704198</v>
      </c>
      <c r="AG160" s="65"/>
      <c r="AH160" s="169" t="n">
        <v>-0.35</v>
      </c>
      <c r="AI160" s="169" t="n">
        <v>2</v>
      </c>
      <c r="AJ160" s="169" t="n">
        <v>0.3</v>
      </c>
      <c r="AK160" s="65"/>
      <c r="AL160" s="169" t="n">
        <v>-0.15</v>
      </c>
      <c r="AM160" s="169" t="n">
        <v>0.65</v>
      </c>
      <c r="AN160" s="169" t="n">
        <v>0.2</v>
      </c>
      <c r="AO160" s="65"/>
      <c r="AP160" s="134" t="n">
        <v>48</v>
      </c>
      <c r="AQ160" s="170" t="n">
        <v>0.4</v>
      </c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135" t="n">
        <v>41061</v>
      </c>
      <c r="BI160" s="172" t="n">
        <v>0.9</v>
      </c>
      <c r="BJ160" s="65"/>
      <c r="BK160" s="65"/>
      <c r="BL160" s="65"/>
      <c r="BM160" s="65"/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/>
      <c r="CB160" s="65"/>
      <c r="CC160" s="65"/>
      <c r="CD160" s="65"/>
      <c r="CE160" s="65"/>
      <c r="CF160" s="65"/>
      <c r="CG160" s="65"/>
      <c r="CH160" s="0"/>
      <c r="CM160" s="206"/>
      <c r="CN160" s="206"/>
      <c r="CO160" s="173"/>
      <c r="CP160" s="0"/>
      <c r="CQ160" s="0"/>
      <c r="CR160" s="0"/>
      <c r="CS160" s="0"/>
      <c r="CT160" s="0"/>
      <c r="CY160" s="174" t="n">
        <f aca="false">M160</f>
        <v>41061</v>
      </c>
      <c r="CZ160" s="175" t="n">
        <f aca="false">AI160+AH160</f>
        <v>1.65</v>
      </c>
      <c r="DA160" s="175" t="n">
        <f aca="false">AI160</f>
        <v>2</v>
      </c>
      <c r="DB160" s="175" t="n">
        <f aca="false">AI160+AJ160</f>
        <v>2.3</v>
      </c>
      <c r="DD160" s="175" t="n">
        <f aca="false">Z160</f>
        <v>0.116148978842853</v>
      </c>
      <c r="DE160" s="175" t="n">
        <f aca="false">AA160</f>
        <v>0.232297957685706</v>
      </c>
      <c r="DF160" s="175" t="n">
        <f aca="false">AB160</f>
        <v>0.348446936528559</v>
      </c>
      <c r="DH160" s="174" t="n">
        <f aca="false">BH160</f>
        <v>41061</v>
      </c>
      <c r="DI160" s="128" t="n">
        <f aca="false">BI160</f>
        <v>0.9</v>
      </c>
    </row>
    <row r="161" customFormat="false" ht="12.75" hidden="false" customHeight="false" outlineLevel="0" collapsed="false">
      <c r="A161" s="138" t="n">
        <f aca="false">EOMONTH(A160,0)+1</f>
        <v>50437</v>
      </c>
      <c r="B161" s="128" t="n">
        <f aca="false">'Gas Curves'!C165</f>
        <v>0.061078881007529</v>
      </c>
      <c r="C161" s="128"/>
      <c r="D161" s="167" t="n">
        <v>40210</v>
      </c>
      <c r="E161" s="168" t="n">
        <v>55.53</v>
      </c>
      <c r="F161" s="168" t="n">
        <v>57.6</v>
      </c>
      <c r="G161" s="168" t="n">
        <v>59.64</v>
      </c>
      <c r="H161" s="152"/>
      <c r="I161" s="168" t="n">
        <v>23.965</v>
      </c>
      <c r="J161" s="168" t="n">
        <v>25</v>
      </c>
      <c r="K161" s="168" t="n">
        <v>25.84</v>
      </c>
      <c r="L161" s="134"/>
      <c r="M161" s="135" t="n">
        <v>41091</v>
      </c>
      <c r="N161" s="169" t="n">
        <v>36.9750015258789</v>
      </c>
      <c r="O161" s="169" t="n">
        <v>44.4000015258789</v>
      </c>
      <c r="P161" s="169" t="n">
        <v>52.1475015258789</v>
      </c>
      <c r="Q161" s="65"/>
      <c r="R161" s="169" t="n">
        <v>33.4000015258789</v>
      </c>
      <c r="S161" s="169" t="n">
        <v>38.4000015258789</v>
      </c>
      <c r="T161" s="169" t="n">
        <v>46.1475015258789</v>
      </c>
      <c r="U161" s="65"/>
      <c r="V161" s="169" t="n">
        <v>0</v>
      </c>
      <c r="W161" s="169" t="n">
        <v>0</v>
      </c>
      <c r="X161" s="169" t="n">
        <v>0</v>
      </c>
      <c r="Y161" s="65"/>
      <c r="Z161" s="169" t="n">
        <v>0.138339666653375</v>
      </c>
      <c r="AA161" s="169" t="n">
        <v>0.276679333306751</v>
      </c>
      <c r="AB161" s="169" t="n">
        <v>0.415018999960126</v>
      </c>
      <c r="AC161" s="65"/>
      <c r="AD161" s="169" t="n">
        <v>0.047083003424088</v>
      </c>
      <c r="AE161" s="169" t="n">
        <v>0.094166006848176</v>
      </c>
      <c r="AF161" s="169" t="n">
        <v>0.141249010272264</v>
      </c>
      <c r="AG161" s="65"/>
      <c r="AH161" s="169" t="n">
        <v>-0.35</v>
      </c>
      <c r="AI161" s="169" t="n">
        <v>3</v>
      </c>
      <c r="AJ161" s="169" t="n">
        <v>0.5</v>
      </c>
      <c r="AK161" s="65"/>
      <c r="AL161" s="169" t="n">
        <v>-0.15</v>
      </c>
      <c r="AM161" s="169" t="n">
        <v>0.75</v>
      </c>
      <c r="AN161" s="169" t="n">
        <v>0.2</v>
      </c>
      <c r="AO161" s="65"/>
      <c r="AP161" s="134" t="n">
        <v>48</v>
      </c>
      <c r="AQ161" s="170" t="n">
        <v>0.4</v>
      </c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135" t="n">
        <v>41091</v>
      </c>
      <c r="BI161" s="172" t="n">
        <v>0.9</v>
      </c>
      <c r="BJ161" s="65"/>
      <c r="BK161" s="65"/>
      <c r="BL161" s="65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65"/>
      <c r="BZ161" s="65"/>
      <c r="CA161" s="65"/>
      <c r="CB161" s="65"/>
      <c r="CC161" s="65"/>
      <c r="CD161" s="65"/>
      <c r="CE161" s="65"/>
      <c r="CF161" s="65"/>
      <c r="CG161" s="65"/>
      <c r="CH161" s="0"/>
      <c r="CM161" s="206"/>
      <c r="CN161" s="206"/>
      <c r="CO161" s="173"/>
      <c r="CP161" s="0"/>
      <c r="CQ161" s="0"/>
      <c r="CR161" s="0"/>
      <c r="CS161" s="0"/>
      <c r="CT161" s="0"/>
      <c r="CY161" s="174" t="n">
        <f aca="false">M161</f>
        <v>41091</v>
      </c>
      <c r="CZ161" s="175" t="n">
        <f aca="false">AI161+AH161</f>
        <v>2.65</v>
      </c>
      <c r="DA161" s="175" t="n">
        <f aca="false">AI161</f>
        <v>3</v>
      </c>
      <c r="DB161" s="175" t="n">
        <f aca="false">AI161+AJ161</f>
        <v>3.5</v>
      </c>
      <c r="DD161" s="175" t="n">
        <f aca="false">Z161</f>
        <v>0.138339666653375</v>
      </c>
      <c r="DE161" s="175" t="n">
        <f aca="false">AA161</f>
        <v>0.276679333306751</v>
      </c>
      <c r="DF161" s="175" t="n">
        <f aca="false">AB161</f>
        <v>0.415018999960126</v>
      </c>
      <c r="DH161" s="174" t="n">
        <f aca="false">BH161</f>
        <v>41091</v>
      </c>
      <c r="DI161" s="128" t="n">
        <f aca="false">BI161</f>
        <v>0.9</v>
      </c>
    </row>
    <row r="162" customFormat="false" ht="12.75" hidden="false" customHeight="false" outlineLevel="0" collapsed="false">
      <c r="A162" s="138" t="n">
        <f aca="false">EOMONTH(A161,0)+1</f>
        <v>50465</v>
      </c>
      <c r="B162" s="128" t="n">
        <f aca="false">'Gas Curves'!C166</f>
        <v>0.061102596086299</v>
      </c>
      <c r="C162" s="128"/>
      <c r="D162" s="167" t="n">
        <v>40238</v>
      </c>
      <c r="E162" s="168" t="n">
        <v>38.53</v>
      </c>
      <c r="F162" s="168" t="n">
        <v>40.6</v>
      </c>
      <c r="G162" s="168" t="n">
        <v>42.64</v>
      </c>
      <c r="H162" s="152"/>
      <c r="I162" s="168" t="n">
        <v>24.3649996185303</v>
      </c>
      <c r="J162" s="168" t="n">
        <v>25.3999996185303</v>
      </c>
      <c r="K162" s="168" t="n">
        <v>26.2399996185303</v>
      </c>
      <c r="L162" s="134"/>
      <c r="M162" s="135" t="n">
        <v>41122</v>
      </c>
      <c r="N162" s="169" t="n">
        <v>48.7250015258789</v>
      </c>
      <c r="O162" s="169" t="n">
        <v>56.1500015258789</v>
      </c>
      <c r="P162" s="169" t="n">
        <v>63.8975015258789</v>
      </c>
      <c r="Q162" s="65"/>
      <c r="R162" s="169" t="n">
        <v>45.2000007629395</v>
      </c>
      <c r="S162" s="169" t="n">
        <v>50.2000007629395</v>
      </c>
      <c r="T162" s="169" t="n">
        <v>57.9475007629395</v>
      </c>
      <c r="U162" s="65"/>
      <c r="V162" s="169" t="n">
        <v>0</v>
      </c>
      <c r="W162" s="169" t="n">
        <v>0</v>
      </c>
      <c r="X162" s="169" t="n">
        <v>0</v>
      </c>
      <c r="Y162" s="65"/>
      <c r="Z162" s="169" t="n">
        <v>0.135308560898481</v>
      </c>
      <c r="AA162" s="169" t="n">
        <v>0.270617121796962</v>
      </c>
      <c r="AB162" s="169" t="n">
        <v>0.405925682695444</v>
      </c>
      <c r="AC162" s="65"/>
      <c r="AD162" s="169" t="n">
        <v>0.047083003424088</v>
      </c>
      <c r="AE162" s="169" t="n">
        <v>0.094166006848176</v>
      </c>
      <c r="AF162" s="169" t="n">
        <v>0.141249010272264</v>
      </c>
      <c r="AG162" s="65"/>
      <c r="AH162" s="169" t="n">
        <v>-0.35</v>
      </c>
      <c r="AI162" s="169" t="n">
        <v>3</v>
      </c>
      <c r="AJ162" s="169" t="n">
        <v>0.5</v>
      </c>
      <c r="AK162" s="65"/>
      <c r="AL162" s="169" t="n">
        <v>-0.15</v>
      </c>
      <c r="AM162" s="169" t="n">
        <v>0.75</v>
      </c>
      <c r="AN162" s="169" t="n">
        <v>0.2</v>
      </c>
      <c r="AO162" s="65"/>
      <c r="AP162" s="134" t="n">
        <v>49</v>
      </c>
      <c r="AQ162" s="170" t="n">
        <v>0.4</v>
      </c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135" t="n">
        <v>41122</v>
      </c>
      <c r="BI162" s="172" t="n">
        <v>0.9</v>
      </c>
      <c r="BJ162" s="65"/>
      <c r="BK162" s="65"/>
      <c r="BL162" s="65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5"/>
      <c r="BY162" s="65"/>
      <c r="BZ162" s="65"/>
      <c r="CA162" s="65"/>
      <c r="CB162" s="65"/>
      <c r="CC162" s="65"/>
      <c r="CD162" s="65"/>
      <c r="CE162" s="65"/>
      <c r="CF162" s="65"/>
      <c r="CG162" s="65"/>
      <c r="CH162" s="0"/>
      <c r="CM162" s="206"/>
      <c r="CN162" s="206"/>
      <c r="CO162" s="173"/>
      <c r="CP162" s="0"/>
      <c r="CQ162" s="0"/>
      <c r="CR162" s="0"/>
      <c r="CS162" s="0"/>
      <c r="CT162" s="0"/>
      <c r="CY162" s="174" t="n">
        <f aca="false">M162</f>
        <v>41122</v>
      </c>
      <c r="CZ162" s="175" t="n">
        <f aca="false">AI162+AH162</f>
        <v>2.65</v>
      </c>
      <c r="DA162" s="175" t="n">
        <f aca="false">AI162</f>
        <v>3</v>
      </c>
      <c r="DB162" s="175" t="n">
        <f aca="false">AI162+AJ162</f>
        <v>3.5</v>
      </c>
      <c r="DD162" s="175" t="n">
        <f aca="false">Z162</f>
        <v>0.135308560898481</v>
      </c>
      <c r="DE162" s="175" t="n">
        <f aca="false">AA162</f>
        <v>0.270617121796962</v>
      </c>
      <c r="DF162" s="175" t="n">
        <f aca="false">AB162</f>
        <v>0.405925682695444</v>
      </c>
      <c r="DH162" s="174" t="n">
        <f aca="false">BH162</f>
        <v>41122</v>
      </c>
      <c r="DI162" s="128" t="n">
        <f aca="false">BI162</f>
        <v>0.9</v>
      </c>
    </row>
    <row r="163" customFormat="false" ht="12.75" hidden="false" customHeight="false" outlineLevel="0" collapsed="false">
      <c r="A163" s="138" t="n">
        <f aca="false">EOMONTH(A162,0)+1</f>
        <v>50496</v>
      </c>
      <c r="B163" s="128" t="n">
        <f aca="false">'Gas Curves'!C167</f>
        <v>0.06112710166789</v>
      </c>
      <c r="C163" s="128"/>
      <c r="D163" s="167" t="n">
        <v>40269</v>
      </c>
      <c r="E163" s="168" t="n">
        <v>34.47</v>
      </c>
      <c r="F163" s="168" t="n">
        <v>37.1</v>
      </c>
      <c r="G163" s="168" t="n">
        <v>39.14</v>
      </c>
      <c r="H163" s="152"/>
      <c r="I163" s="168" t="n">
        <v>21.8349996185303</v>
      </c>
      <c r="J163" s="168" t="n">
        <v>23.1499996185303</v>
      </c>
      <c r="K163" s="168" t="n">
        <v>23.9899996185303</v>
      </c>
      <c r="L163" s="134"/>
      <c r="M163" s="135" t="n">
        <v>41153</v>
      </c>
      <c r="N163" s="169" t="n">
        <v>30.4875011444092</v>
      </c>
      <c r="O163" s="169" t="n">
        <v>33.5250011444092</v>
      </c>
      <c r="P163" s="169" t="n">
        <v>35.9100011444092</v>
      </c>
      <c r="Q163" s="65"/>
      <c r="R163" s="169" t="n">
        <v>25.8000015258789</v>
      </c>
      <c r="S163" s="169" t="n">
        <v>30.8000015258789</v>
      </c>
      <c r="T163" s="169" t="n">
        <v>33.1850015258789</v>
      </c>
      <c r="U163" s="65"/>
      <c r="V163" s="169" t="n">
        <v>0</v>
      </c>
      <c r="W163" s="169" t="n">
        <v>0</v>
      </c>
      <c r="X163" s="169" t="n">
        <v>0</v>
      </c>
      <c r="Y163" s="65"/>
      <c r="Z163" s="169" t="n">
        <v>0.102518732421091</v>
      </c>
      <c r="AA163" s="169" t="n">
        <v>0.205037464842183</v>
      </c>
      <c r="AB163" s="169" t="n">
        <v>0.307556197263274</v>
      </c>
      <c r="AC163" s="65"/>
      <c r="AD163" s="169" t="n">
        <v>0.031388668949392</v>
      </c>
      <c r="AE163" s="169" t="n">
        <v>0.062777337898784</v>
      </c>
      <c r="AF163" s="169" t="n">
        <v>0.094166006848176</v>
      </c>
      <c r="AG163" s="65"/>
      <c r="AH163" s="169" t="n">
        <v>-0.35</v>
      </c>
      <c r="AI163" s="169" t="n">
        <v>1.5</v>
      </c>
      <c r="AJ163" s="169" t="n">
        <v>0.3</v>
      </c>
      <c r="AK163" s="65"/>
      <c r="AL163" s="169" t="n">
        <v>-0.15</v>
      </c>
      <c r="AM163" s="169" t="n">
        <v>0.4</v>
      </c>
      <c r="AN163" s="169" t="n">
        <v>0.2</v>
      </c>
      <c r="AO163" s="65"/>
      <c r="AP163" s="134" t="n">
        <v>49</v>
      </c>
      <c r="AQ163" s="170" t="n">
        <v>0.4</v>
      </c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135" t="n">
        <v>41153</v>
      </c>
      <c r="BI163" s="172" t="n">
        <v>0.9</v>
      </c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5"/>
      <c r="BZ163" s="65"/>
      <c r="CA163" s="65"/>
      <c r="CB163" s="65"/>
      <c r="CC163" s="65"/>
      <c r="CD163" s="65"/>
      <c r="CE163" s="65"/>
      <c r="CF163" s="65"/>
      <c r="CG163" s="65"/>
      <c r="CH163" s="0"/>
      <c r="CM163" s="206"/>
      <c r="CN163" s="206"/>
      <c r="CO163" s="173"/>
      <c r="CP163" s="0"/>
      <c r="CQ163" s="0"/>
      <c r="CR163" s="0"/>
      <c r="CS163" s="0"/>
      <c r="CT163" s="0"/>
      <c r="CY163" s="174" t="n">
        <f aca="false">M163</f>
        <v>41153</v>
      </c>
      <c r="CZ163" s="175" t="n">
        <f aca="false">AI163+AH163</f>
        <v>1.15</v>
      </c>
      <c r="DA163" s="175" t="n">
        <f aca="false">AI163</f>
        <v>1.5</v>
      </c>
      <c r="DB163" s="175" t="n">
        <f aca="false">AI163+AJ163</f>
        <v>1.8</v>
      </c>
      <c r="DD163" s="175" t="n">
        <f aca="false">Z163</f>
        <v>0.102518732421091</v>
      </c>
      <c r="DE163" s="175" t="n">
        <f aca="false">AA163</f>
        <v>0.205037464842183</v>
      </c>
      <c r="DF163" s="175" t="n">
        <f aca="false">AB163</f>
        <v>0.307556197263274</v>
      </c>
      <c r="DH163" s="174" t="n">
        <f aca="false">BH163</f>
        <v>41153</v>
      </c>
      <c r="DI163" s="128" t="n">
        <f aca="false">BI163</f>
        <v>0.9</v>
      </c>
    </row>
    <row r="164" customFormat="false" ht="12.75" hidden="false" customHeight="false" outlineLevel="0" collapsed="false">
      <c r="A164" s="138" t="n">
        <f aca="false">EOMONTH(A163,0)+1</f>
        <v>50526</v>
      </c>
      <c r="B164" s="128" t="n">
        <f aca="false">'Gas Curves'!C168</f>
        <v>0.061151607249682</v>
      </c>
      <c r="C164" s="128"/>
      <c r="D164" s="167" t="n">
        <v>40299</v>
      </c>
      <c r="E164" s="168" t="n">
        <v>37.97</v>
      </c>
      <c r="F164" s="168" t="n">
        <v>40.6</v>
      </c>
      <c r="G164" s="168" t="n">
        <v>44.45</v>
      </c>
      <c r="H164" s="152"/>
      <c r="I164" s="168" t="n">
        <v>22.8349996185303</v>
      </c>
      <c r="J164" s="168" t="n">
        <v>24.1499996185303</v>
      </c>
      <c r="K164" s="168" t="n">
        <v>25.7399996185303</v>
      </c>
      <c r="L164" s="134"/>
      <c r="M164" s="135" t="n">
        <v>41183</v>
      </c>
      <c r="N164" s="169" t="n">
        <v>27.9500011444092</v>
      </c>
      <c r="O164" s="169" t="n">
        <v>29.5250011444092</v>
      </c>
      <c r="P164" s="169" t="n">
        <v>31.0325011444092</v>
      </c>
      <c r="Q164" s="65"/>
      <c r="R164" s="169" t="n">
        <v>21.3000015258789</v>
      </c>
      <c r="S164" s="169" t="n">
        <v>26.3000015258789</v>
      </c>
      <c r="T164" s="169" t="n">
        <v>27.8075015258789</v>
      </c>
      <c r="U164" s="65"/>
      <c r="V164" s="169" t="n">
        <v>0</v>
      </c>
      <c r="W164" s="169" t="n">
        <v>0</v>
      </c>
      <c r="X164" s="169" t="n">
        <v>0</v>
      </c>
      <c r="Y164" s="65"/>
      <c r="Z164" s="169" t="n">
        <v>0.0886691985953337</v>
      </c>
      <c r="AA164" s="169" t="n">
        <v>0.177338397190667</v>
      </c>
      <c r="AB164" s="169" t="n">
        <v>0.266007595786001</v>
      </c>
      <c r="AC164" s="65"/>
      <c r="AD164" s="169" t="n">
        <v>0.023541501712044</v>
      </c>
      <c r="AE164" s="169" t="n">
        <v>0.047083003424088</v>
      </c>
      <c r="AF164" s="169" t="n">
        <v>0.070624505136132</v>
      </c>
      <c r="AG164" s="65"/>
      <c r="AH164" s="169" t="n">
        <v>-0.25</v>
      </c>
      <c r="AI164" s="169" t="n">
        <v>1.1</v>
      </c>
      <c r="AJ164" s="169" t="n">
        <v>0.3</v>
      </c>
      <c r="AK164" s="65"/>
      <c r="AL164" s="169" t="n">
        <v>-0.15</v>
      </c>
      <c r="AM164" s="169" t="n">
        <v>0.35</v>
      </c>
      <c r="AN164" s="169" t="n">
        <v>0.2</v>
      </c>
      <c r="AO164" s="65"/>
      <c r="AP164" s="134" t="n">
        <v>49</v>
      </c>
      <c r="AQ164" s="170" t="n">
        <v>0.4</v>
      </c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135" t="n">
        <v>41183</v>
      </c>
      <c r="BI164" s="172" t="n">
        <v>0.9</v>
      </c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/>
      <c r="CB164" s="65"/>
      <c r="CC164" s="65"/>
      <c r="CD164" s="65"/>
      <c r="CE164" s="65"/>
      <c r="CF164" s="65"/>
      <c r="CG164" s="65"/>
      <c r="CH164" s="0"/>
      <c r="CM164" s="206"/>
      <c r="CN164" s="206"/>
      <c r="CO164" s="173"/>
      <c r="CP164" s="0"/>
      <c r="CQ164" s="0"/>
      <c r="CR164" s="0"/>
      <c r="CS164" s="0"/>
      <c r="CT164" s="0"/>
      <c r="CY164" s="174" t="n">
        <f aca="false">M164</f>
        <v>41183</v>
      </c>
      <c r="CZ164" s="175" t="n">
        <f aca="false">AI164+AH164</f>
        <v>0.85</v>
      </c>
      <c r="DA164" s="175" t="n">
        <f aca="false">AI164</f>
        <v>1.1</v>
      </c>
      <c r="DB164" s="175" t="n">
        <f aca="false">AI164+AJ164</f>
        <v>1.4</v>
      </c>
      <c r="DD164" s="175" t="n">
        <f aca="false">Z164</f>
        <v>0.0886691985953337</v>
      </c>
      <c r="DE164" s="175" t="n">
        <f aca="false">AA164</f>
        <v>0.177338397190667</v>
      </c>
      <c r="DF164" s="175" t="n">
        <f aca="false">AB164</f>
        <v>0.266007595786001</v>
      </c>
      <c r="DH164" s="174" t="n">
        <f aca="false">BH164</f>
        <v>41183</v>
      </c>
      <c r="DI164" s="128" t="n">
        <f aca="false">BI164</f>
        <v>0.9</v>
      </c>
    </row>
    <row r="165" customFormat="false" ht="12.75" hidden="false" customHeight="false" outlineLevel="0" collapsed="false">
      <c r="A165" s="138" t="n">
        <f aca="false">EOMONTH(A164,0)+1</f>
        <v>50557</v>
      </c>
      <c r="B165" s="128" t="n">
        <f aca="false">'Gas Curves'!C169</f>
        <v>0.061175322329025</v>
      </c>
      <c r="C165" s="128"/>
      <c r="D165" s="167" t="n">
        <v>40330</v>
      </c>
      <c r="E165" s="168" t="n">
        <v>46.18</v>
      </c>
      <c r="F165" s="168" t="n">
        <v>51.25</v>
      </c>
      <c r="G165" s="168" t="n">
        <v>57.12</v>
      </c>
      <c r="H165" s="152"/>
      <c r="I165" s="168" t="n">
        <v>21.9899996185303</v>
      </c>
      <c r="J165" s="168" t="n">
        <v>24.5249996185303</v>
      </c>
      <c r="K165" s="168" t="n">
        <v>26.9449996185303</v>
      </c>
      <c r="L165" s="134"/>
      <c r="M165" s="135" t="n">
        <v>41214</v>
      </c>
      <c r="N165" s="169" t="n">
        <v>30.3000015258789</v>
      </c>
      <c r="O165" s="169" t="n">
        <v>31.8750015258789</v>
      </c>
      <c r="P165" s="169" t="n">
        <v>33.3825015258789</v>
      </c>
      <c r="Q165" s="65"/>
      <c r="R165" s="169" t="n">
        <v>23.5000003814697</v>
      </c>
      <c r="S165" s="169" t="n">
        <v>28.5000003814697</v>
      </c>
      <c r="T165" s="169" t="n">
        <v>30.0075003814697</v>
      </c>
      <c r="U165" s="65"/>
      <c r="V165" s="169" t="n">
        <v>0</v>
      </c>
      <c r="W165" s="169" t="n">
        <v>0</v>
      </c>
      <c r="X165" s="169" t="n">
        <v>0</v>
      </c>
      <c r="Y165" s="65"/>
      <c r="Z165" s="169" t="n">
        <v>0.0886691985953337</v>
      </c>
      <c r="AA165" s="169" t="n">
        <v>0.177338397190667</v>
      </c>
      <c r="AB165" s="169" t="n">
        <v>0.266007595786001</v>
      </c>
      <c r="AC165" s="65"/>
      <c r="AD165" s="169" t="n">
        <v>0.023541501712044</v>
      </c>
      <c r="AE165" s="169" t="n">
        <v>0.047083003424088</v>
      </c>
      <c r="AF165" s="169" t="n">
        <v>0.070624505136132</v>
      </c>
      <c r="AG165" s="65"/>
      <c r="AH165" s="169" t="n">
        <v>-0.25</v>
      </c>
      <c r="AI165" s="169" t="n">
        <v>1.25</v>
      </c>
      <c r="AJ165" s="169" t="n">
        <v>0.3</v>
      </c>
      <c r="AK165" s="65"/>
      <c r="AL165" s="169" t="n">
        <v>-0.15</v>
      </c>
      <c r="AM165" s="169" t="n">
        <v>0.3</v>
      </c>
      <c r="AN165" s="169" t="n">
        <v>0.2</v>
      </c>
      <c r="AO165" s="65"/>
      <c r="AP165" s="134" t="n">
        <v>50</v>
      </c>
      <c r="AQ165" s="170" t="n">
        <v>0.4</v>
      </c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135" t="n">
        <v>41214</v>
      </c>
      <c r="BI165" s="172" t="n">
        <v>0.9</v>
      </c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0"/>
      <c r="CM165" s="206"/>
      <c r="CN165" s="206"/>
      <c r="CO165" s="173"/>
      <c r="CP165" s="0"/>
      <c r="CQ165" s="0"/>
      <c r="CR165" s="0"/>
      <c r="CS165" s="0"/>
      <c r="CT165" s="0"/>
      <c r="CY165" s="174" t="n">
        <f aca="false">M165</f>
        <v>41214</v>
      </c>
      <c r="CZ165" s="175" t="n">
        <f aca="false">AI165+AH165</f>
        <v>1</v>
      </c>
      <c r="DA165" s="175" t="n">
        <f aca="false">AI165</f>
        <v>1.25</v>
      </c>
      <c r="DB165" s="175" t="n">
        <f aca="false">AI165+AJ165</f>
        <v>1.55</v>
      </c>
      <c r="DD165" s="175" t="n">
        <f aca="false">Z165</f>
        <v>0.0886691985953337</v>
      </c>
      <c r="DE165" s="175" t="n">
        <f aca="false">AA165</f>
        <v>0.177338397190667</v>
      </c>
      <c r="DF165" s="175" t="n">
        <f aca="false">AB165</f>
        <v>0.266007595786001</v>
      </c>
      <c r="DH165" s="174" t="n">
        <f aca="false">BH165</f>
        <v>41214</v>
      </c>
      <c r="DI165" s="128" t="n">
        <f aca="false">BI165</f>
        <v>0.9</v>
      </c>
    </row>
    <row r="166" customFormat="false" ht="12.75" hidden="false" customHeight="false" outlineLevel="0" collapsed="false">
      <c r="A166" s="138" t="n">
        <f aca="false">EOMONTH(A165,0)+1</f>
        <v>50587</v>
      </c>
      <c r="B166" s="128" t="n">
        <f aca="false">'Gas Curves'!C170</f>
        <v>0.061199827911208</v>
      </c>
      <c r="C166" s="128"/>
      <c r="D166" s="167" t="n">
        <v>40360</v>
      </c>
      <c r="E166" s="168" t="n">
        <v>61.35</v>
      </c>
      <c r="F166" s="168" t="n">
        <v>71.25</v>
      </c>
      <c r="G166" s="168" t="n">
        <v>83.76</v>
      </c>
      <c r="H166" s="152"/>
      <c r="I166" s="168" t="n">
        <v>23.3</v>
      </c>
      <c r="J166" s="168" t="n">
        <v>28.25</v>
      </c>
      <c r="K166" s="168" t="n">
        <v>33.415</v>
      </c>
      <c r="L166" s="134"/>
      <c r="M166" s="135" t="n">
        <v>41244</v>
      </c>
      <c r="N166" s="169" t="n">
        <v>30.9</v>
      </c>
      <c r="O166" s="169" t="n">
        <v>32.475</v>
      </c>
      <c r="P166" s="169" t="n">
        <v>33.9825</v>
      </c>
      <c r="Q166" s="65"/>
      <c r="R166" s="169" t="n">
        <v>24.0000003814697</v>
      </c>
      <c r="S166" s="169" t="n">
        <v>29.0000003814697</v>
      </c>
      <c r="T166" s="169" t="n">
        <v>30.5075003814697</v>
      </c>
      <c r="U166" s="65"/>
      <c r="V166" s="169" t="n">
        <v>0</v>
      </c>
      <c r="W166" s="169" t="n">
        <v>0</v>
      </c>
      <c r="X166" s="169" t="n">
        <v>0</v>
      </c>
      <c r="Y166" s="65"/>
      <c r="Z166" s="169" t="n">
        <v>0.0868991825187102</v>
      </c>
      <c r="AA166" s="169" t="n">
        <v>0.17379836503742</v>
      </c>
      <c r="AB166" s="169" t="n">
        <v>0.260697547556131</v>
      </c>
      <c r="AC166" s="65"/>
      <c r="AD166" s="169" t="n">
        <v>0.023541501712044</v>
      </c>
      <c r="AE166" s="169" t="n">
        <v>0.047083003424088</v>
      </c>
      <c r="AF166" s="169" t="n">
        <v>0.070624505136132</v>
      </c>
      <c r="AG166" s="65"/>
      <c r="AH166" s="169" t="n">
        <v>-0.25</v>
      </c>
      <c r="AI166" s="169" t="n">
        <v>1.25</v>
      </c>
      <c r="AJ166" s="169" t="n">
        <v>0.35</v>
      </c>
      <c r="AK166" s="65"/>
      <c r="AL166" s="169" t="n">
        <v>-0.15</v>
      </c>
      <c r="AM166" s="169" t="n">
        <v>0.3</v>
      </c>
      <c r="AN166" s="169" t="n">
        <v>0.2</v>
      </c>
      <c r="AO166" s="65"/>
      <c r="AP166" s="134" t="n">
        <v>50</v>
      </c>
      <c r="AQ166" s="170" t="n">
        <v>0.4</v>
      </c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135" t="n">
        <v>41244</v>
      </c>
      <c r="BI166" s="172" t="n">
        <v>0.9</v>
      </c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0"/>
      <c r="CM166" s="206"/>
      <c r="CN166" s="206"/>
      <c r="CO166" s="173"/>
      <c r="CP166" s="0"/>
      <c r="CQ166" s="0"/>
      <c r="CR166" s="0"/>
      <c r="CS166" s="0"/>
      <c r="CT166" s="0"/>
      <c r="CY166" s="174" t="n">
        <f aca="false">M166</f>
        <v>41244</v>
      </c>
      <c r="CZ166" s="175" t="n">
        <f aca="false">AI166+AH166</f>
        <v>1</v>
      </c>
      <c r="DA166" s="175" t="n">
        <f aca="false">AI166</f>
        <v>1.25</v>
      </c>
      <c r="DB166" s="175" t="n">
        <f aca="false">AI166+AJ166</f>
        <v>1.6</v>
      </c>
      <c r="DD166" s="175" t="n">
        <f aca="false">Z166</f>
        <v>0.0868991825187102</v>
      </c>
      <c r="DE166" s="175" t="n">
        <f aca="false">AA166</f>
        <v>0.17379836503742</v>
      </c>
      <c r="DF166" s="175" t="n">
        <f aca="false">AB166</f>
        <v>0.260697547556131</v>
      </c>
      <c r="DH166" s="174" t="n">
        <f aca="false">BH166</f>
        <v>41244</v>
      </c>
      <c r="DI166" s="128" t="n">
        <f aca="false">BI166</f>
        <v>0.9</v>
      </c>
    </row>
    <row r="167" customFormat="false" ht="12.75" hidden="false" customHeight="false" outlineLevel="0" collapsed="false">
      <c r="A167" s="138" t="n">
        <f aca="false">EOMONTH(A166,0)+1</f>
        <v>50618</v>
      </c>
      <c r="B167" s="128" t="n">
        <f aca="false">'Gas Curves'!C171</f>
        <v>0.06122354299093</v>
      </c>
      <c r="C167" s="128"/>
      <c r="D167" s="167" t="n">
        <v>40391</v>
      </c>
      <c r="E167" s="168" t="n">
        <v>61.35</v>
      </c>
      <c r="F167" s="168" t="n">
        <v>71.25</v>
      </c>
      <c r="G167" s="168" t="n">
        <v>83.76</v>
      </c>
      <c r="H167" s="152"/>
      <c r="I167" s="168" t="n">
        <v>35.4500015258789</v>
      </c>
      <c r="J167" s="168" t="n">
        <v>40.4000015258789</v>
      </c>
      <c r="K167" s="168" t="n">
        <v>45.5650015258789</v>
      </c>
      <c r="L167" s="134"/>
      <c r="M167" s="135" t="n">
        <v>41275</v>
      </c>
      <c r="N167" s="169" t="n">
        <v>33.4794960021973</v>
      </c>
      <c r="O167" s="169" t="n">
        <v>35.0544960021973</v>
      </c>
      <c r="P167" s="169" t="n">
        <v>36.3144960021973</v>
      </c>
      <c r="Q167" s="65"/>
      <c r="R167" s="169" t="n">
        <v>26.1539974212647</v>
      </c>
      <c r="S167" s="169" t="n">
        <v>31.1539974212647</v>
      </c>
      <c r="T167" s="169" t="n">
        <v>32.4139974212647</v>
      </c>
      <c r="U167" s="65"/>
      <c r="V167" s="169" t="n">
        <v>0</v>
      </c>
      <c r="W167" s="169" t="n">
        <v>0</v>
      </c>
      <c r="X167" s="169" t="n">
        <v>0</v>
      </c>
      <c r="Y167" s="65"/>
      <c r="Z167" s="169" t="n">
        <v>0.128235980803728</v>
      </c>
      <c r="AA167" s="169" t="n">
        <v>0.256471961607456</v>
      </c>
      <c r="AB167" s="169" t="n">
        <v>0.384707942411184</v>
      </c>
      <c r="AC167" s="65"/>
      <c r="AD167" s="169" t="n">
        <v>0.0269157836241036</v>
      </c>
      <c r="AE167" s="169" t="n">
        <v>0.0538315672482073</v>
      </c>
      <c r="AF167" s="169" t="n">
        <v>0.0807473508723109</v>
      </c>
      <c r="AG167" s="65"/>
      <c r="AH167" s="169" t="n">
        <v>-0.75</v>
      </c>
      <c r="AI167" s="169" t="n">
        <v>2</v>
      </c>
      <c r="AJ167" s="169" t="n">
        <v>0.75</v>
      </c>
      <c r="AK167" s="65"/>
      <c r="AL167" s="169" t="n">
        <v>-0.15</v>
      </c>
      <c r="AM167" s="169" t="n">
        <v>0.5</v>
      </c>
      <c r="AN167" s="169" t="n">
        <v>0.2</v>
      </c>
      <c r="AO167" s="65"/>
      <c r="AP167" s="134" t="n">
        <v>50</v>
      </c>
      <c r="AQ167" s="170" t="n">
        <v>0.4</v>
      </c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135" t="n">
        <v>41275</v>
      </c>
      <c r="BI167" s="172" t="n">
        <v>0.9</v>
      </c>
      <c r="BJ167" s="65"/>
      <c r="BK167" s="65"/>
      <c r="BL167" s="65"/>
      <c r="BM167" s="65"/>
      <c r="BN167" s="65"/>
      <c r="BO167" s="65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  <c r="CC167" s="65"/>
      <c r="CD167" s="65"/>
      <c r="CE167" s="65"/>
      <c r="CF167" s="65"/>
      <c r="CG167" s="65"/>
      <c r="CH167" s="0"/>
      <c r="CM167" s="206"/>
      <c r="CN167" s="206"/>
      <c r="CO167" s="173"/>
      <c r="CP167" s="0"/>
      <c r="CQ167" s="0"/>
      <c r="CR167" s="0"/>
      <c r="CS167" s="0"/>
      <c r="CT167" s="0"/>
      <c r="CY167" s="174" t="n">
        <f aca="false">M167</f>
        <v>41275</v>
      </c>
      <c r="CZ167" s="175" t="n">
        <f aca="false">AI167+AH167</f>
        <v>1.25</v>
      </c>
      <c r="DA167" s="175" t="n">
        <f aca="false">AI167</f>
        <v>2</v>
      </c>
      <c r="DB167" s="175" t="n">
        <f aca="false">AI167+AJ167</f>
        <v>2.75</v>
      </c>
      <c r="DD167" s="175" t="n">
        <f aca="false">Z167</f>
        <v>0.128235980803728</v>
      </c>
      <c r="DE167" s="175" t="n">
        <f aca="false">AA167</f>
        <v>0.256471961607456</v>
      </c>
      <c r="DF167" s="175" t="n">
        <f aca="false">AB167</f>
        <v>0.384707942411184</v>
      </c>
      <c r="DH167" s="174" t="n">
        <f aca="false">BH167</f>
        <v>41275</v>
      </c>
      <c r="DI167" s="128" t="n">
        <f aca="false">BI167</f>
        <v>0.9</v>
      </c>
    </row>
    <row r="168" customFormat="false" ht="12.75" hidden="false" customHeight="false" outlineLevel="0" collapsed="false">
      <c r="A168" s="138" t="n">
        <f aca="false">EOMONTH(A167,0)+1</f>
        <v>50649</v>
      </c>
      <c r="B168" s="128" t="n">
        <f aca="false">'Gas Curves'!C172</f>
        <v>0.061248048573506</v>
      </c>
      <c r="C168" s="128"/>
      <c r="D168" s="167" t="n">
        <v>40422</v>
      </c>
      <c r="E168" s="168" t="n">
        <v>34.03</v>
      </c>
      <c r="F168" s="168" t="n">
        <v>39.1</v>
      </c>
      <c r="G168" s="168" t="n">
        <v>42.95</v>
      </c>
      <c r="H168" s="152"/>
      <c r="I168" s="168" t="n">
        <v>26.3649996185303</v>
      </c>
      <c r="J168" s="168" t="n">
        <v>28.8999996185303</v>
      </c>
      <c r="K168" s="168" t="n">
        <v>30.4899996185303</v>
      </c>
      <c r="L168" s="134"/>
      <c r="M168" s="135" t="n">
        <v>41306</v>
      </c>
      <c r="N168" s="169" t="n">
        <v>33.1419967651367</v>
      </c>
      <c r="O168" s="169" t="n">
        <v>34.3794967651367</v>
      </c>
      <c r="P168" s="169" t="n">
        <v>35.6394967651367</v>
      </c>
      <c r="Q168" s="65"/>
      <c r="R168" s="169" t="n">
        <v>25.5539970397949</v>
      </c>
      <c r="S168" s="169" t="n">
        <v>30.5539970397949</v>
      </c>
      <c r="T168" s="169" t="n">
        <v>31.8139970397949</v>
      </c>
      <c r="U168" s="65"/>
      <c r="V168" s="169" t="n">
        <v>0</v>
      </c>
      <c r="W168" s="169" t="n">
        <v>0</v>
      </c>
      <c r="X168" s="169" t="n">
        <v>0</v>
      </c>
      <c r="Y168" s="65"/>
      <c r="Z168" s="169" t="n">
        <v>0.123884660097813</v>
      </c>
      <c r="AA168" s="169" t="n">
        <v>0.247769320195626</v>
      </c>
      <c r="AB168" s="169" t="n">
        <v>0.371653980293439</v>
      </c>
      <c r="AC168" s="65"/>
      <c r="AD168" s="169" t="n">
        <v>0.0269157836241036</v>
      </c>
      <c r="AE168" s="169" t="n">
        <v>0.0538315672482073</v>
      </c>
      <c r="AF168" s="169" t="n">
        <v>0.0807473508723109</v>
      </c>
      <c r="AG168" s="65"/>
      <c r="AH168" s="169" t="n">
        <v>-0.75</v>
      </c>
      <c r="AI168" s="169" t="n">
        <v>2</v>
      </c>
      <c r="AJ168" s="169" t="n">
        <v>0.75</v>
      </c>
      <c r="AK168" s="65"/>
      <c r="AL168" s="169" t="n">
        <v>-0.15</v>
      </c>
      <c r="AM168" s="169" t="n">
        <v>0.5</v>
      </c>
      <c r="AN168" s="169" t="n">
        <v>0.2</v>
      </c>
      <c r="AO168" s="65"/>
      <c r="AP168" s="134" t="n">
        <v>51</v>
      </c>
      <c r="AQ168" s="170" t="n">
        <v>0.4</v>
      </c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135" t="n">
        <v>41306</v>
      </c>
      <c r="BI168" s="172" t="n">
        <v>0.9</v>
      </c>
      <c r="BJ168" s="65"/>
      <c r="BK168" s="65"/>
      <c r="BL168" s="65"/>
      <c r="BM168" s="65"/>
      <c r="BN168" s="65"/>
      <c r="BO168" s="65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  <c r="CC168" s="65"/>
      <c r="CD168" s="65"/>
      <c r="CE168" s="65"/>
      <c r="CF168" s="65"/>
      <c r="CG168" s="65"/>
      <c r="CH168" s="0"/>
      <c r="CM168" s="206"/>
      <c r="CN168" s="206"/>
      <c r="CO168" s="173"/>
      <c r="CP168" s="0"/>
      <c r="CQ168" s="0"/>
      <c r="CR168" s="0"/>
      <c r="CS168" s="0"/>
      <c r="CT168" s="0"/>
      <c r="CY168" s="174" t="n">
        <f aca="false">M168</f>
        <v>41306</v>
      </c>
      <c r="CZ168" s="175" t="n">
        <f aca="false">AI168+AH168</f>
        <v>1.25</v>
      </c>
      <c r="DA168" s="175" t="n">
        <f aca="false">AI168</f>
        <v>2</v>
      </c>
      <c r="DB168" s="175" t="n">
        <f aca="false">AI168+AJ168</f>
        <v>2.75</v>
      </c>
      <c r="DD168" s="175" t="n">
        <f aca="false">Z168</f>
        <v>0.123884660097813</v>
      </c>
      <c r="DE168" s="175" t="n">
        <f aca="false">AA168</f>
        <v>0.247769320195626</v>
      </c>
      <c r="DF168" s="175" t="n">
        <f aca="false">AB168</f>
        <v>0.371653980293439</v>
      </c>
      <c r="DH168" s="174" t="n">
        <f aca="false">BH168</f>
        <v>41306</v>
      </c>
      <c r="DI168" s="128" t="n">
        <f aca="false">BI168</f>
        <v>0.9</v>
      </c>
    </row>
    <row r="169" customFormat="false" ht="12.75" hidden="false" customHeight="false" outlineLevel="0" collapsed="false">
      <c r="A169" s="138" t="n">
        <f aca="false">EOMONTH(A168,0)+1</f>
        <v>50679</v>
      </c>
      <c r="B169" s="128" t="n">
        <f aca="false">'Gas Curves'!C173</f>
        <v>0.061272554156282</v>
      </c>
      <c r="C169" s="128"/>
      <c r="D169" s="167" t="n">
        <v>40452</v>
      </c>
      <c r="E169" s="168" t="n">
        <v>36.47</v>
      </c>
      <c r="F169" s="168" t="n">
        <v>39.1</v>
      </c>
      <c r="G169" s="168" t="n">
        <v>41.55</v>
      </c>
      <c r="H169" s="152"/>
      <c r="I169" s="168" t="n">
        <v>25.5849996185303</v>
      </c>
      <c r="J169" s="168" t="n">
        <v>26.8999996185303</v>
      </c>
      <c r="K169" s="168" t="n">
        <v>27.9049996185303</v>
      </c>
      <c r="L169" s="134"/>
      <c r="M169" s="135" t="n">
        <v>41334</v>
      </c>
      <c r="N169" s="169" t="n">
        <v>27.2874969482422</v>
      </c>
      <c r="O169" s="169" t="n">
        <v>28.5249969482422</v>
      </c>
      <c r="P169" s="169" t="n">
        <v>29.7849969482422</v>
      </c>
      <c r="Q169" s="65"/>
      <c r="R169" s="169" t="n">
        <v>20.3499984741211</v>
      </c>
      <c r="S169" s="169" t="n">
        <v>25.3499984741211</v>
      </c>
      <c r="T169" s="169" t="n">
        <v>26.6099984741211</v>
      </c>
      <c r="U169" s="65"/>
      <c r="V169" s="169" t="n">
        <v>0</v>
      </c>
      <c r="W169" s="169" t="n">
        <v>0</v>
      </c>
      <c r="X169" s="169" t="n">
        <v>0</v>
      </c>
      <c r="Y169" s="65"/>
      <c r="Z169" s="169" t="n">
        <v>0.0982104459326842</v>
      </c>
      <c r="AA169" s="169" t="n">
        <v>0.196420891865368</v>
      </c>
      <c r="AB169" s="169" t="n">
        <v>0.294631337798053</v>
      </c>
      <c r="AC169" s="65"/>
      <c r="AD169" s="169" t="n">
        <v>0.023541501712044</v>
      </c>
      <c r="AE169" s="169" t="n">
        <v>0.047083003424088</v>
      </c>
      <c r="AF169" s="169" t="n">
        <v>0.070624505136132</v>
      </c>
      <c r="AG169" s="65"/>
      <c r="AH169" s="169" t="n">
        <v>-0.25</v>
      </c>
      <c r="AI169" s="169" t="n">
        <v>1.3</v>
      </c>
      <c r="AJ169" s="169" t="n">
        <v>0.3</v>
      </c>
      <c r="AK169" s="65"/>
      <c r="AL169" s="169" t="n">
        <v>-0.15</v>
      </c>
      <c r="AM169" s="169" t="n">
        <v>0.35</v>
      </c>
      <c r="AN169" s="169" t="n">
        <v>0.2</v>
      </c>
      <c r="AO169" s="65"/>
      <c r="AP169" s="134" t="n">
        <v>51</v>
      </c>
      <c r="AQ169" s="170" t="n">
        <v>0.4</v>
      </c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135" t="n">
        <v>41334</v>
      </c>
      <c r="BI169" s="172" t="n">
        <v>0.9</v>
      </c>
      <c r="BJ169" s="65"/>
      <c r="BK169" s="65"/>
      <c r="BL169" s="65"/>
      <c r="BM169" s="65"/>
      <c r="BN169" s="65"/>
      <c r="BO169" s="65"/>
      <c r="BP169" s="65"/>
      <c r="BQ169" s="65"/>
      <c r="BR169" s="65"/>
      <c r="BS169" s="65"/>
      <c r="BT169" s="65"/>
      <c r="BU169" s="65"/>
      <c r="BV169" s="65"/>
      <c r="BW169" s="65"/>
      <c r="BX169" s="65"/>
      <c r="BY169" s="65"/>
      <c r="BZ169" s="65"/>
      <c r="CA169" s="65"/>
      <c r="CB169" s="65"/>
      <c r="CC169" s="65"/>
      <c r="CD169" s="65"/>
      <c r="CE169" s="65"/>
      <c r="CF169" s="65"/>
      <c r="CG169" s="65"/>
      <c r="CH169" s="0"/>
      <c r="CM169" s="206"/>
      <c r="CN169" s="206"/>
      <c r="CO169" s="173"/>
      <c r="CP169" s="0"/>
      <c r="CQ169" s="0"/>
      <c r="CR169" s="0"/>
      <c r="CS169" s="0"/>
      <c r="CT169" s="0"/>
      <c r="CY169" s="174" t="n">
        <f aca="false">M169</f>
        <v>41334</v>
      </c>
      <c r="CZ169" s="175" t="n">
        <f aca="false">AI169+AH169</f>
        <v>1.05</v>
      </c>
      <c r="DA169" s="175" t="n">
        <f aca="false">AI169</f>
        <v>1.3</v>
      </c>
      <c r="DB169" s="175" t="n">
        <f aca="false">AI169+AJ169</f>
        <v>1.6</v>
      </c>
      <c r="DD169" s="175" t="n">
        <f aca="false">Z169</f>
        <v>0.0982104459326842</v>
      </c>
      <c r="DE169" s="175" t="n">
        <f aca="false">AA169</f>
        <v>0.196420891865368</v>
      </c>
      <c r="DF169" s="175" t="n">
        <f aca="false">AB169</f>
        <v>0.294631337798053</v>
      </c>
      <c r="DH169" s="174" t="n">
        <f aca="false">BH169</f>
        <v>41334</v>
      </c>
      <c r="DI169" s="128" t="n">
        <f aca="false">BI169</f>
        <v>0.9</v>
      </c>
    </row>
    <row r="170" customFormat="false" ht="12.75" hidden="false" customHeight="false" outlineLevel="0" collapsed="false">
      <c r="A170" s="138" t="n">
        <f aca="false">EOMONTH(A169,0)+1</f>
        <v>50710</v>
      </c>
      <c r="B170" s="128" t="n">
        <f aca="false">'Gas Curves'!C174</f>
        <v>0.061294688231218</v>
      </c>
      <c r="C170" s="128"/>
      <c r="D170" s="167" t="n">
        <v>40483</v>
      </c>
      <c r="E170" s="168" t="n">
        <v>38.97</v>
      </c>
      <c r="F170" s="168" t="n">
        <v>41.6</v>
      </c>
      <c r="G170" s="168" t="n">
        <v>44.05</v>
      </c>
      <c r="H170" s="152"/>
      <c r="I170" s="168" t="n">
        <v>26.3349996185303</v>
      </c>
      <c r="J170" s="168" t="n">
        <v>27.6499996185303</v>
      </c>
      <c r="K170" s="168" t="n">
        <v>28.6549996185303</v>
      </c>
      <c r="L170" s="134"/>
      <c r="M170" s="135" t="n">
        <v>41365</v>
      </c>
      <c r="N170" s="169" t="n">
        <v>26.2749996185303</v>
      </c>
      <c r="O170" s="169" t="n">
        <v>27.8499996185303</v>
      </c>
      <c r="P170" s="169" t="n">
        <v>29.1099996185303</v>
      </c>
      <c r="Q170" s="65"/>
      <c r="R170" s="169" t="n">
        <v>19.75</v>
      </c>
      <c r="S170" s="169" t="n">
        <v>24.75</v>
      </c>
      <c r="T170" s="169" t="n">
        <v>26.01</v>
      </c>
      <c r="U170" s="65"/>
      <c r="V170" s="169" t="n">
        <v>0</v>
      </c>
      <c r="W170" s="169" t="n">
        <v>0</v>
      </c>
      <c r="X170" s="169" t="n">
        <v>0</v>
      </c>
      <c r="Y170" s="65"/>
      <c r="Z170" s="169" t="n">
        <v>0.0980753559107686</v>
      </c>
      <c r="AA170" s="169" t="n">
        <v>0.196150711821537</v>
      </c>
      <c r="AB170" s="169" t="n">
        <v>0.294226067732306</v>
      </c>
      <c r="AC170" s="65"/>
      <c r="AD170" s="169" t="n">
        <v>0.023541501712044</v>
      </c>
      <c r="AE170" s="169" t="n">
        <v>0.047083003424088</v>
      </c>
      <c r="AF170" s="169" t="n">
        <v>0.070624505136132</v>
      </c>
      <c r="AG170" s="65"/>
      <c r="AH170" s="169" t="n">
        <v>-0.25</v>
      </c>
      <c r="AI170" s="169" t="n">
        <v>1.1</v>
      </c>
      <c r="AJ170" s="169" t="n">
        <v>0.3</v>
      </c>
      <c r="AK170" s="65"/>
      <c r="AL170" s="169" t="n">
        <v>-0.15</v>
      </c>
      <c r="AM170" s="169" t="n">
        <v>0.35</v>
      </c>
      <c r="AN170" s="169" t="n">
        <v>0.2</v>
      </c>
      <c r="AO170" s="65"/>
      <c r="AP170" s="134" t="n">
        <v>51</v>
      </c>
      <c r="AQ170" s="170" t="n">
        <v>0.4</v>
      </c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135" t="n">
        <v>41365</v>
      </c>
      <c r="BI170" s="172" t="n">
        <v>0.9</v>
      </c>
      <c r="BJ170" s="65"/>
      <c r="BK170" s="65"/>
      <c r="BL170" s="65"/>
      <c r="BM170" s="65"/>
      <c r="BN170" s="65"/>
      <c r="BO170" s="65"/>
      <c r="BP170" s="65"/>
      <c r="BQ170" s="65"/>
      <c r="BR170" s="65"/>
      <c r="BS170" s="65"/>
      <c r="BT170" s="65"/>
      <c r="BU170" s="65"/>
      <c r="BV170" s="65"/>
      <c r="BW170" s="65"/>
      <c r="BX170" s="65"/>
      <c r="BY170" s="65"/>
      <c r="BZ170" s="65"/>
      <c r="CA170" s="65"/>
      <c r="CB170" s="65"/>
      <c r="CC170" s="65"/>
      <c r="CD170" s="65"/>
      <c r="CE170" s="65"/>
      <c r="CF170" s="65"/>
      <c r="CG170" s="65"/>
      <c r="CH170" s="0"/>
      <c r="CM170" s="206"/>
      <c r="CN170" s="206"/>
      <c r="CO170" s="173"/>
      <c r="CP170" s="0"/>
      <c r="CQ170" s="0"/>
      <c r="CR170" s="0"/>
      <c r="CS170" s="0"/>
      <c r="CT170" s="0"/>
      <c r="CY170" s="174" t="n">
        <f aca="false">M170</f>
        <v>41365</v>
      </c>
      <c r="CZ170" s="175" t="n">
        <f aca="false">AI170+AH170</f>
        <v>0.85</v>
      </c>
      <c r="DA170" s="175" t="n">
        <f aca="false">AI170</f>
        <v>1.1</v>
      </c>
      <c r="DB170" s="175" t="n">
        <f aca="false">AI170+AJ170</f>
        <v>1.4</v>
      </c>
      <c r="DD170" s="175" t="n">
        <f aca="false">Z170</f>
        <v>0.0980753559107686</v>
      </c>
      <c r="DE170" s="175" t="n">
        <f aca="false">AA170</f>
        <v>0.196150711821537</v>
      </c>
      <c r="DF170" s="175" t="n">
        <f aca="false">AB170</f>
        <v>0.294226067732306</v>
      </c>
      <c r="DH170" s="174" t="n">
        <f aca="false">BH170</f>
        <v>41365</v>
      </c>
      <c r="DI170" s="128" t="n">
        <f aca="false">BI170</f>
        <v>0.9</v>
      </c>
    </row>
    <row r="171" customFormat="false" ht="12.75" hidden="false" customHeight="false" outlineLevel="0" collapsed="false">
      <c r="A171" s="138" t="n">
        <f aca="false">EOMONTH(A170,0)+1</f>
        <v>50740</v>
      </c>
      <c r="B171" s="128" t="n">
        <f aca="false">'Gas Curves'!C175</f>
        <v>0.061319193814373</v>
      </c>
      <c r="C171" s="128"/>
      <c r="D171" s="167" t="n">
        <v>40513</v>
      </c>
      <c r="E171" s="168" t="n">
        <v>38.97</v>
      </c>
      <c r="F171" s="168" t="n">
        <v>41.6</v>
      </c>
      <c r="G171" s="168" t="n">
        <v>44.05</v>
      </c>
      <c r="H171" s="152"/>
      <c r="I171" s="168" t="n">
        <v>26.2349992370605</v>
      </c>
      <c r="J171" s="168" t="n">
        <v>27.5499992370605</v>
      </c>
      <c r="K171" s="168" t="n">
        <v>28.5549992370605</v>
      </c>
      <c r="L171" s="134"/>
      <c r="M171" s="135" t="n">
        <v>41395</v>
      </c>
      <c r="N171" s="169" t="n">
        <v>29.875</v>
      </c>
      <c r="O171" s="169" t="n">
        <v>31.45</v>
      </c>
      <c r="P171" s="169" t="n">
        <v>33.835</v>
      </c>
      <c r="Q171" s="65"/>
      <c r="R171" s="169" t="n">
        <v>22.9499988555908</v>
      </c>
      <c r="S171" s="169" t="n">
        <v>27.9499988555908</v>
      </c>
      <c r="T171" s="169" t="n">
        <v>30.3349988555908</v>
      </c>
      <c r="U171" s="65"/>
      <c r="V171" s="169" t="n">
        <v>0</v>
      </c>
      <c r="W171" s="169" t="n">
        <v>0</v>
      </c>
      <c r="X171" s="169" t="n">
        <v>0</v>
      </c>
      <c r="Y171" s="65"/>
      <c r="Z171" s="169" t="n">
        <v>0.103177492738488</v>
      </c>
      <c r="AA171" s="169" t="n">
        <v>0.206354985476977</v>
      </c>
      <c r="AB171" s="169" t="n">
        <v>0.309532478215465</v>
      </c>
      <c r="AC171" s="65"/>
      <c r="AD171" s="169" t="n">
        <v>0.0269157836241036</v>
      </c>
      <c r="AE171" s="169" t="n">
        <v>0.0538315672482073</v>
      </c>
      <c r="AF171" s="169" t="n">
        <v>0.0807473508723109</v>
      </c>
      <c r="AG171" s="65"/>
      <c r="AH171" s="169" t="n">
        <v>-0.25</v>
      </c>
      <c r="AI171" s="169" t="n">
        <v>1.1</v>
      </c>
      <c r="AJ171" s="169" t="n">
        <v>0.3</v>
      </c>
      <c r="AK171" s="65"/>
      <c r="AL171" s="169" t="n">
        <v>-0.15</v>
      </c>
      <c r="AM171" s="169" t="n">
        <v>0.5</v>
      </c>
      <c r="AN171" s="169" t="n">
        <v>0.2</v>
      </c>
      <c r="AO171" s="65"/>
      <c r="AP171" s="134" t="n">
        <v>52</v>
      </c>
      <c r="AQ171" s="170" t="n">
        <v>0.4</v>
      </c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135" t="n">
        <v>41395</v>
      </c>
      <c r="BI171" s="172" t="n">
        <v>0.9</v>
      </c>
      <c r="BJ171" s="65"/>
      <c r="BK171" s="65"/>
      <c r="BL171" s="65"/>
      <c r="BM171" s="65"/>
      <c r="BN171" s="65"/>
      <c r="BO171" s="65"/>
      <c r="BP171" s="65"/>
      <c r="BQ171" s="65"/>
      <c r="BR171" s="65"/>
      <c r="BS171" s="65"/>
      <c r="BT171" s="65"/>
      <c r="BU171" s="65"/>
      <c r="BV171" s="65"/>
      <c r="BW171" s="65"/>
      <c r="BX171" s="65"/>
      <c r="BY171" s="65"/>
      <c r="BZ171" s="65"/>
      <c r="CA171" s="65"/>
      <c r="CB171" s="65"/>
      <c r="CC171" s="65"/>
      <c r="CD171" s="65"/>
      <c r="CE171" s="65"/>
      <c r="CF171" s="65"/>
      <c r="CG171" s="65"/>
      <c r="CH171" s="0"/>
      <c r="CM171" s="206"/>
      <c r="CN171" s="206"/>
      <c r="CO171" s="173"/>
      <c r="CP171" s="0"/>
      <c r="CQ171" s="0"/>
      <c r="CR171" s="0"/>
      <c r="CS171" s="0"/>
      <c r="CT171" s="0"/>
      <c r="CY171" s="174" t="n">
        <f aca="false">M171</f>
        <v>41395</v>
      </c>
      <c r="CZ171" s="175" t="n">
        <f aca="false">AI171+AH171</f>
        <v>0.85</v>
      </c>
      <c r="DA171" s="175" t="n">
        <f aca="false">AI171</f>
        <v>1.1</v>
      </c>
      <c r="DB171" s="175" t="n">
        <f aca="false">AI171+AJ171</f>
        <v>1.4</v>
      </c>
      <c r="DD171" s="175" t="n">
        <f aca="false">Z171</f>
        <v>0.103177492738488</v>
      </c>
      <c r="DE171" s="175" t="n">
        <f aca="false">AA171</f>
        <v>0.206354985476977</v>
      </c>
      <c r="DF171" s="175" t="n">
        <f aca="false">AB171</f>
        <v>0.309532478215465</v>
      </c>
      <c r="DH171" s="174" t="n">
        <f aca="false">BH171</f>
        <v>41395</v>
      </c>
      <c r="DI171" s="128" t="n">
        <f aca="false">BI171</f>
        <v>0.9</v>
      </c>
    </row>
    <row r="172" customFormat="false" ht="12.75" hidden="false" customHeight="false" outlineLevel="0" collapsed="false">
      <c r="A172" s="138" t="n">
        <f aca="false">EOMONTH(A171,0)+1</f>
        <v>50771</v>
      </c>
      <c r="B172" s="128" t="n">
        <f aca="false">'Gas Curves'!C176</f>
        <v>0.061342908895035</v>
      </c>
      <c r="C172" s="128"/>
      <c r="D172" s="167" t="n">
        <v>40544</v>
      </c>
      <c r="E172" s="168" t="n">
        <v>55.07</v>
      </c>
      <c r="F172" s="168" t="n">
        <v>57.7</v>
      </c>
      <c r="G172" s="168" t="n">
        <v>59.74</v>
      </c>
      <c r="H172" s="152"/>
      <c r="I172" s="168" t="n">
        <v>27.2850003814697</v>
      </c>
      <c r="J172" s="168" t="n">
        <v>28.6000003814697</v>
      </c>
      <c r="K172" s="168" t="n">
        <v>29.4400003814697</v>
      </c>
      <c r="L172" s="134"/>
      <c r="M172" s="135" t="n">
        <v>41426</v>
      </c>
      <c r="N172" s="169" t="n">
        <v>35.2125030517578</v>
      </c>
      <c r="O172" s="169" t="n">
        <v>38.2500030517578</v>
      </c>
      <c r="P172" s="169" t="n">
        <v>41.8800030517578</v>
      </c>
      <c r="Q172" s="65"/>
      <c r="R172" s="169" t="n">
        <v>28.4500026702881</v>
      </c>
      <c r="S172" s="169" t="n">
        <v>33.4500026702881</v>
      </c>
      <c r="T172" s="169" t="n">
        <v>37.0800026702881</v>
      </c>
      <c r="U172" s="65"/>
      <c r="V172" s="169" t="n">
        <v>0</v>
      </c>
      <c r="W172" s="169" t="n">
        <v>0</v>
      </c>
      <c r="X172" s="169" t="n">
        <v>0</v>
      </c>
      <c r="Y172" s="65"/>
      <c r="Z172" s="169" t="n">
        <v>0.11034152990071</v>
      </c>
      <c r="AA172" s="169" t="n">
        <v>0.220683059801421</v>
      </c>
      <c r="AB172" s="169" t="n">
        <v>0.331024589702131</v>
      </c>
      <c r="AC172" s="65"/>
      <c r="AD172" s="169" t="n">
        <v>0.0346060075167047</v>
      </c>
      <c r="AE172" s="169" t="n">
        <v>0.0692120150334094</v>
      </c>
      <c r="AF172" s="169" t="n">
        <v>0.103818022550114</v>
      </c>
      <c r="AG172" s="65"/>
      <c r="AH172" s="169" t="n">
        <v>-0.35</v>
      </c>
      <c r="AI172" s="169" t="n">
        <v>2</v>
      </c>
      <c r="AJ172" s="169" t="n">
        <v>0.3</v>
      </c>
      <c r="AK172" s="65"/>
      <c r="AL172" s="169" t="n">
        <v>-0.15</v>
      </c>
      <c r="AM172" s="169" t="n">
        <v>0.65</v>
      </c>
      <c r="AN172" s="169" t="n">
        <v>0.2</v>
      </c>
      <c r="AO172" s="65"/>
      <c r="AP172" s="134" t="n">
        <v>52</v>
      </c>
      <c r="AQ172" s="170" t="n">
        <v>0.4</v>
      </c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135" t="n">
        <v>41426</v>
      </c>
      <c r="BI172" s="172" t="n">
        <v>0.9</v>
      </c>
      <c r="BJ172" s="65"/>
      <c r="BK172" s="65"/>
      <c r="BL172" s="65"/>
      <c r="BM172" s="65"/>
      <c r="BN172" s="65"/>
      <c r="BO172" s="65"/>
      <c r="BP172" s="65"/>
      <c r="BQ172" s="65"/>
      <c r="BR172" s="65"/>
      <c r="BS172" s="65"/>
      <c r="BT172" s="65"/>
      <c r="BU172" s="65"/>
      <c r="BV172" s="65"/>
      <c r="BW172" s="65"/>
      <c r="BX172" s="65"/>
      <c r="BY172" s="65"/>
      <c r="BZ172" s="65"/>
      <c r="CA172" s="65"/>
      <c r="CB172" s="65"/>
      <c r="CC172" s="65"/>
      <c r="CD172" s="65"/>
      <c r="CE172" s="65"/>
      <c r="CF172" s="65"/>
      <c r="CG172" s="65"/>
      <c r="CH172" s="0"/>
      <c r="CM172" s="206"/>
      <c r="CN172" s="206"/>
      <c r="CO172" s="173"/>
      <c r="CP172" s="0"/>
      <c r="CQ172" s="0"/>
      <c r="CR172" s="0"/>
      <c r="CS172" s="0"/>
      <c r="CT172" s="0"/>
      <c r="CY172" s="174" t="n">
        <f aca="false">M172</f>
        <v>41426</v>
      </c>
      <c r="CZ172" s="175" t="n">
        <f aca="false">AI172+AH172</f>
        <v>1.65</v>
      </c>
      <c r="DA172" s="175" t="n">
        <f aca="false">AI172</f>
        <v>2</v>
      </c>
      <c r="DB172" s="175" t="n">
        <f aca="false">AI172+AJ172</f>
        <v>2.3</v>
      </c>
      <c r="DD172" s="175" t="n">
        <f aca="false">Z172</f>
        <v>0.11034152990071</v>
      </c>
      <c r="DE172" s="175" t="n">
        <f aca="false">AA172</f>
        <v>0.220683059801421</v>
      </c>
      <c r="DF172" s="175" t="n">
        <f aca="false">AB172</f>
        <v>0.331024589702131</v>
      </c>
      <c r="DH172" s="174" t="n">
        <f aca="false">BH172</f>
        <v>41426</v>
      </c>
      <c r="DI172" s="128" t="n">
        <f aca="false">BI172</f>
        <v>0.9</v>
      </c>
    </row>
    <row r="173" customFormat="false" ht="12.75" hidden="false" customHeight="false" outlineLevel="0" collapsed="false">
      <c r="A173" s="138" t="n">
        <f aca="false">EOMONTH(A172,0)+1</f>
        <v>50802</v>
      </c>
      <c r="B173" s="128" t="n">
        <f aca="false">'Gas Curves'!C177</f>
        <v>0.061367414478583</v>
      </c>
      <c r="C173" s="128"/>
      <c r="D173" s="167" t="n">
        <v>40575</v>
      </c>
      <c r="E173" s="168" t="n">
        <v>55.63</v>
      </c>
      <c r="F173" s="168" t="n">
        <v>57.7</v>
      </c>
      <c r="G173" s="168" t="n">
        <v>59.74</v>
      </c>
      <c r="H173" s="152"/>
      <c r="I173" s="168" t="n">
        <v>24.215</v>
      </c>
      <c r="J173" s="168" t="n">
        <v>25.25</v>
      </c>
      <c r="K173" s="168" t="n">
        <v>26.09</v>
      </c>
      <c r="L173" s="134"/>
      <c r="M173" s="135" t="n">
        <v>41456</v>
      </c>
      <c r="N173" s="169" t="n">
        <v>37.2250015258789</v>
      </c>
      <c r="O173" s="169" t="n">
        <v>44.6500015258789</v>
      </c>
      <c r="P173" s="169" t="n">
        <v>52.3975015258789</v>
      </c>
      <c r="Q173" s="65"/>
      <c r="R173" s="169" t="n">
        <v>33.6500015258789</v>
      </c>
      <c r="S173" s="169" t="n">
        <v>38.6500015258789</v>
      </c>
      <c r="T173" s="169" t="n">
        <v>46.3975015258789</v>
      </c>
      <c r="U173" s="65"/>
      <c r="V173" s="169" t="n">
        <v>0</v>
      </c>
      <c r="W173" s="169" t="n">
        <v>0</v>
      </c>
      <c r="X173" s="169" t="n">
        <v>0</v>
      </c>
      <c r="Y173" s="65"/>
      <c r="Z173" s="169" t="n">
        <v>0.131422683320707</v>
      </c>
      <c r="AA173" s="169" t="n">
        <v>0.262845366641413</v>
      </c>
      <c r="AB173" s="169" t="n">
        <v>0.39426804996212</v>
      </c>
      <c r="AC173" s="65"/>
      <c r="AD173" s="169" t="n">
        <v>0.0461413433556062</v>
      </c>
      <c r="AE173" s="169" t="n">
        <v>0.0922826867112125</v>
      </c>
      <c r="AF173" s="169" t="n">
        <v>0.138424030066819</v>
      </c>
      <c r="AG173" s="65"/>
      <c r="AH173" s="169" t="n">
        <v>-0.35</v>
      </c>
      <c r="AI173" s="169" t="n">
        <v>3</v>
      </c>
      <c r="AJ173" s="169" t="n">
        <v>0.5</v>
      </c>
      <c r="AK173" s="65"/>
      <c r="AL173" s="169" t="n">
        <v>-0.15</v>
      </c>
      <c r="AM173" s="169" t="n">
        <v>0.75</v>
      </c>
      <c r="AN173" s="169" t="n">
        <v>0.2</v>
      </c>
      <c r="AO173" s="65"/>
      <c r="AP173" s="134" t="n">
        <v>52</v>
      </c>
      <c r="AQ173" s="170" t="n">
        <v>0.4</v>
      </c>
      <c r="AR173" s="65"/>
      <c r="AS173" s="65"/>
      <c r="AT173" s="65"/>
      <c r="AU173" s="65"/>
      <c r="AV173" s="65"/>
      <c r="AW173" s="65"/>
      <c r="AX173" s="65"/>
      <c r="AY173" s="65"/>
      <c r="AZ173" s="65"/>
      <c r="BA173" s="65"/>
      <c r="BB173" s="65"/>
      <c r="BC173" s="65"/>
      <c r="BD173" s="65"/>
      <c r="BE173" s="65"/>
      <c r="BF173" s="65"/>
      <c r="BG173" s="65"/>
      <c r="BH173" s="135" t="n">
        <v>41456</v>
      </c>
      <c r="BI173" s="172" t="n">
        <v>0.9</v>
      </c>
      <c r="BJ173" s="65"/>
      <c r="BK173" s="65"/>
      <c r="BL173" s="65"/>
      <c r="BM173" s="65"/>
      <c r="BN173" s="65"/>
      <c r="BO173" s="65"/>
      <c r="BP173" s="65"/>
      <c r="BQ173" s="65"/>
      <c r="BR173" s="65"/>
      <c r="BS173" s="65"/>
      <c r="BT173" s="65"/>
      <c r="BU173" s="65"/>
      <c r="BV173" s="65"/>
      <c r="BW173" s="65"/>
      <c r="BX173" s="65"/>
      <c r="BY173" s="65"/>
      <c r="BZ173" s="65"/>
      <c r="CA173" s="65"/>
      <c r="CB173" s="65"/>
      <c r="CC173" s="65"/>
      <c r="CD173" s="65"/>
      <c r="CE173" s="65"/>
      <c r="CF173" s="65"/>
      <c r="CG173" s="65"/>
      <c r="CH173" s="0"/>
      <c r="CM173" s="206"/>
      <c r="CN173" s="206"/>
      <c r="CO173" s="173"/>
      <c r="CP173" s="0"/>
      <c r="CQ173" s="0"/>
      <c r="CR173" s="0"/>
      <c r="CS173" s="0"/>
      <c r="CT173" s="0"/>
      <c r="CY173" s="174" t="n">
        <f aca="false">M173</f>
        <v>41456</v>
      </c>
      <c r="CZ173" s="175" t="n">
        <f aca="false">AI173+AH173</f>
        <v>2.65</v>
      </c>
      <c r="DA173" s="175" t="n">
        <f aca="false">AI173</f>
        <v>3</v>
      </c>
      <c r="DB173" s="175" t="n">
        <f aca="false">AI173+AJ173</f>
        <v>3.5</v>
      </c>
      <c r="DD173" s="175" t="n">
        <f aca="false">Z173</f>
        <v>0.131422683320707</v>
      </c>
      <c r="DE173" s="175" t="n">
        <f aca="false">AA173</f>
        <v>0.262845366641413</v>
      </c>
      <c r="DF173" s="175" t="n">
        <f aca="false">AB173</f>
        <v>0.39426804996212</v>
      </c>
      <c r="DH173" s="174" t="n">
        <f aca="false">BH173</f>
        <v>41456</v>
      </c>
      <c r="DI173" s="128" t="n">
        <f aca="false">BI173</f>
        <v>0.9</v>
      </c>
    </row>
    <row r="174" customFormat="false" ht="12.75" hidden="false" customHeight="false" outlineLevel="0" collapsed="false">
      <c r="A174" s="138" t="n">
        <f aca="false">EOMONTH(A173,0)+1</f>
        <v>50830</v>
      </c>
      <c r="B174" s="128" t="n">
        <f aca="false">'Gas Curves'!C178</f>
        <v>0.061391129559625</v>
      </c>
      <c r="C174" s="128"/>
      <c r="D174" s="167" t="n">
        <v>40603</v>
      </c>
      <c r="E174" s="168" t="n">
        <v>38.63</v>
      </c>
      <c r="F174" s="168" t="n">
        <v>40.7</v>
      </c>
      <c r="G174" s="168" t="n">
        <v>42.74</v>
      </c>
      <c r="H174" s="152"/>
      <c r="I174" s="168" t="n">
        <v>24.6149996185303</v>
      </c>
      <c r="J174" s="168" t="n">
        <v>25.6499996185303</v>
      </c>
      <c r="K174" s="168" t="n">
        <v>26.4899996185303</v>
      </c>
      <c r="L174" s="134"/>
      <c r="M174" s="135" t="n">
        <v>41487</v>
      </c>
      <c r="N174" s="169" t="n">
        <v>48.9750015258789</v>
      </c>
      <c r="O174" s="169" t="n">
        <v>56.4000015258789</v>
      </c>
      <c r="P174" s="169" t="n">
        <v>64.1475015258789</v>
      </c>
      <c r="Q174" s="65"/>
      <c r="R174" s="169" t="n">
        <v>45.4500007629395</v>
      </c>
      <c r="S174" s="169" t="n">
        <v>50.4500007629395</v>
      </c>
      <c r="T174" s="169" t="n">
        <v>58.1975007629395</v>
      </c>
      <c r="U174" s="65"/>
      <c r="V174" s="169" t="n">
        <v>0</v>
      </c>
      <c r="W174" s="169" t="n">
        <v>0</v>
      </c>
      <c r="X174" s="169" t="n">
        <v>0</v>
      </c>
      <c r="Y174" s="65"/>
      <c r="Z174" s="169" t="n">
        <v>0.128543132853557</v>
      </c>
      <c r="AA174" s="169" t="n">
        <v>0.257086265707114</v>
      </c>
      <c r="AB174" s="169" t="n">
        <v>0.385629398560671</v>
      </c>
      <c r="AC174" s="65"/>
      <c r="AD174" s="169" t="n">
        <v>0.0461413433556062</v>
      </c>
      <c r="AE174" s="169" t="n">
        <v>0.0922826867112125</v>
      </c>
      <c r="AF174" s="169" t="n">
        <v>0.138424030066819</v>
      </c>
      <c r="AG174" s="65"/>
      <c r="AH174" s="169" t="n">
        <v>-0.35</v>
      </c>
      <c r="AI174" s="169" t="n">
        <v>3</v>
      </c>
      <c r="AJ174" s="169" t="n">
        <v>0.5</v>
      </c>
      <c r="AK174" s="65"/>
      <c r="AL174" s="169" t="n">
        <v>-0.15</v>
      </c>
      <c r="AM174" s="169" t="n">
        <v>0.75</v>
      </c>
      <c r="AN174" s="169" t="n">
        <v>0.2</v>
      </c>
      <c r="AO174" s="65"/>
      <c r="AP174" s="134" t="n">
        <v>53</v>
      </c>
      <c r="AQ174" s="170" t="n">
        <v>0.4</v>
      </c>
      <c r="AR174" s="65"/>
      <c r="AS174" s="65"/>
      <c r="AT174" s="65"/>
      <c r="AU174" s="65"/>
      <c r="AV174" s="65"/>
      <c r="AW174" s="65"/>
      <c r="AX174" s="65"/>
      <c r="AY174" s="65"/>
      <c r="AZ174" s="65"/>
      <c r="BA174" s="65"/>
      <c r="BB174" s="65"/>
      <c r="BC174" s="65"/>
      <c r="BD174" s="65"/>
      <c r="BE174" s="65"/>
      <c r="BF174" s="65"/>
      <c r="BG174" s="65"/>
      <c r="BH174" s="135" t="n">
        <v>41487</v>
      </c>
      <c r="BI174" s="172" t="n">
        <v>0.9</v>
      </c>
      <c r="BJ174" s="65"/>
      <c r="BK174" s="65"/>
      <c r="BL174" s="65"/>
      <c r="BM174" s="65"/>
      <c r="BN174" s="65"/>
      <c r="BO174" s="65"/>
      <c r="BP174" s="65"/>
      <c r="BQ174" s="65"/>
      <c r="BR174" s="65"/>
      <c r="BS174" s="65"/>
      <c r="BT174" s="65"/>
      <c r="BU174" s="65"/>
      <c r="BV174" s="65"/>
      <c r="BW174" s="65"/>
      <c r="BX174" s="65"/>
      <c r="BY174" s="65"/>
      <c r="BZ174" s="65"/>
      <c r="CA174" s="65"/>
      <c r="CB174" s="65"/>
      <c r="CC174" s="65"/>
      <c r="CD174" s="65"/>
      <c r="CE174" s="65"/>
      <c r="CF174" s="65"/>
      <c r="CG174" s="65"/>
      <c r="CH174" s="0"/>
      <c r="CM174" s="206"/>
      <c r="CN174" s="206"/>
      <c r="CO174" s="173"/>
      <c r="CP174" s="0"/>
      <c r="CQ174" s="0"/>
      <c r="CR174" s="0"/>
      <c r="CS174" s="0"/>
      <c r="CT174" s="0"/>
      <c r="CY174" s="174" t="n">
        <f aca="false">M174</f>
        <v>41487</v>
      </c>
      <c r="CZ174" s="175" t="n">
        <f aca="false">AI174+AH174</f>
        <v>2.65</v>
      </c>
      <c r="DA174" s="175" t="n">
        <f aca="false">AI174</f>
        <v>3</v>
      </c>
      <c r="DB174" s="175" t="n">
        <f aca="false">AI174+AJ174</f>
        <v>3.5</v>
      </c>
      <c r="DD174" s="175" t="n">
        <f aca="false">Z174</f>
        <v>0.128543132853557</v>
      </c>
      <c r="DE174" s="175" t="n">
        <f aca="false">AA174</f>
        <v>0.257086265707114</v>
      </c>
      <c r="DF174" s="175" t="n">
        <f aca="false">AB174</f>
        <v>0.385629398560671</v>
      </c>
      <c r="DH174" s="174" t="n">
        <f aca="false">BH174</f>
        <v>41487</v>
      </c>
      <c r="DI174" s="128" t="n">
        <f aca="false">BI174</f>
        <v>0.9</v>
      </c>
    </row>
    <row r="175" customFormat="false" ht="12.75" hidden="false" customHeight="false" outlineLevel="0" collapsed="false">
      <c r="A175" s="138" t="n">
        <f aca="false">EOMONTH(A174,0)+1</f>
        <v>50861</v>
      </c>
      <c r="B175" s="128" t="n">
        <f aca="false">'Gas Curves'!C179</f>
        <v>0.061415635143565</v>
      </c>
      <c r="C175" s="128"/>
      <c r="D175" s="167" t="n">
        <v>40634</v>
      </c>
      <c r="E175" s="168" t="n">
        <v>34.57</v>
      </c>
      <c r="F175" s="168" t="n">
        <v>37.2</v>
      </c>
      <c r="G175" s="168" t="n">
        <v>39.24</v>
      </c>
      <c r="H175" s="152"/>
      <c r="I175" s="168" t="n">
        <v>22.0849996185303</v>
      </c>
      <c r="J175" s="168" t="n">
        <v>23.3999996185303</v>
      </c>
      <c r="K175" s="168" t="n">
        <v>24.2399996185303</v>
      </c>
      <c r="L175" s="134"/>
      <c r="M175" s="135" t="n">
        <v>41518</v>
      </c>
      <c r="N175" s="169" t="n">
        <v>30.7375011444092</v>
      </c>
      <c r="O175" s="169" t="n">
        <v>33.7750011444092</v>
      </c>
      <c r="P175" s="169" t="n">
        <v>36.1600011444092</v>
      </c>
      <c r="Q175" s="65"/>
      <c r="R175" s="169" t="n">
        <v>26.0500015258789</v>
      </c>
      <c r="S175" s="169" t="n">
        <v>31.0500015258789</v>
      </c>
      <c r="T175" s="169" t="n">
        <v>33.4350015258789</v>
      </c>
      <c r="U175" s="65"/>
      <c r="V175" s="169" t="n">
        <v>0</v>
      </c>
      <c r="W175" s="169" t="n">
        <v>0</v>
      </c>
      <c r="X175" s="169" t="n">
        <v>0</v>
      </c>
      <c r="Y175" s="65"/>
      <c r="Z175" s="169" t="n">
        <v>0.0973927958000368</v>
      </c>
      <c r="AA175" s="169" t="n">
        <v>0.194785591600074</v>
      </c>
      <c r="AB175" s="169" t="n">
        <v>0.292178387400111</v>
      </c>
      <c r="AC175" s="65"/>
      <c r="AD175" s="169" t="n">
        <v>0.0307608955704042</v>
      </c>
      <c r="AE175" s="169" t="n">
        <v>0.0615217911408083</v>
      </c>
      <c r="AF175" s="169" t="n">
        <v>0.0922826867112125</v>
      </c>
      <c r="AG175" s="65"/>
      <c r="AH175" s="169" t="n">
        <v>-0.35</v>
      </c>
      <c r="AI175" s="169" t="n">
        <v>1.5</v>
      </c>
      <c r="AJ175" s="169" t="n">
        <v>0.3</v>
      </c>
      <c r="AK175" s="65"/>
      <c r="AL175" s="169" t="n">
        <v>-0.15</v>
      </c>
      <c r="AM175" s="169" t="n">
        <v>0.4</v>
      </c>
      <c r="AN175" s="169" t="n">
        <v>0.2</v>
      </c>
      <c r="AO175" s="65"/>
      <c r="AP175" s="134" t="n">
        <v>53</v>
      </c>
      <c r="AQ175" s="170" t="n">
        <v>0.4</v>
      </c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  <c r="BF175" s="65"/>
      <c r="BG175" s="65"/>
      <c r="BH175" s="135" t="n">
        <v>41518</v>
      </c>
      <c r="BI175" s="172" t="n">
        <v>0.9</v>
      </c>
      <c r="BJ175" s="65"/>
      <c r="BK175" s="65"/>
      <c r="BL175" s="65"/>
      <c r="BM175" s="65"/>
      <c r="BN175" s="65"/>
      <c r="BO175" s="65"/>
      <c r="BP175" s="65"/>
      <c r="BQ175" s="65"/>
      <c r="BR175" s="65"/>
      <c r="BS175" s="65"/>
      <c r="BT175" s="65"/>
      <c r="BU175" s="65"/>
      <c r="BV175" s="65"/>
      <c r="BW175" s="65"/>
      <c r="BX175" s="65"/>
      <c r="BY175" s="65"/>
      <c r="BZ175" s="65"/>
      <c r="CA175" s="65"/>
      <c r="CB175" s="65"/>
      <c r="CC175" s="65"/>
      <c r="CD175" s="65"/>
      <c r="CE175" s="65"/>
      <c r="CF175" s="65"/>
      <c r="CG175" s="65"/>
      <c r="CH175" s="0"/>
      <c r="CM175" s="206"/>
      <c r="CN175" s="206"/>
      <c r="CO175" s="173"/>
      <c r="CP175" s="0"/>
      <c r="CQ175" s="0"/>
      <c r="CR175" s="0"/>
      <c r="CS175" s="0"/>
      <c r="CT175" s="0"/>
      <c r="CY175" s="174" t="n">
        <f aca="false">M175</f>
        <v>41518</v>
      </c>
      <c r="CZ175" s="175" t="n">
        <f aca="false">AI175+AH175</f>
        <v>1.15</v>
      </c>
      <c r="DA175" s="175" t="n">
        <f aca="false">AI175</f>
        <v>1.5</v>
      </c>
      <c r="DB175" s="175" t="n">
        <f aca="false">AI175+AJ175</f>
        <v>1.8</v>
      </c>
      <c r="DD175" s="175" t="n">
        <f aca="false">Z175</f>
        <v>0.0973927958000368</v>
      </c>
      <c r="DE175" s="175" t="n">
        <f aca="false">AA175</f>
        <v>0.194785591600074</v>
      </c>
      <c r="DF175" s="175" t="n">
        <f aca="false">AB175</f>
        <v>0.292178387400111</v>
      </c>
      <c r="DH175" s="174" t="n">
        <f aca="false">BH175</f>
        <v>41518</v>
      </c>
      <c r="DI175" s="128" t="n">
        <f aca="false">BI175</f>
        <v>0.9</v>
      </c>
    </row>
    <row r="176" customFormat="false" ht="12.75" hidden="false" customHeight="false" outlineLevel="0" collapsed="false">
      <c r="A176" s="138" t="n">
        <f aca="false">EOMONTH(A175,0)+1</f>
        <v>50891</v>
      </c>
      <c r="B176" s="128" t="n">
        <f aca="false">'Gas Curves'!C180</f>
        <v>0.061440140727704</v>
      </c>
      <c r="C176" s="128"/>
      <c r="D176" s="167" t="n">
        <v>40664</v>
      </c>
      <c r="E176" s="168" t="n">
        <v>38.07</v>
      </c>
      <c r="F176" s="168" t="n">
        <v>40.7</v>
      </c>
      <c r="G176" s="168" t="n">
        <v>44.55</v>
      </c>
      <c r="H176" s="152"/>
      <c r="I176" s="168" t="n">
        <v>23.0849996185303</v>
      </c>
      <c r="J176" s="168" t="n">
        <v>24.3999996185303</v>
      </c>
      <c r="K176" s="168" t="n">
        <v>25.9899996185303</v>
      </c>
      <c r="L176" s="134"/>
      <c r="M176" s="135" t="n">
        <v>41548</v>
      </c>
      <c r="N176" s="169" t="n">
        <v>28.2000011444092</v>
      </c>
      <c r="O176" s="169" t="n">
        <v>29.7750011444092</v>
      </c>
      <c r="P176" s="169" t="n">
        <v>31.2825011444092</v>
      </c>
      <c r="Q176" s="65"/>
      <c r="R176" s="169" t="n">
        <v>21.5500015258789</v>
      </c>
      <c r="S176" s="169" t="n">
        <v>26.5500015258789</v>
      </c>
      <c r="T176" s="169" t="n">
        <v>28.0575015258789</v>
      </c>
      <c r="U176" s="65"/>
      <c r="V176" s="169" t="n">
        <v>0</v>
      </c>
      <c r="W176" s="169" t="n">
        <v>0</v>
      </c>
      <c r="X176" s="169" t="n">
        <v>0</v>
      </c>
      <c r="Y176" s="65"/>
      <c r="Z176" s="169" t="n">
        <v>0.084235738665567</v>
      </c>
      <c r="AA176" s="169" t="n">
        <v>0.168471477331134</v>
      </c>
      <c r="AB176" s="169" t="n">
        <v>0.252707215996701</v>
      </c>
      <c r="AC176" s="65"/>
      <c r="AD176" s="169" t="n">
        <v>0.0230706716778031</v>
      </c>
      <c r="AE176" s="169" t="n">
        <v>0.0461413433556062</v>
      </c>
      <c r="AF176" s="169" t="n">
        <v>0.0692120150334094</v>
      </c>
      <c r="AG176" s="65"/>
      <c r="AH176" s="169" t="n">
        <v>-0.25</v>
      </c>
      <c r="AI176" s="169" t="n">
        <v>1.1</v>
      </c>
      <c r="AJ176" s="169" t="n">
        <v>0.3</v>
      </c>
      <c r="AK176" s="65"/>
      <c r="AL176" s="169" t="n">
        <v>-0.15</v>
      </c>
      <c r="AM176" s="169" t="n">
        <v>0.35</v>
      </c>
      <c r="AN176" s="169" t="n">
        <v>0.2</v>
      </c>
      <c r="AO176" s="65"/>
      <c r="AP176" s="134" t="n">
        <v>53</v>
      </c>
      <c r="AQ176" s="170" t="n">
        <v>0.4</v>
      </c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135" t="n">
        <v>41548</v>
      </c>
      <c r="BI176" s="172" t="n">
        <v>0.9</v>
      </c>
      <c r="BJ176" s="65"/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  <c r="CC176" s="65"/>
      <c r="CD176" s="65"/>
      <c r="CE176" s="65"/>
      <c r="CF176" s="65"/>
      <c r="CG176" s="65"/>
      <c r="CH176" s="0"/>
      <c r="CM176" s="206"/>
      <c r="CN176" s="206"/>
      <c r="CO176" s="173"/>
      <c r="CP176" s="0"/>
      <c r="CQ176" s="0"/>
      <c r="CR176" s="0"/>
      <c r="CS176" s="0"/>
      <c r="CT176" s="0"/>
      <c r="CY176" s="174" t="n">
        <f aca="false">M176</f>
        <v>41548</v>
      </c>
      <c r="CZ176" s="175" t="n">
        <f aca="false">AI176+AH176</f>
        <v>0.85</v>
      </c>
      <c r="DA176" s="175" t="n">
        <f aca="false">AI176</f>
        <v>1.1</v>
      </c>
      <c r="DB176" s="175" t="n">
        <f aca="false">AI176+AJ176</f>
        <v>1.4</v>
      </c>
      <c r="DD176" s="175" t="n">
        <f aca="false">Z176</f>
        <v>0.084235738665567</v>
      </c>
      <c r="DE176" s="175" t="n">
        <f aca="false">AA176</f>
        <v>0.168471477331134</v>
      </c>
      <c r="DF176" s="175" t="n">
        <f aca="false">AB176</f>
        <v>0.252707215996701</v>
      </c>
      <c r="DH176" s="174" t="n">
        <f aca="false">BH176</f>
        <v>41548</v>
      </c>
      <c r="DI176" s="128" t="n">
        <f aca="false">BI176</f>
        <v>0.9</v>
      </c>
    </row>
    <row r="177" customFormat="false" ht="12.75" hidden="false" customHeight="false" outlineLevel="0" collapsed="false">
      <c r="A177" s="138" t="n">
        <f aca="false">EOMONTH(A176,0)+1</f>
        <v>50922</v>
      </c>
      <c r="B177" s="128" t="n">
        <f aca="false">'Gas Curves'!C181</f>
        <v>0.061463855809319</v>
      </c>
      <c r="C177" s="128"/>
      <c r="D177" s="167" t="n">
        <v>40695</v>
      </c>
      <c r="E177" s="168" t="n">
        <v>46.93</v>
      </c>
      <c r="F177" s="168" t="n">
        <v>52</v>
      </c>
      <c r="G177" s="168" t="n">
        <v>57.87</v>
      </c>
      <c r="H177" s="152"/>
      <c r="I177" s="168" t="n">
        <v>22.2399996185303</v>
      </c>
      <c r="J177" s="168" t="n">
        <v>24.7749996185303</v>
      </c>
      <c r="K177" s="168" t="n">
        <v>27.1949996185303</v>
      </c>
      <c r="L177" s="134"/>
      <c r="M177" s="135" t="n">
        <v>41579</v>
      </c>
      <c r="N177" s="169" t="n">
        <v>30.5500015258789</v>
      </c>
      <c r="O177" s="169" t="n">
        <v>32.1250015258789</v>
      </c>
      <c r="P177" s="169" t="n">
        <v>33.6325015258789</v>
      </c>
      <c r="Q177" s="65"/>
      <c r="R177" s="169" t="n">
        <v>23.7500003814697</v>
      </c>
      <c r="S177" s="169" t="n">
        <v>28.7500003814697</v>
      </c>
      <c r="T177" s="169" t="n">
        <v>30.2575003814697</v>
      </c>
      <c r="U177" s="65"/>
      <c r="V177" s="169" t="n">
        <v>0</v>
      </c>
      <c r="W177" s="169" t="n">
        <v>0</v>
      </c>
      <c r="X177" s="169" t="n">
        <v>0</v>
      </c>
      <c r="Y177" s="65"/>
      <c r="Z177" s="169" t="n">
        <v>0.084235738665567</v>
      </c>
      <c r="AA177" s="169" t="n">
        <v>0.168471477331134</v>
      </c>
      <c r="AB177" s="169" t="n">
        <v>0.252707215996701</v>
      </c>
      <c r="AC177" s="65"/>
      <c r="AD177" s="169" t="n">
        <v>0.0230706716778031</v>
      </c>
      <c r="AE177" s="169" t="n">
        <v>0.0461413433556062</v>
      </c>
      <c r="AF177" s="169" t="n">
        <v>0.0692120150334094</v>
      </c>
      <c r="AG177" s="65"/>
      <c r="AH177" s="169" t="n">
        <v>-0.25</v>
      </c>
      <c r="AI177" s="169" t="n">
        <v>1.25</v>
      </c>
      <c r="AJ177" s="169" t="n">
        <v>0.3</v>
      </c>
      <c r="AK177" s="65"/>
      <c r="AL177" s="169" t="n">
        <v>-0.15</v>
      </c>
      <c r="AM177" s="169" t="n">
        <v>0.3</v>
      </c>
      <c r="AN177" s="169" t="n">
        <v>0.2</v>
      </c>
      <c r="AO177" s="65"/>
      <c r="AP177" s="134" t="n">
        <v>54</v>
      </c>
      <c r="AQ177" s="170" t="n">
        <v>0.4</v>
      </c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135" t="n">
        <v>41579</v>
      </c>
      <c r="BI177" s="172" t="n">
        <v>0.9</v>
      </c>
      <c r="BJ177" s="65"/>
      <c r="BK177" s="65"/>
      <c r="BL177" s="65"/>
      <c r="BM177" s="65"/>
      <c r="BN177" s="65"/>
      <c r="BO177" s="65"/>
      <c r="BP177" s="65"/>
      <c r="BQ177" s="65"/>
      <c r="BR177" s="65"/>
      <c r="BS177" s="65"/>
      <c r="BT177" s="65"/>
      <c r="BU177" s="65"/>
      <c r="BV177" s="65"/>
      <c r="BW177" s="65"/>
      <c r="BX177" s="65"/>
      <c r="BY177" s="65"/>
      <c r="BZ177" s="65"/>
      <c r="CA177" s="65"/>
      <c r="CB177" s="65"/>
      <c r="CC177" s="65"/>
      <c r="CD177" s="65"/>
      <c r="CE177" s="65"/>
      <c r="CF177" s="65"/>
      <c r="CG177" s="65"/>
      <c r="CH177" s="0"/>
      <c r="CM177" s="206"/>
      <c r="CN177" s="206"/>
      <c r="CO177" s="173"/>
      <c r="CP177" s="0"/>
      <c r="CQ177" s="0"/>
      <c r="CR177" s="0"/>
      <c r="CS177" s="0"/>
      <c r="CT177" s="0"/>
      <c r="CY177" s="174" t="n">
        <f aca="false">M177</f>
        <v>41579</v>
      </c>
      <c r="CZ177" s="175" t="n">
        <f aca="false">AI177+AH177</f>
        <v>1</v>
      </c>
      <c r="DA177" s="175" t="n">
        <f aca="false">AI177</f>
        <v>1.25</v>
      </c>
      <c r="DB177" s="175" t="n">
        <f aca="false">AI177+AJ177</f>
        <v>1.55</v>
      </c>
      <c r="DD177" s="175" t="n">
        <f aca="false">Z177</f>
        <v>0.084235738665567</v>
      </c>
      <c r="DE177" s="175" t="n">
        <f aca="false">AA177</f>
        <v>0.168471477331134</v>
      </c>
      <c r="DF177" s="175" t="n">
        <f aca="false">AB177</f>
        <v>0.252707215996701</v>
      </c>
      <c r="DH177" s="174" t="n">
        <f aca="false">BH177</f>
        <v>41579</v>
      </c>
      <c r="DI177" s="128" t="n">
        <f aca="false">BI177</f>
        <v>0.9</v>
      </c>
    </row>
    <row r="178" customFormat="false" ht="12.75" hidden="false" customHeight="false" outlineLevel="0" collapsed="false">
      <c r="A178" s="138" t="n">
        <f aca="false">EOMONTH(A177,0)+1</f>
        <v>50952</v>
      </c>
      <c r="B178" s="128" t="n">
        <f aca="false">'Gas Curves'!C182</f>
        <v>0.06148836139385</v>
      </c>
      <c r="C178" s="128"/>
      <c r="D178" s="167" t="n">
        <v>40725</v>
      </c>
      <c r="E178" s="168" t="n">
        <v>62.85</v>
      </c>
      <c r="F178" s="168" t="n">
        <v>72.75</v>
      </c>
      <c r="G178" s="168" t="n">
        <v>85.26</v>
      </c>
      <c r="H178" s="152"/>
      <c r="I178" s="168" t="n">
        <v>23.55</v>
      </c>
      <c r="J178" s="168" t="n">
        <v>28.5</v>
      </c>
      <c r="K178" s="168" t="n">
        <v>33.665</v>
      </c>
      <c r="L178" s="134"/>
      <c r="M178" s="135" t="n">
        <v>41609</v>
      </c>
      <c r="N178" s="169" t="n">
        <v>31.15</v>
      </c>
      <c r="O178" s="169" t="n">
        <v>32.725</v>
      </c>
      <c r="P178" s="169" t="n">
        <v>34.2325</v>
      </c>
      <c r="Q178" s="65"/>
      <c r="R178" s="169" t="n">
        <v>24.2500003814697</v>
      </c>
      <c r="S178" s="169" t="n">
        <v>29.2500003814697</v>
      </c>
      <c r="T178" s="169" t="n">
        <v>30.7575003814697</v>
      </c>
      <c r="U178" s="65"/>
      <c r="V178" s="169" t="n">
        <v>0</v>
      </c>
      <c r="W178" s="169" t="n">
        <v>0</v>
      </c>
      <c r="X178" s="169" t="n">
        <v>0</v>
      </c>
      <c r="Y178" s="65"/>
      <c r="Z178" s="169" t="n">
        <v>0.0825542233927747</v>
      </c>
      <c r="AA178" s="169" t="n">
        <v>0.165108446785549</v>
      </c>
      <c r="AB178" s="169" t="n">
        <v>0.247662670178324</v>
      </c>
      <c r="AC178" s="65"/>
      <c r="AD178" s="169" t="n">
        <v>0.0230706716778031</v>
      </c>
      <c r="AE178" s="169" t="n">
        <v>0.0461413433556062</v>
      </c>
      <c r="AF178" s="169" t="n">
        <v>0.0692120150334094</v>
      </c>
      <c r="AG178" s="65"/>
      <c r="AH178" s="169" t="n">
        <v>-0.25</v>
      </c>
      <c r="AI178" s="169" t="n">
        <v>1.25</v>
      </c>
      <c r="AJ178" s="169" t="n">
        <v>0.35</v>
      </c>
      <c r="AK178" s="65"/>
      <c r="AL178" s="169" t="n">
        <v>-0.15</v>
      </c>
      <c r="AM178" s="169" t="n">
        <v>0.3</v>
      </c>
      <c r="AN178" s="169" t="n">
        <v>0.2</v>
      </c>
      <c r="AO178" s="65"/>
      <c r="AP178" s="134" t="n">
        <v>54</v>
      </c>
      <c r="AQ178" s="170" t="n">
        <v>0.4</v>
      </c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135" t="n">
        <v>41609</v>
      </c>
      <c r="BI178" s="172" t="n">
        <v>0.9</v>
      </c>
      <c r="BJ178" s="65"/>
      <c r="BK178" s="65"/>
      <c r="BL178" s="65"/>
      <c r="BM178" s="65"/>
      <c r="BN178" s="65"/>
      <c r="BO178" s="65"/>
      <c r="BP178" s="65"/>
      <c r="BQ178" s="65"/>
      <c r="BR178" s="65"/>
      <c r="BS178" s="65"/>
      <c r="BT178" s="65"/>
      <c r="BU178" s="65"/>
      <c r="BV178" s="65"/>
      <c r="BW178" s="65"/>
      <c r="BX178" s="65"/>
      <c r="BY178" s="65"/>
      <c r="BZ178" s="65"/>
      <c r="CA178" s="65"/>
      <c r="CB178" s="65"/>
      <c r="CC178" s="65"/>
      <c r="CD178" s="65"/>
      <c r="CE178" s="65"/>
      <c r="CF178" s="65"/>
      <c r="CG178" s="65"/>
      <c r="CH178" s="0"/>
      <c r="CM178" s="206"/>
      <c r="CN178" s="206"/>
      <c r="CO178" s="173"/>
      <c r="CP178" s="0"/>
      <c r="CQ178" s="0"/>
      <c r="CR178" s="0"/>
      <c r="CS178" s="0"/>
      <c r="CT178" s="0"/>
      <c r="CY178" s="174" t="n">
        <f aca="false">M178</f>
        <v>41609</v>
      </c>
      <c r="CZ178" s="175" t="n">
        <f aca="false">AI178+AH178</f>
        <v>1</v>
      </c>
      <c r="DA178" s="175" t="n">
        <f aca="false">AI178</f>
        <v>1.25</v>
      </c>
      <c r="DB178" s="175" t="n">
        <f aca="false">AI178+AJ178</f>
        <v>1.6</v>
      </c>
      <c r="DD178" s="175" t="n">
        <f aca="false">Z178</f>
        <v>0.0825542233927747</v>
      </c>
      <c r="DE178" s="175" t="n">
        <f aca="false">AA178</f>
        <v>0.165108446785549</v>
      </c>
      <c r="DF178" s="175" t="n">
        <f aca="false">AB178</f>
        <v>0.247662670178324</v>
      </c>
      <c r="DH178" s="174" t="n">
        <f aca="false">BH178</f>
        <v>41609</v>
      </c>
      <c r="DI178" s="128" t="n">
        <f aca="false">BI178</f>
        <v>0.9</v>
      </c>
    </row>
    <row r="179" customFormat="false" ht="12.75" hidden="false" customHeight="false" outlineLevel="0" collapsed="false">
      <c r="A179" s="138" t="n">
        <f aca="false">EOMONTH(A178,0)+1</f>
        <v>50983</v>
      </c>
      <c r="B179" s="128" t="n">
        <f aca="false">'Gas Curves'!C183</f>
        <v>0.061512076475844</v>
      </c>
      <c r="C179" s="128"/>
      <c r="D179" s="167" t="n">
        <v>40756</v>
      </c>
      <c r="E179" s="168" t="n">
        <v>62.85</v>
      </c>
      <c r="F179" s="168" t="n">
        <v>72.75</v>
      </c>
      <c r="G179" s="168" t="n">
        <v>85.26</v>
      </c>
      <c r="H179" s="152"/>
      <c r="I179" s="168" t="n">
        <v>35.7000015258789</v>
      </c>
      <c r="J179" s="168" t="n">
        <v>40.6500015258789</v>
      </c>
      <c r="K179" s="168" t="n">
        <v>45.8150015258789</v>
      </c>
      <c r="L179" s="134"/>
      <c r="M179" s="135" t="n">
        <v>41640</v>
      </c>
      <c r="N179" s="169" t="n">
        <v>33.7294960021973</v>
      </c>
      <c r="O179" s="169" t="n">
        <v>35.3044960021973</v>
      </c>
      <c r="P179" s="169" t="n">
        <v>36.5644960021973</v>
      </c>
      <c r="Q179" s="65"/>
      <c r="R179" s="169" t="n">
        <v>26.4039974212647</v>
      </c>
      <c r="S179" s="169" t="n">
        <v>31.4039974212647</v>
      </c>
      <c r="T179" s="169" t="n">
        <v>32.6639974212647</v>
      </c>
      <c r="U179" s="65"/>
      <c r="V179" s="169" t="n">
        <v>0</v>
      </c>
      <c r="W179" s="169" t="n">
        <v>0</v>
      </c>
      <c r="X179" s="169" t="n">
        <v>0</v>
      </c>
      <c r="Y179" s="65"/>
      <c r="Z179" s="169" t="n">
        <v>0.121824181763541</v>
      </c>
      <c r="AA179" s="169" t="n">
        <v>0.243648363527083</v>
      </c>
      <c r="AB179" s="169" t="n">
        <v>0.365472545290624</v>
      </c>
      <c r="AC179" s="65"/>
      <c r="AD179" s="169" t="n">
        <v>0.0263774679516216</v>
      </c>
      <c r="AE179" s="169" t="n">
        <v>0.0527549359032431</v>
      </c>
      <c r="AF179" s="169" t="n">
        <v>0.0791324038548647</v>
      </c>
      <c r="AG179" s="65"/>
      <c r="AH179" s="169" t="n">
        <v>-0.75</v>
      </c>
      <c r="AI179" s="169" t="n">
        <v>2</v>
      </c>
      <c r="AJ179" s="169" t="n">
        <v>0.75</v>
      </c>
      <c r="AK179" s="65"/>
      <c r="AL179" s="169" t="n">
        <v>-0.15</v>
      </c>
      <c r="AM179" s="169" t="n">
        <v>0.5</v>
      </c>
      <c r="AN179" s="169" t="n">
        <v>0.2</v>
      </c>
      <c r="AO179" s="65"/>
      <c r="AP179" s="134" t="n">
        <v>54</v>
      </c>
      <c r="AQ179" s="170" t="n">
        <v>0.4</v>
      </c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135" t="n">
        <v>41640</v>
      </c>
      <c r="BI179" s="172" t="n">
        <v>0.9</v>
      </c>
      <c r="BJ179" s="65"/>
      <c r="BK179" s="65"/>
      <c r="BL179" s="65"/>
      <c r="BM179" s="65"/>
      <c r="BN179" s="65"/>
      <c r="BO179" s="65"/>
      <c r="BP179" s="65"/>
      <c r="BQ179" s="65"/>
      <c r="BR179" s="65"/>
      <c r="BS179" s="65"/>
      <c r="BT179" s="65"/>
      <c r="BU179" s="65"/>
      <c r="BV179" s="65"/>
      <c r="BW179" s="65"/>
      <c r="BX179" s="65"/>
      <c r="BY179" s="65"/>
      <c r="BZ179" s="65"/>
      <c r="CA179" s="65"/>
      <c r="CB179" s="65"/>
      <c r="CC179" s="65"/>
      <c r="CD179" s="65"/>
      <c r="CE179" s="65"/>
      <c r="CF179" s="65"/>
      <c r="CG179" s="65"/>
      <c r="CH179" s="0"/>
      <c r="CM179" s="206"/>
      <c r="CN179" s="206"/>
      <c r="CO179" s="173"/>
      <c r="CP179" s="0"/>
      <c r="CQ179" s="0"/>
      <c r="CR179" s="0"/>
      <c r="CS179" s="0"/>
      <c r="CT179" s="0"/>
      <c r="CY179" s="174" t="n">
        <f aca="false">M179</f>
        <v>41640</v>
      </c>
      <c r="CZ179" s="175" t="n">
        <f aca="false">AI179+AH179</f>
        <v>1.25</v>
      </c>
      <c r="DA179" s="175" t="n">
        <f aca="false">AI179</f>
        <v>2</v>
      </c>
      <c r="DB179" s="175" t="n">
        <f aca="false">AI179+AJ179</f>
        <v>2.75</v>
      </c>
      <c r="DD179" s="175" t="n">
        <f aca="false">Z179</f>
        <v>0.121824181763541</v>
      </c>
      <c r="DE179" s="175" t="n">
        <f aca="false">AA179</f>
        <v>0.243648363527083</v>
      </c>
      <c r="DF179" s="175" t="n">
        <f aca="false">AB179</f>
        <v>0.365472545290624</v>
      </c>
      <c r="DH179" s="174" t="n">
        <f aca="false">BH179</f>
        <v>41640</v>
      </c>
      <c r="DI179" s="128" t="n">
        <f aca="false">BI179</f>
        <v>0.9</v>
      </c>
    </row>
    <row r="180" customFormat="false" ht="12.75" hidden="false" customHeight="false" outlineLevel="0" collapsed="false">
      <c r="A180" s="138" t="n">
        <f aca="false">EOMONTH(A179,0)+1</f>
        <v>51014</v>
      </c>
      <c r="B180" s="128" t="n">
        <f aca="false">'Gas Curves'!C184</f>
        <v>0.061536582060768</v>
      </c>
      <c r="C180" s="128"/>
      <c r="D180" s="167" t="n">
        <v>40787</v>
      </c>
      <c r="E180" s="168" t="n">
        <v>34.13</v>
      </c>
      <c r="F180" s="168" t="n">
        <v>39.2</v>
      </c>
      <c r="G180" s="168" t="n">
        <v>43.05</v>
      </c>
      <c r="H180" s="152"/>
      <c r="I180" s="168" t="n">
        <v>26.6149996185303</v>
      </c>
      <c r="J180" s="168" t="n">
        <v>29.1499996185303</v>
      </c>
      <c r="K180" s="168" t="n">
        <v>30.7399996185303</v>
      </c>
      <c r="L180" s="134"/>
      <c r="M180" s="135" t="n">
        <v>41671</v>
      </c>
      <c r="N180" s="169" t="n">
        <v>33.3919967651367</v>
      </c>
      <c r="O180" s="169" t="n">
        <v>34.6294967651367</v>
      </c>
      <c r="P180" s="169" t="n">
        <v>35.8894967651367</v>
      </c>
      <c r="Q180" s="65"/>
      <c r="R180" s="169" t="n">
        <v>25.8039970397949</v>
      </c>
      <c r="S180" s="169" t="n">
        <v>30.8039970397949</v>
      </c>
      <c r="T180" s="169" t="n">
        <v>32.0639970397949</v>
      </c>
      <c r="U180" s="65"/>
      <c r="V180" s="169" t="n">
        <v>0</v>
      </c>
      <c r="W180" s="169" t="n">
        <v>0</v>
      </c>
      <c r="X180" s="169" t="n">
        <v>0</v>
      </c>
      <c r="Y180" s="65"/>
      <c r="Z180" s="169" t="n">
        <v>0.117690427092922</v>
      </c>
      <c r="AA180" s="169" t="n">
        <v>0.235380854185845</v>
      </c>
      <c r="AB180" s="169" t="n">
        <v>0.353071281278767</v>
      </c>
      <c r="AC180" s="65"/>
      <c r="AD180" s="169" t="n">
        <v>0.0263774679516216</v>
      </c>
      <c r="AE180" s="169" t="n">
        <v>0.0527549359032431</v>
      </c>
      <c r="AF180" s="169" t="n">
        <v>0.0791324038548647</v>
      </c>
      <c r="AG180" s="65"/>
      <c r="AH180" s="169" t="n">
        <v>-0.75</v>
      </c>
      <c r="AI180" s="169" t="n">
        <v>2</v>
      </c>
      <c r="AJ180" s="169" t="n">
        <v>0.75</v>
      </c>
      <c r="AK180" s="65"/>
      <c r="AL180" s="169" t="n">
        <v>-0.15</v>
      </c>
      <c r="AM180" s="169" t="n">
        <v>0.5</v>
      </c>
      <c r="AN180" s="169" t="n">
        <v>0.2</v>
      </c>
      <c r="AO180" s="65"/>
      <c r="AP180" s="134" t="n">
        <v>55</v>
      </c>
      <c r="AQ180" s="170" t="n">
        <v>0.4</v>
      </c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135" t="n">
        <v>41671</v>
      </c>
      <c r="BI180" s="172" t="n">
        <v>0.9</v>
      </c>
      <c r="BJ180" s="65"/>
      <c r="BK180" s="65"/>
      <c r="BL180" s="65"/>
      <c r="BM180" s="65"/>
      <c r="BN180" s="65"/>
      <c r="BO180" s="65"/>
      <c r="BP180" s="65"/>
      <c r="BQ180" s="65"/>
      <c r="BR180" s="65"/>
      <c r="BS180" s="65"/>
      <c r="BT180" s="65"/>
      <c r="BU180" s="65"/>
      <c r="BV180" s="65"/>
      <c r="BW180" s="65"/>
      <c r="BX180" s="65"/>
      <c r="BY180" s="65"/>
      <c r="BZ180" s="65"/>
      <c r="CA180" s="65"/>
      <c r="CB180" s="65"/>
      <c r="CC180" s="65"/>
      <c r="CD180" s="65"/>
      <c r="CE180" s="65"/>
      <c r="CF180" s="65"/>
      <c r="CG180" s="65"/>
      <c r="CH180" s="0"/>
      <c r="CM180" s="206"/>
      <c r="CN180" s="206"/>
      <c r="CO180" s="173"/>
      <c r="CP180" s="0"/>
      <c r="CQ180" s="0"/>
      <c r="CR180" s="0"/>
      <c r="CS180" s="0"/>
      <c r="CT180" s="0"/>
      <c r="CY180" s="174" t="n">
        <f aca="false">M180</f>
        <v>41671</v>
      </c>
      <c r="CZ180" s="175" t="n">
        <f aca="false">AI180+AH180</f>
        <v>1.25</v>
      </c>
      <c r="DA180" s="175" t="n">
        <f aca="false">AI180</f>
        <v>2</v>
      </c>
      <c r="DB180" s="175" t="n">
        <f aca="false">AI180+AJ180</f>
        <v>2.75</v>
      </c>
      <c r="DD180" s="175" t="n">
        <f aca="false">Z180</f>
        <v>0.117690427092922</v>
      </c>
      <c r="DE180" s="175" t="n">
        <f aca="false">AA180</f>
        <v>0.235380854185845</v>
      </c>
      <c r="DF180" s="175" t="n">
        <f aca="false">AB180</f>
        <v>0.353071281278767</v>
      </c>
      <c r="DH180" s="174" t="n">
        <f aca="false">BH180</f>
        <v>41671</v>
      </c>
      <c r="DI180" s="128" t="n">
        <f aca="false">BI180</f>
        <v>0.9</v>
      </c>
    </row>
    <row r="181" customFormat="false" ht="12.75" hidden="false" customHeight="false" outlineLevel="0" collapsed="false">
      <c r="A181" s="138" t="n">
        <f aca="false">EOMONTH(A180,0)+1</f>
        <v>51044</v>
      </c>
      <c r="B181" s="128" t="n">
        <f aca="false">'Gas Curves'!C185</f>
        <v>0.061561087645891</v>
      </c>
      <c r="C181" s="128"/>
      <c r="D181" s="167" t="n">
        <v>40817</v>
      </c>
      <c r="E181" s="168" t="n">
        <v>36.57</v>
      </c>
      <c r="F181" s="168" t="n">
        <v>39.2</v>
      </c>
      <c r="G181" s="168" t="n">
        <v>41.65</v>
      </c>
      <c r="H181" s="152"/>
      <c r="I181" s="168" t="n">
        <v>25.8349996185303</v>
      </c>
      <c r="J181" s="168" t="n">
        <v>27.1499996185303</v>
      </c>
      <c r="K181" s="168" t="n">
        <v>28.1549996185303</v>
      </c>
      <c r="L181" s="134"/>
      <c r="M181" s="135" t="n">
        <v>41699</v>
      </c>
      <c r="N181" s="169" t="n">
        <v>27.5374969482422</v>
      </c>
      <c r="O181" s="169" t="n">
        <v>28.7749969482422</v>
      </c>
      <c r="P181" s="169" t="n">
        <v>30.0349969482422</v>
      </c>
      <c r="Q181" s="65"/>
      <c r="R181" s="169" t="n">
        <v>20.5999984741211</v>
      </c>
      <c r="S181" s="169" t="n">
        <v>25.5999984741211</v>
      </c>
      <c r="T181" s="169" t="n">
        <v>26.8599984741211</v>
      </c>
      <c r="U181" s="65"/>
      <c r="V181" s="169" t="n">
        <v>0</v>
      </c>
      <c r="W181" s="169" t="n">
        <v>0</v>
      </c>
      <c r="X181" s="169" t="n">
        <v>0</v>
      </c>
      <c r="Y181" s="65"/>
      <c r="Z181" s="169" t="n">
        <v>0.09329992363605</v>
      </c>
      <c r="AA181" s="169" t="n">
        <v>0.1865998472721</v>
      </c>
      <c r="AB181" s="169" t="n">
        <v>0.27989977090815</v>
      </c>
      <c r="AC181" s="65"/>
      <c r="AD181" s="169" t="n">
        <v>0.0230706716778031</v>
      </c>
      <c r="AE181" s="169" t="n">
        <v>0.0461413433556062</v>
      </c>
      <c r="AF181" s="169" t="n">
        <v>0.0692120150334094</v>
      </c>
      <c r="AG181" s="65"/>
      <c r="AH181" s="169" t="n">
        <v>-0.25</v>
      </c>
      <c r="AI181" s="169" t="n">
        <v>1.3</v>
      </c>
      <c r="AJ181" s="169" t="n">
        <v>0.3</v>
      </c>
      <c r="AK181" s="65"/>
      <c r="AL181" s="169" t="n">
        <v>-0.15</v>
      </c>
      <c r="AM181" s="169" t="n">
        <v>0.35</v>
      </c>
      <c r="AN181" s="169" t="n">
        <v>0.2</v>
      </c>
      <c r="AO181" s="65"/>
      <c r="AP181" s="134" t="n">
        <v>55</v>
      </c>
      <c r="AQ181" s="170" t="n">
        <v>0.4</v>
      </c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135" t="n">
        <v>41699</v>
      </c>
      <c r="BI181" s="172" t="n">
        <v>0.9</v>
      </c>
      <c r="BJ181" s="65"/>
      <c r="BK181" s="65"/>
      <c r="BL181" s="65"/>
      <c r="BM181" s="65"/>
      <c r="BN181" s="65"/>
      <c r="BO181" s="65"/>
      <c r="BP181" s="65"/>
      <c r="BQ181" s="65"/>
      <c r="BR181" s="65"/>
      <c r="BS181" s="65"/>
      <c r="BT181" s="65"/>
      <c r="BU181" s="65"/>
      <c r="BV181" s="65"/>
      <c r="BW181" s="65"/>
      <c r="BX181" s="65"/>
      <c r="BY181" s="65"/>
      <c r="BZ181" s="65"/>
      <c r="CA181" s="65"/>
      <c r="CB181" s="65"/>
      <c r="CC181" s="65"/>
      <c r="CD181" s="65"/>
      <c r="CE181" s="65"/>
      <c r="CF181" s="65"/>
      <c r="CG181" s="65"/>
      <c r="CH181" s="0"/>
      <c r="CM181" s="206"/>
      <c r="CN181" s="206"/>
      <c r="CO181" s="173"/>
      <c r="CP181" s="0"/>
      <c r="CQ181" s="0"/>
      <c r="CR181" s="0"/>
      <c r="CS181" s="0"/>
      <c r="CT181" s="0"/>
      <c r="CY181" s="174" t="n">
        <f aca="false">M181</f>
        <v>41699</v>
      </c>
      <c r="CZ181" s="175" t="n">
        <f aca="false">AI181+AH181</f>
        <v>1.05</v>
      </c>
      <c r="DA181" s="175" t="n">
        <f aca="false">AI181</f>
        <v>1.3</v>
      </c>
      <c r="DB181" s="175" t="n">
        <f aca="false">AI181+AJ181</f>
        <v>1.6</v>
      </c>
      <c r="DD181" s="175" t="n">
        <f aca="false">Z181</f>
        <v>0.09329992363605</v>
      </c>
      <c r="DE181" s="175" t="n">
        <f aca="false">AA181</f>
        <v>0.1865998472721</v>
      </c>
      <c r="DF181" s="175" t="n">
        <f aca="false">AB181</f>
        <v>0.27989977090815</v>
      </c>
      <c r="DH181" s="174" t="n">
        <f aca="false">BH181</f>
        <v>41699</v>
      </c>
      <c r="DI181" s="128" t="n">
        <f aca="false">BI181</f>
        <v>0.9</v>
      </c>
    </row>
    <row r="182" customFormat="false" ht="12.75" hidden="false" customHeight="false" outlineLevel="0" collapsed="false">
      <c r="A182" s="138" t="n">
        <f aca="false">EOMONTH(A181,0)+1</f>
        <v>51075</v>
      </c>
      <c r="B182" s="128" t="n">
        <f aca="false">'Gas Curves'!C186</f>
        <v>0.061583221722948</v>
      </c>
      <c r="C182" s="128"/>
      <c r="D182" s="167" t="n">
        <v>40848</v>
      </c>
      <c r="E182" s="168" t="n">
        <v>39.07</v>
      </c>
      <c r="F182" s="168" t="n">
        <v>41.7</v>
      </c>
      <c r="G182" s="168" t="n">
        <v>44.15</v>
      </c>
      <c r="H182" s="152"/>
      <c r="I182" s="168" t="n">
        <v>26.5849996185303</v>
      </c>
      <c r="J182" s="168" t="n">
        <v>27.8999996185303</v>
      </c>
      <c r="K182" s="168" t="n">
        <v>28.9049996185303</v>
      </c>
      <c r="L182" s="134"/>
      <c r="M182" s="135" t="n">
        <v>41730</v>
      </c>
      <c r="N182" s="169" t="n">
        <v>26.5249996185303</v>
      </c>
      <c r="O182" s="169" t="n">
        <v>28.0999996185303</v>
      </c>
      <c r="P182" s="169" t="n">
        <v>29.3599996185303</v>
      </c>
      <c r="Q182" s="65"/>
      <c r="R182" s="169" t="n">
        <v>20</v>
      </c>
      <c r="S182" s="169" t="n">
        <v>25</v>
      </c>
      <c r="T182" s="169" t="n">
        <v>26.26</v>
      </c>
      <c r="U182" s="65"/>
      <c r="V182" s="169" t="n">
        <v>0</v>
      </c>
      <c r="W182" s="169" t="n">
        <v>0</v>
      </c>
      <c r="X182" s="169" t="n">
        <v>0</v>
      </c>
      <c r="Y182" s="65"/>
      <c r="Z182" s="169" t="n">
        <v>0.0931715881152302</v>
      </c>
      <c r="AA182" s="169" t="n">
        <v>0.18634317623046</v>
      </c>
      <c r="AB182" s="169" t="n">
        <v>0.27951476434569</v>
      </c>
      <c r="AC182" s="65"/>
      <c r="AD182" s="169" t="n">
        <v>0.0230706716778031</v>
      </c>
      <c r="AE182" s="169" t="n">
        <v>0.0461413433556062</v>
      </c>
      <c r="AF182" s="169" t="n">
        <v>0.0692120150334094</v>
      </c>
      <c r="AG182" s="65"/>
      <c r="AH182" s="169" t="n">
        <v>-0.25</v>
      </c>
      <c r="AI182" s="169" t="n">
        <v>1.1</v>
      </c>
      <c r="AJ182" s="169" t="n">
        <v>0.3</v>
      </c>
      <c r="AK182" s="65"/>
      <c r="AL182" s="169" t="n">
        <v>-0.15</v>
      </c>
      <c r="AM182" s="169" t="n">
        <v>0.35</v>
      </c>
      <c r="AN182" s="169" t="n">
        <v>0.2</v>
      </c>
      <c r="AO182" s="65"/>
      <c r="AP182" s="134" t="n">
        <v>55</v>
      </c>
      <c r="AQ182" s="170" t="n">
        <v>0.4</v>
      </c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135" t="n">
        <v>41730</v>
      </c>
      <c r="BI182" s="172" t="n">
        <v>0.9</v>
      </c>
      <c r="BJ182" s="65"/>
      <c r="BK182" s="65"/>
      <c r="BL182" s="65"/>
      <c r="BM182" s="65"/>
      <c r="BN182" s="65"/>
      <c r="BO182" s="65"/>
      <c r="BP182" s="65"/>
      <c r="BQ182" s="65"/>
      <c r="BR182" s="65"/>
      <c r="BS182" s="65"/>
      <c r="BT182" s="65"/>
      <c r="BU182" s="65"/>
      <c r="BV182" s="65"/>
      <c r="BW182" s="65"/>
      <c r="BX182" s="65"/>
      <c r="BY182" s="65"/>
      <c r="BZ182" s="65"/>
      <c r="CA182" s="65"/>
      <c r="CB182" s="65"/>
      <c r="CC182" s="65"/>
      <c r="CD182" s="65"/>
      <c r="CE182" s="65"/>
      <c r="CF182" s="65"/>
      <c r="CG182" s="65"/>
      <c r="CH182" s="0"/>
      <c r="CM182" s="206"/>
      <c r="CN182" s="206"/>
      <c r="CO182" s="173"/>
      <c r="CP182" s="0"/>
      <c r="CQ182" s="0"/>
      <c r="CR182" s="0"/>
      <c r="CS182" s="0"/>
      <c r="CT182" s="0"/>
      <c r="CY182" s="174" t="n">
        <f aca="false">M182</f>
        <v>41730</v>
      </c>
      <c r="CZ182" s="175" t="n">
        <f aca="false">AI182+AH182</f>
        <v>0.85</v>
      </c>
      <c r="DA182" s="175" t="n">
        <f aca="false">AI182</f>
        <v>1.1</v>
      </c>
      <c r="DB182" s="175" t="n">
        <f aca="false">AI182+AJ182</f>
        <v>1.4</v>
      </c>
      <c r="DD182" s="175" t="n">
        <f aca="false">Z182</f>
        <v>0.0931715881152302</v>
      </c>
      <c r="DE182" s="175" t="n">
        <f aca="false">AA182</f>
        <v>0.18634317623046</v>
      </c>
      <c r="DF182" s="175" t="n">
        <f aca="false">AB182</f>
        <v>0.27951476434569</v>
      </c>
      <c r="DH182" s="174" t="n">
        <f aca="false">BH182</f>
        <v>41730</v>
      </c>
      <c r="DI182" s="128" t="n">
        <f aca="false">BI182</f>
        <v>0.9</v>
      </c>
    </row>
    <row r="183" customFormat="false" ht="12.75" hidden="false" customHeight="false" outlineLevel="0" collapsed="false">
      <c r="A183" s="138" t="n">
        <f aca="false">EOMONTH(A182,0)+1</f>
        <v>51105</v>
      </c>
      <c r="B183" s="128" t="n">
        <f aca="false">'Gas Curves'!C187</f>
        <v>0.061607727308451</v>
      </c>
      <c r="C183" s="128"/>
      <c r="D183" s="167" t="n">
        <v>40878</v>
      </c>
      <c r="E183" s="168" t="n">
        <v>39.07</v>
      </c>
      <c r="F183" s="168" t="n">
        <v>41.7</v>
      </c>
      <c r="G183" s="168" t="n">
        <v>44.15</v>
      </c>
      <c r="H183" s="152"/>
      <c r="I183" s="168" t="n">
        <v>26.4849992370605</v>
      </c>
      <c r="J183" s="168" t="n">
        <v>27.7999992370605</v>
      </c>
      <c r="K183" s="168" t="n">
        <v>28.8049992370605</v>
      </c>
      <c r="L183" s="134"/>
      <c r="M183" s="135" t="n">
        <v>41760</v>
      </c>
      <c r="N183" s="169" t="n">
        <v>30.125</v>
      </c>
      <c r="O183" s="169" t="n">
        <v>31.7</v>
      </c>
      <c r="P183" s="169" t="n">
        <v>34.085</v>
      </c>
      <c r="Q183" s="65"/>
      <c r="R183" s="169" t="n">
        <v>23.1999988555908</v>
      </c>
      <c r="S183" s="169" t="n">
        <v>28.1999988555908</v>
      </c>
      <c r="T183" s="169" t="n">
        <v>30.5849988555908</v>
      </c>
      <c r="U183" s="65"/>
      <c r="V183" s="169" t="n">
        <v>0</v>
      </c>
      <c r="W183" s="169" t="n">
        <v>0</v>
      </c>
      <c r="X183" s="169" t="n">
        <v>0</v>
      </c>
      <c r="Y183" s="65"/>
      <c r="Z183" s="169" t="n">
        <v>0.098018618101564</v>
      </c>
      <c r="AA183" s="169" t="n">
        <v>0.196037236203128</v>
      </c>
      <c r="AB183" s="169" t="n">
        <v>0.294055854304692</v>
      </c>
      <c r="AC183" s="65"/>
      <c r="AD183" s="169" t="n">
        <v>0.0263774679516216</v>
      </c>
      <c r="AE183" s="169" t="n">
        <v>0.0527549359032431</v>
      </c>
      <c r="AF183" s="169" t="n">
        <v>0.0791324038548647</v>
      </c>
      <c r="AG183" s="65"/>
      <c r="AH183" s="169" t="n">
        <v>-0.25</v>
      </c>
      <c r="AI183" s="169" t="n">
        <v>1.1</v>
      </c>
      <c r="AJ183" s="169" t="n">
        <v>0.3</v>
      </c>
      <c r="AK183" s="65"/>
      <c r="AL183" s="169" t="n">
        <v>-0.15</v>
      </c>
      <c r="AM183" s="169" t="n">
        <v>0.5</v>
      </c>
      <c r="AN183" s="169" t="n">
        <v>0.2</v>
      </c>
      <c r="AO183" s="65"/>
      <c r="AP183" s="134" t="n">
        <v>56</v>
      </c>
      <c r="AQ183" s="170" t="n">
        <v>0.4</v>
      </c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  <c r="BG183" s="65"/>
      <c r="BH183" s="135" t="n">
        <v>41760</v>
      </c>
      <c r="BI183" s="172" t="n">
        <v>0.9</v>
      </c>
      <c r="BJ183" s="65"/>
      <c r="BK183" s="65"/>
      <c r="BL183" s="65"/>
      <c r="BM183" s="65"/>
      <c r="BN183" s="65"/>
      <c r="BO183" s="65"/>
      <c r="BP183" s="65"/>
      <c r="BQ183" s="65"/>
      <c r="BR183" s="65"/>
      <c r="BS183" s="65"/>
      <c r="BT183" s="65"/>
      <c r="BU183" s="65"/>
      <c r="BV183" s="65"/>
      <c r="BW183" s="65"/>
      <c r="BX183" s="65"/>
      <c r="BY183" s="65"/>
      <c r="BZ183" s="65"/>
      <c r="CA183" s="65"/>
      <c r="CB183" s="65"/>
      <c r="CC183" s="65"/>
      <c r="CD183" s="65"/>
      <c r="CE183" s="65"/>
      <c r="CF183" s="65"/>
      <c r="CG183" s="65"/>
      <c r="CH183" s="0"/>
      <c r="CM183" s="206"/>
      <c r="CN183" s="206"/>
      <c r="CO183" s="173"/>
      <c r="CP183" s="0"/>
      <c r="CQ183" s="0"/>
      <c r="CR183" s="0"/>
      <c r="CS183" s="0"/>
      <c r="CT183" s="0"/>
      <c r="CY183" s="174" t="n">
        <f aca="false">M183</f>
        <v>41760</v>
      </c>
      <c r="CZ183" s="175" t="n">
        <f aca="false">AI183+AH183</f>
        <v>0.85</v>
      </c>
      <c r="DA183" s="175" t="n">
        <f aca="false">AI183</f>
        <v>1.1</v>
      </c>
      <c r="DB183" s="175" t="n">
        <f aca="false">AI183+AJ183</f>
        <v>1.4</v>
      </c>
      <c r="DD183" s="175" t="n">
        <f aca="false">Z183</f>
        <v>0.098018618101564</v>
      </c>
      <c r="DE183" s="175" t="n">
        <f aca="false">AA183</f>
        <v>0.196037236203128</v>
      </c>
      <c r="DF183" s="175" t="n">
        <f aca="false">AB183</f>
        <v>0.294055854304692</v>
      </c>
      <c r="DH183" s="174" t="n">
        <f aca="false">BH183</f>
        <v>41760</v>
      </c>
      <c r="DI183" s="128" t="n">
        <f aca="false">BI183</f>
        <v>0.9</v>
      </c>
    </row>
    <row r="184" customFormat="false" ht="12.75" hidden="false" customHeight="false" outlineLevel="0" collapsed="false">
      <c r="A184" s="138" t="n">
        <f aca="false">EOMONTH(A183,0)+1</f>
        <v>51136</v>
      </c>
      <c r="B184" s="128" t="n">
        <f aca="false">'Gas Curves'!C188</f>
        <v>0.061631442391386</v>
      </c>
      <c r="C184" s="128"/>
      <c r="D184" s="167" t="n">
        <v>40909</v>
      </c>
      <c r="E184" s="168" t="n">
        <v>55.17</v>
      </c>
      <c r="F184" s="168" t="n">
        <v>57.8</v>
      </c>
      <c r="G184" s="168" t="n">
        <v>59.84</v>
      </c>
      <c r="H184" s="152"/>
      <c r="I184" s="168" t="n">
        <v>27.5350003814697</v>
      </c>
      <c r="J184" s="168" t="n">
        <v>28.8500003814697</v>
      </c>
      <c r="K184" s="168" t="n">
        <v>29.6900003814697</v>
      </c>
      <c r="L184" s="134"/>
      <c r="M184" s="135" t="n">
        <v>41791</v>
      </c>
      <c r="N184" s="169" t="n">
        <v>35.4625030517578</v>
      </c>
      <c r="O184" s="169" t="n">
        <v>38.5000030517578</v>
      </c>
      <c r="P184" s="169" t="n">
        <v>42.1300030517578</v>
      </c>
      <c r="Q184" s="65"/>
      <c r="R184" s="169" t="n">
        <v>28.7000026702881</v>
      </c>
      <c r="S184" s="169" t="n">
        <v>33.7000026702881</v>
      </c>
      <c r="T184" s="169" t="n">
        <v>37.3300026702881</v>
      </c>
      <c r="U184" s="65"/>
      <c r="V184" s="169" t="n">
        <v>0</v>
      </c>
      <c r="W184" s="169" t="n">
        <v>0</v>
      </c>
      <c r="X184" s="169" t="n">
        <v>0</v>
      </c>
      <c r="Y184" s="65"/>
      <c r="Z184" s="169" t="n">
        <v>0.104824453405675</v>
      </c>
      <c r="AA184" s="169" t="n">
        <v>0.20964890681135</v>
      </c>
      <c r="AB184" s="169" t="n">
        <v>0.314473360217025</v>
      </c>
      <c r="AC184" s="65"/>
      <c r="AD184" s="169" t="n">
        <v>0.0339138873663706</v>
      </c>
      <c r="AE184" s="169" t="n">
        <v>0.0678277747327412</v>
      </c>
      <c r="AF184" s="169" t="n">
        <v>0.101741662099112</v>
      </c>
      <c r="AG184" s="65"/>
      <c r="AH184" s="169" t="n">
        <v>-0.35</v>
      </c>
      <c r="AI184" s="169" t="n">
        <v>2</v>
      </c>
      <c r="AJ184" s="169" t="n">
        <v>0.3</v>
      </c>
      <c r="AK184" s="65"/>
      <c r="AL184" s="169" t="n">
        <v>-0.15</v>
      </c>
      <c r="AM184" s="169" t="n">
        <v>0.65</v>
      </c>
      <c r="AN184" s="169" t="n">
        <v>0.2</v>
      </c>
      <c r="AO184" s="65"/>
      <c r="AP184" s="134" t="n">
        <v>56</v>
      </c>
      <c r="AQ184" s="170" t="n">
        <v>0.4</v>
      </c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/>
      <c r="BH184" s="135" t="n">
        <v>41791</v>
      </c>
      <c r="BI184" s="172" t="n">
        <v>0.9</v>
      </c>
      <c r="BJ184" s="65"/>
      <c r="BK184" s="65"/>
      <c r="BL184" s="65"/>
      <c r="BM184" s="65"/>
      <c r="BN184" s="65"/>
      <c r="BO184" s="65"/>
      <c r="BP184" s="65"/>
      <c r="BQ184" s="65"/>
      <c r="BR184" s="65"/>
      <c r="BS184" s="65"/>
      <c r="BT184" s="65"/>
      <c r="BU184" s="65"/>
      <c r="BV184" s="65"/>
      <c r="BW184" s="65"/>
      <c r="BX184" s="65"/>
      <c r="BY184" s="65"/>
      <c r="BZ184" s="65"/>
      <c r="CA184" s="65"/>
      <c r="CB184" s="65"/>
      <c r="CC184" s="65"/>
      <c r="CD184" s="65"/>
      <c r="CE184" s="65"/>
      <c r="CF184" s="65"/>
      <c r="CG184" s="65"/>
      <c r="CH184" s="0"/>
      <c r="CM184" s="206"/>
      <c r="CN184" s="206"/>
      <c r="CO184" s="173"/>
      <c r="CP184" s="0"/>
      <c r="CQ184" s="0"/>
      <c r="CR184" s="0"/>
      <c r="CS184" s="0"/>
      <c r="CT184" s="0"/>
      <c r="CY184" s="174" t="n">
        <f aca="false">M184</f>
        <v>41791</v>
      </c>
      <c r="CZ184" s="175" t="n">
        <f aca="false">AI184+AH184</f>
        <v>1.65</v>
      </c>
      <c r="DA184" s="175" t="n">
        <f aca="false">AI184</f>
        <v>2</v>
      </c>
      <c r="DB184" s="175" t="n">
        <f aca="false">AI184+AJ184</f>
        <v>2.3</v>
      </c>
      <c r="DD184" s="175" t="n">
        <f aca="false">Z184</f>
        <v>0.104824453405675</v>
      </c>
      <c r="DE184" s="175" t="n">
        <f aca="false">AA184</f>
        <v>0.20964890681135</v>
      </c>
      <c r="DF184" s="175" t="n">
        <f aca="false">AB184</f>
        <v>0.314473360217025</v>
      </c>
      <c r="DH184" s="174" t="n">
        <f aca="false">BH184</f>
        <v>41791</v>
      </c>
      <c r="DI184" s="128" t="n">
        <f aca="false">BI184</f>
        <v>0.9</v>
      </c>
    </row>
    <row r="185" customFormat="false" ht="12.75" hidden="false" customHeight="false" outlineLevel="0" collapsed="false">
      <c r="A185" s="138" t="n">
        <f aca="false">EOMONTH(A184,0)+1</f>
        <v>51167</v>
      </c>
      <c r="B185" s="128" t="n">
        <f aca="false">'Gas Curves'!C189</f>
        <v>0.06165594797728</v>
      </c>
      <c r="C185" s="128"/>
      <c r="D185" s="167" t="n">
        <v>40940</v>
      </c>
      <c r="E185" s="168" t="n">
        <v>55.73</v>
      </c>
      <c r="F185" s="168" t="n">
        <v>57.8</v>
      </c>
      <c r="G185" s="168" t="n">
        <v>59.84</v>
      </c>
      <c r="H185" s="152"/>
      <c r="I185" s="168" t="n">
        <v>24.465</v>
      </c>
      <c r="J185" s="168" t="n">
        <v>25.5</v>
      </c>
      <c r="K185" s="168" t="n">
        <v>26.34</v>
      </c>
      <c r="L185" s="134"/>
      <c r="M185" s="135" t="n">
        <v>41821</v>
      </c>
      <c r="N185" s="169" t="n">
        <v>37.4750015258789</v>
      </c>
      <c r="O185" s="169" t="n">
        <v>44.9000015258789</v>
      </c>
      <c r="P185" s="169" t="n">
        <v>52.6475015258789</v>
      </c>
      <c r="Q185" s="65"/>
      <c r="R185" s="169" t="n">
        <v>33.9000015258789</v>
      </c>
      <c r="S185" s="169" t="n">
        <v>38.9000015258789</v>
      </c>
      <c r="T185" s="169" t="n">
        <v>46.6475015258789</v>
      </c>
      <c r="U185" s="65"/>
      <c r="V185" s="169" t="n">
        <v>0</v>
      </c>
      <c r="W185" s="169" t="n">
        <v>0</v>
      </c>
      <c r="X185" s="169" t="n">
        <v>0</v>
      </c>
      <c r="Y185" s="65"/>
      <c r="Z185" s="169" t="n">
        <v>0.124851549154671</v>
      </c>
      <c r="AA185" s="169" t="n">
        <v>0.249703098309343</v>
      </c>
      <c r="AB185" s="169" t="n">
        <v>0.374554647464014</v>
      </c>
      <c r="AC185" s="65"/>
      <c r="AD185" s="169" t="n">
        <v>0.0452185164884941</v>
      </c>
      <c r="AE185" s="169" t="n">
        <v>0.0904370329769882</v>
      </c>
      <c r="AF185" s="169" t="n">
        <v>0.135655549465482</v>
      </c>
      <c r="AG185" s="65"/>
      <c r="AH185" s="169" t="n">
        <v>-0.35</v>
      </c>
      <c r="AI185" s="169" t="n">
        <v>3</v>
      </c>
      <c r="AJ185" s="169" t="n">
        <v>0.5</v>
      </c>
      <c r="AK185" s="65"/>
      <c r="AL185" s="169" t="n">
        <v>-0.15</v>
      </c>
      <c r="AM185" s="169" t="n">
        <v>0.75</v>
      </c>
      <c r="AN185" s="169" t="n">
        <v>0.2</v>
      </c>
      <c r="AO185" s="65"/>
      <c r="AP185" s="134" t="n">
        <v>56</v>
      </c>
      <c r="AQ185" s="170" t="n">
        <v>0.4</v>
      </c>
      <c r="AR185" s="65"/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  <c r="BG185" s="65"/>
      <c r="BH185" s="135" t="n">
        <v>41821</v>
      </c>
      <c r="BI185" s="172" t="n">
        <v>0.9</v>
      </c>
      <c r="BJ185" s="65"/>
      <c r="BK185" s="65"/>
      <c r="BL185" s="65"/>
      <c r="BM185" s="65"/>
      <c r="BN185" s="65"/>
      <c r="BO185" s="65"/>
      <c r="BP185" s="65"/>
      <c r="BQ185" s="65"/>
      <c r="BR185" s="65"/>
      <c r="BS185" s="65"/>
      <c r="BT185" s="65"/>
      <c r="BU185" s="65"/>
      <c r="BV185" s="65"/>
      <c r="BW185" s="65"/>
      <c r="BX185" s="65"/>
      <c r="BY185" s="65"/>
      <c r="BZ185" s="65"/>
      <c r="CA185" s="65"/>
      <c r="CB185" s="65"/>
      <c r="CC185" s="65"/>
      <c r="CD185" s="65"/>
      <c r="CE185" s="65"/>
      <c r="CF185" s="65"/>
      <c r="CG185" s="65"/>
      <c r="CH185" s="0"/>
      <c r="CM185" s="206"/>
      <c r="CN185" s="206"/>
      <c r="CO185" s="173"/>
      <c r="CP185" s="0"/>
      <c r="CQ185" s="0"/>
      <c r="CR185" s="0"/>
      <c r="CS185" s="0"/>
      <c r="CT185" s="0"/>
      <c r="CY185" s="174" t="n">
        <f aca="false">M185</f>
        <v>41821</v>
      </c>
      <c r="CZ185" s="175" t="n">
        <f aca="false">AI185+AH185</f>
        <v>2.65</v>
      </c>
      <c r="DA185" s="175" t="n">
        <f aca="false">AI185</f>
        <v>3</v>
      </c>
      <c r="DB185" s="175" t="n">
        <f aca="false">AI185+AJ185</f>
        <v>3.5</v>
      </c>
      <c r="DD185" s="175" t="n">
        <f aca="false">Z185</f>
        <v>0.124851549154671</v>
      </c>
      <c r="DE185" s="175" t="n">
        <f aca="false">AA185</f>
        <v>0.249703098309343</v>
      </c>
      <c r="DF185" s="175" t="n">
        <f aca="false">AB185</f>
        <v>0.374554647464014</v>
      </c>
      <c r="DH185" s="174" t="n">
        <f aca="false">BH185</f>
        <v>41821</v>
      </c>
      <c r="DI185" s="128" t="n">
        <f aca="false">BI185</f>
        <v>0.9</v>
      </c>
    </row>
    <row r="186" customFormat="false" ht="12.75" hidden="false" customHeight="false" outlineLevel="0" collapsed="false">
      <c r="A186" s="138" t="n">
        <f aca="false">EOMONTH(A185,0)+1</f>
        <v>51196</v>
      </c>
      <c r="B186" s="128" t="n">
        <f aca="false">'Gas Curves'!C190</f>
        <v>0.061679663060594</v>
      </c>
      <c r="C186" s="128"/>
      <c r="D186" s="167" t="n">
        <v>40969</v>
      </c>
      <c r="E186" s="168" t="n">
        <v>38.73</v>
      </c>
      <c r="F186" s="168" t="n">
        <v>40.8</v>
      </c>
      <c r="G186" s="168" t="n">
        <v>42.84</v>
      </c>
      <c r="H186" s="152"/>
      <c r="I186" s="168" t="n">
        <v>24.8649996185303</v>
      </c>
      <c r="J186" s="168" t="n">
        <v>25.8999996185303</v>
      </c>
      <c r="K186" s="168" t="n">
        <v>26.7399996185303</v>
      </c>
      <c r="L186" s="134"/>
      <c r="M186" s="135" t="n">
        <v>41852</v>
      </c>
      <c r="N186" s="169" t="n">
        <v>49.2250015258789</v>
      </c>
      <c r="O186" s="169" t="n">
        <v>56.6500015258789</v>
      </c>
      <c r="P186" s="169" t="n">
        <v>64.3975015258789</v>
      </c>
      <c r="Q186" s="65"/>
      <c r="R186" s="169" t="n">
        <v>45.7000007629395</v>
      </c>
      <c r="S186" s="169" t="n">
        <v>50.7000007629395</v>
      </c>
      <c r="T186" s="169" t="n">
        <v>58.4475007629395</v>
      </c>
      <c r="U186" s="65"/>
      <c r="V186" s="169" t="n">
        <v>0</v>
      </c>
      <c r="W186" s="169" t="n">
        <v>0</v>
      </c>
      <c r="X186" s="169" t="n">
        <v>0</v>
      </c>
      <c r="Y186" s="65"/>
      <c r="Z186" s="169" t="n">
        <v>0.122115976210879</v>
      </c>
      <c r="AA186" s="169" t="n">
        <v>0.244231952421759</v>
      </c>
      <c r="AB186" s="169" t="n">
        <v>0.366347928632638</v>
      </c>
      <c r="AC186" s="65"/>
      <c r="AD186" s="169" t="n">
        <v>0.0452185164884941</v>
      </c>
      <c r="AE186" s="169" t="n">
        <v>0.0904370329769882</v>
      </c>
      <c r="AF186" s="169" t="n">
        <v>0.135655549465482</v>
      </c>
      <c r="AG186" s="65"/>
      <c r="AH186" s="169" t="n">
        <v>-0.35</v>
      </c>
      <c r="AI186" s="169" t="n">
        <v>3</v>
      </c>
      <c r="AJ186" s="169" t="n">
        <v>0.5</v>
      </c>
      <c r="AK186" s="65"/>
      <c r="AL186" s="169" t="n">
        <v>-0.15</v>
      </c>
      <c r="AM186" s="169" t="n">
        <v>0.75</v>
      </c>
      <c r="AN186" s="169" t="n">
        <v>0.2</v>
      </c>
      <c r="AO186" s="65"/>
      <c r="AP186" s="134" t="n">
        <v>57</v>
      </c>
      <c r="AQ186" s="170" t="n">
        <v>0.4</v>
      </c>
      <c r="AR186" s="65"/>
      <c r="AS186" s="65"/>
      <c r="AT186" s="65"/>
      <c r="AU186" s="65"/>
      <c r="AV186" s="65"/>
      <c r="AW186" s="65"/>
      <c r="AX186" s="65"/>
      <c r="AY186" s="65"/>
      <c r="AZ186" s="65"/>
      <c r="BA186" s="65"/>
      <c r="BB186" s="65"/>
      <c r="BC186" s="65"/>
      <c r="BD186" s="65"/>
      <c r="BE186" s="65"/>
      <c r="BF186" s="65"/>
      <c r="BG186" s="65"/>
      <c r="BH186" s="135" t="n">
        <v>41852</v>
      </c>
      <c r="BI186" s="172" t="n">
        <v>0.9</v>
      </c>
      <c r="BJ186" s="65"/>
      <c r="BK186" s="65"/>
      <c r="BL186" s="65"/>
      <c r="BM186" s="65"/>
      <c r="BN186" s="65"/>
      <c r="BO186" s="65"/>
      <c r="BP186" s="65"/>
      <c r="BQ186" s="65"/>
      <c r="BR186" s="65"/>
      <c r="BS186" s="65"/>
      <c r="BT186" s="65"/>
      <c r="BU186" s="65"/>
      <c r="BV186" s="65"/>
      <c r="BW186" s="65"/>
      <c r="BX186" s="65"/>
      <c r="BY186" s="65"/>
      <c r="BZ186" s="65"/>
      <c r="CA186" s="65"/>
      <c r="CB186" s="65"/>
      <c r="CC186" s="65"/>
      <c r="CD186" s="65"/>
      <c r="CE186" s="65"/>
      <c r="CF186" s="65"/>
      <c r="CG186" s="65"/>
      <c r="CH186" s="0"/>
      <c r="CM186" s="206"/>
      <c r="CN186" s="206"/>
      <c r="CO186" s="173"/>
      <c r="CP186" s="0"/>
      <c r="CQ186" s="0"/>
      <c r="CR186" s="0"/>
      <c r="CS186" s="0"/>
      <c r="CT186" s="0"/>
      <c r="CY186" s="174" t="n">
        <f aca="false">M186</f>
        <v>41852</v>
      </c>
      <c r="CZ186" s="175" t="n">
        <f aca="false">AI186+AH186</f>
        <v>2.65</v>
      </c>
      <c r="DA186" s="175" t="n">
        <f aca="false">AI186</f>
        <v>3</v>
      </c>
      <c r="DB186" s="175" t="n">
        <f aca="false">AI186+AJ186</f>
        <v>3.5</v>
      </c>
      <c r="DD186" s="175" t="n">
        <f aca="false">Z186</f>
        <v>0.122115976210879</v>
      </c>
      <c r="DE186" s="175" t="n">
        <f aca="false">AA186</f>
        <v>0.244231952421759</v>
      </c>
      <c r="DF186" s="175" t="n">
        <f aca="false">AB186</f>
        <v>0.366347928632638</v>
      </c>
      <c r="DH186" s="174" t="n">
        <f aca="false">BH186</f>
        <v>41852</v>
      </c>
      <c r="DI186" s="128" t="n">
        <f aca="false">BI186</f>
        <v>0.9</v>
      </c>
    </row>
    <row r="187" customFormat="false" ht="12.75" hidden="false" customHeight="false" outlineLevel="0" collapsed="false">
      <c r="A187" s="138" t="n">
        <f aca="false">EOMONTH(A186,0)+1</f>
        <v>51227</v>
      </c>
      <c r="B187" s="128" t="n">
        <f aca="false">'Gas Curves'!C191</f>
        <v>0.061704168646881</v>
      </c>
      <c r="C187" s="128"/>
      <c r="D187" s="167" t="n">
        <v>41000</v>
      </c>
      <c r="E187" s="168" t="n">
        <v>34.67</v>
      </c>
      <c r="F187" s="168" t="n">
        <v>37.3</v>
      </c>
      <c r="G187" s="168" t="n">
        <v>39.34</v>
      </c>
      <c r="H187" s="152"/>
      <c r="I187" s="168" t="n">
        <v>22.3349996185303</v>
      </c>
      <c r="J187" s="168" t="n">
        <v>23.6499996185303</v>
      </c>
      <c r="K187" s="168" t="n">
        <v>24.4899996185303</v>
      </c>
      <c r="L187" s="134"/>
      <c r="M187" s="135" t="n">
        <v>41883</v>
      </c>
      <c r="N187" s="169" t="n">
        <v>30.9875011444092</v>
      </c>
      <c r="O187" s="169" t="n">
        <v>34.0250011444092</v>
      </c>
      <c r="P187" s="169" t="n">
        <v>36.4100011444092</v>
      </c>
      <c r="Q187" s="65"/>
      <c r="R187" s="169" t="n">
        <v>26.3000015258789</v>
      </c>
      <c r="S187" s="169" t="n">
        <v>31.3000015258789</v>
      </c>
      <c r="T187" s="169" t="n">
        <v>33.6850015258789</v>
      </c>
      <c r="U187" s="65"/>
      <c r="V187" s="169" t="n">
        <v>0</v>
      </c>
      <c r="W187" s="169" t="n">
        <v>0</v>
      </c>
      <c r="X187" s="169" t="n">
        <v>0</v>
      </c>
      <c r="Y187" s="65"/>
      <c r="Z187" s="169" t="n">
        <v>0.092523156010035</v>
      </c>
      <c r="AA187" s="169" t="n">
        <v>0.18504631202007</v>
      </c>
      <c r="AB187" s="169" t="n">
        <v>0.277569468030105</v>
      </c>
      <c r="AC187" s="65"/>
      <c r="AD187" s="169" t="n">
        <v>0.0301456776589961</v>
      </c>
      <c r="AE187" s="169" t="n">
        <v>0.0602913553179921</v>
      </c>
      <c r="AF187" s="169" t="n">
        <v>0.0904370329769882</v>
      </c>
      <c r="AG187" s="65"/>
      <c r="AH187" s="169" t="n">
        <v>-0.35</v>
      </c>
      <c r="AI187" s="169" t="n">
        <v>1.5</v>
      </c>
      <c r="AJ187" s="169" t="n">
        <v>0.3</v>
      </c>
      <c r="AK187" s="65"/>
      <c r="AL187" s="169" t="n">
        <v>-0.15</v>
      </c>
      <c r="AM187" s="169" t="n">
        <v>0.4</v>
      </c>
      <c r="AN187" s="169" t="n">
        <v>0.2</v>
      </c>
      <c r="AO187" s="65"/>
      <c r="AP187" s="134" t="n">
        <v>57</v>
      </c>
      <c r="AQ187" s="170" t="n">
        <v>0.4</v>
      </c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135" t="n">
        <v>41883</v>
      </c>
      <c r="BI187" s="172" t="n">
        <v>0.9</v>
      </c>
      <c r="BJ187" s="65"/>
      <c r="BK187" s="65"/>
      <c r="BL187" s="65"/>
      <c r="BM187" s="65"/>
      <c r="BN187" s="65"/>
      <c r="BO187" s="65"/>
      <c r="BP187" s="65"/>
      <c r="BQ187" s="65"/>
      <c r="BR187" s="65"/>
      <c r="BS187" s="65"/>
      <c r="BT187" s="65"/>
      <c r="BU187" s="65"/>
      <c r="BV187" s="65"/>
      <c r="BW187" s="65"/>
      <c r="BX187" s="65"/>
      <c r="BY187" s="65"/>
      <c r="BZ187" s="65"/>
      <c r="CA187" s="65"/>
      <c r="CB187" s="65"/>
      <c r="CC187" s="65"/>
      <c r="CD187" s="65"/>
      <c r="CE187" s="65"/>
      <c r="CF187" s="65"/>
      <c r="CG187" s="65"/>
      <c r="CH187" s="0"/>
      <c r="CM187" s="206"/>
      <c r="CN187" s="206"/>
      <c r="CO187" s="173"/>
      <c r="CP187" s="0"/>
      <c r="CQ187" s="0"/>
      <c r="CR187" s="0"/>
      <c r="CS187" s="0"/>
      <c r="CT187" s="0"/>
      <c r="CY187" s="174" t="n">
        <f aca="false">M187</f>
        <v>41883</v>
      </c>
      <c r="CZ187" s="175" t="n">
        <f aca="false">AI187+AH187</f>
        <v>1.15</v>
      </c>
      <c r="DA187" s="175" t="n">
        <f aca="false">AI187</f>
        <v>1.5</v>
      </c>
      <c r="DB187" s="175" t="n">
        <f aca="false">AI187+AJ187</f>
        <v>1.8</v>
      </c>
      <c r="DD187" s="175" t="n">
        <f aca="false">Z187</f>
        <v>0.092523156010035</v>
      </c>
      <c r="DE187" s="175" t="n">
        <f aca="false">AA187</f>
        <v>0.18504631202007</v>
      </c>
      <c r="DF187" s="175" t="n">
        <f aca="false">AB187</f>
        <v>0.277569468030105</v>
      </c>
      <c r="DH187" s="174" t="n">
        <f aca="false">BH187</f>
        <v>41883</v>
      </c>
      <c r="DI187" s="128" t="n">
        <f aca="false">BI187</f>
        <v>0.9</v>
      </c>
    </row>
    <row r="188" customFormat="false" ht="12.75" hidden="false" customHeight="false" outlineLevel="0" collapsed="false">
      <c r="A188" s="138" t="n">
        <f aca="false">EOMONTH(A187,0)+1</f>
        <v>51257</v>
      </c>
      <c r="B188" s="128" t="n">
        <f aca="false">'Gas Curves'!C192</f>
        <v>0.061728674233368</v>
      </c>
      <c r="C188" s="128"/>
      <c r="D188" s="167" t="n">
        <v>41030</v>
      </c>
      <c r="E188" s="168" t="n">
        <v>38.17</v>
      </c>
      <c r="F188" s="168" t="n">
        <v>40.8</v>
      </c>
      <c r="G188" s="168" t="n">
        <v>44.65</v>
      </c>
      <c r="H188" s="152"/>
      <c r="I188" s="168" t="n">
        <v>23.3349996185303</v>
      </c>
      <c r="J188" s="168" t="n">
        <v>24.6499996185303</v>
      </c>
      <c r="K188" s="168" t="n">
        <v>26.2399996185303</v>
      </c>
      <c r="L188" s="134"/>
      <c r="M188" s="135" t="n">
        <v>41913</v>
      </c>
      <c r="N188" s="169" t="n">
        <v>28.4500011444092</v>
      </c>
      <c r="O188" s="169" t="n">
        <v>30.0250011444092</v>
      </c>
      <c r="P188" s="169" t="n">
        <v>31.5325011444092</v>
      </c>
      <c r="Q188" s="65"/>
      <c r="R188" s="169" t="n">
        <v>21.8000015258789</v>
      </c>
      <c r="S188" s="169" t="n">
        <v>26.8000015258789</v>
      </c>
      <c r="T188" s="169" t="n">
        <v>28.3075015258789</v>
      </c>
      <c r="U188" s="65"/>
      <c r="V188" s="169" t="n">
        <v>0</v>
      </c>
      <c r="W188" s="169" t="n">
        <v>0</v>
      </c>
      <c r="X188" s="169" t="n">
        <v>0</v>
      </c>
      <c r="Y188" s="65"/>
      <c r="Z188" s="169" t="n">
        <v>0.0800239517322886</v>
      </c>
      <c r="AA188" s="169" t="n">
        <v>0.160047903464577</v>
      </c>
      <c r="AB188" s="169" t="n">
        <v>0.240071855196866</v>
      </c>
      <c r="AC188" s="65"/>
      <c r="AD188" s="169" t="n">
        <v>0.0226092582442471</v>
      </c>
      <c r="AE188" s="169" t="n">
        <v>0.0452185164884941</v>
      </c>
      <c r="AF188" s="169" t="n">
        <v>0.0678277747327412</v>
      </c>
      <c r="AG188" s="65"/>
      <c r="AH188" s="169" t="n">
        <v>-0.25</v>
      </c>
      <c r="AI188" s="169" t="n">
        <v>1.1</v>
      </c>
      <c r="AJ188" s="169" t="n">
        <v>0.3</v>
      </c>
      <c r="AK188" s="65"/>
      <c r="AL188" s="169" t="n">
        <v>-0.15</v>
      </c>
      <c r="AM188" s="169" t="n">
        <v>0.35</v>
      </c>
      <c r="AN188" s="169" t="n">
        <v>0.2</v>
      </c>
      <c r="AO188" s="65"/>
      <c r="AP188" s="134" t="n">
        <v>57</v>
      </c>
      <c r="AQ188" s="170" t="n">
        <v>0.4</v>
      </c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135" t="n">
        <v>41913</v>
      </c>
      <c r="BI188" s="172" t="n">
        <v>0.9</v>
      </c>
      <c r="BJ188" s="65"/>
      <c r="BK188" s="65"/>
      <c r="BL188" s="65"/>
      <c r="BM188" s="65"/>
      <c r="BN188" s="65"/>
      <c r="BO188" s="65"/>
      <c r="BP188" s="65"/>
      <c r="BQ188" s="65"/>
      <c r="BR188" s="65"/>
      <c r="BS188" s="65"/>
      <c r="BT188" s="65"/>
      <c r="BU188" s="65"/>
      <c r="BV188" s="65"/>
      <c r="BW188" s="65"/>
      <c r="BX188" s="65"/>
      <c r="BY188" s="65"/>
      <c r="BZ188" s="65"/>
      <c r="CA188" s="65"/>
      <c r="CB188" s="65"/>
      <c r="CC188" s="65"/>
      <c r="CD188" s="65"/>
      <c r="CE188" s="65"/>
      <c r="CF188" s="65"/>
      <c r="CG188" s="65"/>
      <c r="CH188" s="0"/>
      <c r="CM188" s="206"/>
      <c r="CN188" s="206"/>
      <c r="CO188" s="173"/>
      <c r="CP188" s="0"/>
      <c r="CQ188" s="0"/>
      <c r="CR188" s="0"/>
      <c r="CS188" s="0"/>
      <c r="CT188" s="0"/>
      <c r="CY188" s="174" t="n">
        <f aca="false">M188</f>
        <v>41913</v>
      </c>
      <c r="CZ188" s="175" t="n">
        <f aca="false">AI188+AH188</f>
        <v>0.85</v>
      </c>
      <c r="DA188" s="175" t="n">
        <f aca="false">AI188</f>
        <v>1.1</v>
      </c>
      <c r="DB188" s="175" t="n">
        <f aca="false">AI188+AJ188</f>
        <v>1.4</v>
      </c>
      <c r="DD188" s="175" t="n">
        <f aca="false">Z188</f>
        <v>0.0800239517322886</v>
      </c>
      <c r="DE188" s="175" t="n">
        <f aca="false">AA188</f>
        <v>0.160047903464577</v>
      </c>
      <c r="DF188" s="175" t="n">
        <f aca="false">AB188</f>
        <v>0.240071855196866</v>
      </c>
      <c r="DH188" s="174" t="n">
        <f aca="false">BH188</f>
        <v>41913</v>
      </c>
      <c r="DI188" s="128" t="n">
        <f aca="false">BI188</f>
        <v>0.9</v>
      </c>
    </row>
    <row r="189" customFormat="false" ht="12.75" hidden="false" customHeight="false" outlineLevel="0" collapsed="false">
      <c r="A189" s="138" t="n">
        <f aca="false">EOMONTH(A188,0)+1</f>
        <v>51288</v>
      </c>
      <c r="B189" s="128" t="n">
        <f aca="false">'Gas Curves'!C193</f>
        <v>0.061752389317255</v>
      </c>
      <c r="C189" s="128"/>
      <c r="D189" s="167" t="n">
        <v>41061</v>
      </c>
      <c r="E189" s="168" t="n">
        <v>47.68</v>
      </c>
      <c r="F189" s="168" t="n">
        <v>52.75</v>
      </c>
      <c r="G189" s="168" t="n">
        <v>58.62</v>
      </c>
      <c r="H189" s="152"/>
      <c r="I189" s="168" t="n">
        <v>22.4899996185303</v>
      </c>
      <c r="J189" s="168" t="n">
        <v>25.0249996185303</v>
      </c>
      <c r="K189" s="168" t="n">
        <v>27.4449996185303</v>
      </c>
      <c r="L189" s="134"/>
      <c r="M189" s="135" t="n">
        <v>41944</v>
      </c>
      <c r="N189" s="169" t="n">
        <v>30.8000015258789</v>
      </c>
      <c r="O189" s="169" t="n">
        <v>32.3750015258789</v>
      </c>
      <c r="P189" s="169" t="n">
        <v>33.8825015258789</v>
      </c>
      <c r="Q189" s="65"/>
      <c r="R189" s="169" t="n">
        <v>24.0000003814697</v>
      </c>
      <c r="S189" s="169" t="n">
        <v>29.0000003814697</v>
      </c>
      <c r="T189" s="169" t="n">
        <v>30.5075003814697</v>
      </c>
      <c r="U189" s="65"/>
      <c r="V189" s="169" t="n">
        <v>0</v>
      </c>
      <c r="W189" s="169" t="n">
        <v>0</v>
      </c>
      <c r="X189" s="169" t="n">
        <v>0</v>
      </c>
      <c r="Y189" s="65"/>
      <c r="Z189" s="169" t="n">
        <v>0.0800239517322886</v>
      </c>
      <c r="AA189" s="169" t="n">
        <v>0.160047903464577</v>
      </c>
      <c r="AB189" s="169" t="n">
        <v>0.240071855196866</v>
      </c>
      <c r="AC189" s="65"/>
      <c r="AD189" s="169" t="n">
        <v>0.0226092582442471</v>
      </c>
      <c r="AE189" s="169" t="n">
        <v>0.0452185164884941</v>
      </c>
      <c r="AF189" s="169" t="n">
        <v>0.0678277747327412</v>
      </c>
      <c r="AG189" s="65"/>
      <c r="AH189" s="169" t="n">
        <v>-0.25</v>
      </c>
      <c r="AI189" s="169" t="n">
        <v>1.25</v>
      </c>
      <c r="AJ189" s="169" t="n">
        <v>0.3</v>
      </c>
      <c r="AK189" s="65"/>
      <c r="AL189" s="169" t="n">
        <v>-0.15</v>
      </c>
      <c r="AM189" s="169" t="n">
        <v>0.3</v>
      </c>
      <c r="AN189" s="169" t="n">
        <v>0.2</v>
      </c>
      <c r="AO189" s="65"/>
      <c r="AP189" s="134" t="n">
        <v>58</v>
      </c>
      <c r="AQ189" s="170" t="n">
        <v>0.4</v>
      </c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135" t="n">
        <v>41944</v>
      </c>
      <c r="BI189" s="172" t="n">
        <v>0.9</v>
      </c>
      <c r="BJ189" s="65"/>
      <c r="BK189" s="65"/>
      <c r="BL189" s="65"/>
      <c r="BM189" s="65"/>
      <c r="BN189" s="65"/>
      <c r="BO189" s="65"/>
      <c r="BP189" s="65"/>
      <c r="BQ189" s="65"/>
      <c r="BR189" s="65"/>
      <c r="BS189" s="65"/>
      <c r="BT189" s="65"/>
      <c r="BU189" s="65"/>
      <c r="BV189" s="65"/>
      <c r="BW189" s="65"/>
      <c r="BX189" s="65"/>
      <c r="BY189" s="65"/>
      <c r="BZ189" s="65"/>
      <c r="CA189" s="65"/>
      <c r="CB189" s="65"/>
      <c r="CC189" s="65"/>
      <c r="CD189" s="65"/>
      <c r="CE189" s="65"/>
      <c r="CF189" s="65"/>
      <c r="CG189" s="65"/>
      <c r="CH189" s="0"/>
      <c r="CM189" s="206"/>
      <c r="CN189" s="206"/>
      <c r="CO189" s="173"/>
      <c r="CP189" s="0"/>
      <c r="CQ189" s="0"/>
      <c r="CR189" s="0"/>
      <c r="CS189" s="0"/>
      <c r="CT189" s="0"/>
      <c r="CY189" s="174" t="n">
        <f aca="false">M189</f>
        <v>41944</v>
      </c>
      <c r="CZ189" s="175" t="n">
        <f aca="false">AI189+AH189</f>
        <v>1</v>
      </c>
      <c r="DA189" s="175" t="n">
        <f aca="false">AI189</f>
        <v>1.25</v>
      </c>
      <c r="DB189" s="175" t="n">
        <f aca="false">AI189+AJ189</f>
        <v>1.55</v>
      </c>
      <c r="DD189" s="175" t="n">
        <f aca="false">Z189</f>
        <v>0.0800239517322886</v>
      </c>
      <c r="DE189" s="175" t="n">
        <f aca="false">AA189</f>
        <v>0.160047903464577</v>
      </c>
      <c r="DF189" s="175" t="n">
        <f aca="false">AB189</f>
        <v>0.240071855196866</v>
      </c>
      <c r="DH189" s="174" t="n">
        <f aca="false">BH189</f>
        <v>41944</v>
      </c>
      <c r="DI189" s="128" t="n">
        <f aca="false">BI189</f>
        <v>0.9</v>
      </c>
    </row>
    <row r="190" customFormat="false" ht="12.75" hidden="false" customHeight="false" outlineLevel="0" collapsed="false">
      <c r="A190" s="138" t="n">
        <f aca="false">EOMONTH(A189,0)+1</f>
        <v>51318</v>
      </c>
      <c r="B190" s="128" t="n">
        <f aca="false">'Gas Curves'!C194</f>
        <v>0.061776894904134</v>
      </c>
      <c r="C190" s="128"/>
      <c r="D190" s="167" t="n">
        <v>41091</v>
      </c>
      <c r="E190" s="168" t="n">
        <v>64.35</v>
      </c>
      <c r="F190" s="168" t="n">
        <v>74.25</v>
      </c>
      <c r="G190" s="168" t="n">
        <v>86.76</v>
      </c>
      <c r="H190" s="152"/>
      <c r="I190" s="168" t="n">
        <v>23.8</v>
      </c>
      <c r="J190" s="168" t="n">
        <v>28.75</v>
      </c>
      <c r="K190" s="168" t="n">
        <v>33.915</v>
      </c>
      <c r="L190" s="134"/>
      <c r="M190" s="135" t="n">
        <v>41974</v>
      </c>
      <c r="N190" s="169" t="n">
        <v>31.4</v>
      </c>
      <c r="O190" s="169" t="n">
        <v>32.975</v>
      </c>
      <c r="P190" s="169" t="n">
        <v>34.4825</v>
      </c>
      <c r="Q190" s="65"/>
      <c r="R190" s="169" t="n">
        <v>24.5000003814697</v>
      </c>
      <c r="S190" s="169" t="n">
        <v>29.5000003814697</v>
      </c>
      <c r="T190" s="169" t="n">
        <v>31.0075003814697</v>
      </c>
      <c r="U190" s="65"/>
      <c r="V190" s="169" t="n">
        <v>0</v>
      </c>
      <c r="W190" s="169" t="n">
        <v>0</v>
      </c>
      <c r="X190" s="169" t="n">
        <v>0</v>
      </c>
      <c r="Y190" s="65"/>
      <c r="Z190" s="169" t="n">
        <v>0.0784265122231359</v>
      </c>
      <c r="AA190" s="169" t="n">
        <v>0.156853024446272</v>
      </c>
      <c r="AB190" s="169" t="n">
        <v>0.235279536669408</v>
      </c>
      <c r="AC190" s="65"/>
      <c r="AD190" s="169" t="n">
        <v>0.0226092582442471</v>
      </c>
      <c r="AE190" s="169" t="n">
        <v>0.0452185164884941</v>
      </c>
      <c r="AF190" s="169" t="n">
        <v>0.0678277747327412</v>
      </c>
      <c r="AG190" s="65"/>
      <c r="AH190" s="169" t="n">
        <v>-0.25</v>
      </c>
      <c r="AI190" s="169" t="n">
        <v>1.25</v>
      </c>
      <c r="AJ190" s="169" t="n">
        <v>0.35</v>
      </c>
      <c r="AK190" s="65"/>
      <c r="AL190" s="169" t="n">
        <v>-0.15</v>
      </c>
      <c r="AM190" s="169" t="n">
        <v>0.3</v>
      </c>
      <c r="AN190" s="169" t="n">
        <v>0.2</v>
      </c>
      <c r="AO190" s="65"/>
      <c r="AP190" s="134" t="n">
        <v>58</v>
      </c>
      <c r="AQ190" s="170" t="n">
        <v>0.4</v>
      </c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135" t="n">
        <v>41974</v>
      </c>
      <c r="BI190" s="172" t="n">
        <v>0.9</v>
      </c>
      <c r="BJ190" s="65"/>
      <c r="BK190" s="65"/>
      <c r="BL190" s="65"/>
      <c r="BM190" s="65"/>
      <c r="BN190" s="65"/>
      <c r="BO190" s="65"/>
      <c r="BP190" s="65"/>
      <c r="BQ190" s="65"/>
      <c r="BR190" s="65"/>
      <c r="BS190" s="65"/>
      <c r="BT190" s="65"/>
      <c r="BU190" s="65"/>
      <c r="BV190" s="65"/>
      <c r="BW190" s="65"/>
      <c r="BX190" s="65"/>
      <c r="BY190" s="65"/>
      <c r="BZ190" s="65"/>
      <c r="CA190" s="65"/>
      <c r="CB190" s="65"/>
      <c r="CC190" s="65"/>
      <c r="CD190" s="65"/>
      <c r="CE190" s="65"/>
      <c r="CF190" s="65"/>
      <c r="CG190" s="65"/>
      <c r="CH190" s="0"/>
      <c r="CM190" s="206"/>
      <c r="CN190" s="206"/>
      <c r="CO190" s="173"/>
      <c r="CP190" s="0"/>
      <c r="CQ190" s="0"/>
      <c r="CR190" s="0"/>
      <c r="CS190" s="0"/>
      <c r="CT190" s="0"/>
      <c r="CY190" s="174" t="n">
        <f aca="false">M190</f>
        <v>41974</v>
      </c>
      <c r="CZ190" s="175" t="n">
        <f aca="false">AI190+AH190</f>
        <v>1</v>
      </c>
      <c r="DA190" s="175" t="n">
        <f aca="false">AI190</f>
        <v>1.25</v>
      </c>
      <c r="DB190" s="175" t="n">
        <f aca="false">AI190+AJ190</f>
        <v>1.6</v>
      </c>
      <c r="DD190" s="175" t="n">
        <f aca="false">Z190</f>
        <v>0.0784265122231359</v>
      </c>
      <c r="DE190" s="175" t="n">
        <f aca="false">AA190</f>
        <v>0.156853024446272</v>
      </c>
      <c r="DF190" s="175" t="n">
        <f aca="false">AB190</f>
        <v>0.235279536669408</v>
      </c>
      <c r="DH190" s="174" t="n">
        <f aca="false">BH190</f>
        <v>41974</v>
      </c>
      <c r="DI190" s="128" t="n">
        <f aca="false">BI190</f>
        <v>0.9</v>
      </c>
    </row>
    <row r="191" customFormat="false" ht="12.75" hidden="false" customHeight="false" outlineLevel="0" collapsed="false">
      <c r="A191" s="138" t="n">
        <f aca="false">EOMONTH(A190,0)+1</f>
        <v>51349</v>
      </c>
      <c r="B191" s="128" t="n">
        <f aca="false">'Gas Curves'!C195</f>
        <v>0.061800609988399</v>
      </c>
      <c r="C191" s="128"/>
      <c r="D191" s="167" t="n">
        <v>41122</v>
      </c>
      <c r="E191" s="168" t="n">
        <v>64.35</v>
      </c>
      <c r="F191" s="168" t="n">
        <v>74.25</v>
      </c>
      <c r="G191" s="168" t="n">
        <v>86.76</v>
      </c>
      <c r="H191" s="152"/>
      <c r="I191" s="168" t="n">
        <v>35.9500015258789</v>
      </c>
      <c r="J191" s="168" t="n">
        <v>40.9000015258789</v>
      </c>
      <c r="K191" s="168" t="n">
        <v>46.0650015258789</v>
      </c>
      <c r="L191" s="134"/>
      <c r="M191" s="135" t="n">
        <v>42005</v>
      </c>
      <c r="N191" s="169" t="n">
        <v>33.9794960021973</v>
      </c>
      <c r="O191" s="169" t="n">
        <v>35.5544960021973</v>
      </c>
      <c r="P191" s="169" t="n">
        <v>36.8144960021973</v>
      </c>
      <c r="Q191" s="65"/>
      <c r="R191" s="169" t="n">
        <v>26.6539974212647</v>
      </c>
      <c r="S191" s="169" t="n">
        <v>31.6539974212647</v>
      </c>
      <c r="T191" s="169" t="n">
        <v>32.9139974212647</v>
      </c>
      <c r="U191" s="65"/>
      <c r="V191" s="169" t="n">
        <v>0</v>
      </c>
      <c r="W191" s="169" t="n">
        <v>0</v>
      </c>
      <c r="X191" s="169" t="n">
        <v>0</v>
      </c>
      <c r="Y191" s="65"/>
      <c r="Z191" s="169" t="n">
        <v>0.115732972675364</v>
      </c>
      <c r="AA191" s="169" t="n">
        <v>0.231465945350729</v>
      </c>
      <c r="AB191" s="169" t="n">
        <v>0.347198918026093</v>
      </c>
      <c r="AC191" s="65"/>
      <c r="AD191" s="169" t="n">
        <v>0.0258499185925891</v>
      </c>
      <c r="AE191" s="169" t="n">
        <v>0.0516998371851783</v>
      </c>
      <c r="AF191" s="169" t="n">
        <v>0.0775497557777674</v>
      </c>
      <c r="AG191" s="65"/>
      <c r="AH191" s="169" t="n">
        <v>-0.75</v>
      </c>
      <c r="AI191" s="169" t="n">
        <v>2</v>
      </c>
      <c r="AJ191" s="169" t="n">
        <v>0.75</v>
      </c>
      <c r="AK191" s="65"/>
      <c r="AL191" s="169" t="n">
        <v>-0.15</v>
      </c>
      <c r="AM191" s="169" t="n">
        <v>0.5</v>
      </c>
      <c r="AN191" s="169" t="n">
        <v>0.2</v>
      </c>
      <c r="AO191" s="65"/>
      <c r="AP191" s="134" t="n">
        <v>58</v>
      </c>
      <c r="AQ191" s="170" t="n">
        <v>0.4</v>
      </c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135" t="n">
        <v>42005</v>
      </c>
      <c r="BI191" s="172" t="n">
        <v>0.9</v>
      </c>
      <c r="BJ191" s="65"/>
      <c r="BK191" s="65"/>
      <c r="BL191" s="65"/>
      <c r="BM191" s="65"/>
      <c r="BN191" s="65"/>
      <c r="BO191" s="65"/>
      <c r="BP191" s="65"/>
      <c r="BQ191" s="65"/>
      <c r="BR191" s="65"/>
      <c r="BS191" s="65"/>
      <c r="BT191" s="65"/>
      <c r="BU191" s="65"/>
      <c r="BV191" s="65"/>
      <c r="BW191" s="65"/>
      <c r="BX191" s="65"/>
      <c r="BY191" s="65"/>
      <c r="BZ191" s="65"/>
      <c r="CA191" s="65"/>
      <c r="CB191" s="65"/>
      <c r="CC191" s="65"/>
      <c r="CD191" s="65"/>
      <c r="CE191" s="65"/>
      <c r="CF191" s="65"/>
      <c r="CG191" s="65"/>
      <c r="CH191" s="0"/>
      <c r="CM191" s="206"/>
      <c r="CN191" s="206"/>
      <c r="CO191" s="173"/>
      <c r="CP191" s="0"/>
      <c r="CQ191" s="0"/>
      <c r="CR191" s="0"/>
      <c r="CS191" s="0"/>
      <c r="CT191" s="0"/>
      <c r="CY191" s="174" t="n">
        <f aca="false">M191</f>
        <v>42005</v>
      </c>
      <c r="CZ191" s="175" t="n">
        <f aca="false">AI191+AH191</f>
        <v>1.25</v>
      </c>
      <c r="DA191" s="175" t="n">
        <f aca="false">AI191</f>
        <v>2</v>
      </c>
      <c r="DB191" s="175" t="n">
        <f aca="false">AI191+AJ191</f>
        <v>2.75</v>
      </c>
      <c r="DD191" s="175" t="n">
        <f aca="false">Z191</f>
        <v>0.115732972675364</v>
      </c>
      <c r="DE191" s="175" t="n">
        <f aca="false">AA191</f>
        <v>0.231465945350729</v>
      </c>
      <c r="DF191" s="175" t="n">
        <f aca="false">AB191</f>
        <v>0.347198918026093</v>
      </c>
      <c r="DH191" s="174" t="n">
        <f aca="false">BH191</f>
        <v>42005</v>
      </c>
      <c r="DI191" s="128" t="n">
        <f aca="false">BI191</f>
        <v>0.9</v>
      </c>
    </row>
    <row r="192" customFormat="false" ht="12.75" hidden="false" customHeight="false" outlineLevel="0" collapsed="false">
      <c r="A192" s="138" t="n">
        <f aca="false">EOMONTH(A191,0)+1</f>
        <v>51380</v>
      </c>
      <c r="B192" s="128" t="n">
        <f aca="false">'Gas Curves'!C196</f>
        <v>0.061825115575671</v>
      </c>
      <c r="C192" s="128"/>
      <c r="D192" s="167" t="n">
        <v>41153</v>
      </c>
      <c r="E192" s="168" t="n">
        <v>34.23</v>
      </c>
      <c r="F192" s="168" t="n">
        <v>39.3</v>
      </c>
      <c r="G192" s="168" t="n">
        <v>43.15</v>
      </c>
      <c r="H192" s="152"/>
      <c r="I192" s="168" t="n">
        <v>26.8649996185303</v>
      </c>
      <c r="J192" s="168" t="n">
        <v>29.3999996185303</v>
      </c>
      <c r="K192" s="168" t="n">
        <v>30.9899996185303</v>
      </c>
      <c r="L192" s="134"/>
      <c r="M192" s="135" t="n">
        <v>42036</v>
      </c>
      <c r="N192" s="169" t="n">
        <v>33.6419967651367</v>
      </c>
      <c r="O192" s="169" t="n">
        <v>34.8794967651367</v>
      </c>
      <c r="P192" s="169" t="n">
        <v>36.1394967651367</v>
      </c>
      <c r="Q192" s="65"/>
      <c r="R192" s="169" t="n">
        <v>26.0539970397949</v>
      </c>
      <c r="S192" s="169" t="n">
        <v>31.0539970397949</v>
      </c>
      <c r="T192" s="169" t="n">
        <v>32.3139970397949</v>
      </c>
      <c r="U192" s="65"/>
      <c r="V192" s="169" t="n">
        <v>0</v>
      </c>
      <c r="W192" s="169" t="n">
        <v>0</v>
      </c>
      <c r="X192" s="169" t="n">
        <v>0</v>
      </c>
      <c r="Y192" s="65"/>
      <c r="Z192" s="169" t="n">
        <v>0.111805905738276</v>
      </c>
      <c r="AA192" s="169" t="n">
        <v>0.223611811476552</v>
      </c>
      <c r="AB192" s="169" t="n">
        <v>0.335417717214828</v>
      </c>
      <c r="AC192" s="65"/>
      <c r="AD192" s="169" t="n">
        <v>0.0258499185925891</v>
      </c>
      <c r="AE192" s="169" t="n">
        <v>0.0516998371851783</v>
      </c>
      <c r="AF192" s="169" t="n">
        <v>0.0775497557777674</v>
      </c>
      <c r="AG192" s="65"/>
      <c r="AH192" s="169" t="n">
        <v>-0.75</v>
      </c>
      <c r="AI192" s="169" t="n">
        <v>2</v>
      </c>
      <c r="AJ192" s="169" t="n">
        <v>0.75</v>
      </c>
      <c r="AK192" s="65"/>
      <c r="AL192" s="169" t="n">
        <v>-0.15</v>
      </c>
      <c r="AM192" s="169" t="n">
        <v>0.5</v>
      </c>
      <c r="AN192" s="169" t="n">
        <v>0.2</v>
      </c>
      <c r="AO192" s="65"/>
      <c r="AP192" s="134" t="n">
        <v>59</v>
      </c>
      <c r="AQ192" s="170" t="n">
        <v>0.4</v>
      </c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65"/>
      <c r="BC192" s="65"/>
      <c r="BD192" s="65"/>
      <c r="BE192" s="65"/>
      <c r="BF192" s="65"/>
      <c r="BG192" s="65"/>
      <c r="BH192" s="135" t="n">
        <v>42036</v>
      </c>
      <c r="BI192" s="172" t="n">
        <v>0.9</v>
      </c>
      <c r="BJ192" s="65"/>
      <c r="BK192" s="65"/>
      <c r="BL192" s="65"/>
      <c r="BM192" s="65"/>
      <c r="BN192" s="65"/>
      <c r="BO192" s="65"/>
      <c r="BP192" s="65"/>
      <c r="BQ192" s="65"/>
      <c r="BR192" s="65"/>
      <c r="BS192" s="65"/>
      <c r="BT192" s="65"/>
      <c r="BU192" s="65"/>
      <c r="BV192" s="65"/>
      <c r="BW192" s="65"/>
      <c r="BX192" s="65"/>
      <c r="BY192" s="65"/>
      <c r="BZ192" s="65"/>
      <c r="CA192" s="65"/>
      <c r="CB192" s="65"/>
      <c r="CC192" s="65"/>
      <c r="CD192" s="65"/>
      <c r="CE192" s="65"/>
      <c r="CF192" s="65"/>
      <c r="CG192" s="65"/>
      <c r="CH192" s="0"/>
      <c r="CM192" s="206"/>
      <c r="CN192" s="206"/>
      <c r="CO192" s="173"/>
      <c r="CP192" s="0"/>
      <c r="CQ192" s="0"/>
      <c r="CR192" s="0"/>
      <c r="CS192" s="0"/>
      <c r="CT192" s="0"/>
      <c r="CY192" s="174" t="n">
        <f aca="false">M192</f>
        <v>42036</v>
      </c>
      <c r="CZ192" s="175" t="n">
        <f aca="false">AI192+AH192</f>
        <v>1.25</v>
      </c>
      <c r="DA192" s="175" t="n">
        <f aca="false">AI192</f>
        <v>2</v>
      </c>
      <c r="DB192" s="175" t="n">
        <f aca="false">AI192+AJ192</f>
        <v>2.75</v>
      </c>
      <c r="DD192" s="175" t="n">
        <f aca="false">Z192</f>
        <v>0.111805905738276</v>
      </c>
      <c r="DE192" s="175" t="n">
        <f aca="false">AA192</f>
        <v>0.223611811476552</v>
      </c>
      <c r="DF192" s="175" t="n">
        <f aca="false">AB192</f>
        <v>0.335417717214828</v>
      </c>
      <c r="DH192" s="174" t="n">
        <f aca="false">BH192</f>
        <v>42036</v>
      </c>
      <c r="DI192" s="128" t="n">
        <f aca="false">BI192</f>
        <v>0.9</v>
      </c>
    </row>
    <row r="193" customFormat="false" ht="12.75" hidden="false" customHeight="false" outlineLevel="0" collapsed="false">
      <c r="A193" s="138" t="n">
        <f aca="false">EOMONTH(A192,0)+1</f>
        <v>51410</v>
      </c>
      <c r="B193" s="128" t="n">
        <f aca="false">'Gas Curves'!C197</f>
        <v>0.061849621163141</v>
      </c>
      <c r="C193" s="128"/>
      <c r="D193" s="167" t="n">
        <v>41183</v>
      </c>
      <c r="E193" s="168" t="n">
        <v>36.67</v>
      </c>
      <c r="F193" s="168" t="n">
        <v>39.3</v>
      </c>
      <c r="G193" s="168" t="n">
        <v>41.75</v>
      </c>
      <c r="H193" s="152"/>
      <c r="I193" s="168" t="n">
        <v>26.0849996185303</v>
      </c>
      <c r="J193" s="168" t="n">
        <v>27.3999996185303</v>
      </c>
      <c r="K193" s="168" t="n">
        <v>28.4049996185303</v>
      </c>
      <c r="L193" s="134"/>
      <c r="M193" s="135" t="n">
        <v>42064</v>
      </c>
      <c r="N193" s="169" t="n">
        <v>27.7874969482422</v>
      </c>
      <c r="O193" s="169" t="n">
        <v>29.0249969482422</v>
      </c>
      <c r="P193" s="169" t="n">
        <v>30.2849969482422</v>
      </c>
      <c r="Q193" s="65"/>
      <c r="R193" s="169" t="n">
        <v>20.8499984741211</v>
      </c>
      <c r="S193" s="169" t="n">
        <v>25.8499984741211</v>
      </c>
      <c r="T193" s="169" t="n">
        <v>27.1099984741211</v>
      </c>
      <c r="U193" s="65"/>
      <c r="V193" s="169" t="n">
        <v>0</v>
      </c>
      <c r="W193" s="169" t="n">
        <v>0</v>
      </c>
      <c r="X193" s="169" t="n">
        <v>0</v>
      </c>
      <c r="Y193" s="65"/>
      <c r="Z193" s="169" t="n">
        <v>0.0886349274542475</v>
      </c>
      <c r="AA193" s="169" t="n">
        <v>0.177269854908495</v>
      </c>
      <c r="AB193" s="169" t="n">
        <v>0.265904782362742</v>
      </c>
      <c r="AC193" s="65"/>
      <c r="AD193" s="169" t="n">
        <v>0.0226092582442471</v>
      </c>
      <c r="AE193" s="169" t="n">
        <v>0.0452185164884941</v>
      </c>
      <c r="AF193" s="169" t="n">
        <v>0.0678277747327412</v>
      </c>
      <c r="AG193" s="65"/>
      <c r="AH193" s="169" t="n">
        <v>-0.25</v>
      </c>
      <c r="AI193" s="169" t="n">
        <v>1.3</v>
      </c>
      <c r="AJ193" s="169" t="n">
        <v>0.3</v>
      </c>
      <c r="AK193" s="65"/>
      <c r="AL193" s="169" t="n">
        <v>-0.15</v>
      </c>
      <c r="AM193" s="169" t="n">
        <v>0.35</v>
      </c>
      <c r="AN193" s="169" t="n">
        <v>0.2</v>
      </c>
      <c r="AO193" s="65"/>
      <c r="AP193" s="134" t="n">
        <v>59</v>
      </c>
      <c r="AQ193" s="170" t="n">
        <v>0.4</v>
      </c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  <c r="BG193" s="65"/>
      <c r="BH193" s="135" t="n">
        <v>42064</v>
      </c>
      <c r="BI193" s="172" t="n">
        <v>0.9</v>
      </c>
      <c r="BJ193" s="65"/>
      <c r="BK193" s="65"/>
      <c r="BL193" s="65"/>
      <c r="BM193" s="65"/>
      <c r="BN193" s="65"/>
      <c r="BO193" s="65"/>
      <c r="BP193" s="65"/>
      <c r="BQ193" s="65"/>
      <c r="BR193" s="65"/>
      <c r="BS193" s="65"/>
      <c r="BT193" s="65"/>
      <c r="BU193" s="65"/>
      <c r="BV193" s="65"/>
      <c r="BW193" s="65"/>
      <c r="BX193" s="65"/>
      <c r="BY193" s="65"/>
      <c r="BZ193" s="65"/>
      <c r="CA193" s="65"/>
      <c r="CB193" s="65"/>
      <c r="CC193" s="65"/>
      <c r="CD193" s="65"/>
      <c r="CE193" s="65"/>
      <c r="CF193" s="65"/>
      <c r="CG193" s="65"/>
      <c r="CH193" s="0"/>
      <c r="CM193" s="206"/>
      <c r="CN193" s="206"/>
      <c r="CO193" s="173"/>
      <c r="CP193" s="0"/>
      <c r="CQ193" s="0"/>
      <c r="CR193" s="0"/>
      <c r="CS193" s="0"/>
      <c r="CT193" s="0"/>
      <c r="CY193" s="174" t="n">
        <f aca="false">M193</f>
        <v>42064</v>
      </c>
      <c r="CZ193" s="175" t="n">
        <f aca="false">AI193+AH193</f>
        <v>1.05</v>
      </c>
      <c r="DA193" s="175" t="n">
        <f aca="false">AI193</f>
        <v>1.3</v>
      </c>
      <c r="DB193" s="175" t="n">
        <f aca="false">AI193+AJ193</f>
        <v>1.6</v>
      </c>
      <c r="DD193" s="175" t="n">
        <f aca="false">Z193</f>
        <v>0.0886349274542475</v>
      </c>
      <c r="DE193" s="175" t="n">
        <f aca="false">AA193</f>
        <v>0.177269854908495</v>
      </c>
      <c r="DF193" s="175" t="n">
        <f aca="false">AB193</f>
        <v>0.265904782362742</v>
      </c>
      <c r="DH193" s="174" t="n">
        <f aca="false">BH193</f>
        <v>42064</v>
      </c>
      <c r="DI193" s="128" t="n">
        <f aca="false">BI193</f>
        <v>0.9</v>
      </c>
    </row>
    <row r="194" customFormat="false" ht="12.75" hidden="false" customHeight="false" outlineLevel="0" collapsed="false">
      <c r="A194" s="138" t="n">
        <f aca="false">EOMONTH(A193,0)+1</f>
        <v>51441</v>
      </c>
      <c r="B194" s="128" t="n">
        <f aca="false">'Gas Curves'!C198</f>
        <v>0.061872545745149</v>
      </c>
      <c r="C194" s="128"/>
      <c r="D194" s="167" t="n">
        <v>41214</v>
      </c>
      <c r="E194" s="168" t="n">
        <v>39.17</v>
      </c>
      <c r="F194" s="168" t="n">
        <v>41.8</v>
      </c>
      <c r="G194" s="168" t="n">
        <v>44.25</v>
      </c>
      <c r="H194" s="152"/>
      <c r="I194" s="168" t="n">
        <v>26.8349996185303</v>
      </c>
      <c r="J194" s="168" t="n">
        <v>28.1499996185303</v>
      </c>
      <c r="K194" s="168" t="n">
        <v>29.1549996185303</v>
      </c>
      <c r="L194" s="134"/>
      <c r="M194" s="135" t="n">
        <v>42095</v>
      </c>
      <c r="N194" s="169" t="n">
        <v>26.7749996185303</v>
      </c>
      <c r="O194" s="169" t="n">
        <v>28.3499996185303</v>
      </c>
      <c r="P194" s="169" t="n">
        <v>29.6099996185303</v>
      </c>
      <c r="Q194" s="65"/>
      <c r="R194" s="169" t="n">
        <v>20.25</v>
      </c>
      <c r="S194" s="169" t="n">
        <v>25.25</v>
      </c>
      <c r="T194" s="169" t="n">
        <v>26.51</v>
      </c>
      <c r="U194" s="65"/>
      <c r="V194" s="169" t="n">
        <v>0</v>
      </c>
      <c r="W194" s="169" t="n">
        <v>0</v>
      </c>
      <c r="X194" s="169" t="n">
        <v>0</v>
      </c>
      <c r="Y194" s="65"/>
      <c r="Z194" s="169" t="n">
        <v>0.0885130087094686</v>
      </c>
      <c r="AA194" s="169" t="n">
        <v>0.177026017418937</v>
      </c>
      <c r="AB194" s="169" t="n">
        <v>0.265539026128406</v>
      </c>
      <c r="AC194" s="65"/>
      <c r="AD194" s="169" t="n">
        <v>0.0226092582442471</v>
      </c>
      <c r="AE194" s="169" t="n">
        <v>0.0452185164884941</v>
      </c>
      <c r="AF194" s="169" t="n">
        <v>0.0678277747327412</v>
      </c>
      <c r="AG194" s="65"/>
      <c r="AH194" s="169" t="n">
        <v>-0.25</v>
      </c>
      <c r="AI194" s="169" t="n">
        <v>1.1</v>
      </c>
      <c r="AJ194" s="169" t="n">
        <v>0.3</v>
      </c>
      <c r="AK194" s="65"/>
      <c r="AL194" s="169" t="n">
        <v>-0.15</v>
      </c>
      <c r="AM194" s="169" t="n">
        <v>0.35</v>
      </c>
      <c r="AN194" s="169" t="n">
        <v>0.2</v>
      </c>
      <c r="AO194" s="65"/>
      <c r="AP194" s="134" t="n">
        <v>59</v>
      </c>
      <c r="AQ194" s="170" t="n">
        <v>0.4</v>
      </c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 s="65"/>
      <c r="BG194" s="65"/>
      <c r="BH194" s="135" t="n">
        <v>42095</v>
      </c>
      <c r="BI194" s="172" t="n">
        <v>0.9</v>
      </c>
      <c r="BJ194" s="65"/>
      <c r="BK194" s="65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65"/>
      <c r="BZ194" s="65"/>
      <c r="CA194" s="65"/>
      <c r="CB194" s="65"/>
      <c r="CC194" s="65"/>
      <c r="CD194" s="65"/>
      <c r="CE194" s="65"/>
      <c r="CF194" s="65"/>
      <c r="CG194" s="65"/>
      <c r="CH194" s="0"/>
      <c r="CM194" s="206"/>
      <c r="CN194" s="206"/>
      <c r="CO194" s="173"/>
      <c r="CP194" s="0"/>
      <c r="CQ194" s="0"/>
      <c r="CR194" s="0"/>
      <c r="CS194" s="0"/>
      <c r="CT194" s="0"/>
      <c r="CY194" s="174" t="n">
        <f aca="false">M194</f>
        <v>42095</v>
      </c>
      <c r="CZ194" s="175" t="n">
        <f aca="false">AI194+AH194</f>
        <v>0.85</v>
      </c>
      <c r="DA194" s="175" t="n">
        <f aca="false">AI194</f>
        <v>1.1</v>
      </c>
      <c r="DB194" s="175" t="n">
        <f aca="false">AI194+AJ194</f>
        <v>1.4</v>
      </c>
      <c r="DD194" s="175" t="n">
        <f aca="false">Z194</f>
        <v>0.0885130087094686</v>
      </c>
      <c r="DE194" s="175" t="n">
        <f aca="false">AA194</f>
        <v>0.177026017418937</v>
      </c>
      <c r="DF194" s="175" t="n">
        <f aca="false">AB194</f>
        <v>0.265539026128406</v>
      </c>
      <c r="DH194" s="174" t="n">
        <f aca="false">BH194</f>
        <v>42095</v>
      </c>
      <c r="DI194" s="128" t="n">
        <f aca="false">BI194</f>
        <v>0.9</v>
      </c>
    </row>
    <row r="195" customFormat="false" ht="12.75" hidden="false" customHeight="false" outlineLevel="0" collapsed="false">
      <c r="A195" s="138" t="n">
        <f aca="false">EOMONTH(A194,0)+1</f>
        <v>51471</v>
      </c>
      <c r="B195" s="128" t="n">
        <f aca="false">'Gas Curves'!C199</f>
        <v>0.061897051333005</v>
      </c>
      <c r="C195" s="128"/>
      <c r="D195" s="167" t="n">
        <v>41244</v>
      </c>
      <c r="E195" s="168" t="n">
        <v>39.17</v>
      </c>
      <c r="F195" s="168" t="n">
        <v>41.8</v>
      </c>
      <c r="G195" s="168" t="n">
        <v>44.25</v>
      </c>
      <c r="H195" s="152"/>
      <c r="I195" s="168" t="n">
        <v>26.7349992370605</v>
      </c>
      <c r="J195" s="168" t="n">
        <v>28.0499992370605</v>
      </c>
      <c r="K195" s="168" t="n">
        <v>29.0549992370605</v>
      </c>
      <c r="L195" s="134"/>
      <c r="M195" s="135" t="n">
        <v>42125</v>
      </c>
      <c r="N195" s="169" t="n">
        <v>30.375</v>
      </c>
      <c r="O195" s="169" t="n">
        <v>31.95</v>
      </c>
      <c r="P195" s="169" t="n">
        <v>34.335</v>
      </c>
      <c r="Q195" s="65"/>
      <c r="R195" s="169" t="n">
        <v>23.4499988555908</v>
      </c>
      <c r="S195" s="169" t="n">
        <v>28.4499988555908</v>
      </c>
      <c r="T195" s="169" t="n">
        <v>30.8349988555908</v>
      </c>
      <c r="U195" s="65"/>
      <c r="V195" s="169" t="n">
        <v>0</v>
      </c>
      <c r="W195" s="169" t="n">
        <v>0</v>
      </c>
      <c r="X195" s="169" t="n">
        <v>0</v>
      </c>
      <c r="Y195" s="65"/>
      <c r="Z195" s="169" t="n">
        <v>0.0931176871964858</v>
      </c>
      <c r="AA195" s="169" t="n">
        <v>0.186235374392972</v>
      </c>
      <c r="AB195" s="169" t="n">
        <v>0.279353061589457</v>
      </c>
      <c r="AC195" s="65"/>
      <c r="AD195" s="169" t="n">
        <v>0.0258499185925891</v>
      </c>
      <c r="AE195" s="169" t="n">
        <v>0.0516998371851783</v>
      </c>
      <c r="AF195" s="169" t="n">
        <v>0.0775497557777674</v>
      </c>
      <c r="AG195" s="65"/>
      <c r="AH195" s="169" t="n">
        <v>-0.25</v>
      </c>
      <c r="AI195" s="169" t="n">
        <v>1.1</v>
      </c>
      <c r="AJ195" s="169" t="n">
        <v>0.3</v>
      </c>
      <c r="AK195" s="65"/>
      <c r="AL195" s="169" t="n">
        <v>-0.15</v>
      </c>
      <c r="AM195" s="169" t="n">
        <v>0.5</v>
      </c>
      <c r="AN195" s="169" t="n">
        <v>0.2</v>
      </c>
      <c r="AO195" s="65"/>
      <c r="AP195" s="134" t="n">
        <v>60</v>
      </c>
      <c r="AQ195" s="170" t="n">
        <v>0.4</v>
      </c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  <c r="BG195" s="65"/>
      <c r="BH195" s="135" t="n">
        <v>42125</v>
      </c>
      <c r="BI195" s="172" t="n">
        <v>0.9</v>
      </c>
      <c r="BJ195" s="65"/>
      <c r="BK195" s="65"/>
      <c r="BL195" s="65"/>
      <c r="BM195" s="65"/>
      <c r="BN195" s="65"/>
      <c r="BO195" s="65"/>
      <c r="BP195" s="65"/>
      <c r="BQ195" s="65"/>
      <c r="BR195" s="65"/>
      <c r="BS195" s="65"/>
      <c r="BT195" s="65"/>
      <c r="BU195" s="65"/>
      <c r="BV195" s="65"/>
      <c r="BW195" s="65"/>
      <c r="BX195" s="65"/>
      <c r="BY195" s="65"/>
      <c r="BZ195" s="65"/>
      <c r="CA195" s="65"/>
      <c r="CB195" s="65"/>
      <c r="CC195" s="65"/>
      <c r="CD195" s="65"/>
      <c r="CE195" s="65"/>
      <c r="CF195" s="65"/>
      <c r="CG195" s="65"/>
      <c r="CH195" s="0"/>
      <c r="CM195" s="206"/>
      <c r="CN195" s="206"/>
      <c r="CO195" s="173"/>
      <c r="CP195" s="0"/>
      <c r="CQ195" s="0"/>
      <c r="CR195" s="0"/>
      <c r="CS195" s="0"/>
      <c r="CT195" s="0"/>
      <c r="CY195" s="174" t="n">
        <f aca="false">M195</f>
        <v>42125</v>
      </c>
      <c r="CZ195" s="175" t="n">
        <f aca="false">AI195+AH195</f>
        <v>0.85</v>
      </c>
      <c r="DA195" s="175" t="n">
        <f aca="false">AI195</f>
        <v>1.1</v>
      </c>
      <c r="DB195" s="175" t="n">
        <f aca="false">AI195+AJ195</f>
        <v>1.4</v>
      </c>
      <c r="DD195" s="175" t="n">
        <f aca="false">Z195</f>
        <v>0.0931176871964858</v>
      </c>
      <c r="DE195" s="175" t="n">
        <f aca="false">AA195</f>
        <v>0.186235374392972</v>
      </c>
      <c r="DF195" s="175" t="n">
        <f aca="false">AB195</f>
        <v>0.279353061589457</v>
      </c>
      <c r="DH195" s="174" t="n">
        <f aca="false">BH195</f>
        <v>42125</v>
      </c>
      <c r="DI195" s="128" t="n">
        <f aca="false">BI195</f>
        <v>0.9</v>
      </c>
    </row>
    <row r="196" customFormat="false" ht="12.75" hidden="false" customHeight="false" outlineLevel="0" collapsed="false">
      <c r="A196" s="138" t="n">
        <f aca="false">EOMONTH(A195,0)+1</f>
        <v>51502</v>
      </c>
      <c r="B196" s="128" t="n">
        <f aca="false">'Gas Curves'!C200</f>
        <v>0.061920766418217</v>
      </c>
      <c r="C196" s="128"/>
      <c r="D196" s="167" t="n">
        <v>41275</v>
      </c>
      <c r="E196" s="168" t="n">
        <v>55.47</v>
      </c>
      <c r="F196" s="168" t="n">
        <v>58.1</v>
      </c>
      <c r="G196" s="168" t="n">
        <v>60.14</v>
      </c>
      <c r="H196" s="152"/>
      <c r="I196" s="168" t="n">
        <v>27.7850003814697</v>
      </c>
      <c r="J196" s="168" t="n">
        <v>29.1000003814697</v>
      </c>
      <c r="K196" s="168" t="n">
        <v>29.9400003814697</v>
      </c>
      <c r="L196" s="134"/>
      <c r="M196" s="135" t="n">
        <v>42156</v>
      </c>
      <c r="N196" s="169" t="n">
        <v>35.7125030517578</v>
      </c>
      <c r="O196" s="169" t="n">
        <v>38.7500030517578</v>
      </c>
      <c r="P196" s="169" t="n">
        <v>42.3800030517578</v>
      </c>
      <c r="Q196" s="65"/>
      <c r="R196" s="169" t="n">
        <v>28.9500026702881</v>
      </c>
      <c r="S196" s="169" t="n">
        <v>33.9500026702881</v>
      </c>
      <c r="T196" s="169" t="n">
        <v>37.5800026702881</v>
      </c>
      <c r="U196" s="65"/>
      <c r="V196" s="169" t="n">
        <v>0</v>
      </c>
      <c r="W196" s="169" t="n">
        <v>0</v>
      </c>
      <c r="X196" s="169" t="n">
        <v>0</v>
      </c>
      <c r="Y196" s="65"/>
      <c r="Z196" s="169" t="n">
        <v>0.0995832307353912</v>
      </c>
      <c r="AA196" s="169" t="n">
        <v>0.199166461470782</v>
      </c>
      <c r="AB196" s="169" t="n">
        <v>0.298749692206173</v>
      </c>
      <c r="AC196" s="65"/>
      <c r="AD196" s="169" t="n">
        <v>0.0332356096190432</v>
      </c>
      <c r="AE196" s="169" t="n">
        <v>0.0664712192380863</v>
      </c>
      <c r="AF196" s="169" t="n">
        <v>0.0997068288571295</v>
      </c>
      <c r="AG196" s="65"/>
      <c r="AH196" s="169" t="n">
        <v>-0.35</v>
      </c>
      <c r="AI196" s="169" t="n">
        <v>2</v>
      </c>
      <c r="AJ196" s="169" t="n">
        <v>0.3</v>
      </c>
      <c r="AK196" s="65"/>
      <c r="AL196" s="169" t="n">
        <v>-0.15</v>
      </c>
      <c r="AM196" s="169" t="n">
        <v>0.65</v>
      </c>
      <c r="AN196" s="169" t="n">
        <v>0.2</v>
      </c>
      <c r="AO196" s="65"/>
      <c r="AP196" s="134" t="n">
        <v>60</v>
      </c>
      <c r="AQ196" s="170" t="n">
        <v>0.4</v>
      </c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135" t="n">
        <v>42156</v>
      </c>
      <c r="BI196" s="172" t="n">
        <v>0.9</v>
      </c>
      <c r="BJ196" s="65"/>
      <c r="BK196" s="65"/>
      <c r="BL196" s="65"/>
      <c r="BM196" s="65"/>
      <c r="BN196" s="65"/>
      <c r="BO196" s="65"/>
      <c r="BP196" s="65"/>
      <c r="BQ196" s="65"/>
      <c r="BR196" s="65"/>
      <c r="BS196" s="65"/>
      <c r="BT196" s="65"/>
      <c r="BU196" s="65"/>
      <c r="BV196" s="65"/>
      <c r="BW196" s="65"/>
      <c r="BX196" s="65"/>
      <c r="BY196" s="65"/>
      <c r="BZ196" s="65"/>
      <c r="CA196" s="65"/>
      <c r="CB196" s="65"/>
      <c r="CC196" s="65"/>
      <c r="CD196" s="65"/>
      <c r="CE196" s="65"/>
      <c r="CF196" s="65"/>
      <c r="CG196" s="65"/>
      <c r="CH196" s="0"/>
      <c r="CM196" s="206"/>
      <c r="CN196" s="206"/>
      <c r="CO196" s="173"/>
      <c r="CP196" s="0"/>
      <c r="CQ196" s="0"/>
      <c r="CR196" s="0"/>
      <c r="CS196" s="0"/>
      <c r="CT196" s="0"/>
      <c r="CY196" s="174" t="n">
        <f aca="false">M196</f>
        <v>42156</v>
      </c>
      <c r="CZ196" s="175" t="n">
        <f aca="false">AI196+AH196</f>
        <v>1.65</v>
      </c>
      <c r="DA196" s="175" t="n">
        <f aca="false">AI196</f>
        <v>2</v>
      </c>
      <c r="DB196" s="175" t="n">
        <f aca="false">AI196+AJ196</f>
        <v>2.3</v>
      </c>
      <c r="DD196" s="175" t="n">
        <f aca="false">Z196</f>
        <v>0.0995832307353912</v>
      </c>
      <c r="DE196" s="175" t="n">
        <f aca="false">AA196</f>
        <v>0.199166461470782</v>
      </c>
      <c r="DF196" s="175" t="n">
        <f aca="false">AB196</f>
        <v>0.298749692206173</v>
      </c>
      <c r="DH196" s="174" t="n">
        <f aca="false">BH196</f>
        <v>42156</v>
      </c>
      <c r="DI196" s="128" t="n">
        <f aca="false">BI196</f>
        <v>0.9</v>
      </c>
    </row>
    <row r="197" customFormat="false" ht="12.75" hidden="false" customHeight="false" outlineLevel="0" collapsed="false">
      <c r="A197" s="138" t="n">
        <f aca="false">EOMONTH(A196,0)+1</f>
        <v>51533</v>
      </c>
      <c r="B197" s="128" t="n">
        <f aca="false">'Gas Curves'!C201</f>
        <v>0.061945272006466</v>
      </c>
      <c r="C197" s="128"/>
      <c r="D197" s="167" t="n">
        <v>41306</v>
      </c>
      <c r="E197" s="168" t="n">
        <v>56.03</v>
      </c>
      <c r="F197" s="168" t="n">
        <v>58.1</v>
      </c>
      <c r="G197" s="168" t="n">
        <v>60.14</v>
      </c>
      <c r="H197" s="152"/>
      <c r="I197" s="168" t="n">
        <v>24.715</v>
      </c>
      <c r="J197" s="168" t="n">
        <v>25.75</v>
      </c>
      <c r="K197" s="168" t="n">
        <v>26.59</v>
      </c>
      <c r="L197" s="134"/>
      <c r="M197" s="135" t="n">
        <v>42186</v>
      </c>
      <c r="N197" s="169" t="n">
        <v>37.7250015258789</v>
      </c>
      <c r="O197" s="169" t="n">
        <v>45.1500015258789</v>
      </c>
      <c r="P197" s="169" t="n">
        <v>52.8975015258789</v>
      </c>
      <c r="Q197" s="65"/>
      <c r="R197" s="169" t="n">
        <v>34.1500015258789</v>
      </c>
      <c r="S197" s="169" t="n">
        <v>39.1500015258789</v>
      </c>
      <c r="T197" s="169" t="n">
        <v>46.8975015258789</v>
      </c>
      <c r="U197" s="65"/>
      <c r="V197" s="169" t="n">
        <v>0</v>
      </c>
      <c r="W197" s="169" t="n">
        <v>0</v>
      </c>
      <c r="X197" s="169" t="n">
        <v>0</v>
      </c>
      <c r="Y197" s="65"/>
      <c r="Z197" s="169" t="n">
        <v>0.118608971696938</v>
      </c>
      <c r="AA197" s="169" t="n">
        <v>0.237217943393876</v>
      </c>
      <c r="AB197" s="169" t="n">
        <v>0.355826915090813</v>
      </c>
      <c r="AC197" s="65"/>
      <c r="AD197" s="169" t="n">
        <v>0.0443141461587242</v>
      </c>
      <c r="AE197" s="169" t="n">
        <v>0.0886282923174484</v>
      </c>
      <c r="AF197" s="169" t="n">
        <v>0.132942438476173</v>
      </c>
      <c r="AG197" s="65"/>
      <c r="AH197" s="169" t="n">
        <v>-0.35</v>
      </c>
      <c r="AI197" s="169" t="n">
        <v>3</v>
      </c>
      <c r="AJ197" s="169" t="n">
        <v>0.5</v>
      </c>
      <c r="AK197" s="65"/>
      <c r="AL197" s="169" t="n">
        <v>-0.15</v>
      </c>
      <c r="AM197" s="169" t="n">
        <v>0.75</v>
      </c>
      <c r="AN197" s="169" t="n">
        <v>0.2</v>
      </c>
      <c r="AO197" s="65"/>
      <c r="AP197" s="134" t="n">
        <v>60</v>
      </c>
      <c r="AQ197" s="170" t="n">
        <v>0.4</v>
      </c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  <c r="BG197" s="65"/>
      <c r="BH197" s="135" t="n">
        <v>42186</v>
      </c>
      <c r="BI197" s="172" t="n">
        <v>0.9</v>
      </c>
      <c r="BJ197" s="65"/>
      <c r="BK197" s="65"/>
      <c r="BL197" s="65"/>
      <c r="BM197" s="65"/>
      <c r="BN197" s="65"/>
      <c r="BO197" s="65"/>
      <c r="BP197" s="65"/>
      <c r="BQ197" s="65"/>
      <c r="BR197" s="65"/>
      <c r="BS197" s="65"/>
      <c r="BT197" s="65"/>
      <c r="BU197" s="65"/>
      <c r="BV197" s="65"/>
      <c r="BW197" s="65"/>
      <c r="BX197" s="65"/>
      <c r="BY197" s="65"/>
      <c r="BZ197" s="65"/>
      <c r="CA197" s="65"/>
      <c r="CB197" s="65"/>
      <c r="CC197" s="65"/>
      <c r="CD197" s="65"/>
      <c r="CE197" s="65"/>
      <c r="CF197" s="65"/>
      <c r="CG197" s="65"/>
      <c r="CH197" s="0"/>
      <c r="CM197" s="206"/>
      <c r="CN197" s="206"/>
      <c r="CO197" s="173"/>
      <c r="CP197" s="0"/>
      <c r="CQ197" s="0"/>
      <c r="CR197" s="0"/>
      <c r="CS197" s="0"/>
      <c r="CT197" s="0"/>
      <c r="CY197" s="174" t="n">
        <f aca="false">M197</f>
        <v>42186</v>
      </c>
      <c r="CZ197" s="175" t="n">
        <f aca="false">AI197+AH197</f>
        <v>2.65</v>
      </c>
      <c r="DA197" s="175" t="n">
        <f aca="false">AI197</f>
        <v>3</v>
      </c>
      <c r="DB197" s="175" t="n">
        <f aca="false">AI197+AJ197</f>
        <v>3.5</v>
      </c>
      <c r="DD197" s="175" t="n">
        <f aca="false">Z197</f>
        <v>0.118608971696938</v>
      </c>
      <c r="DE197" s="175" t="n">
        <f aca="false">AA197</f>
        <v>0.237217943393876</v>
      </c>
      <c r="DF197" s="175" t="n">
        <f aca="false">AB197</f>
        <v>0.355826915090813</v>
      </c>
      <c r="DH197" s="174" t="n">
        <f aca="false">BH197</f>
        <v>42186</v>
      </c>
      <c r="DI197" s="128" t="n">
        <f aca="false">BI197</f>
        <v>0.9</v>
      </c>
    </row>
    <row r="198" customFormat="false" ht="12.75" hidden="false" customHeight="false" outlineLevel="0" collapsed="false">
      <c r="A198" s="138" t="n">
        <f aca="false">EOMONTH(A197,0)+1</f>
        <v>51561</v>
      </c>
      <c r="B198" s="128" t="n">
        <f aca="false">'Gas Curves'!C202</f>
        <v>0.061968987092058</v>
      </c>
      <c r="C198" s="128"/>
      <c r="D198" s="167" t="n">
        <v>41334</v>
      </c>
      <c r="E198" s="168" t="n">
        <v>39.03</v>
      </c>
      <c r="F198" s="168" t="n">
        <v>41.1</v>
      </c>
      <c r="G198" s="168" t="n">
        <v>43.14</v>
      </c>
      <c r="H198" s="152"/>
      <c r="I198" s="168" t="n">
        <v>25.1149996185303</v>
      </c>
      <c r="J198" s="168" t="n">
        <v>26.1499996185303</v>
      </c>
      <c r="K198" s="168" t="n">
        <v>26.9899996185303</v>
      </c>
      <c r="L198" s="134"/>
      <c r="M198" s="135" t="n">
        <v>42217</v>
      </c>
      <c r="N198" s="169" t="n">
        <v>49.4750015258789</v>
      </c>
      <c r="O198" s="169" t="n">
        <v>56.9000015258789</v>
      </c>
      <c r="P198" s="169" t="n">
        <v>64.6475015258789</v>
      </c>
      <c r="Q198" s="65"/>
      <c r="R198" s="169" t="n">
        <v>45.9500007629395</v>
      </c>
      <c r="S198" s="169" t="n">
        <v>50.9500007629395</v>
      </c>
      <c r="T198" s="169" t="n">
        <v>58.6975007629395</v>
      </c>
      <c r="U198" s="65"/>
      <c r="V198" s="169" t="n">
        <v>0</v>
      </c>
      <c r="W198" s="169" t="n">
        <v>0</v>
      </c>
      <c r="X198" s="169" t="n">
        <v>0</v>
      </c>
      <c r="Y198" s="65"/>
      <c r="Z198" s="169" t="n">
        <v>0.116010177400335</v>
      </c>
      <c r="AA198" s="169" t="n">
        <v>0.232020354800671</v>
      </c>
      <c r="AB198" s="169" t="n">
        <v>0.348030532201006</v>
      </c>
      <c r="AC198" s="65"/>
      <c r="AD198" s="169" t="n">
        <v>0.0443141461587242</v>
      </c>
      <c r="AE198" s="169" t="n">
        <v>0.0886282923174484</v>
      </c>
      <c r="AF198" s="169" t="n">
        <v>0.132942438476173</v>
      </c>
      <c r="AG198" s="65"/>
      <c r="AH198" s="169" t="n">
        <v>-0.35</v>
      </c>
      <c r="AI198" s="169" t="n">
        <v>3</v>
      </c>
      <c r="AJ198" s="169" t="n">
        <v>0.5</v>
      </c>
      <c r="AK198" s="65"/>
      <c r="AL198" s="169" t="n">
        <v>-0.15</v>
      </c>
      <c r="AM198" s="169" t="n">
        <v>0.75</v>
      </c>
      <c r="AN198" s="169" t="n">
        <v>0.2</v>
      </c>
      <c r="AO198" s="65"/>
      <c r="AP198" s="134" t="n">
        <v>61</v>
      </c>
      <c r="AQ198" s="170" t="n">
        <v>0.4</v>
      </c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135" t="n">
        <v>42217</v>
      </c>
      <c r="BI198" s="172" t="n">
        <v>0.9</v>
      </c>
      <c r="BJ198" s="65"/>
      <c r="BK198" s="65"/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65"/>
      <c r="BZ198" s="65"/>
      <c r="CA198" s="65"/>
      <c r="CB198" s="65"/>
      <c r="CC198" s="65"/>
      <c r="CD198" s="65"/>
      <c r="CE198" s="65"/>
      <c r="CF198" s="65"/>
      <c r="CG198" s="65"/>
      <c r="CH198" s="0"/>
      <c r="CM198" s="206"/>
      <c r="CN198" s="206"/>
      <c r="CO198" s="173"/>
      <c r="CP198" s="0"/>
      <c r="CQ198" s="0"/>
      <c r="CR198" s="0"/>
      <c r="CS198" s="0"/>
      <c r="CT198" s="0"/>
      <c r="CY198" s="174" t="n">
        <f aca="false">M198</f>
        <v>42217</v>
      </c>
      <c r="CZ198" s="175" t="n">
        <f aca="false">AI198+AH198</f>
        <v>2.65</v>
      </c>
      <c r="DA198" s="175" t="n">
        <f aca="false">AI198</f>
        <v>3</v>
      </c>
      <c r="DB198" s="175" t="n">
        <f aca="false">AI198+AJ198</f>
        <v>3.5</v>
      </c>
      <c r="DD198" s="175" t="n">
        <f aca="false">Z198</f>
        <v>0.116010177400335</v>
      </c>
      <c r="DE198" s="175" t="n">
        <f aca="false">AA198</f>
        <v>0.232020354800671</v>
      </c>
      <c r="DF198" s="175" t="n">
        <f aca="false">AB198</f>
        <v>0.348030532201006</v>
      </c>
      <c r="DH198" s="174" t="n">
        <f aca="false">BH198</f>
        <v>42217</v>
      </c>
      <c r="DI198" s="128" t="n">
        <f aca="false">BI198</f>
        <v>0.9</v>
      </c>
    </row>
    <row r="199" customFormat="false" ht="12.75" hidden="false" customHeight="false" outlineLevel="0" collapsed="false">
      <c r="A199" s="138" t="n">
        <f aca="false">EOMONTH(A198,0)+1</f>
        <v>51592</v>
      </c>
      <c r="B199" s="128" t="n">
        <f aca="false">'Gas Curves'!C203</f>
        <v>0.061993492680699</v>
      </c>
      <c r="C199" s="128"/>
      <c r="D199" s="167" t="n">
        <v>41365</v>
      </c>
      <c r="E199" s="168" t="n">
        <v>34.97</v>
      </c>
      <c r="F199" s="168" t="n">
        <v>37.6</v>
      </c>
      <c r="G199" s="168" t="n">
        <v>39.64</v>
      </c>
      <c r="H199" s="152"/>
      <c r="I199" s="168" t="n">
        <v>22.5849996185303</v>
      </c>
      <c r="J199" s="168" t="n">
        <v>23.8999996185303</v>
      </c>
      <c r="K199" s="168" t="n">
        <v>24.7399996185303</v>
      </c>
      <c r="L199" s="134"/>
      <c r="M199" s="135" t="n">
        <v>42248</v>
      </c>
      <c r="N199" s="169" t="n">
        <v>31.2375011444092</v>
      </c>
      <c r="O199" s="169" t="n">
        <v>34.2750011444092</v>
      </c>
      <c r="P199" s="169" t="n">
        <v>36.6600011444092</v>
      </c>
      <c r="Q199" s="65"/>
      <c r="R199" s="169" t="n">
        <v>26.5500015258789</v>
      </c>
      <c r="S199" s="169" t="n">
        <v>31.5500015258789</v>
      </c>
      <c r="T199" s="169" t="n">
        <v>33.9350015258789</v>
      </c>
      <c r="U199" s="65"/>
      <c r="V199" s="169" t="n">
        <v>0</v>
      </c>
      <c r="W199" s="169" t="n">
        <v>0</v>
      </c>
      <c r="X199" s="169" t="n">
        <v>0</v>
      </c>
      <c r="Y199" s="65"/>
      <c r="Z199" s="169" t="n">
        <v>0.0878969982095332</v>
      </c>
      <c r="AA199" s="169" t="n">
        <v>0.175793996419066</v>
      </c>
      <c r="AB199" s="169" t="n">
        <v>0.2636909946286</v>
      </c>
      <c r="AC199" s="65"/>
      <c r="AD199" s="169" t="n">
        <v>0.0295427641058161</v>
      </c>
      <c r="AE199" s="169" t="n">
        <v>0.0590855282116323</v>
      </c>
      <c r="AF199" s="169" t="n">
        <v>0.0886282923174484</v>
      </c>
      <c r="AG199" s="65"/>
      <c r="AH199" s="169" t="n">
        <v>-0.35</v>
      </c>
      <c r="AI199" s="169" t="n">
        <v>1.5</v>
      </c>
      <c r="AJ199" s="169" t="n">
        <v>0.3</v>
      </c>
      <c r="AK199" s="65"/>
      <c r="AL199" s="169" t="n">
        <v>-0.15</v>
      </c>
      <c r="AM199" s="169" t="n">
        <v>0.4</v>
      </c>
      <c r="AN199" s="169" t="n">
        <v>0.2</v>
      </c>
      <c r="AO199" s="65"/>
      <c r="AP199" s="134" t="n">
        <v>61</v>
      </c>
      <c r="AQ199" s="170" t="n">
        <v>0.4</v>
      </c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135" t="n">
        <v>42248</v>
      </c>
      <c r="BI199" s="172" t="n">
        <v>0.9</v>
      </c>
      <c r="BJ199" s="65"/>
      <c r="BK199" s="65"/>
      <c r="BL199" s="65"/>
      <c r="BM199" s="65"/>
      <c r="BN199" s="65"/>
      <c r="BO199" s="65"/>
      <c r="BP199" s="65"/>
      <c r="BQ199" s="65"/>
      <c r="BR199" s="65"/>
      <c r="BS199" s="65"/>
      <c r="BT199" s="65"/>
      <c r="BU199" s="65"/>
      <c r="BV199" s="65"/>
      <c r="BW199" s="65"/>
      <c r="BX199" s="65"/>
      <c r="BY199" s="65"/>
      <c r="BZ199" s="65"/>
      <c r="CA199" s="65"/>
      <c r="CB199" s="65"/>
      <c r="CC199" s="65"/>
      <c r="CD199" s="65"/>
      <c r="CE199" s="65"/>
      <c r="CF199" s="65"/>
      <c r="CG199" s="65"/>
      <c r="CH199" s="0"/>
      <c r="CM199" s="206"/>
      <c r="CN199" s="206"/>
      <c r="CO199" s="173"/>
      <c r="CP199" s="0"/>
      <c r="CQ199" s="0"/>
      <c r="CR199" s="0"/>
      <c r="CS199" s="0"/>
      <c r="CT199" s="0"/>
      <c r="CY199" s="174" t="n">
        <f aca="false">M199</f>
        <v>42248</v>
      </c>
      <c r="CZ199" s="175" t="n">
        <f aca="false">AI199+AH199</f>
        <v>1.15</v>
      </c>
      <c r="DA199" s="175" t="n">
        <f aca="false">AI199</f>
        <v>1.5</v>
      </c>
      <c r="DB199" s="175" t="n">
        <f aca="false">AI199+AJ199</f>
        <v>1.8</v>
      </c>
      <c r="DD199" s="175" t="n">
        <f aca="false">Z199</f>
        <v>0.0878969982095332</v>
      </c>
      <c r="DE199" s="175" t="n">
        <f aca="false">AA199</f>
        <v>0.175793996419066</v>
      </c>
      <c r="DF199" s="175" t="n">
        <f aca="false">AB199</f>
        <v>0.2636909946286</v>
      </c>
      <c r="DH199" s="174" t="n">
        <f aca="false">BH199</f>
        <v>42248</v>
      </c>
      <c r="DI199" s="128" t="n">
        <f aca="false">BI199</f>
        <v>0.9</v>
      </c>
    </row>
    <row r="200" customFormat="false" ht="12.75" hidden="false" customHeight="false" outlineLevel="0" collapsed="false">
      <c r="A200" s="138" t="n">
        <f aca="false">EOMONTH(A199,0)+1</f>
        <v>51622</v>
      </c>
      <c r="B200" s="128" t="n">
        <f aca="false">'Gas Curves'!C204</f>
        <v>0.062017998269539</v>
      </c>
      <c r="C200" s="128"/>
      <c r="D200" s="167" t="n">
        <v>41395</v>
      </c>
      <c r="E200" s="168" t="n">
        <v>38.67</v>
      </c>
      <c r="F200" s="168" t="n">
        <v>41.3</v>
      </c>
      <c r="G200" s="168" t="n">
        <v>45.15</v>
      </c>
      <c r="H200" s="152"/>
      <c r="I200" s="168" t="n">
        <v>23.5849996185303</v>
      </c>
      <c r="J200" s="168" t="n">
        <v>24.8999996185303</v>
      </c>
      <c r="K200" s="168" t="n">
        <v>26.4899996185303</v>
      </c>
      <c r="L200" s="134"/>
      <c r="M200" s="135" t="n">
        <v>42278</v>
      </c>
      <c r="N200" s="169" t="n">
        <v>28.7000011444092</v>
      </c>
      <c r="O200" s="169" t="n">
        <v>30.2750011444092</v>
      </c>
      <c r="P200" s="169" t="n">
        <v>31.7825011444092</v>
      </c>
      <c r="Q200" s="65"/>
      <c r="R200" s="169" t="n">
        <v>22.0500015258789</v>
      </c>
      <c r="S200" s="169" t="n">
        <v>27.0500015258789</v>
      </c>
      <c r="T200" s="169" t="n">
        <v>28.5575015258789</v>
      </c>
      <c r="U200" s="65"/>
      <c r="V200" s="169" t="n">
        <v>0</v>
      </c>
      <c r="W200" s="169" t="n">
        <v>0</v>
      </c>
      <c r="X200" s="169" t="n">
        <v>0</v>
      </c>
      <c r="Y200" s="65"/>
      <c r="Z200" s="169" t="n">
        <v>0.0760227541456742</v>
      </c>
      <c r="AA200" s="169" t="n">
        <v>0.152045508291348</v>
      </c>
      <c r="AB200" s="169" t="n">
        <v>0.228068262437023</v>
      </c>
      <c r="AC200" s="65"/>
      <c r="AD200" s="169" t="n">
        <v>0.0221570730793621</v>
      </c>
      <c r="AE200" s="169" t="n">
        <v>0.0443141461587242</v>
      </c>
      <c r="AF200" s="169" t="n">
        <v>0.0664712192380863</v>
      </c>
      <c r="AG200" s="65"/>
      <c r="AH200" s="169" t="n">
        <v>-0.25</v>
      </c>
      <c r="AI200" s="169" t="n">
        <v>1.1</v>
      </c>
      <c r="AJ200" s="169" t="n">
        <v>0.3</v>
      </c>
      <c r="AK200" s="65"/>
      <c r="AL200" s="169" t="n">
        <v>-0.15</v>
      </c>
      <c r="AM200" s="169" t="n">
        <v>0.35</v>
      </c>
      <c r="AN200" s="169" t="n">
        <v>0.2</v>
      </c>
      <c r="AO200" s="65"/>
      <c r="AP200" s="134" t="n">
        <v>61</v>
      </c>
      <c r="AQ200" s="170" t="n">
        <v>0.4</v>
      </c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135" t="n">
        <v>42278</v>
      </c>
      <c r="BI200" s="172" t="n">
        <v>0.9</v>
      </c>
      <c r="BJ200" s="65"/>
      <c r="BK200" s="65"/>
      <c r="BL200" s="65"/>
      <c r="BM200" s="65"/>
      <c r="BN200" s="65"/>
      <c r="BO200" s="65"/>
      <c r="BP200" s="65"/>
      <c r="BQ200" s="65"/>
      <c r="BR200" s="65"/>
      <c r="BS200" s="65"/>
      <c r="BT200" s="65"/>
      <c r="BU200" s="65"/>
      <c r="BV200" s="65"/>
      <c r="BW200" s="65"/>
      <c r="BX200" s="65"/>
      <c r="BY200" s="65"/>
      <c r="BZ200" s="65"/>
      <c r="CA200" s="65"/>
      <c r="CB200" s="65"/>
      <c r="CC200" s="65"/>
      <c r="CD200" s="65"/>
      <c r="CE200" s="65"/>
      <c r="CF200" s="65"/>
      <c r="CG200" s="65"/>
      <c r="CH200" s="0"/>
      <c r="CM200" s="206"/>
      <c r="CN200" s="206"/>
      <c r="CO200" s="173"/>
      <c r="CP200" s="0"/>
      <c r="CQ200" s="0"/>
      <c r="CR200" s="0"/>
      <c r="CS200" s="0"/>
      <c r="CT200" s="0"/>
      <c r="CY200" s="174" t="n">
        <f aca="false">M200</f>
        <v>42278</v>
      </c>
      <c r="CZ200" s="175" t="n">
        <f aca="false">AI200+AH200</f>
        <v>0.85</v>
      </c>
      <c r="DA200" s="175" t="n">
        <f aca="false">AI200</f>
        <v>1.1</v>
      </c>
      <c r="DB200" s="175" t="n">
        <f aca="false">AI200+AJ200</f>
        <v>1.4</v>
      </c>
      <c r="DD200" s="175" t="n">
        <f aca="false">Z200</f>
        <v>0.0760227541456742</v>
      </c>
      <c r="DE200" s="175" t="n">
        <f aca="false">AA200</f>
        <v>0.152045508291348</v>
      </c>
      <c r="DF200" s="175" t="n">
        <f aca="false">AB200</f>
        <v>0.228068262437023</v>
      </c>
      <c r="DH200" s="174" t="n">
        <f aca="false">BH200</f>
        <v>42278</v>
      </c>
      <c r="DI200" s="128" t="n">
        <f aca="false">BI200</f>
        <v>0.9</v>
      </c>
    </row>
    <row r="201" customFormat="false" ht="12.75" hidden="false" customHeight="false" outlineLevel="0" collapsed="false">
      <c r="A201" s="138" t="n">
        <f aca="false">EOMONTH(A200,0)+1</f>
        <v>51653</v>
      </c>
      <c r="B201" s="128" t="n">
        <f aca="false">'Gas Curves'!C205</f>
        <v>0.062041713355704</v>
      </c>
      <c r="C201" s="128"/>
      <c r="D201" s="167" t="n">
        <v>41426</v>
      </c>
      <c r="E201" s="168" t="n">
        <v>48.68</v>
      </c>
      <c r="F201" s="168" t="n">
        <v>53.75</v>
      </c>
      <c r="G201" s="168" t="n">
        <v>59.62</v>
      </c>
      <c r="H201" s="152"/>
      <c r="I201" s="168" t="n">
        <v>22.7399996185303</v>
      </c>
      <c r="J201" s="168" t="n">
        <v>25.2749996185303</v>
      </c>
      <c r="K201" s="168" t="n">
        <v>27.6949996185303</v>
      </c>
      <c r="L201" s="134"/>
      <c r="M201" s="135" t="n">
        <v>42309</v>
      </c>
      <c r="N201" s="169" t="n">
        <v>31.0500015258789</v>
      </c>
      <c r="O201" s="169" t="n">
        <v>32.6250015258789</v>
      </c>
      <c r="P201" s="169" t="n">
        <v>34.1325015258789</v>
      </c>
      <c r="Q201" s="65"/>
      <c r="R201" s="169" t="n">
        <v>24.2500003814697</v>
      </c>
      <c r="S201" s="169" t="n">
        <v>29.2500003814697</v>
      </c>
      <c r="T201" s="169" t="n">
        <v>30.7575003814697</v>
      </c>
      <c r="U201" s="65"/>
      <c r="V201" s="169" t="n">
        <v>0</v>
      </c>
      <c r="W201" s="169" t="n">
        <v>0</v>
      </c>
      <c r="X201" s="169" t="n">
        <v>0</v>
      </c>
      <c r="Y201" s="65"/>
      <c r="Z201" s="169" t="n">
        <v>0.0760227541456742</v>
      </c>
      <c r="AA201" s="169" t="n">
        <v>0.152045508291348</v>
      </c>
      <c r="AB201" s="169" t="n">
        <v>0.228068262437023</v>
      </c>
      <c r="AC201" s="65"/>
      <c r="AD201" s="169" t="n">
        <v>0.0221570730793621</v>
      </c>
      <c r="AE201" s="169" t="n">
        <v>0.0443141461587242</v>
      </c>
      <c r="AF201" s="169" t="n">
        <v>0.0664712192380863</v>
      </c>
      <c r="AG201" s="65"/>
      <c r="AH201" s="169" t="n">
        <v>-0.25</v>
      </c>
      <c r="AI201" s="169" t="n">
        <v>1.25</v>
      </c>
      <c r="AJ201" s="169" t="n">
        <v>0.3</v>
      </c>
      <c r="AK201" s="65"/>
      <c r="AL201" s="169" t="n">
        <v>-0.15</v>
      </c>
      <c r="AM201" s="169" t="n">
        <v>0.3</v>
      </c>
      <c r="AN201" s="169" t="n">
        <v>0.2</v>
      </c>
      <c r="AO201" s="65"/>
      <c r="AP201" s="134" t="n">
        <v>62</v>
      </c>
      <c r="AQ201" s="170" t="n">
        <v>0.4</v>
      </c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135" t="n">
        <v>42309</v>
      </c>
      <c r="BI201" s="172" t="n">
        <v>0.9</v>
      </c>
      <c r="BJ201" s="65"/>
      <c r="BK201" s="65"/>
      <c r="BL201" s="65"/>
      <c r="BM201" s="65"/>
      <c r="BN201" s="65"/>
      <c r="BO201" s="65"/>
      <c r="BP201" s="65"/>
      <c r="BQ201" s="65"/>
      <c r="BR201" s="65"/>
      <c r="BS201" s="65"/>
      <c r="BT201" s="65"/>
      <c r="BU201" s="65"/>
      <c r="BV201" s="65"/>
      <c r="BW201" s="65"/>
      <c r="BX201" s="65"/>
      <c r="BY201" s="65"/>
      <c r="BZ201" s="65"/>
      <c r="CA201" s="65"/>
      <c r="CB201" s="65"/>
      <c r="CC201" s="65"/>
      <c r="CD201" s="65"/>
      <c r="CE201" s="65"/>
      <c r="CF201" s="65"/>
      <c r="CG201" s="65"/>
      <c r="CH201" s="0"/>
      <c r="CP201" s="0"/>
      <c r="CQ201" s="0"/>
      <c r="CR201" s="0"/>
      <c r="CS201" s="0"/>
      <c r="CT201" s="0"/>
      <c r="CY201" s="174" t="n">
        <f aca="false">M201</f>
        <v>42309</v>
      </c>
      <c r="CZ201" s="175" t="n">
        <f aca="false">AI201+AH201</f>
        <v>1</v>
      </c>
      <c r="DA201" s="175" t="n">
        <f aca="false">AI201</f>
        <v>1.25</v>
      </c>
      <c r="DB201" s="175" t="n">
        <f aca="false">AI201+AJ201</f>
        <v>1.55</v>
      </c>
      <c r="DD201" s="175" t="n">
        <f aca="false">Z201</f>
        <v>0.0760227541456742</v>
      </c>
      <c r="DE201" s="175" t="n">
        <f aca="false">AA201</f>
        <v>0.152045508291348</v>
      </c>
      <c r="DF201" s="175" t="n">
        <f aca="false">AB201</f>
        <v>0.228068262437023</v>
      </c>
      <c r="DH201" s="174" t="n">
        <f aca="false">BH201</f>
        <v>42309</v>
      </c>
      <c r="DI201" s="128" t="n">
        <f aca="false">BI201</f>
        <v>0.9</v>
      </c>
    </row>
    <row r="202" customFormat="false" ht="12.75" hidden="false" customHeight="false" outlineLevel="0" collapsed="false">
      <c r="A202" s="138" t="n">
        <f aca="false">EOMONTH(A201,0)+1</f>
        <v>51683</v>
      </c>
      <c r="B202" s="128" t="n">
        <f aca="false">'Gas Curves'!C206</f>
        <v>0.062066218944936</v>
      </c>
      <c r="C202" s="128"/>
      <c r="D202" s="167" t="n">
        <v>41456</v>
      </c>
      <c r="E202" s="168" t="n">
        <v>66.35</v>
      </c>
      <c r="F202" s="168" t="n">
        <v>76.25</v>
      </c>
      <c r="G202" s="168" t="n">
        <v>88.76</v>
      </c>
      <c r="H202" s="152"/>
      <c r="I202" s="168" t="n">
        <v>24.05</v>
      </c>
      <c r="J202" s="168" t="n">
        <v>29</v>
      </c>
      <c r="K202" s="168" t="n">
        <v>34.165</v>
      </c>
      <c r="L202" s="134"/>
      <c r="M202" s="135" t="n">
        <v>42339</v>
      </c>
      <c r="N202" s="169" t="n">
        <v>31.65</v>
      </c>
      <c r="O202" s="169" t="n">
        <v>33.225</v>
      </c>
      <c r="P202" s="169" t="n">
        <v>34.7325</v>
      </c>
      <c r="Q202" s="65"/>
      <c r="R202" s="169" t="n">
        <v>24.7500003814697</v>
      </c>
      <c r="S202" s="169" t="n">
        <v>29.7500003814697</v>
      </c>
      <c r="T202" s="169" t="n">
        <v>31.2575003814697</v>
      </c>
      <c r="U202" s="65"/>
      <c r="V202" s="169" t="n">
        <v>0</v>
      </c>
      <c r="W202" s="169" t="n">
        <v>0</v>
      </c>
      <c r="X202" s="169" t="n">
        <v>0</v>
      </c>
      <c r="Y202" s="65"/>
      <c r="Z202" s="169" t="n">
        <v>0.0745051866119791</v>
      </c>
      <c r="AA202" s="169" t="n">
        <v>0.149010373223958</v>
      </c>
      <c r="AB202" s="169" t="n">
        <v>0.223515559835937</v>
      </c>
      <c r="AC202" s="65"/>
      <c r="AD202" s="169" t="n">
        <v>0.0221570730793621</v>
      </c>
      <c r="AE202" s="169" t="n">
        <v>0.0443141461587242</v>
      </c>
      <c r="AF202" s="169" t="n">
        <v>0.0664712192380863</v>
      </c>
      <c r="AG202" s="65"/>
      <c r="AH202" s="169" t="n">
        <v>-0.25</v>
      </c>
      <c r="AI202" s="169" t="n">
        <v>1.25</v>
      </c>
      <c r="AJ202" s="169" t="n">
        <v>0.35</v>
      </c>
      <c r="AK202" s="65"/>
      <c r="AL202" s="169" t="n">
        <v>-0.15</v>
      </c>
      <c r="AM202" s="169" t="n">
        <v>0.3</v>
      </c>
      <c r="AN202" s="169" t="n">
        <v>0.2</v>
      </c>
      <c r="AO202" s="65"/>
      <c r="AP202" s="134" t="n">
        <v>62</v>
      </c>
      <c r="AQ202" s="170" t="n">
        <v>0.4</v>
      </c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135" t="n">
        <v>42339</v>
      </c>
      <c r="BI202" s="172" t="n">
        <v>0.9</v>
      </c>
      <c r="BJ202" s="65"/>
      <c r="BK202" s="65"/>
      <c r="BL202" s="65"/>
      <c r="BM202" s="65"/>
      <c r="BN202" s="65"/>
      <c r="BO202" s="65"/>
      <c r="BP202" s="65"/>
      <c r="BQ202" s="65"/>
      <c r="BR202" s="65"/>
      <c r="BS202" s="65"/>
      <c r="BT202" s="65"/>
      <c r="BU202" s="65"/>
      <c r="BV202" s="65"/>
      <c r="BW202" s="65"/>
      <c r="BX202" s="65"/>
      <c r="BY202" s="65"/>
      <c r="BZ202" s="65"/>
      <c r="CA202" s="65"/>
      <c r="CB202" s="65"/>
      <c r="CC202" s="65"/>
      <c r="CD202" s="65"/>
      <c r="CE202" s="65"/>
      <c r="CF202" s="65"/>
      <c r="CG202" s="65"/>
      <c r="CH202" s="0"/>
      <c r="CP202" s="0"/>
      <c r="CQ202" s="0"/>
      <c r="CR202" s="0"/>
      <c r="CS202" s="0"/>
      <c r="CT202" s="0"/>
      <c r="CY202" s="174" t="n">
        <f aca="false">M202</f>
        <v>42339</v>
      </c>
      <c r="CZ202" s="175" t="n">
        <f aca="false">AI202+AH202</f>
        <v>1</v>
      </c>
      <c r="DA202" s="175" t="n">
        <f aca="false">AI202</f>
        <v>1.25</v>
      </c>
      <c r="DB202" s="175" t="n">
        <f aca="false">AI202+AJ202</f>
        <v>1.6</v>
      </c>
      <c r="DD202" s="175" t="n">
        <f aca="false">Z202</f>
        <v>0.0745051866119791</v>
      </c>
      <c r="DE202" s="175" t="n">
        <f aca="false">AA202</f>
        <v>0.149010373223958</v>
      </c>
      <c r="DF202" s="175" t="n">
        <f aca="false">AB202</f>
        <v>0.223515559835937</v>
      </c>
      <c r="DH202" s="174" t="n">
        <f aca="false">BH202</f>
        <v>42339</v>
      </c>
      <c r="DI202" s="128" t="n">
        <f aca="false">BI202</f>
        <v>0.9</v>
      </c>
    </row>
    <row r="203" customFormat="false" ht="12.75" hidden="false" customHeight="false" outlineLevel="0" collapsed="false">
      <c r="A203" s="138" t="n">
        <f aca="false">EOMONTH(A202,0)+1</f>
        <v>51714</v>
      </c>
      <c r="B203" s="128" t="n">
        <f aca="false">'Gas Curves'!C207</f>
        <v>0.062089934031479</v>
      </c>
      <c r="C203" s="128"/>
      <c r="D203" s="167" t="n">
        <v>41487</v>
      </c>
      <c r="E203" s="168" t="n">
        <v>66.35</v>
      </c>
      <c r="F203" s="168" t="n">
        <v>76.25</v>
      </c>
      <c r="G203" s="168" t="n">
        <v>88.76</v>
      </c>
      <c r="H203" s="152"/>
      <c r="I203" s="168" t="n">
        <v>36.2000015258789</v>
      </c>
      <c r="J203" s="168" t="n">
        <v>41.1500015258789</v>
      </c>
      <c r="K203" s="168" t="n">
        <v>46.3150015258789</v>
      </c>
      <c r="L203" s="134"/>
      <c r="M203" s="135" t="n">
        <v>42370</v>
      </c>
      <c r="N203" s="169" t="n">
        <v>34.2294960021973</v>
      </c>
      <c r="O203" s="169" t="n">
        <v>35.8044960021973</v>
      </c>
      <c r="P203" s="169" t="n">
        <v>37.0644960021973</v>
      </c>
      <c r="Q203" s="65"/>
      <c r="R203" s="169" t="n">
        <v>26.9039974212647</v>
      </c>
      <c r="S203" s="169" t="n">
        <v>31.9039974212647</v>
      </c>
      <c r="T203" s="169" t="n">
        <v>33.1639974212647</v>
      </c>
      <c r="U203" s="65"/>
      <c r="V203" s="169" t="n">
        <v>0</v>
      </c>
      <c r="W203" s="169" t="n">
        <v>0</v>
      </c>
      <c r="X203" s="169" t="n">
        <v>0</v>
      </c>
      <c r="Y203" s="65"/>
      <c r="Z203" s="169" t="n">
        <v>0.109946324041596</v>
      </c>
      <c r="AA203" s="169" t="n">
        <v>0.219892648083192</v>
      </c>
      <c r="AB203" s="169" t="n">
        <v>0.329838972124788</v>
      </c>
      <c r="AC203" s="65"/>
      <c r="AD203" s="169" t="n">
        <v>0.0253329202207374</v>
      </c>
      <c r="AE203" s="169" t="n">
        <v>0.0506658404414747</v>
      </c>
      <c r="AF203" s="169" t="n">
        <v>0.0759987606622121</v>
      </c>
      <c r="AG203" s="65"/>
      <c r="AH203" s="169" t="n">
        <v>-0.75</v>
      </c>
      <c r="AI203" s="169" t="n">
        <v>2</v>
      </c>
      <c r="AJ203" s="169" t="n">
        <v>0.75</v>
      </c>
      <c r="AK203" s="65"/>
      <c r="AL203" s="169" t="n">
        <v>-0.15</v>
      </c>
      <c r="AM203" s="169" t="n">
        <v>0.5</v>
      </c>
      <c r="AN203" s="169" t="n">
        <v>0.2</v>
      </c>
      <c r="AO203" s="65"/>
      <c r="AP203" s="134" t="n">
        <v>62</v>
      </c>
      <c r="AQ203" s="170" t="n">
        <v>0.4</v>
      </c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135" t="n">
        <v>42370</v>
      </c>
      <c r="BI203" s="172" t="n">
        <v>0.9</v>
      </c>
      <c r="BJ203" s="65"/>
      <c r="BK203" s="65"/>
      <c r="BL203" s="65"/>
      <c r="BM203" s="65"/>
      <c r="BN203" s="65"/>
      <c r="BO203" s="65"/>
      <c r="BP203" s="65"/>
      <c r="BQ203" s="65"/>
      <c r="BR203" s="65"/>
      <c r="BS203" s="65"/>
      <c r="BT203" s="65"/>
      <c r="BU203" s="65"/>
      <c r="BV203" s="65"/>
      <c r="BW203" s="65"/>
      <c r="BX203" s="65"/>
      <c r="BY203" s="65"/>
      <c r="BZ203" s="65"/>
      <c r="CA203" s="65"/>
      <c r="CB203" s="65"/>
      <c r="CC203" s="65"/>
      <c r="CD203" s="65"/>
      <c r="CE203" s="65"/>
      <c r="CF203" s="65"/>
      <c r="CG203" s="65"/>
      <c r="CH203" s="0"/>
      <c r="CP203" s="0"/>
      <c r="CQ203" s="0"/>
      <c r="CR203" s="0"/>
      <c r="CS203" s="0"/>
      <c r="CT203" s="0"/>
      <c r="CY203" s="174" t="n">
        <f aca="false">M203</f>
        <v>42370</v>
      </c>
      <c r="CZ203" s="175" t="n">
        <f aca="false">AI203+AH203</f>
        <v>1.25</v>
      </c>
      <c r="DA203" s="175" t="n">
        <f aca="false">AI203</f>
        <v>2</v>
      </c>
      <c r="DB203" s="175" t="n">
        <f aca="false">AI203+AJ203</f>
        <v>2.75</v>
      </c>
      <c r="DD203" s="175" t="n">
        <f aca="false">Z203</f>
        <v>0.109946324041596</v>
      </c>
      <c r="DE203" s="175" t="n">
        <f aca="false">AA203</f>
        <v>0.219892648083192</v>
      </c>
      <c r="DF203" s="175" t="n">
        <f aca="false">AB203</f>
        <v>0.329838972124788</v>
      </c>
      <c r="DH203" s="174" t="n">
        <f aca="false">BH203</f>
        <v>42370</v>
      </c>
      <c r="DI203" s="128" t="n">
        <f aca="false">BI203</f>
        <v>0.9</v>
      </c>
    </row>
    <row r="204" customFormat="false" ht="12.75" hidden="false" customHeight="false" outlineLevel="0" collapsed="false">
      <c r="A204" s="138" t="n">
        <f aca="false">EOMONTH(A203,0)+1</f>
        <v>51745</v>
      </c>
      <c r="B204" s="128" t="n">
        <f aca="false">'Gas Curves'!C208</f>
        <v>0.062114439621104</v>
      </c>
      <c r="C204" s="128"/>
      <c r="D204" s="167" t="n">
        <v>41518</v>
      </c>
      <c r="E204" s="168" t="n">
        <v>34.53</v>
      </c>
      <c r="F204" s="168" t="n">
        <v>39.6</v>
      </c>
      <c r="G204" s="168" t="n">
        <v>43.45</v>
      </c>
      <c r="H204" s="152"/>
      <c r="I204" s="168" t="n">
        <v>27.1149996185303</v>
      </c>
      <c r="J204" s="168" t="n">
        <v>29.6499996185303</v>
      </c>
      <c r="K204" s="168" t="n">
        <v>31.2399996185303</v>
      </c>
      <c r="L204" s="134"/>
      <c r="M204" s="135" t="n">
        <v>42401</v>
      </c>
      <c r="N204" s="169" t="n">
        <v>33.8919967651367</v>
      </c>
      <c r="O204" s="169" t="n">
        <v>35.1294967651367</v>
      </c>
      <c r="P204" s="169" t="n">
        <v>36.3894967651367</v>
      </c>
      <c r="Q204" s="65"/>
      <c r="R204" s="169" t="n">
        <v>26.3039970397949</v>
      </c>
      <c r="S204" s="169" t="n">
        <v>31.3039970397949</v>
      </c>
      <c r="T204" s="169" t="n">
        <v>32.5639970397949</v>
      </c>
      <c r="U204" s="65"/>
      <c r="V204" s="169" t="n">
        <v>0</v>
      </c>
      <c r="W204" s="169" t="n">
        <v>0</v>
      </c>
      <c r="X204" s="169" t="n">
        <v>0</v>
      </c>
      <c r="Y204" s="65"/>
      <c r="Z204" s="169" t="n">
        <v>0.106215610451362</v>
      </c>
      <c r="AA204" s="169" t="n">
        <v>0.212431220902725</v>
      </c>
      <c r="AB204" s="169" t="n">
        <v>0.318646831354087</v>
      </c>
      <c r="AC204" s="65"/>
      <c r="AD204" s="169" t="n">
        <v>0.0253329202207374</v>
      </c>
      <c r="AE204" s="169" t="n">
        <v>0.0506658404414747</v>
      </c>
      <c r="AF204" s="169" t="n">
        <v>0.0759987606622121</v>
      </c>
      <c r="AG204" s="65"/>
      <c r="AH204" s="169" t="n">
        <v>-0.75</v>
      </c>
      <c r="AI204" s="169" t="n">
        <v>2</v>
      </c>
      <c r="AJ204" s="169" t="n">
        <v>0.75</v>
      </c>
      <c r="AK204" s="65"/>
      <c r="AL204" s="169" t="n">
        <v>-0.15</v>
      </c>
      <c r="AM204" s="169" t="n">
        <v>0.5</v>
      </c>
      <c r="AN204" s="169" t="n">
        <v>0.2</v>
      </c>
      <c r="AO204" s="65"/>
      <c r="AP204" s="134" t="n">
        <v>63</v>
      </c>
      <c r="AQ204" s="170" t="n">
        <v>0.4</v>
      </c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135" t="n">
        <v>42401</v>
      </c>
      <c r="BI204" s="172" t="n">
        <v>0.9</v>
      </c>
      <c r="BJ204" s="65"/>
      <c r="BK204" s="65"/>
      <c r="BL204" s="65"/>
      <c r="BM204" s="65"/>
      <c r="BN204" s="65"/>
      <c r="BO204" s="65"/>
      <c r="BP204" s="65"/>
      <c r="BQ204" s="65"/>
      <c r="BR204" s="65"/>
      <c r="BS204" s="65"/>
      <c r="BT204" s="65"/>
      <c r="BU204" s="65"/>
      <c r="BV204" s="65"/>
      <c r="BW204" s="65"/>
      <c r="BX204" s="65"/>
      <c r="BY204" s="65"/>
      <c r="BZ204" s="65"/>
      <c r="CA204" s="65"/>
      <c r="CB204" s="65"/>
      <c r="CC204" s="65"/>
      <c r="CD204" s="65"/>
      <c r="CE204" s="65"/>
      <c r="CF204" s="65"/>
      <c r="CG204" s="65"/>
      <c r="CH204" s="0"/>
      <c r="CP204" s="0"/>
      <c r="CQ204" s="0"/>
      <c r="CR204" s="0"/>
      <c r="CS204" s="0"/>
      <c r="CT204" s="0"/>
      <c r="CY204" s="174" t="n">
        <f aca="false">M204</f>
        <v>42401</v>
      </c>
      <c r="CZ204" s="175" t="n">
        <f aca="false">AI204+AH204</f>
        <v>1.25</v>
      </c>
      <c r="DA204" s="175" t="n">
        <f aca="false">AI204</f>
        <v>2</v>
      </c>
      <c r="DB204" s="175" t="n">
        <f aca="false">AI204+AJ204</f>
        <v>2.75</v>
      </c>
      <c r="DD204" s="175" t="n">
        <f aca="false">Z204</f>
        <v>0.106215610451362</v>
      </c>
      <c r="DE204" s="175" t="n">
        <f aca="false">AA204</f>
        <v>0.212431220902725</v>
      </c>
      <c r="DF204" s="175" t="n">
        <f aca="false">AB204</f>
        <v>0.318646831354087</v>
      </c>
      <c r="DH204" s="174" t="n">
        <f aca="false">BH204</f>
        <v>42401</v>
      </c>
      <c r="DI204" s="128" t="n">
        <f aca="false">BI204</f>
        <v>0.9</v>
      </c>
    </row>
    <row r="205" customFormat="false" ht="12.75" hidden="false" customHeight="false" outlineLevel="0" collapsed="false">
      <c r="A205" s="138" t="n">
        <f aca="false">EOMONTH(A204,0)+1</f>
        <v>51775</v>
      </c>
      <c r="B205" s="128" t="n">
        <f aca="false">'Gas Curves'!C209</f>
        <v>0.062138945210928</v>
      </c>
      <c r="C205" s="128"/>
      <c r="D205" s="167" t="n">
        <v>41548</v>
      </c>
      <c r="E205" s="168" t="n">
        <v>36.97</v>
      </c>
      <c r="F205" s="168" t="n">
        <v>39.6</v>
      </c>
      <c r="G205" s="168" t="n">
        <v>42.05</v>
      </c>
      <c r="H205" s="152"/>
      <c r="I205" s="168" t="n">
        <v>26.3349996185303</v>
      </c>
      <c r="J205" s="168" t="n">
        <v>27.6499996185303</v>
      </c>
      <c r="K205" s="168" t="n">
        <v>28.6549996185303</v>
      </c>
      <c r="L205" s="134"/>
      <c r="M205" s="135" t="n">
        <v>42430</v>
      </c>
      <c r="N205" s="169" t="n">
        <v>28.0374969482422</v>
      </c>
      <c r="O205" s="169" t="n">
        <v>29.2749969482422</v>
      </c>
      <c r="P205" s="169" t="n">
        <v>30.5349969482422</v>
      </c>
      <c r="Q205" s="65"/>
      <c r="R205" s="169" t="n">
        <v>21.0999984741211</v>
      </c>
      <c r="S205" s="169" t="n">
        <v>26.0999984741211</v>
      </c>
      <c r="T205" s="169" t="n">
        <v>27.3599984741211</v>
      </c>
      <c r="U205" s="65"/>
      <c r="V205" s="169" t="n">
        <v>0</v>
      </c>
      <c r="W205" s="169" t="n">
        <v>0</v>
      </c>
      <c r="X205" s="169" t="n">
        <v>0</v>
      </c>
      <c r="Y205" s="65"/>
      <c r="Z205" s="169" t="n">
        <v>0.0842031810815351</v>
      </c>
      <c r="AA205" s="169" t="n">
        <v>0.16840636216307</v>
      </c>
      <c r="AB205" s="169" t="n">
        <v>0.252609543244605</v>
      </c>
      <c r="AC205" s="65"/>
      <c r="AD205" s="169" t="n">
        <v>0.0221570730793621</v>
      </c>
      <c r="AE205" s="169" t="n">
        <v>0.0443141461587242</v>
      </c>
      <c r="AF205" s="169" t="n">
        <v>0.0664712192380863</v>
      </c>
      <c r="AG205" s="65"/>
      <c r="AH205" s="169" t="n">
        <v>-0.25</v>
      </c>
      <c r="AI205" s="169" t="n">
        <v>1.3</v>
      </c>
      <c r="AJ205" s="169" t="n">
        <v>0.3</v>
      </c>
      <c r="AK205" s="65"/>
      <c r="AL205" s="169" t="n">
        <v>-0.15</v>
      </c>
      <c r="AM205" s="169" t="n">
        <v>0.35</v>
      </c>
      <c r="AN205" s="169" t="n">
        <v>0.2</v>
      </c>
      <c r="AO205" s="65"/>
      <c r="AP205" s="134" t="n">
        <v>63</v>
      </c>
      <c r="AQ205" s="170" t="n">
        <v>0.4</v>
      </c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135" t="n">
        <v>42430</v>
      </c>
      <c r="BI205" s="172" t="n">
        <v>0.9</v>
      </c>
      <c r="BJ205" s="65"/>
      <c r="BK205" s="65"/>
      <c r="BL205" s="65"/>
      <c r="BM205" s="65"/>
      <c r="BN205" s="65"/>
      <c r="BO205" s="65"/>
      <c r="BP205" s="65"/>
      <c r="BQ205" s="65"/>
      <c r="BR205" s="65"/>
      <c r="BS205" s="65"/>
      <c r="BT205" s="65"/>
      <c r="BU205" s="65"/>
      <c r="BV205" s="65"/>
      <c r="BW205" s="65"/>
      <c r="BX205" s="65"/>
      <c r="BY205" s="65"/>
      <c r="BZ205" s="65"/>
      <c r="CA205" s="65"/>
      <c r="CB205" s="65"/>
      <c r="CC205" s="65"/>
      <c r="CD205" s="65"/>
      <c r="CE205" s="65"/>
      <c r="CF205" s="65"/>
      <c r="CG205" s="65"/>
      <c r="CH205" s="0"/>
      <c r="CP205" s="0"/>
      <c r="CQ205" s="0"/>
      <c r="CR205" s="0"/>
      <c r="CS205" s="0"/>
      <c r="CT205" s="0"/>
      <c r="CY205" s="174" t="n">
        <f aca="false">M205</f>
        <v>42430</v>
      </c>
      <c r="CZ205" s="175" t="n">
        <f aca="false">AI205+AH205</f>
        <v>1.05</v>
      </c>
      <c r="DA205" s="175" t="n">
        <f aca="false">AI205</f>
        <v>1.3</v>
      </c>
      <c r="DB205" s="175" t="n">
        <f aca="false">AI205+AJ205</f>
        <v>1.6</v>
      </c>
      <c r="DD205" s="175" t="n">
        <f aca="false">Z205</f>
        <v>0.0842031810815351</v>
      </c>
      <c r="DE205" s="175" t="n">
        <f aca="false">AA205</f>
        <v>0.16840636216307</v>
      </c>
      <c r="DF205" s="175" t="n">
        <f aca="false">AB205</f>
        <v>0.252609543244605</v>
      </c>
      <c r="DH205" s="174" t="n">
        <f aca="false">BH205</f>
        <v>42430</v>
      </c>
      <c r="DI205" s="128" t="n">
        <f aca="false">BI205</f>
        <v>0.9</v>
      </c>
    </row>
    <row r="206" customFormat="false" ht="12.75" hidden="false" customHeight="false" outlineLevel="0" collapsed="false">
      <c r="A206" s="138" t="n">
        <f aca="false">EOMONTH(A205,0)+1</f>
        <v>51806</v>
      </c>
      <c r="B206" s="128" t="n">
        <f aca="false">'Gas Curves'!C210</f>
        <v>0.062161079292231</v>
      </c>
      <c r="C206" s="128"/>
      <c r="D206" s="167" t="n">
        <v>41579</v>
      </c>
      <c r="E206" s="168" t="n">
        <v>39.47</v>
      </c>
      <c r="F206" s="168" t="n">
        <v>42.1</v>
      </c>
      <c r="G206" s="168" t="n">
        <v>44.55</v>
      </c>
      <c r="H206" s="152"/>
      <c r="I206" s="168" t="n">
        <v>27.0849996185303</v>
      </c>
      <c r="J206" s="168" t="n">
        <v>28.3999996185303</v>
      </c>
      <c r="K206" s="168" t="n">
        <v>29.4049996185303</v>
      </c>
      <c r="L206" s="134"/>
      <c r="M206" s="135" t="n">
        <v>42461</v>
      </c>
      <c r="N206" s="169" t="n">
        <v>27.0249996185303</v>
      </c>
      <c r="O206" s="169" t="n">
        <v>28.5999996185303</v>
      </c>
      <c r="P206" s="169" t="n">
        <v>29.8599996185303</v>
      </c>
      <c r="Q206" s="65"/>
      <c r="R206" s="169" t="n">
        <v>20.5</v>
      </c>
      <c r="S206" s="169" t="n">
        <v>25.5</v>
      </c>
      <c r="T206" s="169" t="n">
        <v>26.76</v>
      </c>
      <c r="U206" s="65"/>
      <c r="V206" s="169" t="n">
        <v>0</v>
      </c>
      <c r="W206" s="169" t="n">
        <v>0</v>
      </c>
      <c r="X206" s="169" t="n">
        <v>0</v>
      </c>
      <c r="Y206" s="65"/>
      <c r="Z206" s="169" t="n">
        <v>0.0840873582739952</v>
      </c>
      <c r="AA206" s="169" t="n">
        <v>0.16817471654799</v>
      </c>
      <c r="AB206" s="169" t="n">
        <v>0.252262074821986</v>
      </c>
      <c r="AC206" s="65"/>
      <c r="AD206" s="169" t="n">
        <v>0.0221570730793621</v>
      </c>
      <c r="AE206" s="169" t="n">
        <v>0.0443141461587242</v>
      </c>
      <c r="AF206" s="169" t="n">
        <v>0.0664712192380863</v>
      </c>
      <c r="AG206" s="65"/>
      <c r="AH206" s="169" t="n">
        <v>-0.25</v>
      </c>
      <c r="AI206" s="169" t="n">
        <v>1.1</v>
      </c>
      <c r="AJ206" s="169" t="n">
        <v>0.3</v>
      </c>
      <c r="AK206" s="65"/>
      <c r="AL206" s="169" t="n">
        <v>-0.15</v>
      </c>
      <c r="AM206" s="169" t="n">
        <v>0.35</v>
      </c>
      <c r="AN206" s="169" t="n">
        <v>0.2</v>
      </c>
      <c r="AO206" s="65"/>
      <c r="AP206" s="134" t="n">
        <v>63</v>
      </c>
      <c r="AQ206" s="170" t="n">
        <v>0.4</v>
      </c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135" t="n">
        <v>42461</v>
      </c>
      <c r="BI206" s="172" t="n">
        <v>0.9</v>
      </c>
      <c r="BJ206" s="65"/>
      <c r="BK206" s="65"/>
      <c r="BL206" s="65"/>
      <c r="BM206" s="65"/>
      <c r="BN206" s="65"/>
      <c r="BO206" s="65"/>
      <c r="BP206" s="65"/>
      <c r="BQ206" s="65"/>
      <c r="BR206" s="65"/>
      <c r="BS206" s="65"/>
      <c r="BT206" s="65"/>
      <c r="BU206" s="65"/>
      <c r="BV206" s="65"/>
      <c r="BW206" s="65"/>
      <c r="BX206" s="65"/>
      <c r="BY206" s="65"/>
      <c r="BZ206" s="65"/>
      <c r="CA206" s="65"/>
      <c r="CB206" s="65"/>
      <c r="CC206" s="65"/>
      <c r="CD206" s="65"/>
      <c r="CE206" s="65"/>
      <c r="CF206" s="65"/>
      <c r="CG206" s="65"/>
      <c r="CH206" s="0"/>
      <c r="CP206" s="0"/>
      <c r="CQ206" s="0"/>
      <c r="CR206" s="0"/>
      <c r="CS206" s="0"/>
      <c r="CT206" s="0"/>
      <c r="CY206" s="174" t="n">
        <f aca="false">M206</f>
        <v>42461</v>
      </c>
      <c r="CZ206" s="175" t="n">
        <f aca="false">AI206+AH206</f>
        <v>0.85</v>
      </c>
      <c r="DA206" s="175" t="n">
        <f aca="false">AI206</f>
        <v>1.1</v>
      </c>
      <c r="DB206" s="175" t="n">
        <f aca="false">AI206+AJ206</f>
        <v>1.4</v>
      </c>
      <c r="DD206" s="175" t="n">
        <f aca="false">Z206</f>
        <v>0.0840873582739952</v>
      </c>
      <c r="DE206" s="175" t="n">
        <f aca="false">AA206</f>
        <v>0.16817471654799</v>
      </c>
      <c r="DF206" s="175" t="n">
        <f aca="false">AB206</f>
        <v>0.252262074821986</v>
      </c>
      <c r="DH206" s="174" t="n">
        <f aca="false">BH206</f>
        <v>42461</v>
      </c>
      <c r="DI206" s="128" t="n">
        <f aca="false">BI206</f>
        <v>0.9</v>
      </c>
    </row>
    <row r="207" customFormat="false" ht="12.75" hidden="false" customHeight="false" outlineLevel="0" collapsed="false">
      <c r="A207" s="138" t="n">
        <f aca="false">EOMONTH(A206,0)+1</f>
        <v>51836</v>
      </c>
      <c r="B207" s="128" t="n">
        <f aca="false">'Gas Curves'!C211</f>
        <v>0.062185584882435</v>
      </c>
      <c r="C207" s="128"/>
      <c r="D207" s="167" t="n">
        <v>41609</v>
      </c>
      <c r="E207" s="168" t="n">
        <v>39.47</v>
      </c>
      <c r="F207" s="168" t="n">
        <v>42.1</v>
      </c>
      <c r="G207" s="168" t="n">
        <v>44.55</v>
      </c>
      <c r="H207" s="152"/>
      <c r="I207" s="168" t="n">
        <v>26.9849992370605</v>
      </c>
      <c r="J207" s="168" t="n">
        <v>28.2999992370605</v>
      </c>
      <c r="K207" s="168" t="n">
        <v>29.3049992370605</v>
      </c>
      <c r="L207" s="134"/>
      <c r="M207" s="135" t="n">
        <v>42491</v>
      </c>
      <c r="N207" s="169" t="n">
        <v>30.625</v>
      </c>
      <c r="O207" s="169" t="n">
        <v>32.2</v>
      </c>
      <c r="P207" s="169" t="n">
        <v>34.585</v>
      </c>
      <c r="Q207" s="65"/>
      <c r="R207" s="169" t="n">
        <v>23.6999988555908</v>
      </c>
      <c r="S207" s="169" t="n">
        <v>28.6999988555908</v>
      </c>
      <c r="T207" s="169" t="n">
        <v>31.0849988555908</v>
      </c>
      <c r="U207" s="65"/>
      <c r="V207" s="169" t="n">
        <v>0</v>
      </c>
      <c r="W207" s="169" t="n">
        <v>0</v>
      </c>
      <c r="X207" s="169" t="n">
        <v>0</v>
      </c>
      <c r="Y207" s="65"/>
      <c r="Z207" s="169" t="n">
        <v>0.0884618028366615</v>
      </c>
      <c r="AA207" s="169" t="n">
        <v>0.176923605673323</v>
      </c>
      <c r="AB207" s="169" t="n">
        <v>0.265385408509984</v>
      </c>
      <c r="AC207" s="65"/>
      <c r="AD207" s="169" t="n">
        <v>0.0253329202207374</v>
      </c>
      <c r="AE207" s="169" t="n">
        <v>0.0506658404414747</v>
      </c>
      <c r="AF207" s="169" t="n">
        <v>0.0759987606622121</v>
      </c>
      <c r="AG207" s="65"/>
      <c r="AH207" s="169" t="n">
        <v>-0.25</v>
      </c>
      <c r="AI207" s="169" t="n">
        <v>1.1</v>
      </c>
      <c r="AJ207" s="169" t="n">
        <v>0.3</v>
      </c>
      <c r="AK207" s="65"/>
      <c r="AL207" s="169" t="n">
        <v>-0.15</v>
      </c>
      <c r="AM207" s="169" t="n">
        <v>0.5</v>
      </c>
      <c r="AN207" s="169" t="n">
        <v>0.2</v>
      </c>
      <c r="AO207" s="65"/>
      <c r="AP207" s="134" t="n">
        <v>64</v>
      </c>
      <c r="AQ207" s="170" t="n">
        <v>0.4</v>
      </c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135" t="n">
        <v>42491</v>
      </c>
      <c r="BI207" s="172" t="n">
        <v>0.9</v>
      </c>
      <c r="BJ207" s="65"/>
      <c r="BK207" s="65"/>
      <c r="BL207" s="65"/>
      <c r="BM207" s="65"/>
      <c r="BN207" s="65"/>
      <c r="BO207" s="65"/>
      <c r="BP207" s="65"/>
      <c r="BQ207" s="65"/>
      <c r="BR207" s="65"/>
      <c r="BS207" s="65"/>
      <c r="BT207" s="65"/>
      <c r="BU207" s="65"/>
      <c r="BV207" s="65"/>
      <c r="BW207" s="65"/>
      <c r="BX207" s="65"/>
      <c r="BY207" s="65"/>
      <c r="BZ207" s="65"/>
      <c r="CA207" s="65"/>
      <c r="CB207" s="65"/>
      <c r="CC207" s="65"/>
      <c r="CD207" s="65"/>
      <c r="CE207" s="65"/>
      <c r="CF207" s="65"/>
      <c r="CG207" s="65"/>
      <c r="CH207" s="0"/>
      <c r="CP207" s="0"/>
      <c r="CQ207" s="0"/>
      <c r="CR207" s="0"/>
      <c r="CS207" s="0"/>
      <c r="CT207" s="0"/>
      <c r="CY207" s="174" t="n">
        <f aca="false">M207</f>
        <v>42491</v>
      </c>
      <c r="CZ207" s="175" t="n">
        <f aca="false">AI207+AH207</f>
        <v>0.85</v>
      </c>
      <c r="DA207" s="175" t="n">
        <f aca="false">AI207</f>
        <v>1.1</v>
      </c>
      <c r="DB207" s="175" t="n">
        <f aca="false">AI207+AJ207</f>
        <v>1.4</v>
      </c>
      <c r="DD207" s="175" t="n">
        <f aca="false">Z207</f>
        <v>0.0884618028366615</v>
      </c>
      <c r="DE207" s="175" t="n">
        <f aca="false">AA207</f>
        <v>0.176923605673323</v>
      </c>
      <c r="DF207" s="175" t="n">
        <f aca="false">AB207</f>
        <v>0.265385408509984</v>
      </c>
      <c r="DH207" s="174" t="n">
        <f aca="false">BH207</f>
        <v>42491</v>
      </c>
      <c r="DI207" s="128" t="n">
        <f aca="false">BI207</f>
        <v>0.9</v>
      </c>
    </row>
    <row r="208" customFormat="false" ht="12.75" hidden="false" customHeight="false" outlineLevel="0" collapsed="false">
      <c r="A208" s="138" t="n">
        <f aca="false">EOMONTH(A207,0)+1</f>
        <v>51867</v>
      </c>
      <c r="B208" s="128" t="n">
        <f aca="false">'Gas Curves'!C212</f>
        <v>0.062209299969918</v>
      </c>
      <c r="C208" s="128"/>
      <c r="D208" s="167" t="n">
        <v>41640</v>
      </c>
      <c r="E208" s="168" t="n">
        <v>55.77</v>
      </c>
      <c r="F208" s="168" t="n">
        <v>58.4</v>
      </c>
      <c r="G208" s="168" t="n">
        <v>60.44</v>
      </c>
      <c r="H208" s="152"/>
      <c r="I208" s="168" t="n">
        <v>28.0350003814697</v>
      </c>
      <c r="J208" s="168" t="n">
        <v>29.3500003814697</v>
      </c>
      <c r="K208" s="168" t="n">
        <v>30.1900003814697</v>
      </c>
      <c r="L208" s="134"/>
      <c r="M208" s="135" t="n">
        <v>42522</v>
      </c>
      <c r="N208" s="169" t="n">
        <v>35.9625030517578</v>
      </c>
      <c r="O208" s="169" t="n">
        <v>39.0000030517578</v>
      </c>
      <c r="P208" s="169" t="n">
        <v>42.6300030517578</v>
      </c>
      <c r="Q208" s="65"/>
      <c r="R208" s="169" t="n">
        <v>29.2000026702881</v>
      </c>
      <c r="S208" s="169" t="n">
        <v>34.2000026702881</v>
      </c>
      <c r="T208" s="169" t="n">
        <v>37.8300026702881</v>
      </c>
      <c r="U208" s="65"/>
      <c r="V208" s="169" t="n">
        <v>0</v>
      </c>
      <c r="W208" s="169" t="n">
        <v>0</v>
      </c>
      <c r="X208" s="169" t="n">
        <v>0</v>
      </c>
      <c r="Y208" s="65"/>
      <c r="Z208" s="169" t="n">
        <v>0.0946040691986216</v>
      </c>
      <c r="AA208" s="169" t="n">
        <v>0.189208138397243</v>
      </c>
      <c r="AB208" s="169" t="n">
        <v>0.283812207595865</v>
      </c>
      <c r="AC208" s="65"/>
      <c r="AD208" s="169" t="n">
        <v>0.0325708974266623</v>
      </c>
      <c r="AE208" s="169" t="n">
        <v>0.0651417948533246</v>
      </c>
      <c r="AF208" s="169" t="n">
        <v>0.0977126922799869</v>
      </c>
      <c r="AG208" s="65"/>
      <c r="AH208" s="169" t="n">
        <v>-0.35</v>
      </c>
      <c r="AI208" s="169" t="n">
        <v>2</v>
      </c>
      <c r="AJ208" s="169" t="n">
        <v>0.3</v>
      </c>
      <c r="AK208" s="65"/>
      <c r="AL208" s="169" t="n">
        <v>-0.15</v>
      </c>
      <c r="AM208" s="169" t="n">
        <v>0.65</v>
      </c>
      <c r="AN208" s="169" t="n">
        <v>0.2</v>
      </c>
      <c r="AO208" s="65"/>
      <c r="AP208" s="134" t="n">
        <v>64</v>
      </c>
      <c r="AQ208" s="170" t="n">
        <v>0.4</v>
      </c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135" t="n">
        <v>42522</v>
      </c>
      <c r="BI208" s="172" t="n">
        <v>0.9</v>
      </c>
      <c r="BJ208" s="65"/>
      <c r="BK208" s="65"/>
      <c r="BL208" s="65"/>
      <c r="BM208" s="65"/>
      <c r="BN208" s="65"/>
      <c r="BO208" s="65"/>
      <c r="BP208" s="65"/>
      <c r="BQ208" s="65"/>
      <c r="BR208" s="65"/>
      <c r="BS208" s="65"/>
      <c r="BT208" s="65"/>
      <c r="BU208" s="65"/>
      <c r="BV208" s="65"/>
      <c r="BW208" s="65"/>
      <c r="BX208" s="65"/>
      <c r="BY208" s="65"/>
      <c r="BZ208" s="65"/>
      <c r="CA208" s="65"/>
      <c r="CB208" s="65"/>
      <c r="CC208" s="65"/>
      <c r="CD208" s="65"/>
      <c r="CE208" s="65"/>
      <c r="CF208" s="65"/>
      <c r="CG208" s="65"/>
      <c r="CH208" s="0"/>
      <c r="CP208" s="0"/>
      <c r="CQ208" s="0"/>
      <c r="CR208" s="0"/>
      <c r="CS208" s="0"/>
      <c r="CT208" s="0"/>
      <c r="CY208" s="174" t="n">
        <f aca="false">M208</f>
        <v>42522</v>
      </c>
      <c r="CZ208" s="175" t="n">
        <f aca="false">AI208+AH208</f>
        <v>1.65</v>
      </c>
      <c r="DA208" s="175" t="n">
        <f aca="false">AI208</f>
        <v>2</v>
      </c>
      <c r="DB208" s="175" t="n">
        <f aca="false">AI208+AJ208</f>
        <v>2.3</v>
      </c>
      <c r="DD208" s="175" t="n">
        <f aca="false">Z208</f>
        <v>0.0946040691986216</v>
      </c>
      <c r="DE208" s="175" t="n">
        <f aca="false">AA208</f>
        <v>0.189208138397243</v>
      </c>
      <c r="DF208" s="175" t="n">
        <f aca="false">AB208</f>
        <v>0.283812207595865</v>
      </c>
      <c r="DH208" s="174" t="n">
        <f aca="false">BH208</f>
        <v>42522</v>
      </c>
      <c r="DI208" s="128" t="n">
        <f aca="false">BI208</f>
        <v>0.9</v>
      </c>
    </row>
    <row r="209" customFormat="false" ht="12.75" hidden="false" customHeight="false" outlineLevel="0" collapsed="false">
      <c r="A209" s="138" t="n">
        <f aca="false">EOMONTH(A208,0)+1</f>
        <v>51898</v>
      </c>
      <c r="B209" s="128" t="n">
        <f aca="false">'Gas Curves'!C213</f>
        <v>0.062233805560513</v>
      </c>
      <c r="C209" s="128"/>
      <c r="D209" s="167" t="n">
        <v>41671</v>
      </c>
      <c r="E209" s="168" t="n">
        <v>56.33</v>
      </c>
      <c r="F209" s="168" t="n">
        <v>58.4</v>
      </c>
      <c r="G209" s="168" t="n">
        <v>60.44</v>
      </c>
      <c r="H209" s="152"/>
      <c r="I209" s="168" t="n">
        <v>24.965</v>
      </c>
      <c r="J209" s="168" t="n">
        <v>26</v>
      </c>
      <c r="K209" s="168" t="n">
        <v>26.84</v>
      </c>
      <c r="L209" s="134"/>
      <c r="M209" s="135" t="n">
        <v>42552</v>
      </c>
      <c r="N209" s="169" t="n">
        <v>37.9750015258789</v>
      </c>
      <c r="O209" s="169" t="n">
        <v>45.4000015258789</v>
      </c>
      <c r="P209" s="169" t="n">
        <v>53.1475015258789</v>
      </c>
      <c r="Q209" s="65"/>
      <c r="R209" s="169" t="n">
        <v>34.4000015258789</v>
      </c>
      <c r="S209" s="169" t="n">
        <v>39.4000015258789</v>
      </c>
      <c r="T209" s="169" t="n">
        <v>47.1475015258789</v>
      </c>
      <c r="U209" s="65"/>
      <c r="V209" s="169" t="n">
        <v>0</v>
      </c>
      <c r="W209" s="169" t="n">
        <v>0</v>
      </c>
      <c r="X209" s="169" t="n">
        <v>0</v>
      </c>
      <c r="Y209" s="65"/>
      <c r="Z209" s="169" t="n">
        <v>0.112678523112091</v>
      </c>
      <c r="AA209" s="169" t="n">
        <v>0.225357046224182</v>
      </c>
      <c r="AB209" s="169" t="n">
        <v>0.338035569336273</v>
      </c>
      <c r="AC209" s="65"/>
      <c r="AD209" s="169" t="n">
        <v>0.0434278632355497</v>
      </c>
      <c r="AE209" s="169" t="n">
        <v>0.0868557264710995</v>
      </c>
      <c r="AF209" s="169" t="n">
        <v>0.130283589706649</v>
      </c>
      <c r="AG209" s="65"/>
      <c r="AH209" s="169" t="n">
        <v>-0.35</v>
      </c>
      <c r="AI209" s="169" t="n">
        <v>3</v>
      </c>
      <c r="AJ209" s="169" t="n">
        <v>0.5</v>
      </c>
      <c r="AK209" s="65"/>
      <c r="AL209" s="169" t="n">
        <v>-0.15</v>
      </c>
      <c r="AM209" s="169" t="n">
        <v>0.75</v>
      </c>
      <c r="AN209" s="169" t="n">
        <v>0.2</v>
      </c>
      <c r="AO209" s="65"/>
      <c r="AP209" s="134" t="n">
        <v>64</v>
      </c>
      <c r="AQ209" s="170" t="n">
        <v>0.4</v>
      </c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135" t="n">
        <v>42552</v>
      </c>
      <c r="BI209" s="172" t="n">
        <v>0.9</v>
      </c>
      <c r="BJ209" s="65"/>
      <c r="BK209" s="65"/>
      <c r="BL209" s="65"/>
      <c r="BM209" s="65"/>
      <c r="BN209" s="65"/>
      <c r="BO209" s="65"/>
      <c r="BP209" s="65"/>
      <c r="BQ209" s="65"/>
      <c r="BR209" s="65"/>
      <c r="BS209" s="65"/>
      <c r="BT209" s="65"/>
      <c r="BU209" s="65"/>
      <c r="BV209" s="65"/>
      <c r="BW209" s="65"/>
      <c r="BX209" s="65"/>
      <c r="BY209" s="65"/>
      <c r="BZ209" s="65"/>
      <c r="CA209" s="65"/>
      <c r="CB209" s="65"/>
      <c r="CC209" s="65"/>
      <c r="CD209" s="65"/>
      <c r="CE209" s="65"/>
      <c r="CF209" s="65"/>
      <c r="CG209" s="65"/>
      <c r="CH209" s="0"/>
      <c r="CP209" s="0"/>
      <c r="CQ209" s="0"/>
      <c r="CR209" s="0"/>
      <c r="CS209" s="0"/>
      <c r="CT209" s="0"/>
      <c r="CY209" s="174" t="n">
        <f aca="false">M209</f>
        <v>42552</v>
      </c>
      <c r="CZ209" s="175" t="n">
        <f aca="false">AI209+AH209</f>
        <v>2.65</v>
      </c>
      <c r="DA209" s="175" t="n">
        <f aca="false">AI209</f>
        <v>3</v>
      </c>
      <c r="DB209" s="175" t="n">
        <f aca="false">AI209+AJ209</f>
        <v>3.5</v>
      </c>
      <c r="DD209" s="175" t="n">
        <f aca="false">Z209</f>
        <v>0.112678523112091</v>
      </c>
      <c r="DE209" s="175" t="n">
        <f aca="false">AA209</f>
        <v>0.225357046224182</v>
      </c>
      <c r="DF209" s="175" t="n">
        <f aca="false">AB209</f>
        <v>0.338035569336273</v>
      </c>
      <c r="DH209" s="174" t="n">
        <f aca="false">BH209</f>
        <v>42552</v>
      </c>
      <c r="DI209" s="128" t="n">
        <f aca="false">BI209</f>
        <v>0.9</v>
      </c>
    </row>
    <row r="210" customFormat="false" ht="12.75" hidden="false" customHeight="false" outlineLevel="0" collapsed="false">
      <c r="A210" s="138" t="n">
        <f aca="false">EOMONTH(A209,0)+1</f>
        <v>51926</v>
      </c>
      <c r="B210" s="128" t="n">
        <f aca="false">'Gas Curves'!C214</f>
        <v>0.062257520648377</v>
      </c>
      <c r="C210" s="128"/>
      <c r="D210" s="167" t="n">
        <v>41699</v>
      </c>
      <c r="E210" s="168" t="n">
        <v>39.33</v>
      </c>
      <c r="F210" s="168" t="n">
        <v>41.4</v>
      </c>
      <c r="G210" s="168" t="n">
        <v>43.44</v>
      </c>
      <c r="H210" s="152"/>
      <c r="I210" s="168" t="n">
        <v>25.3649996185303</v>
      </c>
      <c r="J210" s="168" t="n">
        <v>26.3999996185303</v>
      </c>
      <c r="K210" s="168" t="n">
        <v>27.2399996185303</v>
      </c>
      <c r="L210" s="134"/>
      <c r="M210" s="135" t="n">
        <v>42583</v>
      </c>
      <c r="N210" s="169" t="n">
        <v>49.7250015258789</v>
      </c>
      <c r="O210" s="169" t="n">
        <v>57.1500015258789</v>
      </c>
      <c r="P210" s="169" t="n">
        <v>64.8975015258789</v>
      </c>
      <c r="Q210" s="65"/>
      <c r="R210" s="169" t="n">
        <v>46.2000007629395</v>
      </c>
      <c r="S210" s="169" t="n">
        <v>51.2000007629395</v>
      </c>
      <c r="T210" s="169" t="n">
        <v>58.9475007629395</v>
      </c>
      <c r="U210" s="65"/>
      <c r="V210" s="169" t="n">
        <v>0</v>
      </c>
      <c r="W210" s="169" t="n">
        <v>0</v>
      </c>
      <c r="X210" s="169" t="n">
        <v>0</v>
      </c>
      <c r="Y210" s="65"/>
      <c r="Z210" s="169" t="n">
        <v>0.110209668530319</v>
      </c>
      <c r="AA210" s="169" t="n">
        <v>0.220419337060637</v>
      </c>
      <c r="AB210" s="169" t="n">
        <v>0.330629005590956</v>
      </c>
      <c r="AC210" s="65"/>
      <c r="AD210" s="169" t="n">
        <v>0.0434278632355497</v>
      </c>
      <c r="AE210" s="169" t="n">
        <v>0.0868557264710995</v>
      </c>
      <c r="AF210" s="169" t="n">
        <v>0.130283589706649</v>
      </c>
      <c r="AG210" s="65"/>
      <c r="AH210" s="169" t="n">
        <v>-0.35</v>
      </c>
      <c r="AI210" s="169" t="n">
        <v>3</v>
      </c>
      <c r="AJ210" s="169" t="n">
        <v>0.5</v>
      </c>
      <c r="AK210" s="65"/>
      <c r="AL210" s="169" t="n">
        <v>-0.15</v>
      </c>
      <c r="AM210" s="169" t="n">
        <v>0.75</v>
      </c>
      <c r="AN210" s="169" t="n">
        <v>0.2</v>
      </c>
      <c r="AO210" s="65"/>
      <c r="AP210" s="134" t="n">
        <v>65</v>
      </c>
      <c r="AQ210" s="170" t="n">
        <v>0.4</v>
      </c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135" t="n">
        <v>42583</v>
      </c>
      <c r="BI210" s="172" t="n">
        <v>0.9</v>
      </c>
      <c r="BJ210" s="65"/>
      <c r="BK210" s="65"/>
      <c r="BL210" s="65"/>
      <c r="BM210" s="65"/>
      <c r="BN210" s="65"/>
      <c r="BO210" s="65"/>
      <c r="BP210" s="65"/>
      <c r="BQ210" s="65"/>
      <c r="BR210" s="65"/>
      <c r="BS210" s="65"/>
      <c r="BT210" s="65"/>
      <c r="BU210" s="65"/>
      <c r="BV210" s="65"/>
      <c r="BW210" s="65"/>
      <c r="BX210" s="65"/>
      <c r="BY210" s="65"/>
      <c r="BZ210" s="65"/>
      <c r="CA210" s="65"/>
      <c r="CB210" s="65"/>
      <c r="CC210" s="65"/>
      <c r="CD210" s="65"/>
      <c r="CE210" s="65"/>
      <c r="CF210" s="65"/>
      <c r="CG210" s="65"/>
      <c r="CH210" s="0"/>
      <c r="CP210" s="0"/>
      <c r="CQ210" s="0"/>
      <c r="CR210" s="0"/>
      <c r="CS210" s="0"/>
      <c r="CT210" s="0"/>
      <c r="CY210" s="174" t="n">
        <f aca="false">M210</f>
        <v>42583</v>
      </c>
      <c r="CZ210" s="175" t="n">
        <f aca="false">AI210+AH210</f>
        <v>2.65</v>
      </c>
      <c r="DA210" s="175" t="n">
        <f aca="false">AI210</f>
        <v>3</v>
      </c>
      <c r="DB210" s="175" t="n">
        <f aca="false">AI210+AJ210</f>
        <v>3.5</v>
      </c>
      <c r="DD210" s="175" t="n">
        <f aca="false">Z210</f>
        <v>0.110209668530319</v>
      </c>
      <c r="DE210" s="175" t="n">
        <f aca="false">AA210</f>
        <v>0.220419337060637</v>
      </c>
      <c r="DF210" s="175" t="n">
        <f aca="false">AB210</f>
        <v>0.330629005590956</v>
      </c>
      <c r="DH210" s="174" t="n">
        <f aca="false">BH210</f>
        <v>42583</v>
      </c>
      <c r="DI210" s="128" t="n">
        <f aca="false">BI210</f>
        <v>0.9</v>
      </c>
    </row>
    <row r="211" customFormat="false" ht="12.75" hidden="false" customHeight="false" outlineLevel="0" collapsed="false">
      <c r="A211" s="138" t="n">
        <f aca="false">EOMONTH(A210,0)+1</f>
        <v>51957</v>
      </c>
      <c r="B211" s="128" t="n">
        <f aca="false">'Gas Curves'!C215</f>
        <v>0.062282026239365</v>
      </c>
      <c r="C211" s="128"/>
      <c r="D211" s="167" t="n">
        <v>41730</v>
      </c>
      <c r="E211" s="168" t="n">
        <v>35.27</v>
      </c>
      <c r="F211" s="168" t="n">
        <v>37.9</v>
      </c>
      <c r="G211" s="168" t="n">
        <v>39.94</v>
      </c>
      <c r="H211" s="152"/>
      <c r="I211" s="168" t="n">
        <v>22.8349996185303</v>
      </c>
      <c r="J211" s="168" t="n">
        <v>24.1499996185303</v>
      </c>
      <c r="K211" s="168" t="n">
        <v>24.9899996185303</v>
      </c>
      <c r="L211" s="134"/>
      <c r="M211" s="135" t="n">
        <v>42614</v>
      </c>
      <c r="N211" s="169" t="n">
        <v>31.4875011444092</v>
      </c>
      <c r="O211" s="169" t="n">
        <v>34.5250011444092</v>
      </c>
      <c r="P211" s="169" t="n">
        <v>36.9100011444092</v>
      </c>
      <c r="Q211" s="65"/>
      <c r="R211" s="169" t="n">
        <v>26.8000015258789</v>
      </c>
      <c r="S211" s="169" t="n">
        <v>31.8000015258789</v>
      </c>
      <c r="T211" s="169" t="n">
        <v>34.1850015258789</v>
      </c>
      <c r="U211" s="65"/>
      <c r="V211" s="169" t="n">
        <v>0</v>
      </c>
      <c r="W211" s="169" t="n">
        <v>0</v>
      </c>
      <c r="X211" s="169" t="n">
        <v>0</v>
      </c>
      <c r="Y211" s="65"/>
      <c r="Z211" s="169" t="n">
        <v>0.0835021482990566</v>
      </c>
      <c r="AA211" s="169" t="n">
        <v>0.167004296598113</v>
      </c>
      <c r="AB211" s="169" t="n">
        <v>0.25050644489717</v>
      </c>
      <c r="AC211" s="65"/>
      <c r="AD211" s="169" t="n">
        <v>0.0289519088236998</v>
      </c>
      <c r="AE211" s="169" t="n">
        <v>0.0579038176473996</v>
      </c>
      <c r="AF211" s="169" t="n">
        <v>0.0868557264710995</v>
      </c>
      <c r="AG211" s="65"/>
      <c r="AH211" s="169" t="n">
        <v>-0.35</v>
      </c>
      <c r="AI211" s="169" t="n">
        <v>1.5</v>
      </c>
      <c r="AJ211" s="169" t="n">
        <v>0.3</v>
      </c>
      <c r="AK211" s="65"/>
      <c r="AL211" s="169" t="n">
        <v>-0.15</v>
      </c>
      <c r="AM211" s="169" t="n">
        <v>0.4</v>
      </c>
      <c r="AN211" s="169" t="n">
        <v>0.2</v>
      </c>
      <c r="AO211" s="65"/>
      <c r="AP211" s="134" t="n">
        <v>65</v>
      </c>
      <c r="AQ211" s="170" t="n">
        <v>0.4</v>
      </c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135" t="n">
        <v>42614</v>
      </c>
      <c r="BI211" s="172" t="n">
        <v>0.9</v>
      </c>
      <c r="BJ211" s="65"/>
      <c r="BK211" s="65"/>
      <c r="BL211" s="65"/>
      <c r="BM211" s="65"/>
      <c r="BN211" s="65"/>
      <c r="BO211" s="65"/>
      <c r="BP211" s="65"/>
      <c r="BQ211" s="65"/>
      <c r="BR211" s="65"/>
      <c r="BS211" s="65"/>
      <c r="BT211" s="65"/>
      <c r="BU211" s="65"/>
      <c r="BV211" s="65"/>
      <c r="BW211" s="65"/>
      <c r="BX211" s="65"/>
      <c r="BY211" s="65"/>
      <c r="BZ211" s="65"/>
      <c r="CA211" s="65"/>
      <c r="CB211" s="65"/>
      <c r="CC211" s="65"/>
      <c r="CD211" s="65"/>
      <c r="CE211" s="65"/>
      <c r="CF211" s="65"/>
      <c r="CG211" s="65"/>
      <c r="CH211" s="0"/>
      <c r="CP211" s="0"/>
      <c r="CQ211" s="0"/>
      <c r="CR211" s="0"/>
      <c r="CS211" s="0"/>
      <c r="CT211" s="0"/>
      <c r="CY211" s="174" t="n">
        <f aca="false">M211</f>
        <v>42614</v>
      </c>
      <c r="CZ211" s="175" t="n">
        <f aca="false">AI211+AH211</f>
        <v>1.15</v>
      </c>
      <c r="DA211" s="175" t="n">
        <f aca="false">AI211</f>
        <v>1.5</v>
      </c>
      <c r="DB211" s="175" t="n">
        <f aca="false">AI211+AJ211</f>
        <v>1.8</v>
      </c>
      <c r="DD211" s="175" t="n">
        <f aca="false">Z211</f>
        <v>0.0835021482990566</v>
      </c>
      <c r="DE211" s="175" t="n">
        <f aca="false">AA211</f>
        <v>0.167004296598113</v>
      </c>
      <c r="DF211" s="175" t="n">
        <f aca="false">AB211</f>
        <v>0.25050644489717</v>
      </c>
      <c r="DH211" s="174" t="n">
        <f aca="false">BH211</f>
        <v>42614</v>
      </c>
      <c r="DI211" s="128" t="n">
        <f aca="false">BI211</f>
        <v>0.9</v>
      </c>
    </row>
    <row r="212" customFormat="false" ht="12.75" hidden="false" customHeight="false" outlineLevel="0" collapsed="false">
      <c r="A212" s="138" t="n">
        <f aca="false">EOMONTH(A211,0)+1</f>
        <v>51987</v>
      </c>
      <c r="B212" s="128" t="n">
        <f aca="false">'Gas Curves'!C216</f>
        <v>0.062306531830551</v>
      </c>
      <c r="C212" s="128"/>
      <c r="D212" s="167" t="n">
        <v>41760</v>
      </c>
      <c r="E212" s="168" t="n">
        <v>39.17</v>
      </c>
      <c r="F212" s="168" t="n">
        <v>41.8</v>
      </c>
      <c r="G212" s="168" t="n">
        <v>45.65</v>
      </c>
      <c r="H212" s="152"/>
      <c r="I212" s="168" t="n">
        <v>23.8349996185303</v>
      </c>
      <c r="J212" s="168" t="n">
        <v>25.1499996185303</v>
      </c>
      <c r="K212" s="168" t="n">
        <v>26.7399996185303</v>
      </c>
      <c r="L212" s="134"/>
      <c r="M212" s="135" t="n">
        <v>42644</v>
      </c>
      <c r="N212" s="169" t="n">
        <v>28.9500011444092</v>
      </c>
      <c r="O212" s="169" t="n">
        <v>30.5250011444092</v>
      </c>
      <c r="P212" s="169" t="n">
        <v>32.0325011444092</v>
      </c>
      <c r="Q212" s="65"/>
      <c r="R212" s="169" t="n">
        <v>22.3000015258789</v>
      </c>
      <c r="S212" s="169" t="n">
        <v>27.3000015258789</v>
      </c>
      <c r="T212" s="169" t="n">
        <v>28.8075015258789</v>
      </c>
      <c r="U212" s="65"/>
      <c r="V212" s="169" t="n">
        <v>0</v>
      </c>
      <c r="W212" s="169" t="n">
        <v>0</v>
      </c>
      <c r="X212" s="169" t="n">
        <v>0</v>
      </c>
      <c r="Y212" s="65"/>
      <c r="Z212" s="169" t="n">
        <v>0.0722216164383905</v>
      </c>
      <c r="AA212" s="169" t="n">
        <v>0.144443232876781</v>
      </c>
      <c r="AB212" s="169" t="n">
        <v>0.216664849315171</v>
      </c>
      <c r="AC212" s="65"/>
      <c r="AD212" s="169" t="n">
        <v>0.0217139316177749</v>
      </c>
      <c r="AE212" s="169" t="n">
        <v>0.0434278632355497</v>
      </c>
      <c r="AF212" s="169" t="n">
        <v>0.0651417948533246</v>
      </c>
      <c r="AG212" s="65"/>
      <c r="AH212" s="169" t="n">
        <v>-0.25</v>
      </c>
      <c r="AI212" s="169" t="n">
        <v>1.1</v>
      </c>
      <c r="AJ212" s="169" t="n">
        <v>0.3</v>
      </c>
      <c r="AK212" s="65"/>
      <c r="AL212" s="169" t="n">
        <v>-0.15</v>
      </c>
      <c r="AM212" s="169" t="n">
        <v>0.35</v>
      </c>
      <c r="AN212" s="169" t="n">
        <v>0.2</v>
      </c>
      <c r="AO212" s="65"/>
      <c r="AP212" s="134" t="n">
        <v>65</v>
      </c>
      <c r="AQ212" s="170" t="n">
        <v>0.4</v>
      </c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135" t="n">
        <v>42644</v>
      </c>
      <c r="BI212" s="172" t="n">
        <v>0.9</v>
      </c>
      <c r="BJ212" s="65"/>
      <c r="BK212" s="65"/>
      <c r="BL212" s="65"/>
      <c r="BM212" s="65"/>
      <c r="BN212" s="65"/>
      <c r="BO212" s="65"/>
      <c r="BP212" s="65"/>
      <c r="BQ212" s="65"/>
      <c r="BR212" s="65"/>
      <c r="BS212" s="65"/>
      <c r="BT212" s="65"/>
      <c r="BU212" s="65"/>
      <c r="BV212" s="65"/>
      <c r="BW212" s="65"/>
      <c r="BX212" s="65"/>
      <c r="BY212" s="65"/>
      <c r="BZ212" s="65"/>
      <c r="CA212" s="65"/>
      <c r="CB212" s="65"/>
      <c r="CC212" s="65"/>
      <c r="CD212" s="65"/>
      <c r="CE212" s="65"/>
      <c r="CF212" s="65"/>
      <c r="CG212" s="65"/>
      <c r="CH212" s="0"/>
      <c r="CP212" s="0"/>
      <c r="CQ212" s="0"/>
      <c r="CR212" s="0"/>
      <c r="CS212" s="0"/>
      <c r="CT212" s="0"/>
      <c r="CY212" s="174" t="n">
        <f aca="false">M212</f>
        <v>42644</v>
      </c>
      <c r="CZ212" s="175" t="n">
        <f aca="false">AI212+AH212</f>
        <v>0.85</v>
      </c>
      <c r="DA212" s="175" t="n">
        <f aca="false">AI212</f>
        <v>1.1</v>
      </c>
      <c r="DB212" s="175" t="n">
        <f aca="false">AI212+AJ212</f>
        <v>1.4</v>
      </c>
      <c r="DD212" s="175" t="n">
        <f aca="false">Z212</f>
        <v>0.0722216164383905</v>
      </c>
      <c r="DE212" s="175" t="n">
        <f aca="false">AA212</f>
        <v>0.144443232876781</v>
      </c>
      <c r="DF212" s="175" t="n">
        <f aca="false">AB212</f>
        <v>0.216664849315171</v>
      </c>
      <c r="DH212" s="174" t="n">
        <f aca="false">BH212</f>
        <v>42644</v>
      </c>
      <c r="DI212" s="128" t="n">
        <f aca="false">BI212</f>
        <v>0.9</v>
      </c>
    </row>
    <row r="213" customFormat="false" ht="12.75" hidden="false" customHeight="false" outlineLevel="0" collapsed="false">
      <c r="A213" s="138" t="n">
        <f aca="false">EOMONTH(A212,0)+1</f>
        <v>52018</v>
      </c>
      <c r="B213" s="128" t="n">
        <f aca="false">'Gas Curves'!C217</f>
        <v>0.062330246918987</v>
      </c>
      <c r="C213" s="128"/>
      <c r="D213" s="167" t="n">
        <v>41791</v>
      </c>
      <c r="E213" s="168" t="n">
        <v>49.68</v>
      </c>
      <c r="F213" s="168" t="n">
        <v>54.75</v>
      </c>
      <c r="G213" s="168" t="n">
        <v>60.62</v>
      </c>
      <c r="H213" s="152"/>
      <c r="I213" s="168" t="n">
        <v>22.9899996185303</v>
      </c>
      <c r="J213" s="168" t="n">
        <v>25.5249996185303</v>
      </c>
      <c r="K213" s="168" t="n">
        <v>27.9449996185303</v>
      </c>
      <c r="L213" s="134"/>
      <c r="M213" s="135" t="n">
        <v>42675</v>
      </c>
      <c r="N213" s="169" t="n">
        <v>31.3000015258789</v>
      </c>
      <c r="O213" s="169" t="n">
        <v>32.8750015258789</v>
      </c>
      <c r="P213" s="169" t="n">
        <v>34.3825015258789</v>
      </c>
      <c r="Q213" s="65"/>
      <c r="R213" s="169" t="n">
        <v>24.5000003814697</v>
      </c>
      <c r="S213" s="169" t="n">
        <v>29.5000003814697</v>
      </c>
      <c r="T213" s="169" t="n">
        <v>31.0075003814697</v>
      </c>
      <c r="U213" s="65"/>
      <c r="V213" s="169" t="n">
        <v>0</v>
      </c>
      <c r="W213" s="169" t="n">
        <v>0</v>
      </c>
      <c r="X213" s="169" t="n">
        <v>0</v>
      </c>
      <c r="Y213" s="65"/>
      <c r="Z213" s="169" t="n">
        <v>0.0722216164383905</v>
      </c>
      <c r="AA213" s="169" t="n">
        <v>0.144443232876781</v>
      </c>
      <c r="AB213" s="169" t="n">
        <v>0.216664849315171</v>
      </c>
      <c r="AC213" s="65"/>
      <c r="AD213" s="169" t="n">
        <v>0.0217139316177749</v>
      </c>
      <c r="AE213" s="169" t="n">
        <v>0.0434278632355497</v>
      </c>
      <c r="AF213" s="169" t="n">
        <v>0.0651417948533246</v>
      </c>
      <c r="AG213" s="65"/>
      <c r="AH213" s="169" t="n">
        <v>-0.25</v>
      </c>
      <c r="AI213" s="169" t="n">
        <v>1.25</v>
      </c>
      <c r="AJ213" s="169" t="n">
        <v>0.3</v>
      </c>
      <c r="AK213" s="65"/>
      <c r="AL213" s="169" t="n">
        <v>-0.15</v>
      </c>
      <c r="AM213" s="169" t="n">
        <v>0.3</v>
      </c>
      <c r="AN213" s="169" t="n">
        <v>0.2</v>
      </c>
      <c r="AO213" s="65"/>
      <c r="AP213" s="134" t="n">
        <v>66</v>
      </c>
      <c r="AQ213" s="170" t="n">
        <v>0.4</v>
      </c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135" t="n">
        <v>42675</v>
      </c>
      <c r="BI213" s="172" t="n">
        <v>0.9</v>
      </c>
      <c r="BJ213" s="65"/>
      <c r="BK213" s="65"/>
      <c r="BL213" s="65"/>
      <c r="BM213" s="65"/>
      <c r="BN213" s="65"/>
      <c r="BO213" s="65"/>
      <c r="BP213" s="65"/>
      <c r="BQ213" s="65"/>
      <c r="BR213" s="65"/>
      <c r="BS213" s="65"/>
      <c r="BT213" s="65"/>
      <c r="BU213" s="65"/>
      <c r="BV213" s="65"/>
      <c r="BW213" s="65"/>
      <c r="BX213" s="65"/>
      <c r="BY213" s="65"/>
      <c r="BZ213" s="65"/>
      <c r="CA213" s="65"/>
      <c r="CB213" s="65"/>
      <c r="CC213" s="65"/>
      <c r="CD213" s="65"/>
      <c r="CE213" s="65"/>
      <c r="CF213" s="65"/>
      <c r="CG213" s="65"/>
      <c r="CH213" s="0"/>
      <c r="CP213" s="0"/>
      <c r="CQ213" s="0"/>
      <c r="CR213" s="0"/>
      <c r="CS213" s="0"/>
      <c r="CT213" s="0"/>
      <c r="CY213" s="174" t="n">
        <f aca="false">M213</f>
        <v>42675</v>
      </c>
      <c r="CZ213" s="175" t="n">
        <f aca="false">AI213+AH213</f>
        <v>1</v>
      </c>
      <c r="DA213" s="175" t="n">
        <f aca="false">AI213</f>
        <v>1.25</v>
      </c>
      <c r="DB213" s="175" t="n">
        <f aca="false">AI213+AJ213</f>
        <v>1.55</v>
      </c>
      <c r="DD213" s="175" t="n">
        <f aca="false">Z213</f>
        <v>0.0722216164383905</v>
      </c>
      <c r="DE213" s="175" t="n">
        <f aca="false">AA213</f>
        <v>0.144443232876781</v>
      </c>
      <c r="DF213" s="175" t="n">
        <f aca="false">AB213</f>
        <v>0.216664849315171</v>
      </c>
      <c r="DH213" s="174" t="n">
        <f aca="false">BH213</f>
        <v>42675</v>
      </c>
      <c r="DI213" s="128" t="n">
        <f aca="false">BI213</f>
        <v>0.9</v>
      </c>
    </row>
    <row r="214" customFormat="false" ht="12.75" hidden="false" customHeight="false" outlineLevel="0" collapsed="false">
      <c r="A214" s="138" t="n">
        <f aca="false">EOMONTH(A213,0)+1</f>
        <v>52048</v>
      </c>
      <c r="B214" s="128" t="n">
        <f aca="false">'Gas Curves'!C218</f>
        <v>0.062354752510566</v>
      </c>
      <c r="C214" s="128"/>
      <c r="D214" s="167" t="n">
        <v>41821</v>
      </c>
      <c r="E214" s="168" t="n">
        <v>68.35</v>
      </c>
      <c r="F214" s="168" t="n">
        <v>78.25</v>
      </c>
      <c r="G214" s="168" t="n">
        <v>90.76</v>
      </c>
      <c r="H214" s="152"/>
      <c r="I214" s="168" t="n">
        <v>24.3</v>
      </c>
      <c r="J214" s="168" t="n">
        <v>29.25</v>
      </c>
      <c r="K214" s="168" t="n">
        <v>34.415</v>
      </c>
      <c r="L214" s="134"/>
      <c r="M214" s="135" t="n">
        <v>42705</v>
      </c>
      <c r="N214" s="169" t="n">
        <v>31.9</v>
      </c>
      <c r="O214" s="169" t="n">
        <v>33.475</v>
      </c>
      <c r="P214" s="169" t="n">
        <v>34.9825</v>
      </c>
      <c r="Q214" s="65"/>
      <c r="R214" s="169" t="n">
        <v>25.0000003814697</v>
      </c>
      <c r="S214" s="169" t="n">
        <v>30.0000003814697</v>
      </c>
      <c r="T214" s="169" t="n">
        <v>31.5075003814697</v>
      </c>
      <c r="U214" s="65"/>
      <c r="V214" s="169" t="n">
        <v>0</v>
      </c>
      <c r="W214" s="169" t="n">
        <v>0</v>
      </c>
      <c r="X214" s="169" t="n">
        <v>0</v>
      </c>
      <c r="Y214" s="65"/>
      <c r="Z214" s="169" t="n">
        <v>0.0707799272813802</v>
      </c>
      <c r="AA214" s="169" t="n">
        <v>0.14155985456276</v>
      </c>
      <c r="AB214" s="169" t="n">
        <v>0.212339781844141</v>
      </c>
      <c r="AC214" s="65"/>
      <c r="AD214" s="169" t="n">
        <v>0.0217139316177749</v>
      </c>
      <c r="AE214" s="169" t="n">
        <v>0.0434278632355497</v>
      </c>
      <c r="AF214" s="169" t="n">
        <v>0.0651417948533246</v>
      </c>
      <c r="AG214" s="65"/>
      <c r="AH214" s="169" t="n">
        <v>-0.25</v>
      </c>
      <c r="AI214" s="169" t="n">
        <v>1.25</v>
      </c>
      <c r="AJ214" s="169" t="n">
        <v>0.35</v>
      </c>
      <c r="AK214" s="65"/>
      <c r="AL214" s="169" t="n">
        <v>-0.15</v>
      </c>
      <c r="AM214" s="169" t="n">
        <v>0.3</v>
      </c>
      <c r="AN214" s="169" t="n">
        <v>0.2</v>
      </c>
      <c r="AO214" s="65"/>
      <c r="AP214" s="134" t="n">
        <v>66</v>
      </c>
      <c r="AQ214" s="170" t="n">
        <v>0.4</v>
      </c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135" t="n">
        <v>42705</v>
      </c>
      <c r="BI214" s="172" t="n">
        <v>0.9</v>
      </c>
      <c r="BJ214" s="65"/>
      <c r="BK214" s="65"/>
      <c r="BL214" s="65"/>
      <c r="BM214" s="65"/>
      <c r="BN214" s="65"/>
      <c r="BO214" s="65"/>
      <c r="BP214" s="65"/>
      <c r="BQ214" s="65"/>
      <c r="BR214" s="65"/>
      <c r="BS214" s="65"/>
      <c r="BT214" s="65"/>
      <c r="BU214" s="65"/>
      <c r="BV214" s="65"/>
      <c r="BW214" s="65"/>
      <c r="BX214" s="65"/>
      <c r="BY214" s="65"/>
      <c r="BZ214" s="65"/>
      <c r="CA214" s="65"/>
      <c r="CB214" s="65"/>
      <c r="CC214" s="65"/>
      <c r="CD214" s="65"/>
      <c r="CE214" s="65"/>
      <c r="CF214" s="65"/>
      <c r="CG214" s="65"/>
      <c r="CH214" s="0"/>
      <c r="CP214" s="0"/>
      <c r="CQ214" s="0"/>
      <c r="CR214" s="0"/>
      <c r="CS214" s="0"/>
      <c r="CT214" s="0"/>
      <c r="CY214" s="174" t="n">
        <f aca="false">M214</f>
        <v>42705</v>
      </c>
      <c r="CZ214" s="175" t="n">
        <f aca="false">AI214+AH214</f>
        <v>1</v>
      </c>
      <c r="DA214" s="175" t="n">
        <f aca="false">AI214</f>
        <v>1.25</v>
      </c>
      <c r="DB214" s="175" t="n">
        <f aca="false">AI214+AJ214</f>
        <v>1.6</v>
      </c>
      <c r="DD214" s="175" t="n">
        <f aca="false">Z214</f>
        <v>0.0707799272813802</v>
      </c>
      <c r="DE214" s="175" t="n">
        <f aca="false">AA214</f>
        <v>0.14155985456276</v>
      </c>
      <c r="DF214" s="175" t="n">
        <f aca="false">AB214</f>
        <v>0.212339781844141</v>
      </c>
      <c r="DH214" s="174" t="n">
        <f aca="false">BH214</f>
        <v>42705</v>
      </c>
      <c r="DI214" s="128" t="n">
        <f aca="false">BI214</f>
        <v>0.9</v>
      </c>
    </row>
    <row r="215" customFormat="false" ht="12.75" hidden="false" customHeight="false" outlineLevel="0" collapsed="false">
      <c r="A215" s="138" t="n">
        <f aca="false">EOMONTH(A214,0)+1</f>
        <v>52079</v>
      </c>
      <c r="B215" s="128" t="n">
        <f aca="false">'Gas Curves'!C219</f>
        <v>0.062378467599381</v>
      </c>
      <c r="C215" s="128"/>
      <c r="D215" s="167" t="n">
        <v>41852</v>
      </c>
      <c r="E215" s="168" t="n">
        <v>68.35</v>
      </c>
      <c r="F215" s="168" t="n">
        <v>78.25</v>
      </c>
      <c r="G215" s="168" t="n">
        <v>90.76</v>
      </c>
      <c r="H215" s="152"/>
      <c r="I215" s="168" t="n">
        <v>36.4500015258789</v>
      </c>
      <c r="J215" s="168" t="n">
        <v>41.4000015258789</v>
      </c>
      <c r="K215" s="168" t="n">
        <v>46.5650015258789</v>
      </c>
      <c r="L215" s="134"/>
      <c r="M215" s="135" t="n">
        <v>42736</v>
      </c>
      <c r="N215" s="169" t="n">
        <v>34.4294960021973</v>
      </c>
      <c r="O215" s="169" t="n">
        <v>36.0044960021973</v>
      </c>
      <c r="P215" s="169" t="n">
        <v>37.2644960021973</v>
      </c>
      <c r="Q215" s="65"/>
      <c r="R215" s="169" t="n">
        <v>27.1039974212647</v>
      </c>
      <c r="S215" s="169" t="n">
        <v>32.1039974212647</v>
      </c>
      <c r="T215" s="169" t="n">
        <v>33.3639974212647</v>
      </c>
      <c r="U215" s="65"/>
      <c r="V215" s="169" t="n">
        <v>0</v>
      </c>
      <c r="W215" s="169" t="n">
        <v>0</v>
      </c>
      <c r="X215" s="169" t="n">
        <v>0</v>
      </c>
      <c r="Y215" s="65"/>
      <c r="Z215" s="169" t="n">
        <v>0.104449007839516</v>
      </c>
      <c r="AA215" s="169" t="n">
        <v>0.208898015679033</v>
      </c>
      <c r="AB215" s="169" t="n">
        <v>0.313347023518549</v>
      </c>
      <c r="AC215" s="65"/>
      <c r="AD215" s="169" t="n">
        <v>0.0248262618163226</v>
      </c>
      <c r="AE215" s="169" t="n">
        <v>0.0496525236326452</v>
      </c>
      <c r="AF215" s="169" t="n">
        <v>0.0744787854489678</v>
      </c>
      <c r="AG215" s="65"/>
      <c r="AH215" s="169" t="n">
        <v>-0.75</v>
      </c>
      <c r="AI215" s="169" t="n">
        <v>2</v>
      </c>
      <c r="AJ215" s="169" t="n">
        <v>0.75</v>
      </c>
      <c r="AK215" s="65"/>
      <c r="AL215" s="169" t="n">
        <v>-0.15</v>
      </c>
      <c r="AM215" s="169" t="n">
        <v>0.5</v>
      </c>
      <c r="AN215" s="169" t="n">
        <v>0.2</v>
      </c>
      <c r="AO215" s="65"/>
      <c r="AP215" s="134" t="n">
        <v>66</v>
      </c>
      <c r="AQ215" s="170" t="n">
        <v>0.4</v>
      </c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135" t="n">
        <v>42736</v>
      </c>
      <c r="BI215" s="172" t="n">
        <v>0.9</v>
      </c>
      <c r="BJ215" s="65"/>
      <c r="BK215" s="65"/>
      <c r="BL215" s="65"/>
      <c r="BM215" s="65"/>
      <c r="BN215" s="65"/>
      <c r="BO215" s="65"/>
      <c r="BP215" s="65"/>
      <c r="BQ215" s="65"/>
      <c r="BR215" s="65"/>
      <c r="BS215" s="65"/>
      <c r="BT215" s="65"/>
      <c r="BU215" s="65"/>
      <c r="BV215" s="65"/>
      <c r="BW215" s="65"/>
      <c r="BX215" s="65"/>
      <c r="BY215" s="65"/>
      <c r="BZ215" s="65"/>
      <c r="CA215" s="65"/>
      <c r="CB215" s="65"/>
      <c r="CC215" s="65"/>
      <c r="CD215" s="65"/>
      <c r="CE215" s="65"/>
      <c r="CF215" s="65"/>
      <c r="CG215" s="65"/>
      <c r="CH215" s="0"/>
      <c r="CP215" s="0"/>
      <c r="CQ215" s="0"/>
      <c r="CR215" s="0"/>
      <c r="CS215" s="0"/>
      <c r="CT215" s="0"/>
      <c r="CY215" s="174" t="n">
        <f aca="false">M215</f>
        <v>42736</v>
      </c>
      <c r="CZ215" s="175" t="n">
        <f aca="false">AI215+AH215</f>
        <v>1.25</v>
      </c>
      <c r="DA215" s="175" t="n">
        <f aca="false">AI215</f>
        <v>2</v>
      </c>
      <c r="DB215" s="175" t="n">
        <f aca="false">AI215+AJ215</f>
        <v>2.75</v>
      </c>
      <c r="DD215" s="175" t="n">
        <f aca="false">Z215</f>
        <v>0.104449007839516</v>
      </c>
      <c r="DE215" s="175" t="n">
        <f aca="false">AA215</f>
        <v>0.208898015679033</v>
      </c>
      <c r="DF215" s="175" t="n">
        <f aca="false">AB215</f>
        <v>0.313347023518549</v>
      </c>
      <c r="DH215" s="174" t="n">
        <f aca="false">BH215</f>
        <v>42736</v>
      </c>
      <c r="DI215" s="128" t="n">
        <f aca="false">BI215</f>
        <v>0.9</v>
      </c>
    </row>
    <row r="216" customFormat="false" ht="12.75" hidden="false" customHeight="false" outlineLevel="0" collapsed="false">
      <c r="A216" s="138" t="n">
        <f aca="false">EOMONTH(A215,0)+1</f>
        <v>52110</v>
      </c>
      <c r="B216" s="128" t="n">
        <f aca="false">'Gas Curves'!C220</f>
        <v>0.062402973191352</v>
      </c>
      <c r="C216" s="128"/>
      <c r="D216" s="167" t="n">
        <v>41883</v>
      </c>
      <c r="E216" s="168" t="n">
        <v>34.83</v>
      </c>
      <c r="F216" s="168" t="n">
        <v>39.9</v>
      </c>
      <c r="G216" s="168" t="n">
        <v>43.75</v>
      </c>
      <c r="H216" s="152"/>
      <c r="I216" s="168" t="n">
        <v>27.3649996185303</v>
      </c>
      <c r="J216" s="168" t="n">
        <v>29.8999996185303</v>
      </c>
      <c r="K216" s="168" t="n">
        <v>31.4899996185303</v>
      </c>
      <c r="L216" s="134"/>
      <c r="M216" s="135" t="n">
        <v>42767</v>
      </c>
      <c r="N216" s="169" t="n">
        <v>34.0919967651367</v>
      </c>
      <c r="O216" s="169" t="n">
        <v>35.3294967651367</v>
      </c>
      <c r="P216" s="169" t="n">
        <v>36.5894967651367</v>
      </c>
      <c r="Q216" s="65"/>
      <c r="R216" s="169" t="n">
        <v>26.5039970397949</v>
      </c>
      <c r="S216" s="169" t="n">
        <v>31.5039970397949</v>
      </c>
      <c r="T216" s="169" t="n">
        <v>32.7639970397949</v>
      </c>
      <c r="U216" s="65"/>
      <c r="V216" s="169" t="n">
        <v>0</v>
      </c>
      <c r="W216" s="169" t="n">
        <v>0</v>
      </c>
      <c r="X216" s="169" t="n">
        <v>0</v>
      </c>
      <c r="Y216" s="65"/>
      <c r="Z216" s="169" t="n">
        <v>0.100904829928794</v>
      </c>
      <c r="AA216" s="169" t="n">
        <v>0.201809659857588</v>
      </c>
      <c r="AB216" s="169" t="n">
        <v>0.302714489786383</v>
      </c>
      <c r="AC216" s="65"/>
      <c r="AD216" s="169" t="n">
        <v>0.0248262618163226</v>
      </c>
      <c r="AE216" s="169" t="n">
        <v>0.0496525236326452</v>
      </c>
      <c r="AF216" s="169" t="n">
        <v>0.0744787854489678</v>
      </c>
      <c r="AG216" s="65"/>
      <c r="AH216" s="169" t="n">
        <v>-0.75</v>
      </c>
      <c r="AI216" s="169" t="n">
        <v>2</v>
      </c>
      <c r="AJ216" s="169" t="n">
        <v>0.75</v>
      </c>
      <c r="AK216" s="65"/>
      <c r="AL216" s="169" t="n">
        <v>-0.15</v>
      </c>
      <c r="AM216" s="169" t="n">
        <v>0.5</v>
      </c>
      <c r="AN216" s="169" t="n">
        <v>0.2</v>
      </c>
      <c r="AO216" s="65"/>
      <c r="AP216" s="134" t="n">
        <v>67</v>
      </c>
      <c r="AQ216" s="170" t="n">
        <v>0.4</v>
      </c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135" t="n">
        <v>42767</v>
      </c>
      <c r="BI216" s="172" t="n">
        <v>0.9</v>
      </c>
      <c r="BJ216" s="65"/>
      <c r="BK216" s="65"/>
      <c r="BL216" s="65"/>
      <c r="BM216" s="65"/>
      <c r="BN216" s="65"/>
      <c r="BO216" s="65"/>
      <c r="BP216" s="65"/>
      <c r="BQ216" s="65"/>
      <c r="BR216" s="65"/>
      <c r="BS216" s="65"/>
      <c r="BT216" s="65"/>
      <c r="BU216" s="65"/>
      <c r="BV216" s="65"/>
      <c r="BW216" s="65"/>
      <c r="BX216" s="65"/>
      <c r="BY216" s="65"/>
      <c r="BZ216" s="65"/>
      <c r="CA216" s="65"/>
      <c r="CB216" s="65"/>
      <c r="CC216" s="65"/>
      <c r="CD216" s="65"/>
      <c r="CE216" s="65"/>
      <c r="CF216" s="65"/>
      <c r="CG216" s="65"/>
      <c r="CH216" s="0"/>
      <c r="CP216" s="0"/>
      <c r="CQ216" s="0"/>
      <c r="CR216" s="0"/>
      <c r="CS216" s="0"/>
      <c r="CT216" s="0"/>
      <c r="CY216" s="174" t="n">
        <f aca="false">M216</f>
        <v>42767</v>
      </c>
      <c r="CZ216" s="175" t="n">
        <f aca="false">AI216+AH216</f>
        <v>1.25</v>
      </c>
      <c r="DA216" s="175" t="n">
        <f aca="false">AI216</f>
        <v>2</v>
      </c>
      <c r="DB216" s="175" t="n">
        <f aca="false">AI216+AJ216</f>
        <v>2.75</v>
      </c>
      <c r="DD216" s="175" t="n">
        <f aca="false">Z216</f>
        <v>0.100904829928794</v>
      </c>
      <c r="DE216" s="175" t="n">
        <f aca="false">AA216</f>
        <v>0.201809659857588</v>
      </c>
      <c r="DF216" s="175" t="n">
        <f aca="false">AB216</f>
        <v>0.302714489786383</v>
      </c>
      <c r="DH216" s="174" t="n">
        <f aca="false">BH216</f>
        <v>42767</v>
      </c>
      <c r="DI216" s="128" t="n">
        <f aca="false">BI216</f>
        <v>0.9</v>
      </c>
    </row>
    <row r="217" customFormat="false" ht="12.75" hidden="false" customHeight="false" outlineLevel="0" collapsed="false">
      <c r="A217" s="138" t="n">
        <f aca="false">EOMONTH(A216,0)+1</f>
        <v>52140</v>
      </c>
      <c r="B217" s="128" t="n">
        <f aca="false">'Gas Curves'!C221</f>
        <v>0.062427478783523</v>
      </c>
      <c r="C217" s="128"/>
      <c r="D217" s="167" t="n">
        <v>41913</v>
      </c>
      <c r="E217" s="168" t="n">
        <v>37.27</v>
      </c>
      <c r="F217" s="168" t="n">
        <v>39.9</v>
      </c>
      <c r="G217" s="168" t="n">
        <v>42.35</v>
      </c>
      <c r="H217" s="152"/>
      <c r="I217" s="168" t="n">
        <v>26.5849996185303</v>
      </c>
      <c r="J217" s="168" t="n">
        <v>27.8999996185303</v>
      </c>
      <c r="K217" s="168" t="n">
        <v>28.9049996185303</v>
      </c>
      <c r="L217" s="134"/>
      <c r="M217" s="135" t="n">
        <v>42795</v>
      </c>
      <c r="N217" s="169" t="n">
        <v>28.2374969482422</v>
      </c>
      <c r="O217" s="169" t="n">
        <v>29.4749969482422</v>
      </c>
      <c r="P217" s="169" t="n">
        <v>30.7349969482422</v>
      </c>
      <c r="Q217" s="65"/>
      <c r="R217" s="169" t="n">
        <v>21.2999984741211</v>
      </c>
      <c r="S217" s="169" t="n">
        <v>26.2999984741211</v>
      </c>
      <c r="T217" s="169" t="n">
        <v>27.5599984741211</v>
      </c>
      <c r="U217" s="65"/>
      <c r="V217" s="169" t="n">
        <v>0</v>
      </c>
      <c r="W217" s="169" t="n">
        <v>0</v>
      </c>
      <c r="X217" s="169" t="n">
        <v>0</v>
      </c>
      <c r="Y217" s="65"/>
      <c r="Z217" s="169" t="n">
        <v>0.0799930220274584</v>
      </c>
      <c r="AA217" s="169" t="n">
        <v>0.159986044054917</v>
      </c>
      <c r="AB217" s="169" t="n">
        <v>0.239979066082375</v>
      </c>
      <c r="AC217" s="65"/>
      <c r="AD217" s="169" t="n">
        <v>0.0217139316177749</v>
      </c>
      <c r="AE217" s="169" t="n">
        <v>0.0434278632355497</v>
      </c>
      <c r="AF217" s="169" t="n">
        <v>0.0651417948533246</v>
      </c>
      <c r="AG217" s="65"/>
      <c r="AH217" s="169" t="n">
        <v>-0.25</v>
      </c>
      <c r="AI217" s="169" t="n">
        <v>1.3</v>
      </c>
      <c r="AJ217" s="169" t="n">
        <v>0.3</v>
      </c>
      <c r="AK217" s="65"/>
      <c r="AL217" s="169" t="n">
        <v>-0.15</v>
      </c>
      <c r="AM217" s="169" t="n">
        <v>0.35</v>
      </c>
      <c r="AN217" s="169" t="n">
        <v>0.2</v>
      </c>
      <c r="AO217" s="65"/>
      <c r="AP217" s="134" t="n">
        <v>67</v>
      </c>
      <c r="AQ217" s="170" t="n">
        <v>0.4</v>
      </c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135" t="n">
        <v>42795</v>
      </c>
      <c r="BI217" s="172" t="n">
        <v>0.9</v>
      </c>
      <c r="BJ217" s="65"/>
      <c r="BK217" s="65"/>
      <c r="BL217" s="65"/>
      <c r="BM217" s="65"/>
      <c r="BN217" s="65"/>
      <c r="BO217" s="65"/>
      <c r="BP217" s="65"/>
      <c r="BQ217" s="65"/>
      <c r="BR217" s="65"/>
      <c r="BS217" s="65"/>
      <c r="BT217" s="65"/>
      <c r="BU217" s="65"/>
      <c r="BV217" s="65"/>
      <c r="BW217" s="65"/>
      <c r="BX217" s="65"/>
      <c r="BY217" s="65"/>
      <c r="BZ217" s="65"/>
      <c r="CA217" s="65"/>
      <c r="CB217" s="65"/>
      <c r="CC217" s="65"/>
      <c r="CD217" s="65"/>
      <c r="CE217" s="65"/>
      <c r="CF217" s="65"/>
      <c r="CG217" s="65"/>
      <c r="CH217" s="0"/>
      <c r="CP217" s="0"/>
      <c r="CQ217" s="0"/>
      <c r="CR217" s="0"/>
      <c r="CS217" s="0"/>
      <c r="CT217" s="0"/>
      <c r="CY217" s="174" t="n">
        <f aca="false">M217</f>
        <v>42795</v>
      </c>
      <c r="CZ217" s="175" t="n">
        <f aca="false">AI217+AH217</f>
        <v>1.05</v>
      </c>
      <c r="DA217" s="175" t="n">
        <f aca="false">AI217</f>
        <v>1.3</v>
      </c>
      <c r="DB217" s="175" t="n">
        <f aca="false">AI217+AJ217</f>
        <v>1.6</v>
      </c>
      <c r="DD217" s="175" t="n">
        <f aca="false">Z217</f>
        <v>0.0799930220274584</v>
      </c>
      <c r="DE217" s="175" t="n">
        <f aca="false">AA217</f>
        <v>0.159986044054917</v>
      </c>
      <c r="DF217" s="175" t="n">
        <f aca="false">AB217</f>
        <v>0.239979066082375</v>
      </c>
      <c r="DH217" s="174" t="n">
        <f aca="false">BH217</f>
        <v>42795</v>
      </c>
      <c r="DI217" s="128" t="n">
        <f aca="false">BI217</f>
        <v>0.9</v>
      </c>
    </row>
    <row r="218" customFormat="false" ht="12.75" hidden="false" customHeight="false" outlineLevel="0" collapsed="false">
      <c r="A218" s="138" t="n">
        <f aca="false">EOMONTH(A217,0)+1</f>
        <v>52171</v>
      </c>
      <c r="B218" s="128" t="n">
        <f aca="false">'Gas Curves'!C222</f>
        <v>0.062449612866946</v>
      </c>
      <c r="C218" s="128"/>
      <c r="D218" s="167" t="n">
        <v>41944</v>
      </c>
      <c r="E218" s="168" t="n">
        <v>39.77</v>
      </c>
      <c r="F218" s="168" t="n">
        <v>42.4</v>
      </c>
      <c r="G218" s="168" t="n">
        <v>44.85</v>
      </c>
      <c r="H218" s="152"/>
      <c r="I218" s="168" t="n">
        <v>27.3349996185303</v>
      </c>
      <c r="J218" s="168" t="n">
        <v>28.6499996185303</v>
      </c>
      <c r="K218" s="168" t="n">
        <v>29.6549996185303</v>
      </c>
      <c r="L218" s="134"/>
      <c r="M218" s="135" t="n">
        <v>42826</v>
      </c>
      <c r="N218" s="169" t="n">
        <v>27.2249996185303</v>
      </c>
      <c r="O218" s="169" t="n">
        <v>28.7999996185303</v>
      </c>
      <c r="P218" s="169" t="n">
        <v>30.0599996185303</v>
      </c>
      <c r="Q218" s="65"/>
      <c r="R218" s="169" t="n">
        <v>20.7</v>
      </c>
      <c r="S218" s="169" t="n">
        <v>25.7</v>
      </c>
      <c r="T218" s="169" t="n">
        <v>26.96</v>
      </c>
      <c r="U218" s="65"/>
      <c r="V218" s="169" t="n">
        <v>0</v>
      </c>
      <c r="W218" s="169" t="n">
        <v>0</v>
      </c>
      <c r="X218" s="169" t="n">
        <v>0</v>
      </c>
      <c r="Y218" s="65"/>
      <c r="Z218" s="169" t="n">
        <v>0.0798829903602954</v>
      </c>
      <c r="AA218" s="169" t="n">
        <v>0.159765980720591</v>
      </c>
      <c r="AB218" s="169" t="n">
        <v>0.239648971080886</v>
      </c>
      <c r="AC218" s="65"/>
      <c r="AD218" s="169" t="n">
        <v>0.0217139316177749</v>
      </c>
      <c r="AE218" s="169" t="n">
        <v>0.0434278632355497</v>
      </c>
      <c r="AF218" s="169" t="n">
        <v>0.0651417948533246</v>
      </c>
      <c r="AG218" s="65"/>
      <c r="AH218" s="169" t="n">
        <v>-0.25</v>
      </c>
      <c r="AI218" s="169" t="n">
        <v>1.1</v>
      </c>
      <c r="AJ218" s="169" t="n">
        <v>0.3</v>
      </c>
      <c r="AK218" s="65"/>
      <c r="AL218" s="169" t="n">
        <v>-0.15</v>
      </c>
      <c r="AM218" s="169" t="n">
        <v>0.35</v>
      </c>
      <c r="AN218" s="169" t="n">
        <v>0.2</v>
      </c>
      <c r="AO218" s="65"/>
      <c r="AP218" s="134" t="n">
        <v>67</v>
      </c>
      <c r="AQ218" s="170" t="n">
        <v>0.4</v>
      </c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135" t="n">
        <v>42826</v>
      </c>
      <c r="BI218" s="172" t="n">
        <v>0.9</v>
      </c>
      <c r="BJ218" s="65"/>
      <c r="BK218" s="65"/>
      <c r="BL218" s="65"/>
      <c r="BM218" s="65"/>
      <c r="BN218" s="65"/>
      <c r="BO218" s="65"/>
      <c r="BP218" s="65"/>
      <c r="BQ218" s="65"/>
      <c r="BR218" s="65"/>
      <c r="BS218" s="65"/>
      <c r="BT218" s="65"/>
      <c r="BU218" s="65"/>
      <c r="BV218" s="65"/>
      <c r="BW218" s="65"/>
      <c r="BX218" s="65"/>
      <c r="BY218" s="65"/>
      <c r="BZ218" s="65"/>
      <c r="CA218" s="65"/>
      <c r="CB218" s="65"/>
      <c r="CC218" s="65"/>
      <c r="CD218" s="65"/>
      <c r="CE218" s="65"/>
      <c r="CF218" s="65"/>
      <c r="CG218" s="65"/>
      <c r="CH218" s="0"/>
      <c r="CP218" s="0"/>
      <c r="CQ218" s="0"/>
      <c r="CR218" s="0"/>
      <c r="CS218" s="0"/>
      <c r="CT218" s="0"/>
      <c r="CY218" s="174" t="n">
        <f aca="false">M218</f>
        <v>42826</v>
      </c>
      <c r="CZ218" s="175" t="n">
        <f aca="false">AI218+AH218</f>
        <v>0.85</v>
      </c>
      <c r="DA218" s="175" t="n">
        <f aca="false">AI218</f>
        <v>1.1</v>
      </c>
      <c r="DB218" s="175" t="n">
        <f aca="false">AI218+AJ218</f>
        <v>1.4</v>
      </c>
      <c r="DD218" s="175" t="n">
        <f aca="false">Z218</f>
        <v>0.0798829903602954</v>
      </c>
      <c r="DE218" s="175" t="n">
        <f aca="false">AA218</f>
        <v>0.159765980720591</v>
      </c>
      <c r="DF218" s="175" t="n">
        <f aca="false">AB218</f>
        <v>0.239648971080886</v>
      </c>
      <c r="DH218" s="174" t="n">
        <f aca="false">BH218</f>
        <v>42826</v>
      </c>
      <c r="DI218" s="128" t="n">
        <f aca="false">BI218</f>
        <v>0.9</v>
      </c>
    </row>
    <row r="219" customFormat="false" ht="12.75" hidden="false" customHeight="false" outlineLevel="0" collapsed="false">
      <c r="A219" s="138" t="n">
        <f aca="false">EOMONTH(A218,0)+1</f>
        <v>52201</v>
      </c>
      <c r="B219" s="128" t="n">
        <f aca="false">'Gas Curves'!C223</f>
        <v>0.062474118459496</v>
      </c>
      <c r="C219" s="128"/>
      <c r="D219" s="167" t="n">
        <v>41974</v>
      </c>
      <c r="E219" s="168" t="n">
        <v>39.77</v>
      </c>
      <c r="F219" s="168" t="n">
        <v>42.4</v>
      </c>
      <c r="G219" s="168" t="n">
        <v>44.85</v>
      </c>
      <c r="H219" s="152"/>
      <c r="I219" s="168" t="n">
        <v>27.2349992370605</v>
      </c>
      <c r="J219" s="168" t="n">
        <v>28.5499992370605</v>
      </c>
      <c r="K219" s="168" t="n">
        <v>29.5549992370605</v>
      </c>
      <c r="L219" s="134"/>
      <c r="M219" s="135" t="n">
        <v>42856</v>
      </c>
      <c r="N219" s="169" t="n">
        <v>30.825</v>
      </c>
      <c r="O219" s="169" t="n">
        <v>32.4</v>
      </c>
      <c r="P219" s="169" t="n">
        <v>34.785</v>
      </c>
      <c r="Q219" s="65"/>
      <c r="R219" s="169" t="n">
        <v>23.8999988555908</v>
      </c>
      <c r="S219" s="169" t="n">
        <v>28.8999988555908</v>
      </c>
      <c r="T219" s="169" t="n">
        <v>31.2849988555908</v>
      </c>
      <c r="U219" s="65"/>
      <c r="V219" s="169" t="n">
        <v>0</v>
      </c>
      <c r="W219" s="169" t="n">
        <v>0</v>
      </c>
      <c r="X219" s="169" t="n">
        <v>0</v>
      </c>
      <c r="Y219" s="65"/>
      <c r="Z219" s="169" t="n">
        <v>0.0840387126948284</v>
      </c>
      <c r="AA219" s="169" t="n">
        <v>0.168077425389657</v>
      </c>
      <c r="AB219" s="169" t="n">
        <v>0.252116138084485</v>
      </c>
      <c r="AC219" s="65"/>
      <c r="AD219" s="169" t="n">
        <v>0.0248262618163226</v>
      </c>
      <c r="AE219" s="169" t="n">
        <v>0.0496525236326452</v>
      </c>
      <c r="AF219" s="169" t="n">
        <v>0.0744787854489678</v>
      </c>
      <c r="AG219" s="65"/>
      <c r="AH219" s="169" t="n">
        <v>-0.25</v>
      </c>
      <c r="AI219" s="169" t="n">
        <v>1.1</v>
      </c>
      <c r="AJ219" s="169" t="n">
        <v>0.3</v>
      </c>
      <c r="AK219" s="65"/>
      <c r="AL219" s="169" t="n">
        <v>-0.15</v>
      </c>
      <c r="AM219" s="169" t="n">
        <v>0.5</v>
      </c>
      <c r="AN219" s="169" t="n">
        <v>0.2</v>
      </c>
      <c r="AO219" s="65"/>
      <c r="AP219" s="134" t="n">
        <v>68</v>
      </c>
      <c r="AQ219" s="170" t="n">
        <v>0.4</v>
      </c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135" t="n">
        <v>42856</v>
      </c>
      <c r="BI219" s="172" t="n">
        <v>0.9</v>
      </c>
      <c r="BJ219" s="65"/>
      <c r="BK219" s="65"/>
      <c r="BL219" s="65"/>
      <c r="BM219" s="65"/>
      <c r="BN219" s="65"/>
      <c r="BO219" s="65"/>
      <c r="BP219" s="65"/>
      <c r="BQ219" s="65"/>
      <c r="BR219" s="65"/>
      <c r="BS219" s="65"/>
      <c r="BT219" s="65"/>
      <c r="BU219" s="65"/>
      <c r="BV219" s="65"/>
      <c r="BW219" s="65"/>
      <c r="BX219" s="65"/>
      <c r="BY219" s="65"/>
      <c r="BZ219" s="65"/>
      <c r="CA219" s="65"/>
      <c r="CB219" s="65"/>
      <c r="CC219" s="65"/>
      <c r="CD219" s="65"/>
      <c r="CE219" s="65"/>
      <c r="CF219" s="65"/>
      <c r="CG219" s="65"/>
      <c r="CH219" s="0"/>
      <c r="CP219" s="0"/>
      <c r="CQ219" s="0"/>
      <c r="CR219" s="0"/>
      <c r="CS219" s="0"/>
      <c r="CT219" s="0"/>
      <c r="CY219" s="174" t="n">
        <f aca="false">M219</f>
        <v>42856</v>
      </c>
      <c r="CZ219" s="175" t="n">
        <f aca="false">AI219+AH219</f>
        <v>0.85</v>
      </c>
      <c r="DA219" s="175" t="n">
        <f aca="false">AI219</f>
        <v>1.1</v>
      </c>
      <c r="DB219" s="175" t="n">
        <f aca="false">AI219+AJ219</f>
        <v>1.4</v>
      </c>
      <c r="DD219" s="175" t="n">
        <f aca="false">Z219</f>
        <v>0.0840387126948284</v>
      </c>
      <c r="DE219" s="175" t="n">
        <f aca="false">AA219</f>
        <v>0.168077425389657</v>
      </c>
      <c r="DF219" s="175" t="n">
        <f aca="false">AB219</f>
        <v>0.252116138084485</v>
      </c>
      <c r="DH219" s="174" t="n">
        <f aca="false">BH219</f>
        <v>42856</v>
      </c>
      <c r="DI219" s="128" t="n">
        <f aca="false">BI219</f>
        <v>0.9</v>
      </c>
    </row>
    <row r="220" customFormat="false" ht="12.75" hidden="false" customHeight="false" outlineLevel="0" collapsed="false">
      <c r="A220" s="138" t="n">
        <f aca="false">EOMONTH(A219,0)+1</f>
        <v>52232</v>
      </c>
      <c r="B220" s="128" t="n">
        <f aca="false">'Gas Curves'!C224</f>
        <v>0.06249783354925</v>
      </c>
      <c r="C220" s="128"/>
      <c r="D220" s="167" t="n">
        <v>42005</v>
      </c>
      <c r="E220" s="168" t="n">
        <v>56.07</v>
      </c>
      <c r="F220" s="168" t="n">
        <v>58.7</v>
      </c>
      <c r="G220" s="168" t="n">
        <v>60.74</v>
      </c>
      <c r="H220" s="152"/>
      <c r="I220" s="168" t="n">
        <v>28.2850003814697</v>
      </c>
      <c r="J220" s="168" t="n">
        <v>29.6000003814697</v>
      </c>
      <c r="K220" s="168" t="n">
        <v>30.4400003814697</v>
      </c>
      <c r="L220" s="134"/>
      <c r="M220" s="135" t="n">
        <v>42887</v>
      </c>
      <c r="N220" s="169" t="n">
        <v>36.1625030517578</v>
      </c>
      <c r="O220" s="169" t="n">
        <v>39.2000030517578</v>
      </c>
      <c r="P220" s="169" t="n">
        <v>42.8300030517578</v>
      </c>
      <c r="Q220" s="65"/>
      <c r="R220" s="169" t="n">
        <v>29.4000026702881</v>
      </c>
      <c r="S220" s="169" t="n">
        <v>34.4000026702881</v>
      </c>
      <c r="T220" s="169" t="n">
        <v>38.0300026702881</v>
      </c>
      <c r="U220" s="65"/>
      <c r="V220" s="169" t="n">
        <v>0</v>
      </c>
      <c r="W220" s="169" t="n">
        <v>0</v>
      </c>
      <c r="X220" s="169" t="n">
        <v>0</v>
      </c>
      <c r="Y220" s="65"/>
      <c r="Z220" s="169" t="n">
        <v>0.0898738657386905</v>
      </c>
      <c r="AA220" s="169" t="n">
        <v>0.179747731477381</v>
      </c>
      <c r="AB220" s="169" t="n">
        <v>0.269621597216072</v>
      </c>
      <c r="AC220" s="65"/>
      <c r="AD220" s="169" t="n">
        <v>0.0319194794781291</v>
      </c>
      <c r="AE220" s="169" t="n">
        <v>0.0638389589562581</v>
      </c>
      <c r="AF220" s="169" t="n">
        <v>0.0957584384343872</v>
      </c>
      <c r="AG220" s="65"/>
      <c r="AH220" s="169" t="n">
        <v>-0.35</v>
      </c>
      <c r="AI220" s="169" t="n">
        <v>2</v>
      </c>
      <c r="AJ220" s="169" t="n">
        <v>0.3</v>
      </c>
      <c r="AK220" s="65"/>
      <c r="AL220" s="169" t="n">
        <v>-0.15</v>
      </c>
      <c r="AM220" s="169" t="n">
        <v>0.65</v>
      </c>
      <c r="AN220" s="169" t="n">
        <v>0.2</v>
      </c>
      <c r="AO220" s="65"/>
      <c r="AP220" s="134" t="n">
        <v>68</v>
      </c>
      <c r="AQ220" s="170" t="n">
        <v>0.4</v>
      </c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135" t="n">
        <v>42887</v>
      </c>
      <c r="BI220" s="172" t="n">
        <v>0.9</v>
      </c>
      <c r="BJ220" s="65"/>
      <c r="BK220" s="65"/>
      <c r="BL220" s="65"/>
      <c r="BM220" s="65"/>
      <c r="BN220" s="65"/>
      <c r="BO220" s="65"/>
      <c r="BP220" s="65"/>
      <c r="BQ220" s="65"/>
      <c r="BR220" s="65"/>
      <c r="BS220" s="65"/>
      <c r="BT220" s="65"/>
      <c r="BU220" s="65"/>
      <c r="BV220" s="65"/>
      <c r="BW220" s="65"/>
      <c r="BX220" s="65"/>
      <c r="BY220" s="65"/>
      <c r="BZ220" s="65"/>
      <c r="CA220" s="65"/>
      <c r="CB220" s="65"/>
      <c r="CC220" s="65"/>
      <c r="CD220" s="65"/>
      <c r="CE220" s="65"/>
      <c r="CF220" s="65"/>
      <c r="CG220" s="65"/>
      <c r="CH220" s="0"/>
      <c r="CP220" s="0"/>
      <c r="CQ220" s="0"/>
      <c r="CR220" s="0"/>
      <c r="CS220" s="0"/>
      <c r="CT220" s="0"/>
      <c r="CY220" s="174" t="n">
        <f aca="false">M220</f>
        <v>42887</v>
      </c>
      <c r="CZ220" s="175" t="n">
        <f aca="false">AI220+AH220</f>
        <v>1.65</v>
      </c>
      <c r="DA220" s="175" t="n">
        <f aca="false">AI220</f>
        <v>2</v>
      </c>
      <c r="DB220" s="175" t="n">
        <f aca="false">AI220+AJ220</f>
        <v>2.3</v>
      </c>
      <c r="DD220" s="175" t="n">
        <f aca="false">Z220</f>
        <v>0.0898738657386905</v>
      </c>
      <c r="DE220" s="175" t="n">
        <f aca="false">AA220</f>
        <v>0.179747731477381</v>
      </c>
      <c r="DF220" s="175" t="n">
        <f aca="false">AB220</f>
        <v>0.269621597216072</v>
      </c>
      <c r="DH220" s="174" t="n">
        <f aca="false">BH220</f>
        <v>42887</v>
      </c>
      <c r="DI220" s="128" t="n">
        <f aca="false">BI220</f>
        <v>0.9</v>
      </c>
    </row>
    <row r="221" customFormat="false" ht="12.75" hidden="false" customHeight="false" outlineLevel="0" collapsed="false">
      <c r="A221" s="138" t="n">
        <f aca="false">EOMONTH(A220,0)+1</f>
        <v>52263</v>
      </c>
      <c r="B221" s="128" t="n">
        <f aca="false">'Gas Curves'!C225</f>
        <v>0.062522339142193</v>
      </c>
      <c r="C221" s="128"/>
      <c r="D221" s="167" t="n">
        <v>42036</v>
      </c>
      <c r="E221" s="168" t="n">
        <v>56.63</v>
      </c>
      <c r="F221" s="168" t="n">
        <v>58.7</v>
      </c>
      <c r="G221" s="168" t="n">
        <v>60.74</v>
      </c>
      <c r="H221" s="152"/>
      <c r="I221" s="168" t="n">
        <v>25.215</v>
      </c>
      <c r="J221" s="168" t="n">
        <v>26.25</v>
      </c>
      <c r="K221" s="168" t="n">
        <v>27.09</v>
      </c>
      <c r="L221" s="134"/>
      <c r="M221" s="135" t="n">
        <v>42917</v>
      </c>
      <c r="N221" s="169" t="n">
        <v>38.1750015258789</v>
      </c>
      <c r="O221" s="169" t="n">
        <v>45.6000015258789</v>
      </c>
      <c r="P221" s="169" t="n">
        <v>53.3475015258789</v>
      </c>
      <c r="Q221" s="65"/>
      <c r="R221" s="169" t="n">
        <v>34.6000015258789</v>
      </c>
      <c r="S221" s="169" t="n">
        <v>39.6000015258789</v>
      </c>
      <c r="T221" s="169" t="n">
        <v>47.3475015258789</v>
      </c>
      <c r="U221" s="65"/>
      <c r="V221" s="169" t="n">
        <v>0</v>
      </c>
      <c r="W221" s="169" t="n">
        <v>0</v>
      </c>
      <c r="X221" s="169" t="n">
        <v>0</v>
      </c>
      <c r="Y221" s="65"/>
      <c r="Z221" s="169" t="n">
        <v>0.107044596956486</v>
      </c>
      <c r="AA221" s="169" t="n">
        <v>0.214089193912973</v>
      </c>
      <c r="AB221" s="169" t="n">
        <v>0.321133790869459</v>
      </c>
      <c r="AC221" s="65"/>
      <c r="AD221" s="169" t="n">
        <v>0.0425593059708387</v>
      </c>
      <c r="AE221" s="169" t="n">
        <v>0.0851186119416775</v>
      </c>
      <c r="AF221" s="169" t="n">
        <v>0.127677917912516</v>
      </c>
      <c r="AG221" s="65"/>
      <c r="AH221" s="169" t="n">
        <v>-0.35</v>
      </c>
      <c r="AI221" s="169" t="n">
        <v>3</v>
      </c>
      <c r="AJ221" s="169" t="n">
        <v>0.5</v>
      </c>
      <c r="AK221" s="65"/>
      <c r="AL221" s="169" t="n">
        <v>-0.15</v>
      </c>
      <c r="AM221" s="169" t="n">
        <v>0.75</v>
      </c>
      <c r="AN221" s="169" t="n">
        <v>0.2</v>
      </c>
      <c r="AO221" s="65"/>
      <c r="AP221" s="134" t="n">
        <v>68</v>
      </c>
      <c r="AQ221" s="170" t="n">
        <v>0.4</v>
      </c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135" t="n">
        <v>42917</v>
      </c>
      <c r="BI221" s="172" t="n">
        <v>0.9</v>
      </c>
      <c r="BJ221" s="65"/>
      <c r="BK221" s="65"/>
      <c r="BL221" s="65"/>
      <c r="BM221" s="65"/>
      <c r="BN221" s="65"/>
      <c r="BO221" s="65"/>
      <c r="BP221" s="65"/>
      <c r="BQ221" s="65"/>
      <c r="BR221" s="65"/>
      <c r="BS221" s="65"/>
      <c r="BT221" s="65"/>
      <c r="BU221" s="65"/>
      <c r="BV221" s="65"/>
      <c r="BW221" s="65"/>
      <c r="BX221" s="65"/>
      <c r="BY221" s="65"/>
      <c r="BZ221" s="65"/>
      <c r="CA221" s="65"/>
      <c r="CB221" s="65"/>
      <c r="CC221" s="65"/>
      <c r="CD221" s="65"/>
      <c r="CE221" s="65"/>
      <c r="CF221" s="65"/>
      <c r="CG221" s="65"/>
      <c r="CH221" s="0"/>
      <c r="CP221" s="0"/>
      <c r="CQ221" s="0"/>
      <c r="CR221" s="0"/>
      <c r="CS221" s="0"/>
      <c r="CT221" s="0"/>
      <c r="CY221" s="174" t="n">
        <f aca="false">M221</f>
        <v>42917</v>
      </c>
      <c r="CZ221" s="175" t="n">
        <f aca="false">AI221+AH221</f>
        <v>2.65</v>
      </c>
      <c r="DA221" s="175" t="n">
        <f aca="false">AI221</f>
        <v>3</v>
      </c>
      <c r="DB221" s="175" t="n">
        <f aca="false">AI221+AJ221</f>
        <v>3.5</v>
      </c>
      <c r="DD221" s="175" t="n">
        <f aca="false">Z221</f>
        <v>0.107044596956486</v>
      </c>
      <c r="DE221" s="175" t="n">
        <f aca="false">AA221</f>
        <v>0.214089193912973</v>
      </c>
      <c r="DF221" s="175" t="n">
        <f aca="false">AB221</f>
        <v>0.321133790869459</v>
      </c>
      <c r="DH221" s="174" t="n">
        <f aca="false">BH221</f>
        <v>42917</v>
      </c>
      <c r="DI221" s="128" t="n">
        <f aca="false">BI221</f>
        <v>0.9</v>
      </c>
    </row>
    <row r="222" customFormat="false" ht="12.75" hidden="false" customHeight="false" outlineLevel="0" collapsed="false">
      <c r="A222" s="138" t="n">
        <f aca="false">EOMONTH(A221,0)+1</f>
        <v>52291</v>
      </c>
      <c r="B222" s="128" t="n">
        <f aca="false">'Gas Curves'!C226</f>
        <v>0.062546054232326</v>
      </c>
      <c r="C222" s="128"/>
      <c r="D222" s="167" t="n">
        <v>42064</v>
      </c>
      <c r="E222" s="168" t="n">
        <v>39.63</v>
      </c>
      <c r="F222" s="168" t="n">
        <v>41.7</v>
      </c>
      <c r="G222" s="168" t="n">
        <v>43.74</v>
      </c>
      <c r="H222" s="152"/>
      <c r="I222" s="168" t="n">
        <v>25.6149996185303</v>
      </c>
      <c r="J222" s="168" t="n">
        <v>26.6499996185303</v>
      </c>
      <c r="K222" s="168" t="n">
        <v>27.4899996185303</v>
      </c>
      <c r="L222" s="134"/>
      <c r="M222" s="135" t="n">
        <v>42948</v>
      </c>
      <c r="N222" s="169" t="n">
        <v>49.9250015258789</v>
      </c>
      <c r="O222" s="169" t="n">
        <v>57.3500015258789</v>
      </c>
      <c r="P222" s="169" t="n">
        <v>65.0975015258789</v>
      </c>
      <c r="Q222" s="65"/>
      <c r="R222" s="169" t="n">
        <v>46.4000007629395</v>
      </c>
      <c r="S222" s="169" t="n">
        <v>51.4000007629395</v>
      </c>
      <c r="T222" s="169" t="n">
        <v>59.1475007629395</v>
      </c>
      <c r="U222" s="65"/>
      <c r="V222" s="169" t="n">
        <v>0</v>
      </c>
      <c r="W222" s="169" t="n">
        <v>0</v>
      </c>
      <c r="X222" s="169" t="n">
        <v>0</v>
      </c>
      <c r="Y222" s="65"/>
      <c r="Z222" s="169" t="n">
        <v>0.104699185103803</v>
      </c>
      <c r="AA222" s="169" t="n">
        <v>0.209398370207605</v>
      </c>
      <c r="AB222" s="169" t="n">
        <v>0.314097555311408</v>
      </c>
      <c r="AC222" s="65"/>
      <c r="AD222" s="169" t="n">
        <v>0.0425593059708387</v>
      </c>
      <c r="AE222" s="169" t="n">
        <v>0.0851186119416775</v>
      </c>
      <c r="AF222" s="169" t="n">
        <v>0.127677917912516</v>
      </c>
      <c r="AG222" s="65"/>
      <c r="AH222" s="169" t="n">
        <v>-0.35</v>
      </c>
      <c r="AI222" s="169" t="n">
        <v>3</v>
      </c>
      <c r="AJ222" s="169" t="n">
        <v>0.5</v>
      </c>
      <c r="AK222" s="65"/>
      <c r="AL222" s="169" t="n">
        <v>-0.15</v>
      </c>
      <c r="AM222" s="169" t="n">
        <v>0.75</v>
      </c>
      <c r="AN222" s="169" t="n">
        <v>0.2</v>
      </c>
      <c r="AO222" s="65"/>
      <c r="AP222" s="134" t="n">
        <v>69</v>
      </c>
      <c r="AQ222" s="170" t="n">
        <v>0.4</v>
      </c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135" t="n">
        <v>42948</v>
      </c>
      <c r="BI222" s="172" t="n">
        <v>0.9</v>
      </c>
      <c r="BJ222" s="65"/>
      <c r="BK222" s="65"/>
      <c r="BL222" s="65"/>
      <c r="BM222" s="65"/>
      <c r="BN222" s="65"/>
      <c r="BO222" s="65"/>
      <c r="BP222" s="65"/>
      <c r="BQ222" s="65"/>
      <c r="BR222" s="65"/>
      <c r="BS222" s="65"/>
      <c r="BT222" s="65"/>
      <c r="BU222" s="65"/>
      <c r="BV222" s="65"/>
      <c r="BW222" s="65"/>
      <c r="BX222" s="65"/>
      <c r="BY222" s="65"/>
      <c r="BZ222" s="65"/>
      <c r="CA222" s="65"/>
      <c r="CB222" s="65"/>
      <c r="CC222" s="65"/>
      <c r="CD222" s="65"/>
      <c r="CE222" s="65"/>
      <c r="CF222" s="65"/>
      <c r="CG222" s="65"/>
      <c r="CH222" s="0"/>
      <c r="CP222" s="0"/>
      <c r="CQ222" s="0"/>
      <c r="CR222" s="0"/>
      <c r="CS222" s="0"/>
      <c r="CT222" s="0"/>
      <c r="CY222" s="174" t="n">
        <f aca="false">M222</f>
        <v>42948</v>
      </c>
      <c r="CZ222" s="175" t="n">
        <f aca="false">AI222+AH222</f>
        <v>2.65</v>
      </c>
      <c r="DA222" s="175" t="n">
        <f aca="false">AI222</f>
        <v>3</v>
      </c>
      <c r="DB222" s="175" t="n">
        <f aca="false">AI222+AJ222</f>
        <v>3.5</v>
      </c>
      <c r="DD222" s="175" t="n">
        <f aca="false">Z222</f>
        <v>0.104699185103803</v>
      </c>
      <c r="DE222" s="175" t="n">
        <f aca="false">AA222</f>
        <v>0.209398370207605</v>
      </c>
      <c r="DF222" s="175" t="n">
        <f aca="false">AB222</f>
        <v>0.314097555311408</v>
      </c>
      <c r="DH222" s="174" t="n">
        <f aca="false">BH222</f>
        <v>42948</v>
      </c>
      <c r="DI222" s="128" t="n">
        <f aca="false">BI222</f>
        <v>0.9</v>
      </c>
    </row>
    <row r="223" customFormat="false" ht="12.75" hidden="false" customHeight="false" outlineLevel="0" collapsed="false">
      <c r="A223" s="138" t="n">
        <f aca="false">EOMONTH(A222,0)+1</f>
        <v>52322</v>
      </c>
      <c r="B223" s="128" t="n">
        <f aca="false">'Gas Curves'!C227</f>
        <v>0.062570559825661</v>
      </c>
      <c r="C223" s="128"/>
      <c r="D223" s="167" t="n">
        <v>42095</v>
      </c>
      <c r="E223" s="168" t="n">
        <v>35.57</v>
      </c>
      <c r="F223" s="168" t="n">
        <v>38.2</v>
      </c>
      <c r="G223" s="168" t="n">
        <v>40.24</v>
      </c>
      <c r="H223" s="152"/>
      <c r="I223" s="168" t="n">
        <v>23.0849996185303</v>
      </c>
      <c r="J223" s="168" t="n">
        <v>24.3999996185303</v>
      </c>
      <c r="K223" s="168" t="n">
        <v>25.2399996185303</v>
      </c>
      <c r="L223" s="134"/>
      <c r="M223" s="135" t="n">
        <v>42979</v>
      </c>
      <c r="N223" s="169" t="n">
        <v>31.6875011444092</v>
      </c>
      <c r="O223" s="169" t="n">
        <v>34.7250011444092</v>
      </c>
      <c r="P223" s="169" t="n">
        <v>37.1100011444092</v>
      </c>
      <c r="Q223" s="65"/>
      <c r="R223" s="169" t="n">
        <v>27.0000015258789</v>
      </c>
      <c r="S223" s="169" t="n">
        <v>32.0000015258789</v>
      </c>
      <c r="T223" s="169" t="n">
        <v>34.3850015258789</v>
      </c>
      <c r="U223" s="65"/>
      <c r="V223" s="169" t="n">
        <v>0</v>
      </c>
      <c r="W223" s="169" t="n">
        <v>0</v>
      </c>
      <c r="X223" s="169" t="n">
        <v>0</v>
      </c>
      <c r="Y223" s="65"/>
      <c r="Z223" s="169" t="n">
        <v>0.0793270408841037</v>
      </c>
      <c r="AA223" s="169" t="n">
        <v>0.158654081768207</v>
      </c>
      <c r="AB223" s="169" t="n">
        <v>0.237981122652311</v>
      </c>
      <c r="AC223" s="65"/>
      <c r="AD223" s="169" t="n">
        <v>0.0283728706472258</v>
      </c>
      <c r="AE223" s="169" t="n">
        <v>0.0567457412944517</v>
      </c>
      <c r="AF223" s="169" t="n">
        <v>0.0851186119416775</v>
      </c>
      <c r="AG223" s="65"/>
      <c r="AH223" s="169" t="n">
        <v>-0.35</v>
      </c>
      <c r="AI223" s="169" t="n">
        <v>1.5</v>
      </c>
      <c r="AJ223" s="169" t="n">
        <v>0.3</v>
      </c>
      <c r="AK223" s="65"/>
      <c r="AL223" s="169" t="n">
        <v>-0.15</v>
      </c>
      <c r="AM223" s="169" t="n">
        <v>0.4</v>
      </c>
      <c r="AN223" s="169" t="n">
        <v>0.2</v>
      </c>
      <c r="AO223" s="65"/>
      <c r="AP223" s="134" t="n">
        <v>69</v>
      </c>
      <c r="AQ223" s="170" t="n">
        <v>0.4</v>
      </c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135" t="n">
        <v>42979</v>
      </c>
      <c r="BI223" s="172" t="n">
        <v>0.9</v>
      </c>
      <c r="BJ223" s="65"/>
      <c r="BK223" s="65"/>
      <c r="BL223" s="65"/>
      <c r="BM223" s="65"/>
      <c r="BN223" s="65"/>
      <c r="BO223" s="65"/>
      <c r="BP223" s="65"/>
      <c r="BQ223" s="65"/>
      <c r="BR223" s="65"/>
      <c r="BS223" s="65"/>
      <c r="BT223" s="65"/>
      <c r="BU223" s="65"/>
      <c r="BV223" s="65"/>
      <c r="BW223" s="65"/>
      <c r="BX223" s="65"/>
      <c r="BY223" s="65"/>
      <c r="BZ223" s="65"/>
      <c r="CA223" s="65"/>
      <c r="CB223" s="65"/>
      <c r="CC223" s="65"/>
      <c r="CD223" s="65"/>
      <c r="CE223" s="65"/>
      <c r="CF223" s="65"/>
      <c r="CG223" s="65"/>
      <c r="CH223" s="0"/>
      <c r="CP223" s="0"/>
      <c r="CQ223" s="0"/>
      <c r="CR223" s="0"/>
      <c r="CS223" s="0"/>
      <c r="CT223" s="0"/>
      <c r="CY223" s="174" t="n">
        <f aca="false">M223</f>
        <v>42979</v>
      </c>
      <c r="CZ223" s="175" t="n">
        <f aca="false">AI223+AH223</f>
        <v>1.15</v>
      </c>
      <c r="DA223" s="175" t="n">
        <f aca="false">AI223</f>
        <v>1.5</v>
      </c>
      <c r="DB223" s="175" t="n">
        <f aca="false">AI223+AJ223</f>
        <v>1.8</v>
      </c>
      <c r="DD223" s="175" t="n">
        <f aca="false">Z223</f>
        <v>0.0793270408841037</v>
      </c>
      <c r="DE223" s="175" t="n">
        <f aca="false">AA223</f>
        <v>0.158654081768207</v>
      </c>
      <c r="DF223" s="175" t="n">
        <f aca="false">AB223</f>
        <v>0.237981122652311</v>
      </c>
      <c r="DH223" s="174" t="n">
        <f aca="false">BH223</f>
        <v>42979</v>
      </c>
      <c r="DI223" s="128" t="n">
        <f aca="false">BI223</f>
        <v>0.9</v>
      </c>
    </row>
    <row r="224" customFormat="false" ht="12.75" hidden="false" customHeight="false" outlineLevel="0" collapsed="false">
      <c r="A224" s="138" t="n">
        <f aca="false">EOMONTH(A223,0)+1</f>
        <v>52352</v>
      </c>
      <c r="B224" s="128" t="n">
        <f aca="false">'Gas Curves'!C228</f>
        <v>0.062595065419194</v>
      </c>
      <c r="C224" s="128"/>
      <c r="D224" s="167" t="n">
        <v>42125</v>
      </c>
      <c r="E224" s="168" t="n">
        <v>39.67</v>
      </c>
      <c r="F224" s="168" t="n">
        <v>42.3</v>
      </c>
      <c r="G224" s="168" t="n">
        <v>46.15</v>
      </c>
      <c r="H224" s="152"/>
      <c r="I224" s="168" t="n">
        <v>24.0849996185303</v>
      </c>
      <c r="J224" s="168" t="n">
        <v>25.3999996185303</v>
      </c>
      <c r="K224" s="168" t="n">
        <v>26.9899996185303</v>
      </c>
      <c r="L224" s="134"/>
      <c r="M224" s="135" t="n">
        <v>43009</v>
      </c>
      <c r="N224" s="169" t="n">
        <v>29.1500011444092</v>
      </c>
      <c r="O224" s="169" t="n">
        <v>30.7250011444092</v>
      </c>
      <c r="P224" s="169" t="n">
        <v>32.2325011444092</v>
      </c>
      <c r="Q224" s="65"/>
      <c r="R224" s="169" t="n">
        <v>22.5000015258789</v>
      </c>
      <c r="S224" s="169" t="n">
        <v>27.5000015258789</v>
      </c>
      <c r="T224" s="169" t="n">
        <v>29.0075015258789</v>
      </c>
      <c r="U224" s="65"/>
      <c r="V224" s="169" t="n">
        <v>0</v>
      </c>
      <c r="W224" s="169" t="n">
        <v>0</v>
      </c>
      <c r="X224" s="169" t="n">
        <v>0</v>
      </c>
      <c r="Y224" s="65"/>
      <c r="Z224" s="169" t="n">
        <v>0.0686105356164709</v>
      </c>
      <c r="AA224" s="169" t="n">
        <v>0.137221071232942</v>
      </c>
      <c r="AB224" s="169" t="n">
        <v>0.205831606849413</v>
      </c>
      <c r="AC224" s="65"/>
      <c r="AD224" s="169" t="n">
        <v>0.0212796529854194</v>
      </c>
      <c r="AE224" s="169" t="n">
        <v>0.0425593059708387</v>
      </c>
      <c r="AF224" s="169" t="n">
        <v>0.0638389589562581</v>
      </c>
      <c r="AG224" s="65"/>
      <c r="AH224" s="169" t="n">
        <v>-0.25</v>
      </c>
      <c r="AI224" s="169" t="n">
        <v>1.1</v>
      </c>
      <c r="AJ224" s="169" t="n">
        <v>0.3</v>
      </c>
      <c r="AK224" s="65"/>
      <c r="AL224" s="169" t="n">
        <v>-0.15</v>
      </c>
      <c r="AM224" s="169" t="n">
        <v>0.35</v>
      </c>
      <c r="AN224" s="169" t="n">
        <v>0.2</v>
      </c>
      <c r="AO224" s="65"/>
      <c r="AP224" s="134" t="n">
        <v>69</v>
      </c>
      <c r="AQ224" s="170" t="n">
        <v>0.4</v>
      </c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135" t="n">
        <v>43009</v>
      </c>
      <c r="BI224" s="172" t="n">
        <v>0.9</v>
      </c>
      <c r="BJ224" s="65"/>
      <c r="BK224" s="65"/>
      <c r="BL224" s="65"/>
      <c r="BM224" s="65"/>
      <c r="BN224" s="65"/>
      <c r="BO224" s="65"/>
      <c r="BP224" s="65"/>
      <c r="BQ224" s="65"/>
      <c r="BR224" s="65"/>
      <c r="BS224" s="65"/>
      <c r="BT224" s="65"/>
      <c r="BU224" s="65"/>
      <c r="BV224" s="65"/>
      <c r="BW224" s="65"/>
      <c r="BX224" s="65"/>
      <c r="BY224" s="65"/>
      <c r="BZ224" s="65"/>
      <c r="CA224" s="65"/>
      <c r="CB224" s="65"/>
      <c r="CC224" s="65"/>
      <c r="CD224" s="65"/>
      <c r="CE224" s="65"/>
      <c r="CF224" s="65"/>
      <c r="CG224" s="65"/>
      <c r="CH224" s="0"/>
      <c r="CP224" s="0"/>
      <c r="CQ224" s="0"/>
      <c r="CR224" s="0"/>
      <c r="CS224" s="0"/>
      <c r="CT224" s="0"/>
      <c r="CY224" s="174" t="n">
        <f aca="false">M224</f>
        <v>43009</v>
      </c>
      <c r="CZ224" s="175" t="n">
        <f aca="false">AI224+AH224</f>
        <v>0.85</v>
      </c>
      <c r="DA224" s="175" t="n">
        <f aca="false">AI224</f>
        <v>1.1</v>
      </c>
      <c r="DB224" s="175" t="n">
        <f aca="false">AI224+AJ224</f>
        <v>1.4</v>
      </c>
      <c r="DD224" s="175" t="n">
        <f aca="false">Z224</f>
        <v>0.0686105356164709</v>
      </c>
      <c r="DE224" s="175" t="n">
        <f aca="false">AA224</f>
        <v>0.137221071232942</v>
      </c>
      <c r="DF224" s="175" t="n">
        <f aca="false">AB224</f>
        <v>0.205831606849413</v>
      </c>
      <c r="DH224" s="174" t="n">
        <f aca="false">BH224</f>
        <v>43009</v>
      </c>
      <c r="DI224" s="128" t="n">
        <f aca="false">BI224</f>
        <v>0.9</v>
      </c>
    </row>
    <row r="225" customFormat="false" ht="12.75" hidden="false" customHeight="false" outlineLevel="0" collapsed="false">
      <c r="A225" s="138" t="n">
        <f aca="false">EOMONTH(A224,0)+1</f>
        <v>52383</v>
      </c>
      <c r="B225" s="128" t="n">
        <f aca="false">'Gas Curves'!C229</f>
        <v>0.062618780509901</v>
      </c>
      <c r="C225" s="128"/>
      <c r="D225" s="167" t="n">
        <v>42156</v>
      </c>
      <c r="E225" s="168" t="n">
        <v>50.68</v>
      </c>
      <c r="F225" s="168" t="n">
        <v>55.75</v>
      </c>
      <c r="G225" s="168" t="n">
        <v>61.62</v>
      </c>
      <c r="H225" s="152"/>
      <c r="I225" s="168" t="n">
        <v>23.2399996185303</v>
      </c>
      <c r="J225" s="168" t="n">
        <v>25.7749996185303</v>
      </c>
      <c r="K225" s="168" t="n">
        <v>28.1949996185303</v>
      </c>
      <c r="L225" s="134"/>
      <c r="M225" s="135" t="n">
        <v>43040</v>
      </c>
      <c r="N225" s="169" t="n">
        <v>31.5000015258789</v>
      </c>
      <c r="O225" s="169" t="n">
        <v>33.0750015258789</v>
      </c>
      <c r="P225" s="169" t="n">
        <v>34.5825015258789</v>
      </c>
      <c r="Q225" s="65"/>
      <c r="R225" s="169" t="n">
        <v>24.7000003814697</v>
      </c>
      <c r="S225" s="169" t="n">
        <v>29.7000003814697</v>
      </c>
      <c r="T225" s="169" t="n">
        <v>31.2075003814697</v>
      </c>
      <c r="U225" s="65"/>
      <c r="V225" s="169" t="n">
        <v>0</v>
      </c>
      <c r="W225" s="169" t="n">
        <v>0</v>
      </c>
      <c r="X225" s="169" t="n">
        <v>0</v>
      </c>
      <c r="Y225" s="65"/>
      <c r="Z225" s="169" t="n">
        <v>0.0686105356164709</v>
      </c>
      <c r="AA225" s="169" t="n">
        <v>0.137221071232942</v>
      </c>
      <c r="AB225" s="169" t="n">
        <v>0.205831606849413</v>
      </c>
      <c r="AC225" s="65"/>
      <c r="AD225" s="169" t="n">
        <v>0.0212796529854194</v>
      </c>
      <c r="AE225" s="169" t="n">
        <v>0.0425593059708387</v>
      </c>
      <c r="AF225" s="169" t="n">
        <v>0.0638389589562581</v>
      </c>
      <c r="AG225" s="65"/>
      <c r="AH225" s="169" t="n">
        <v>-0.25</v>
      </c>
      <c r="AI225" s="169" t="n">
        <v>1.25</v>
      </c>
      <c r="AJ225" s="169" t="n">
        <v>0.3</v>
      </c>
      <c r="AK225" s="65"/>
      <c r="AL225" s="169" t="n">
        <v>-0.15</v>
      </c>
      <c r="AM225" s="169" t="n">
        <v>0.3</v>
      </c>
      <c r="AN225" s="169" t="n">
        <v>0.2</v>
      </c>
      <c r="AO225" s="65"/>
      <c r="AP225" s="134" t="n">
        <v>70</v>
      </c>
      <c r="AQ225" s="170" t="n">
        <v>0.4</v>
      </c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135" t="n">
        <v>43040</v>
      </c>
      <c r="BI225" s="172" t="n">
        <v>0.9</v>
      </c>
      <c r="BJ225" s="65"/>
      <c r="BK225" s="65"/>
      <c r="BL225" s="65"/>
      <c r="BM225" s="65"/>
      <c r="BN225" s="65"/>
      <c r="BO225" s="65"/>
      <c r="BP225" s="65"/>
      <c r="BQ225" s="65"/>
      <c r="BR225" s="65"/>
      <c r="BS225" s="65"/>
      <c r="BT225" s="65"/>
      <c r="BU225" s="65"/>
      <c r="BV225" s="65"/>
      <c r="BW225" s="65"/>
      <c r="BX225" s="65"/>
      <c r="BY225" s="65"/>
      <c r="BZ225" s="65"/>
      <c r="CA225" s="65"/>
      <c r="CB225" s="65"/>
      <c r="CC225" s="65"/>
      <c r="CD225" s="65"/>
      <c r="CE225" s="65"/>
      <c r="CF225" s="65"/>
      <c r="CG225" s="65"/>
      <c r="CH225" s="0"/>
      <c r="CP225" s="0"/>
      <c r="CQ225" s="0"/>
      <c r="CR225" s="0"/>
      <c r="CS225" s="0"/>
      <c r="CT225" s="0"/>
      <c r="CY225" s="174" t="n">
        <f aca="false">M225</f>
        <v>43040</v>
      </c>
      <c r="CZ225" s="175" t="n">
        <f aca="false">AI225+AH225</f>
        <v>1</v>
      </c>
      <c r="DA225" s="175" t="n">
        <f aca="false">AI225</f>
        <v>1.25</v>
      </c>
      <c r="DB225" s="175" t="n">
        <f aca="false">AI225+AJ225</f>
        <v>1.55</v>
      </c>
      <c r="DD225" s="175" t="n">
        <f aca="false">Z225</f>
        <v>0.0686105356164709</v>
      </c>
      <c r="DE225" s="175" t="n">
        <f aca="false">AA225</f>
        <v>0.137221071232942</v>
      </c>
      <c r="DF225" s="175" t="n">
        <f aca="false">AB225</f>
        <v>0.205831606849413</v>
      </c>
      <c r="DH225" s="174" t="n">
        <f aca="false">BH225</f>
        <v>43040</v>
      </c>
      <c r="DI225" s="128" t="n">
        <f aca="false">BI225</f>
        <v>0.9</v>
      </c>
    </row>
    <row r="226" customFormat="false" ht="12.75" hidden="false" customHeight="false" outlineLevel="0" collapsed="false">
      <c r="A226" s="138" t="n">
        <f aca="false">EOMONTH(A225,0)+1</f>
        <v>52413</v>
      </c>
      <c r="B226" s="128" t="n">
        <f aca="false">'Gas Curves'!C230</f>
        <v>0.062643286103827</v>
      </c>
      <c r="C226" s="128"/>
      <c r="D226" s="167" t="n">
        <v>42186</v>
      </c>
      <c r="E226" s="168" t="n">
        <v>70.35</v>
      </c>
      <c r="F226" s="168" t="n">
        <v>80.25</v>
      </c>
      <c r="G226" s="168" t="n">
        <v>92.76</v>
      </c>
      <c r="H226" s="152"/>
      <c r="I226" s="168" t="n">
        <v>24.55</v>
      </c>
      <c r="J226" s="168" t="n">
        <v>29.5</v>
      </c>
      <c r="K226" s="168" t="n">
        <v>34.665</v>
      </c>
      <c r="L226" s="134"/>
      <c r="M226" s="135" t="n">
        <v>43070</v>
      </c>
      <c r="N226" s="169" t="n">
        <v>32.1</v>
      </c>
      <c r="O226" s="169" t="n">
        <v>33.675</v>
      </c>
      <c r="P226" s="169" t="n">
        <v>35.1825</v>
      </c>
      <c r="Q226" s="65"/>
      <c r="R226" s="169" t="n">
        <v>25.2000003814697</v>
      </c>
      <c r="S226" s="169" t="n">
        <v>30.2000003814697</v>
      </c>
      <c r="T226" s="169" t="n">
        <v>31.7075003814697</v>
      </c>
      <c r="U226" s="65"/>
      <c r="V226" s="169" t="n">
        <v>0</v>
      </c>
      <c r="W226" s="169" t="n">
        <v>0</v>
      </c>
      <c r="X226" s="169" t="n">
        <v>0</v>
      </c>
      <c r="Y226" s="65"/>
      <c r="Z226" s="169" t="n">
        <v>0.0672409309173112</v>
      </c>
      <c r="AA226" s="169" t="n">
        <v>0.134481861834622</v>
      </c>
      <c r="AB226" s="169" t="n">
        <v>0.201722792751934</v>
      </c>
      <c r="AC226" s="65"/>
      <c r="AD226" s="169" t="n">
        <v>0.0212796529854194</v>
      </c>
      <c r="AE226" s="169" t="n">
        <v>0.0425593059708387</v>
      </c>
      <c r="AF226" s="169" t="n">
        <v>0.0638389589562581</v>
      </c>
      <c r="AG226" s="65"/>
      <c r="AH226" s="169" t="n">
        <v>-0.25</v>
      </c>
      <c r="AI226" s="169" t="n">
        <v>1.25</v>
      </c>
      <c r="AJ226" s="169" t="n">
        <v>0.3</v>
      </c>
      <c r="AK226" s="65"/>
      <c r="AL226" s="169" t="n">
        <v>-0.15</v>
      </c>
      <c r="AM226" s="169" t="n">
        <v>0.3</v>
      </c>
      <c r="AN226" s="169" t="n">
        <v>0.2</v>
      </c>
      <c r="AO226" s="65"/>
      <c r="AP226" s="134" t="n">
        <v>70</v>
      </c>
      <c r="AQ226" s="170" t="n">
        <v>0.4</v>
      </c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135" t="n">
        <v>43070</v>
      </c>
      <c r="BI226" s="172" t="n">
        <v>0.9</v>
      </c>
      <c r="BJ226" s="65"/>
      <c r="BK226" s="65"/>
      <c r="BL226" s="65"/>
      <c r="BM226" s="65"/>
      <c r="BN226" s="65"/>
      <c r="BO226" s="65"/>
      <c r="BP226" s="65"/>
      <c r="BQ226" s="65"/>
      <c r="BR226" s="65"/>
      <c r="BS226" s="65"/>
      <c r="BT226" s="65"/>
      <c r="BU226" s="65"/>
      <c r="BV226" s="65"/>
      <c r="BW226" s="65"/>
      <c r="BX226" s="65"/>
      <c r="BY226" s="65"/>
      <c r="BZ226" s="65"/>
      <c r="CA226" s="65"/>
      <c r="CB226" s="65"/>
      <c r="CC226" s="65"/>
      <c r="CD226" s="65"/>
      <c r="CE226" s="65"/>
      <c r="CF226" s="65"/>
      <c r="CG226" s="65"/>
      <c r="CH226" s="0"/>
      <c r="CP226" s="0"/>
      <c r="CQ226" s="0"/>
      <c r="CR226" s="0"/>
      <c r="CS226" s="0"/>
      <c r="CT226" s="0"/>
      <c r="CY226" s="174" t="n">
        <f aca="false">M226</f>
        <v>43070</v>
      </c>
      <c r="CZ226" s="175" t="n">
        <f aca="false">AI226+AH226</f>
        <v>1</v>
      </c>
      <c r="DA226" s="175" t="n">
        <f aca="false">AI226</f>
        <v>1.25</v>
      </c>
      <c r="DB226" s="175" t="n">
        <f aca="false">AI226+AJ226</f>
        <v>1.55</v>
      </c>
      <c r="DD226" s="175" t="n">
        <f aca="false">Z226</f>
        <v>0.0672409309173112</v>
      </c>
      <c r="DE226" s="175" t="n">
        <f aca="false">AA226</f>
        <v>0.134481861834622</v>
      </c>
      <c r="DF226" s="175" t="n">
        <f aca="false">AB226</f>
        <v>0.201722792751934</v>
      </c>
      <c r="DH226" s="174" t="n">
        <f aca="false">BH226</f>
        <v>43070</v>
      </c>
      <c r="DI226" s="128" t="n">
        <f aca="false">BI226</f>
        <v>0.9</v>
      </c>
    </row>
    <row r="227" customFormat="false" ht="12.75" hidden="false" customHeight="false" outlineLevel="0" collapsed="false">
      <c r="A227" s="138" t="n">
        <f aca="false">EOMONTH(A226,0)+1</f>
        <v>52444</v>
      </c>
      <c r="B227" s="128" t="n">
        <f aca="false">'Gas Curves'!C231</f>
        <v>0.062667001194912</v>
      </c>
      <c r="C227" s="128"/>
      <c r="D227" s="167" t="n">
        <v>42217</v>
      </c>
      <c r="E227" s="168" t="n">
        <v>70.35</v>
      </c>
      <c r="F227" s="168" t="n">
        <v>80.25</v>
      </c>
      <c r="G227" s="168" t="n">
        <v>92.76</v>
      </c>
      <c r="H227" s="152"/>
      <c r="I227" s="168" t="n">
        <v>36.7000015258789</v>
      </c>
      <c r="J227" s="168" t="n">
        <v>41.6500015258789</v>
      </c>
      <c r="K227" s="168" t="n">
        <v>46.8150015258789</v>
      </c>
      <c r="L227" s="134"/>
      <c r="M227" s="135" t="n">
        <v>43101</v>
      </c>
      <c r="N227" s="169" t="n">
        <v>34.6294960021973</v>
      </c>
      <c r="O227" s="169" t="n">
        <v>36.2044960021973</v>
      </c>
      <c r="P227" s="169" t="n">
        <v>37.4644960021973</v>
      </c>
      <c r="Q227" s="65"/>
      <c r="R227" s="169" t="n">
        <v>27.3039974212647</v>
      </c>
      <c r="S227" s="169" t="n">
        <v>32.3039974212647</v>
      </c>
      <c r="T227" s="169" t="n">
        <v>33.5639974212647</v>
      </c>
      <c r="U227" s="65"/>
      <c r="V227" s="169" t="n">
        <v>0</v>
      </c>
      <c r="W227" s="169" t="n">
        <v>0</v>
      </c>
      <c r="X227" s="169" t="n">
        <v>0</v>
      </c>
      <c r="Y227" s="65"/>
      <c r="Z227" s="169" t="n">
        <v>0.0992265574475405</v>
      </c>
      <c r="AA227" s="169" t="n">
        <v>0.198453114895081</v>
      </c>
      <c r="AB227" s="169" t="n">
        <v>0.297679672342622</v>
      </c>
      <c r="AC227" s="65"/>
      <c r="AD227" s="169" t="n">
        <v>0.0243297365799962</v>
      </c>
      <c r="AE227" s="169" t="n">
        <v>0.0486594731599923</v>
      </c>
      <c r="AF227" s="169" t="n">
        <v>0.0729892097399885</v>
      </c>
      <c r="AG227" s="65"/>
      <c r="AH227" s="169" t="n">
        <v>-0.75</v>
      </c>
      <c r="AI227" s="169" t="n">
        <v>2</v>
      </c>
      <c r="AJ227" s="169" t="n">
        <v>0.75</v>
      </c>
      <c r="AK227" s="65"/>
      <c r="AL227" s="169" t="n">
        <v>-0.15</v>
      </c>
      <c r="AM227" s="169" t="n">
        <v>0.5</v>
      </c>
      <c r="AN227" s="169" t="n">
        <v>0.2</v>
      </c>
      <c r="AO227" s="65"/>
      <c r="AP227" s="134" t="n">
        <v>70</v>
      </c>
      <c r="AQ227" s="170" t="n">
        <v>0.4</v>
      </c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135" t="n">
        <v>43101</v>
      </c>
      <c r="BI227" s="172" t="n">
        <v>0.9</v>
      </c>
      <c r="BJ227" s="65"/>
      <c r="BK227" s="65"/>
      <c r="BL227" s="65"/>
      <c r="BM227" s="65"/>
      <c r="BN227" s="65"/>
      <c r="BO227" s="65"/>
      <c r="BP227" s="65"/>
      <c r="BQ227" s="65"/>
      <c r="BR227" s="65"/>
      <c r="BS227" s="65"/>
      <c r="BT227" s="65"/>
      <c r="BU227" s="65"/>
      <c r="BV227" s="65"/>
      <c r="BW227" s="65"/>
      <c r="BX227" s="65"/>
      <c r="BY227" s="65"/>
      <c r="BZ227" s="65"/>
      <c r="CA227" s="65"/>
      <c r="CB227" s="65"/>
      <c r="CC227" s="65"/>
      <c r="CD227" s="65"/>
      <c r="CE227" s="65"/>
      <c r="CF227" s="65"/>
      <c r="CG227" s="65"/>
      <c r="CH227" s="0"/>
      <c r="CP227" s="0"/>
      <c r="CQ227" s="0"/>
      <c r="CR227" s="0"/>
      <c r="CS227" s="0"/>
      <c r="CT227" s="0"/>
      <c r="CY227" s="174" t="n">
        <f aca="false">M227</f>
        <v>43101</v>
      </c>
      <c r="CZ227" s="175" t="n">
        <f aca="false">AI227+AH227</f>
        <v>1.25</v>
      </c>
      <c r="DA227" s="175" t="n">
        <f aca="false">AI227</f>
        <v>2</v>
      </c>
      <c r="DB227" s="175" t="n">
        <f aca="false">AI227+AJ227</f>
        <v>2.75</v>
      </c>
      <c r="DD227" s="175" t="n">
        <f aca="false">Z227</f>
        <v>0.0992265574475405</v>
      </c>
      <c r="DE227" s="175" t="n">
        <f aca="false">AA227</f>
        <v>0.198453114895081</v>
      </c>
      <c r="DF227" s="175" t="n">
        <f aca="false">AB227</f>
        <v>0.297679672342622</v>
      </c>
      <c r="DH227" s="174" t="n">
        <f aca="false">BH227</f>
        <v>43101</v>
      </c>
      <c r="DI227" s="128" t="n">
        <f aca="false">BI227</f>
        <v>0.9</v>
      </c>
    </row>
    <row r="228" customFormat="false" ht="12.75" hidden="false" customHeight="false" outlineLevel="0" collapsed="false">
      <c r="A228" s="138" t="n">
        <f aca="false">EOMONTH(A227,0)+1</f>
        <v>52475</v>
      </c>
      <c r="B228" s="128" t="n">
        <f aca="false">'Gas Curves'!C232</f>
        <v>0.062691506789231</v>
      </c>
      <c r="C228" s="128"/>
      <c r="D228" s="167" t="n">
        <v>42248</v>
      </c>
      <c r="E228" s="168" t="n">
        <v>35.13</v>
      </c>
      <c r="F228" s="168" t="n">
        <v>40.2</v>
      </c>
      <c r="G228" s="168" t="n">
        <v>44.05</v>
      </c>
      <c r="H228" s="152"/>
      <c r="I228" s="168" t="n">
        <v>27.6149996185303</v>
      </c>
      <c r="J228" s="168" t="n">
        <v>30.1499996185303</v>
      </c>
      <c r="K228" s="168" t="n">
        <v>31.7399996185303</v>
      </c>
      <c r="L228" s="134"/>
      <c r="M228" s="135" t="n">
        <v>43132</v>
      </c>
      <c r="N228" s="169" t="n">
        <v>34.2919967651367</v>
      </c>
      <c r="O228" s="169" t="n">
        <v>35.5294967651367</v>
      </c>
      <c r="P228" s="169" t="n">
        <v>36.7894967651367</v>
      </c>
      <c r="Q228" s="65"/>
      <c r="R228" s="169" t="n">
        <v>26.7039970397949</v>
      </c>
      <c r="S228" s="169" t="n">
        <v>31.7039970397949</v>
      </c>
      <c r="T228" s="169" t="n">
        <v>32.9639970397949</v>
      </c>
      <c r="U228" s="65"/>
      <c r="V228" s="169" t="n">
        <v>0</v>
      </c>
      <c r="W228" s="169" t="n">
        <v>0</v>
      </c>
      <c r="X228" s="169" t="n">
        <v>0</v>
      </c>
      <c r="Y228" s="65"/>
      <c r="Z228" s="169" t="n">
        <v>0.0958595884323545</v>
      </c>
      <c r="AA228" s="169" t="n">
        <v>0.191719176864709</v>
      </c>
      <c r="AB228" s="169" t="n">
        <v>0.287578765297064</v>
      </c>
      <c r="AC228" s="65"/>
      <c r="AD228" s="169" t="n">
        <v>0.0243297365799962</v>
      </c>
      <c r="AE228" s="169" t="n">
        <v>0.0486594731599923</v>
      </c>
      <c r="AF228" s="169" t="n">
        <v>0.0729892097399885</v>
      </c>
      <c r="AG228" s="65"/>
      <c r="AH228" s="169" t="n">
        <v>-0.75</v>
      </c>
      <c r="AI228" s="169" t="n">
        <v>2</v>
      </c>
      <c r="AJ228" s="169" t="n">
        <v>0.75</v>
      </c>
      <c r="AK228" s="65"/>
      <c r="AL228" s="169" t="n">
        <v>-0.15</v>
      </c>
      <c r="AM228" s="169" t="n">
        <v>0.5</v>
      </c>
      <c r="AN228" s="169" t="n">
        <v>0.2</v>
      </c>
      <c r="AO228" s="65"/>
      <c r="AP228" s="134" t="n">
        <v>71</v>
      </c>
      <c r="AQ228" s="170" t="n">
        <v>0.4</v>
      </c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135" t="n">
        <v>43132</v>
      </c>
      <c r="BI228" s="172" t="n">
        <v>0.9</v>
      </c>
      <c r="BJ228" s="65"/>
      <c r="BK228" s="65"/>
      <c r="BL228" s="65"/>
      <c r="BM228" s="65"/>
      <c r="BN228" s="65"/>
      <c r="BO228" s="65"/>
      <c r="BP228" s="65"/>
      <c r="BQ228" s="65"/>
      <c r="BR228" s="65"/>
      <c r="BS228" s="65"/>
      <c r="BT228" s="65"/>
      <c r="BU228" s="65"/>
      <c r="BV228" s="65"/>
      <c r="BW228" s="65"/>
      <c r="BX228" s="65"/>
      <c r="BY228" s="65"/>
      <c r="BZ228" s="65"/>
      <c r="CA228" s="65"/>
      <c r="CB228" s="65"/>
      <c r="CC228" s="65"/>
      <c r="CD228" s="65"/>
      <c r="CE228" s="65"/>
      <c r="CF228" s="65"/>
      <c r="CG228" s="65"/>
      <c r="CH228" s="0"/>
      <c r="CP228" s="0"/>
      <c r="CQ228" s="0"/>
      <c r="CR228" s="0"/>
      <c r="CS228" s="0"/>
      <c r="CT228" s="0"/>
      <c r="CY228" s="174" t="n">
        <f aca="false">M228</f>
        <v>43132</v>
      </c>
      <c r="CZ228" s="175" t="n">
        <f aca="false">AI228+AH228</f>
        <v>1.25</v>
      </c>
      <c r="DA228" s="175" t="n">
        <f aca="false">AI228</f>
        <v>2</v>
      </c>
      <c r="DB228" s="175" t="n">
        <f aca="false">AI228+AJ228</f>
        <v>2.75</v>
      </c>
      <c r="DD228" s="175" t="n">
        <f aca="false">Z228</f>
        <v>0.0958595884323545</v>
      </c>
      <c r="DE228" s="175" t="n">
        <f aca="false">AA228</f>
        <v>0.191719176864709</v>
      </c>
      <c r="DF228" s="175" t="n">
        <f aca="false">AB228</f>
        <v>0.287578765297064</v>
      </c>
      <c r="DH228" s="174" t="n">
        <f aca="false">BH228</f>
        <v>43132</v>
      </c>
      <c r="DI228" s="128" t="n">
        <f aca="false">BI228</f>
        <v>0.9</v>
      </c>
    </row>
    <row r="229" customFormat="false" ht="12.75" hidden="false" customHeight="false" outlineLevel="0" collapsed="false">
      <c r="A229" s="138" t="n">
        <f aca="false">EOMONTH(A228,0)+1</f>
        <v>52505</v>
      </c>
      <c r="B229" s="128" t="n">
        <f aca="false">'Gas Curves'!C233</f>
        <v>0.062716012383748</v>
      </c>
      <c r="C229" s="128"/>
      <c r="D229" s="167" t="n">
        <v>42278</v>
      </c>
      <c r="E229" s="168" t="n">
        <v>37.57</v>
      </c>
      <c r="F229" s="168" t="n">
        <v>40.2</v>
      </c>
      <c r="G229" s="168" t="n">
        <v>42.65</v>
      </c>
      <c r="H229" s="152"/>
      <c r="I229" s="168" t="n">
        <v>26.8349996185303</v>
      </c>
      <c r="J229" s="168" t="n">
        <v>28.1499996185303</v>
      </c>
      <c r="K229" s="168" t="n">
        <v>29.1549996185303</v>
      </c>
      <c r="L229" s="134"/>
      <c r="M229" s="135" t="n">
        <v>43160</v>
      </c>
      <c r="N229" s="169" t="n">
        <v>28.4374969482422</v>
      </c>
      <c r="O229" s="169" t="n">
        <v>29.6749969482422</v>
      </c>
      <c r="P229" s="169" t="n">
        <v>30.9349969482422</v>
      </c>
      <c r="Q229" s="65"/>
      <c r="R229" s="169" t="n">
        <v>21.4999984741211</v>
      </c>
      <c r="S229" s="169" t="n">
        <v>26.4999984741211</v>
      </c>
      <c r="T229" s="169" t="n">
        <v>27.7599984741211</v>
      </c>
      <c r="U229" s="65"/>
      <c r="V229" s="169" t="n">
        <v>0</v>
      </c>
      <c r="W229" s="169" t="n">
        <v>0</v>
      </c>
      <c r="X229" s="169" t="n">
        <v>0</v>
      </c>
      <c r="Y229" s="65"/>
      <c r="Z229" s="169" t="n">
        <v>0.0759933709260854</v>
      </c>
      <c r="AA229" s="169" t="n">
        <v>0.151986741852171</v>
      </c>
      <c r="AB229" s="169" t="n">
        <v>0.227980112778256</v>
      </c>
      <c r="AC229" s="65"/>
      <c r="AD229" s="169" t="n">
        <v>0.0212796529854194</v>
      </c>
      <c r="AE229" s="169" t="n">
        <v>0.0425593059708387</v>
      </c>
      <c r="AF229" s="169" t="n">
        <v>0.0638389589562581</v>
      </c>
      <c r="AG229" s="65"/>
      <c r="AH229" s="169" t="n">
        <v>-0.25</v>
      </c>
      <c r="AI229" s="169" t="n">
        <v>1.25</v>
      </c>
      <c r="AJ229" s="169" t="n">
        <v>0.3</v>
      </c>
      <c r="AK229" s="65"/>
      <c r="AL229" s="169" t="n">
        <v>-0.15</v>
      </c>
      <c r="AM229" s="169" t="n">
        <v>0.35</v>
      </c>
      <c r="AN229" s="169" t="n">
        <v>0.2</v>
      </c>
      <c r="AO229" s="65"/>
      <c r="AP229" s="134" t="n">
        <v>71</v>
      </c>
      <c r="AQ229" s="170" t="n">
        <v>0.4</v>
      </c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135" t="n">
        <v>43160</v>
      </c>
      <c r="BI229" s="172" t="n">
        <v>0.9</v>
      </c>
      <c r="BJ229" s="65"/>
      <c r="BK229" s="65"/>
      <c r="BL229" s="65"/>
      <c r="BM229" s="65"/>
      <c r="BN229" s="65"/>
      <c r="BO229" s="65"/>
      <c r="BP229" s="65"/>
      <c r="BQ229" s="65"/>
      <c r="BR229" s="65"/>
      <c r="BS229" s="65"/>
      <c r="BT229" s="65"/>
      <c r="BU229" s="65"/>
      <c r="BV229" s="65"/>
      <c r="BW229" s="65"/>
      <c r="BX229" s="65"/>
      <c r="BY229" s="65"/>
      <c r="BZ229" s="65"/>
      <c r="CA229" s="65"/>
      <c r="CB229" s="65"/>
      <c r="CC229" s="65"/>
      <c r="CD229" s="65"/>
      <c r="CE229" s="65"/>
      <c r="CF229" s="65"/>
      <c r="CG229" s="65"/>
      <c r="CH229" s="0"/>
      <c r="CP229" s="0"/>
      <c r="CQ229" s="0"/>
      <c r="CR229" s="0"/>
      <c r="CS229" s="0"/>
      <c r="CT229" s="0"/>
      <c r="CY229" s="174" t="n">
        <f aca="false">M229</f>
        <v>43160</v>
      </c>
      <c r="CZ229" s="175" t="n">
        <f aca="false">AI229+AH229</f>
        <v>1</v>
      </c>
      <c r="DA229" s="175" t="n">
        <f aca="false">AI229</f>
        <v>1.25</v>
      </c>
      <c r="DB229" s="175" t="n">
        <f aca="false">AI229+AJ229</f>
        <v>1.55</v>
      </c>
      <c r="DD229" s="175" t="n">
        <f aca="false">Z229</f>
        <v>0.0759933709260854</v>
      </c>
      <c r="DE229" s="175" t="n">
        <f aca="false">AA229</f>
        <v>0.151986741852171</v>
      </c>
      <c r="DF229" s="175" t="n">
        <f aca="false">AB229</f>
        <v>0.227980112778256</v>
      </c>
      <c r="DH229" s="174" t="n">
        <f aca="false">BH229</f>
        <v>43160</v>
      </c>
      <c r="DI229" s="128" t="n">
        <f aca="false">BI229</f>
        <v>0.9</v>
      </c>
    </row>
    <row r="230" customFormat="false" ht="12.75" hidden="false" customHeight="false" outlineLevel="0" collapsed="false">
      <c r="A230" s="138" t="n">
        <f aca="false">EOMONTH(A229,0)+1</f>
        <v>52536</v>
      </c>
      <c r="B230" s="128" t="n">
        <f aca="false">'Gas Curves'!C234</f>
        <v>0.062738146469289</v>
      </c>
      <c r="C230" s="128"/>
      <c r="D230" s="167" t="n">
        <v>42309</v>
      </c>
      <c r="E230" s="168" t="n">
        <v>40.07</v>
      </c>
      <c r="F230" s="168" t="n">
        <v>42.7</v>
      </c>
      <c r="G230" s="168" t="n">
        <v>45.15</v>
      </c>
      <c r="H230" s="152"/>
      <c r="I230" s="168" t="n">
        <v>27.5849996185303</v>
      </c>
      <c r="J230" s="168" t="n">
        <v>28.8999996185303</v>
      </c>
      <c r="K230" s="168" t="n">
        <v>29.9049996185303</v>
      </c>
      <c r="L230" s="134"/>
      <c r="M230" s="135" t="n">
        <v>43191</v>
      </c>
      <c r="N230" s="169" t="n">
        <v>27.4249996185303</v>
      </c>
      <c r="O230" s="169" t="n">
        <v>28.9999996185303</v>
      </c>
      <c r="P230" s="169" t="n">
        <v>30.2599996185303</v>
      </c>
      <c r="Q230" s="65"/>
      <c r="R230" s="169" t="n">
        <v>20.9</v>
      </c>
      <c r="S230" s="169" t="n">
        <v>25.9</v>
      </c>
      <c r="T230" s="169" t="n">
        <v>27.16</v>
      </c>
      <c r="U230" s="65"/>
      <c r="V230" s="169" t="n">
        <v>0</v>
      </c>
      <c r="W230" s="169" t="n">
        <v>0</v>
      </c>
      <c r="X230" s="169" t="n">
        <v>0</v>
      </c>
      <c r="Y230" s="65"/>
      <c r="Z230" s="169" t="n">
        <v>0.0758888408422807</v>
      </c>
      <c r="AA230" s="169" t="n">
        <v>0.151777681684561</v>
      </c>
      <c r="AB230" s="169" t="n">
        <v>0.227666522526842</v>
      </c>
      <c r="AC230" s="65"/>
      <c r="AD230" s="169" t="n">
        <v>0.0212796529854194</v>
      </c>
      <c r="AE230" s="169" t="n">
        <v>0.0425593059708387</v>
      </c>
      <c r="AF230" s="169" t="n">
        <v>0.0638389589562581</v>
      </c>
      <c r="AG230" s="65"/>
      <c r="AH230" s="169" t="n">
        <v>-0.25</v>
      </c>
      <c r="AI230" s="169" t="n">
        <v>1.25</v>
      </c>
      <c r="AJ230" s="169" t="n">
        <v>0.3</v>
      </c>
      <c r="AK230" s="65"/>
      <c r="AL230" s="169" t="n">
        <v>-0.15</v>
      </c>
      <c r="AM230" s="169" t="n">
        <v>0.35</v>
      </c>
      <c r="AN230" s="169" t="n">
        <v>0.2</v>
      </c>
      <c r="AO230" s="65"/>
      <c r="AP230" s="134" t="n">
        <v>71</v>
      </c>
      <c r="AQ230" s="170" t="n">
        <v>0.4</v>
      </c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135" t="n">
        <v>43191</v>
      </c>
      <c r="BI230" s="172" t="n">
        <v>0.9</v>
      </c>
      <c r="BJ230" s="65"/>
      <c r="BK230" s="65"/>
      <c r="BL230" s="65"/>
      <c r="BM230" s="65"/>
      <c r="BN230" s="65"/>
      <c r="BO230" s="65"/>
      <c r="BP230" s="65"/>
      <c r="BQ230" s="65"/>
      <c r="BR230" s="65"/>
      <c r="BS230" s="65"/>
      <c r="BT230" s="65"/>
      <c r="BU230" s="65"/>
      <c r="BV230" s="65"/>
      <c r="BW230" s="65"/>
      <c r="BX230" s="65"/>
      <c r="BY230" s="65"/>
      <c r="BZ230" s="65"/>
      <c r="CA230" s="65"/>
      <c r="CB230" s="65"/>
      <c r="CC230" s="65"/>
      <c r="CD230" s="65"/>
      <c r="CE230" s="65"/>
      <c r="CF230" s="65"/>
      <c r="CG230" s="65"/>
      <c r="CH230" s="0"/>
      <c r="CP230" s="0"/>
      <c r="CQ230" s="0"/>
      <c r="CR230" s="0"/>
      <c r="CS230" s="0"/>
      <c r="CT230" s="0"/>
      <c r="CY230" s="174" t="n">
        <f aca="false">M230</f>
        <v>43191</v>
      </c>
      <c r="CZ230" s="175" t="n">
        <f aca="false">AI230+AH230</f>
        <v>1</v>
      </c>
      <c r="DA230" s="175" t="n">
        <f aca="false">AI230</f>
        <v>1.25</v>
      </c>
      <c r="DB230" s="175" t="n">
        <f aca="false">AI230+AJ230</f>
        <v>1.55</v>
      </c>
      <c r="DD230" s="175" t="n">
        <f aca="false">Z230</f>
        <v>0.0758888408422807</v>
      </c>
      <c r="DE230" s="175" t="n">
        <f aca="false">AA230</f>
        <v>0.151777681684561</v>
      </c>
      <c r="DF230" s="175" t="n">
        <f aca="false">AB230</f>
        <v>0.227666522526842</v>
      </c>
      <c r="DH230" s="174" t="n">
        <f aca="false">BH230</f>
        <v>43191</v>
      </c>
      <c r="DI230" s="128" t="n">
        <f aca="false">BI230</f>
        <v>0.9</v>
      </c>
    </row>
    <row r="231" customFormat="false" ht="12.75" hidden="false" customHeight="false" outlineLevel="0" collapsed="false">
      <c r="A231" s="138" t="n">
        <f aca="false">EOMONTH(A230,0)+1</f>
        <v>52566</v>
      </c>
      <c r="B231" s="128" t="n">
        <f aca="false">'Gas Curves'!C235</f>
        <v>0.062762652064186</v>
      </c>
      <c r="C231" s="128"/>
      <c r="D231" s="167" t="n">
        <v>42339</v>
      </c>
      <c r="E231" s="168" t="n">
        <v>40.07</v>
      </c>
      <c r="F231" s="168" t="n">
        <v>42.7</v>
      </c>
      <c r="G231" s="168" t="n">
        <v>45.15</v>
      </c>
      <c r="H231" s="152"/>
      <c r="I231" s="168" t="n">
        <v>27.4849992370605</v>
      </c>
      <c r="J231" s="168" t="n">
        <v>28.7999992370605</v>
      </c>
      <c r="K231" s="168" t="n">
        <v>29.8049992370605</v>
      </c>
      <c r="L231" s="134"/>
      <c r="M231" s="135" t="n">
        <v>43221</v>
      </c>
      <c r="N231" s="169" t="n">
        <v>31.025</v>
      </c>
      <c r="O231" s="169" t="n">
        <v>32.6</v>
      </c>
      <c r="P231" s="169" t="n">
        <v>34.985</v>
      </c>
      <c r="Q231" s="65"/>
      <c r="R231" s="169" t="n">
        <v>24.0999988555908</v>
      </c>
      <c r="S231" s="169" t="n">
        <v>29.0999988555908</v>
      </c>
      <c r="T231" s="169" t="n">
        <v>31.4849988555908</v>
      </c>
      <c r="U231" s="65"/>
      <c r="V231" s="169" t="n">
        <v>0</v>
      </c>
      <c r="W231" s="169" t="n">
        <v>0</v>
      </c>
      <c r="X231" s="169" t="n">
        <v>0</v>
      </c>
      <c r="Y231" s="65"/>
      <c r="Z231" s="169" t="n">
        <v>0.079836777060087</v>
      </c>
      <c r="AA231" s="169" t="n">
        <v>0.159673554120174</v>
      </c>
      <c r="AB231" s="169" t="n">
        <v>0.239510331180261</v>
      </c>
      <c r="AC231" s="65"/>
      <c r="AD231" s="169" t="n">
        <v>0.0243297365799962</v>
      </c>
      <c r="AE231" s="169" t="n">
        <v>0.0486594731599923</v>
      </c>
      <c r="AF231" s="169" t="n">
        <v>0.0729892097399885</v>
      </c>
      <c r="AG231" s="65"/>
      <c r="AH231" s="169" t="n">
        <v>-0.25</v>
      </c>
      <c r="AI231" s="169" t="n">
        <v>1.25</v>
      </c>
      <c r="AJ231" s="169" t="n">
        <v>0.3</v>
      </c>
      <c r="AK231" s="65"/>
      <c r="AL231" s="169" t="n">
        <v>-0.15</v>
      </c>
      <c r="AM231" s="169" t="n">
        <v>0.5</v>
      </c>
      <c r="AN231" s="169" t="n">
        <v>0.2</v>
      </c>
      <c r="AO231" s="65"/>
      <c r="AP231" s="134" t="n">
        <v>72</v>
      </c>
      <c r="AQ231" s="170" t="n">
        <v>0.4</v>
      </c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135" t="n">
        <v>43221</v>
      </c>
      <c r="BI231" s="172" t="n">
        <v>0.9</v>
      </c>
      <c r="BJ231" s="65"/>
      <c r="BK231" s="65"/>
      <c r="BL231" s="65"/>
      <c r="BM231" s="65"/>
      <c r="BN231" s="65"/>
      <c r="BO231" s="65"/>
      <c r="BP231" s="65"/>
      <c r="BQ231" s="65"/>
      <c r="BR231" s="65"/>
      <c r="BS231" s="65"/>
      <c r="BT231" s="65"/>
      <c r="BU231" s="65"/>
      <c r="BV231" s="65"/>
      <c r="BW231" s="65"/>
      <c r="BX231" s="65"/>
      <c r="BY231" s="65"/>
      <c r="BZ231" s="65"/>
      <c r="CA231" s="65"/>
      <c r="CB231" s="65"/>
      <c r="CC231" s="65"/>
      <c r="CD231" s="65"/>
      <c r="CE231" s="65"/>
      <c r="CF231" s="65"/>
      <c r="CG231" s="65"/>
      <c r="CH231" s="0"/>
      <c r="CP231" s="0"/>
      <c r="CQ231" s="0"/>
      <c r="CR231" s="0"/>
      <c r="CS231" s="0"/>
      <c r="CT231" s="0"/>
      <c r="CY231" s="174" t="n">
        <f aca="false">M231</f>
        <v>43221</v>
      </c>
      <c r="CZ231" s="175" t="n">
        <f aca="false">AI231+AH231</f>
        <v>1</v>
      </c>
      <c r="DA231" s="175" t="n">
        <f aca="false">AI231</f>
        <v>1.25</v>
      </c>
      <c r="DB231" s="175" t="n">
        <f aca="false">AI231+AJ231</f>
        <v>1.55</v>
      </c>
      <c r="DD231" s="175" t="n">
        <f aca="false">Z231</f>
        <v>0.079836777060087</v>
      </c>
      <c r="DE231" s="175" t="n">
        <f aca="false">AA231</f>
        <v>0.159673554120174</v>
      </c>
      <c r="DF231" s="175" t="n">
        <f aca="false">AB231</f>
        <v>0.239510331180261</v>
      </c>
      <c r="DH231" s="174" t="n">
        <f aca="false">BH231</f>
        <v>43221</v>
      </c>
      <c r="DI231" s="128" t="n">
        <f aca="false">BI231</f>
        <v>0.9</v>
      </c>
    </row>
    <row r="232" customFormat="false" ht="12.75" hidden="false" customHeight="false" outlineLevel="0" collapsed="false">
      <c r="A232" s="138" t="n">
        <f aca="false">EOMONTH(A231,0)+1</f>
        <v>52597</v>
      </c>
      <c r="B232" s="128" t="n">
        <f aca="false">'Gas Curves'!C236</f>
        <v>0.062786367156211</v>
      </c>
      <c r="C232" s="128"/>
      <c r="D232" s="167" t="n">
        <v>42370</v>
      </c>
      <c r="E232" s="168" t="n">
        <v>56.37</v>
      </c>
      <c r="F232" s="168" t="n">
        <v>59</v>
      </c>
      <c r="G232" s="168" t="n">
        <v>61.04</v>
      </c>
      <c r="H232" s="152"/>
      <c r="I232" s="168" t="n">
        <v>28.5350003814697</v>
      </c>
      <c r="J232" s="168" t="n">
        <v>29.8500003814697</v>
      </c>
      <c r="K232" s="168" t="n">
        <v>30.6900003814697</v>
      </c>
      <c r="L232" s="134"/>
      <c r="M232" s="135" t="n">
        <v>43252</v>
      </c>
      <c r="N232" s="169" t="n">
        <v>36.3625030517578</v>
      </c>
      <c r="O232" s="169" t="n">
        <v>39.4000030517578</v>
      </c>
      <c r="P232" s="169" t="n">
        <v>43.0300030517578</v>
      </c>
      <c r="Q232" s="65"/>
      <c r="R232" s="169" t="n">
        <v>29.6000026702881</v>
      </c>
      <c r="S232" s="169" t="n">
        <v>34.6000026702881</v>
      </c>
      <c r="T232" s="169" t="n">
        <v>38.2300026702881</v>
      </c>
      <c r="U232" s="65"/>
      <c r="V232" s="169" t="n">
        <v>0</v>
      </c>
      <c r="W232" s="169" t="n">
        <v>0</v>
      </c>
      <c r="X232" s="169" t="n">
        <v>0</v>
      </c>
      <c r="Y232" s="65"/>
      <c r="Z232" s="169" t="n">
        <v>0.085380172451756</v>
      </c>
      <c r="AA232" s="169" t="n">
        <v>0.170760344903512</v>
      </c>
      <c r="AB232" s="169" t="n">
        <v>0.256140517355268</v>
      </c>
      <c r="AC232" s="65"/>
      <c r="AD232" s="169" t="n">
        <v>0.0312810898885665</v>
      </c>
      <c r="AE232" s="169" t="n">
        <v>0.0625621797771329</v>
      </c>
      <c r="AF232" s="169" t="n">
        <v>0.0938432696656994</v>
      </c>
      <c r="AG232" s="65"/>
      <c r="AH232" s="169" t="n">
        <v>-0.25</v>
      </c>
      <c r="AI232" s="169" t="n">
        <v>1.25</v>
      </c>
      <c r="AJ232" s="169" t="n">
        <v>0.3</v>
      </c>
      <c r="AK232" s="65"/>
      <c r="AL232" s="169" t="n">
        <v>-0.15</v>
      </c>
      <c r="AM232" s="169" t="n">
        <v>0.65</v>
      </c>
      <c r="AN232" s="169" t="n">
        <v>0.2</v>
      </c>
      <c r="AO232" s="65"/>
      <c r="AP232" s="134" t="n">
        <v>72</v>
      </c>
      <c r="AQ232" s="170" t="n">
        <v>0.4</v>
      </c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135" t="n">
        <v>43252</v>
      </c>
      <c r="BI232" s="172" t="n">
        <v>0.9</v>
      </c>
      <c r="BJ232" s="65"/>
      <c r="BK232" s="65"/>
      <c r="BL232" s="65"/>
      <c r="BM232" s="65"/>
      <c r="BN232" s="65"/>
      <c r="BO232" s="65"/>
      <c r="BP232" s="65"/>
      <c r="BQ232" s="65"/>
      <c r="BR232" s="65"/>
      <c r="BS232" s="65"/>
      <c r="BT232" s="65"/>
      <c r="BU232" s="65"/>
      <c r="BV232" s="65"/>
      <c r="BW232" s="65"/>
      <c r="BX232" s="65"/>
      <c r="BY232" s="65"/>
      <c r="BZ232" s="65"/>
      <c r="CA232" s="65"/>
      <c r="CB232" s="65"/>
      <c r="CC232" s="65"/>
      <c r="CD232" s="65"/>
      <c r="CE232" s="65"/>
      <c r="CF232" s="65"/>
      <c r="CG232" s="65"/>
      <c r="CH232" s="0"/>
      <c r="CP232" s="0"/>
      <c r="CQ232" s="0"/>
      <c r="CR232" s="0"/>
      <c r="CS232" s="0"/>
      <c r="CT232" s="0"/>
      <c r="CY232" s="174" t="n">
        <f aca="false">M232</f>
        <v>43252</v>
      </c>
      <c r="CZ232" s="175" t="n">
        <f aca="false">AI232+AH232</f>
        <v>1</v>
      </c>
      <c r="DA232" s="175" t="n">
        <f aca="false">AI232</f>
        <v>1.25</v>
      </c>
      <c r="DB232" s="175" t="n">
        <f aca="false">AI232+AJ232</f>
        <v>1.55</v>
      </c>
      <c r="DD232" s="175" t="n">
        <f aca="false">Z232</f>
        <v>0.085380172451756</v>
      </c>
      <c r="DE232" s="175" t="n">
        <f aca="false">AA232</f>
        <v>0.170760344903512</v>
      </c>
      <c r="DF232" s="175" t="n">
        <f aca="false">AB232</f>
        <v>0.256140517355268</v>
      </c>
      <c r="DH232" s="174" t="n">
        <f aca="false">BH232</f>
        <v>43252</v>
      </c>
      <c r="DI232" s="128" t="n">
        <f aca="false">BI232</f>
        <v>0.9</v>
      </c>
    </row>
    <row r="233" customFormat="false" ht="12.75" hidden="false" customHeight="false" outlineLevel="0" collapsed="false">
      <c r="A233" s="138" t="n">
        <f aca="false">EOMONTH(A232,0)+1</f>
        <v>52628</v>
      </c>
      <c r="B233" s="128" t="n">
        <f aca="false">'Gas Curves'!C237</f>
        <v>0.062810872751499</v>
      </c>
      <c r="C233" s="128"/>
      <c r="D233" s="167" t="n">
        <v>42401</v>
      </c>
      <c r="E233" s="168" t="n">
        <v>56.93</v>
      </c>
      <c r="F233" s="168" t="n">
        <v>59</v>
      </c>
      <c r="G233" s="168" t="n">
        <v>61.04</v>
      </c>
      <c r="H233" s="152"/>
      <c r="I233" s="168" t="n">
        <v>25.465</v>
      </c>
      <c r="J233" s="168" t="n">
        <v>26.5</v>
      </c>
      <c r="K233" s="168" t="n">
        <v>27.34</v>
      </c>
      <c r="L233" s="134"/>
      <c r="M233" s="135" t="n">
        <v>43282</v>
      </c>
      <c r="N233" s="169" t="n">
        <v>38.3750015258789</v>
      </c>
      <c r="O233" s="169" t="n">
        <v>45.8000015258789</v>
      </c>
      <c r="P233" s="169" t="n">
        <v>53.5475015258789</v>
      </c>
      <c r="Q233" s="65"/>
      <c r="R233" s="169" t="n">
        <v>34.8000015258789</v>
      </c>
      <c r="S233" s="169" t="n">
        <v>39.8000015258789</v>
      </c>
      <c r="T233" s="169" t="n">
        <v>47.5475015258789</v>
      </c>
      <c r="U233" s="65"/>
      <c r="V233" s="169" t="n">
        <v>0</v>
      </c>
      <c r="W233" s="169" t="n">
        <v>0</v>
      </c>
      <c r="X233" s="169" t="n">
        <v>0</v>
      </c>
      <c r="Y233" s="65"/>
      <c r="Z233" s="169" t="n">
        <v>0.101692367108662</v>
      </c>
      <c r="AA233" s="169" t="n">
        <v>0.203384734217324</v>
      </c>
      <c r="AB233" s="169" t="n">
        <v>0.305077101325986</v>
      </c>
      <c r="AC233" s="65"/>
      <c r="AD233" s="169" t="n">
        <v>0.041708119851422</v>
      </c>
      <c r="AE233" s="169" t="n">
        <v>0.0834162397028439</v>
      </c>
      <c r="AF233" s="169" t="n">
        <v>0.125124359554266</v>
      </c>
      <c r="AG233" s="65"/>
      <c r="AH233" s="169" t="n">
        <v>-0.25</v>
      </c>
      <c r="AI233" s="169" t="n">
        <v>1.25</v>
      </c>
      <c r="AJ233" s="169" t="n">
        <v>0.3</v>
      </c>
      <c r="AK233" s="65"/>
      <c r="AL233" s="169" t="n">
        <v>-0.15</v>
      </c>
      <c r="AM233" s="169" t="n">
        <v>0.75</v>
      </c>
      <c r="AN233" s="169" t="n">
        <v>0.2</v>
      </c>
      <c r="AO233" s="65"/>
      <c r="AP233" s="134" t="n">
        <v>72</v>
      </c>
      <c r="AQ233" s="170" t="n">
        <v>0.4</v>
      </c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135" t="n">
        <v>43282</v>
      </c>
      <c r="BI233" s="172" t="n">
        <v>0.9</v>
      </c>
      <c r="BJ233" s="65"/>
      <c r="BK233" s="65"/>
      <c r="BL233" s="65"/>
      <c r="BM233" s="65"/>
      <c r="BN233" s="65"/>
      <c r="BO233" s="65"/>
      <c r="BP233" s="65"/>
      <c r="BQ233" s="65"/>
      <c r="BR233" s="65"/>
      <c r="BS233" s="65"/>
      <c r="BT233" s="65"/>
      <c r="BU233" s="65"/>
      <c r="BV233" s="65"/>
      <c r="BW233" s="65"/>
      <c r="BX233" s="65"/>
      <c r="BY233" s="65"/>
      <c r="BZ233" s="65"/>
      <c r="CA233" s="65"/>
      <c r="CB233" s="65"/>
      <c r="CC233" s="65"/>
      <c r="CD233" s="65"/>
      <c r="CE233" s="65"/>
      <c r="CF233" s="65"/>
      <c r="CG233" s="65"/>
      <c r="CH233" s="0"/>
      <c r="CP233" s="0"/>
      <c r="CQ233" s="0"/>
      <c r="CR233" s="0"/>
      <c r="CS233" s="0"/>
      <c r="CT233" s="0"/>
      <c r="CY233" s="174" t="n">
        <f aca="false">M233</f>
        <v>43282</v>
      </c>
      <c r="CZ233" s="175" t="n">
        <f aca="false">AI233+AH233</f>
        <v>1</v>
      </c>
      <c r="DA233" s="175" t="n">
        <f aca="false">AI233</f>
        <v>1.25</v>
      </c>
      <c r="DB233" s="175" t="n">
        <f aca="false">AI233+AJ233</f>
        <v>1.55</v>
      </c>
      <c r="DD233" s="175" t="n">
        <f aca="false">Z233</f>
        <v>0.101692367108662</v>
      </c>
      <c r="DE233" s="175" t="n">
        <f aca="false">AA233</f>
        <v>0.203384734217324</v>
      </c>
      <c r="DF233" s="175" t="n">
        <f aca="false">AB233</f>
        <v>0.305077101325986</v>
      </c>
      <c r="DH233" s="174" t="n">
        <f aca="false">BH233</f>
        <v>43282</v>
      </c>
      <c r="DI233" s="128" t="n">
        <f aca="false">BI233</f>
        <v>0.9</v>
      </c>
    </row>
    <row r="234" customFormat="false" ht="12.75" hidden="false" customHeight="false" outlineLevel="0" collapsed="false">
      <c r="A234" s="138" t="n">
        <f aca="false">EOMONTH(A233,0)+1</f>
        <v>52657</v>
      </c>
      <c r="B234" s="128" t="n">
        <f aca="false">'Gas Curves'!C238</f>
        <v>0.062834587843904</v>
      </c>
      <c r="C234" s="128"/>
      <c r="D234" s="167" t="n">
        <v>42430</v>
      </c>
      <c r="E234" s="168" t="n">
        <v>39.93</v>
      </c>
      <c r="F234" s="168" t="n">
        <v>42</v>
      </c>
      <c r="G234" s="168" t="n">
        <v>44.04</v>
      </c>
      <c r="H234" s="152"/>
      <c r="I234" s="168" t="n">
        <v>25.8649996185303</v>
      </c>
      <c r="J234" s="168" t="n">
        <v>26.8999996185303</v>
      </c>
      <c r="K234" s="168" t="n">
        <v>27.7399996185303</v>
      </c>
      <c r="L234" s="134"/>
      <c r="M234" s="135" t="n">
        <v>43313</v>
      </c>
      <c r="N234" s="169" t="n">
        <v>50.1250015258789</v>
      </c>
      <c r="O234" s="169" t="n">
        <v>57.5500015258789</v>
      </c>
      <c r="P234" s="169" t="n">
        <v>65.2975015258789</v>
      </c>
      <c r="Q234" s="65"/>
      <c r="R234" s="169" t="n">
        <v>46.6000007629395</v>
      </c>
      <c r="S234" s="169" t="n">
        <v>51.6000007629395</v>
      </c>
      <c r="T234" s="169" t="n">
        <v>59.3475007629395</v>
      </c>
      <c r="U234" s="65"/>
      <c r="V234" s="169" t="n">
        <v>0</v>
      </c>
      <c r="W234" s="169" t="n">
        <v>0</v>
      </c>
      <c r="X234" s="169" t="n">
        <v>0</v>
      </c>
      <c r="Y234" s="65"/>
      <c r="Z234" s="169" t="n">
        <v>0.0994642258486125</v>
      </c>
      <c r="AA234" s="169" t="n">
        <v>0.198928451697225</v>
      </c>
      <c r="AB234" s="169" t="n">
        <v>0.298392677545837</v>
      </c>
      <c r="AC234" s="65"/>
      <c r="AD234" s="169" t="n">
        <v>0.041708119851422</v>
      </c>
      <c r="AE234" s="169" t="n">
        <v>0.0834162397028439</v>
      </c>
      <c r="AF234" s="169" t="n">
        <v>0.125124359554266</v>
      </c>
      <c r="AG234" s="65"/>
      <c r="AH234" s="169" t="n">
        <v>-0.25</v>
      </c>
      <c r="AI234" s="169" t="n">
        <v>1.25</v>
      </c>
      <c r="AJ234" s="169" t="n">
        <v>0.3</v>
      </c>
      <c r="AK234" s="65"/>
      <c r="AL234" s="169" t="n">
        <v>-0.15</v>
      </c>
      <c r="AM234" s="169" t="n">
        <v>0.75</v>
      </c>
      <c r="AN234" s="169" t="n">
        <v>0.2</v>
      </c>
      <c r="AO234" s="65"/>
      <c r="AP234" s="134" t="n">
        <v>73</v>
      </c>
      <c r="AQ234" s="170" t="n">
        <v>0.4</v>
      </c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135" t="n">
        <v>43313</v>
      </c>
      <c r="BI234" s="172" t="n">
        <v>0.9</v>
      </c>
      <c r="BJ234" s="65"/>
      <c r="BK234" s="65"/>
      <c r="BL234" s="65"/>
      <c r="BM234" s="65"/>
      <c r="BN234" s="65"/>
      <c r="BO234" s="65"/>
      <c r="BP234" s="65"/>
      <c r="BQ234" s="65"/>
      <c r="BR234" s="65"/>
      <c r="BS234" s="65"/>
      <c r="BT234" s="65"/>
      <c r="BU234" s="65"/>
      <c r="BV234" s="65"/>
      <c r="BW234" s="65"/>
      <c r="BX234" s="65"/>
      <c r="BY234" s="65"/>
      <c r="BZ234" s="65"/>
      <c r="CA234" s="65"/>
      <c r="CB234" s="65"/>
      <c r="CC234" s="65"/>
      <c r="CD234" s="65"/>
      <c r="CE234" s="65"/>
      <c r="CF234" s="65"/>
      <c r="CG234" s="65"/>
      <c r="CH234" s="0"/>
      <c r="CP234" s="0"/>
      <c r="CQ234" s="0"/>
      <c r="CR234" s="0"/>
      <c r="CS234" s="0"/>
      <c r="CT234" s="0"/>
      <c r="CY234" s="174" t="n">
        <f aca="false">M234</f>
        <v>43313</v>
      </c>
      <c r="CZ234" s="175" t="n">
        <f aca="false">AI234+AH234</f>
        <v>1</v>
      </c>
      <c r="DA234" s="175" t="n">
        <f aca="false">AI234</f>
        <v>1.25</v>
      </c>
      <c r="DB234" s="175" t="n">
        <f aca="false">AI234+AJ234</f>
        <v>1.55</v>
      </c>
      <c r="DD234" s="175" t="n">
        <f aca="false">Z234</f>
        <v>0.0994642258486125</v>
      </c>
      <c r="DE234" s="175" t="n">
        <f aca="false">AA234</f>
        <v>0.198928451697225</v>
      </c>
      <c r="DF234" s="175" t="n">
        <f aca="false">AB234</f>
        <v>0.298392677545837</v>
      </c>
      <c r="DH234" s="174" t="n">
        <f aca="false">BH234</f>
        <v>43313</v>
      </c>
      <c r="DI234" s="128" t="n">
        <f aca="false">BI234</f>
        <v>0.9</v>
      </c>
    </row>
    <row r="235" customFormat="false" ht="12.75" hidden="false" customHeight="false" outlineLevel="0" collapsed="false">
      <c r="A235" s="138" t="n">
        <f aca="false">EOMONTH(A234,0)+1</f>
        <v>52688</v>
      </c>
      <c r="B235" s="128" t="n">
        <f aca="false">'Gas Curves'!C239</f>
        <v>0.062859093439584</v>
      </c>
      <c r="C235" s="128"/>
      <c r="D235" s="167" t="n">
        <v>42461</v>
      </c>
      <c r="E235" s="168" t="n">
        <v>35.87</v>
      </c>
      <c r="F235" s="168" t="n">
        <v>38.5</v>
      </c>
      <c r="G235" s="168" t="n">
        <v>40.54</v>
      </c>
      <c r="H235" s="152"/>
      <c r="I235" s="168" t="n">
        <v>23.3349996185303</v>
      </c>
      <c r="J235" s="168" t="n">
        <v>24.6499996185303</v>
      </c>
      <c r="K235" s="168" t="n">
        <v>25.4899996185303</v>
      </c>
      <c r="L235" s="134"/>
      <c r="M235" s="135" t="n">
        <v>43344</v>
      </c>
      <c r="N235" s="169" t="n">
        <v>31.8875011444092</v>
      </c>
      <c r="O235" s="169" t="n">
        <v>34.9250011444092</v>
      </c>
      <c r="P235" s="169" t="n">
        <v>37.3100011444092</v>
      </c>
      <c r="Q235" s="65"/>
      <c r="R235" s="169" t="n">
        <v>27.2000015258789</v>
      </c>
      <c r="S235" s="169" t="n">
        <v>32.2000015258789</v>
      </c>
      <c r="T235" s="169" t="n">
        <v>34.5850015258789</v>
      </c>
      <c r="U235" s="65"/>
      <c r="V235" s="169" t="n">
        <v>0</v>
      </c>
      <c r="W235" s="169" t="n">
        <v>0</v>
      </c>
      <c r="X235" s="169" t="n">
        <v>0</v>
      </c>
      <c r="Y235" s="65"/>
      <c r="Z235" s="169" t="n">
        <v>0.0753606888398985</v>
      </c>
      <c r="AA235" s="169" t="n">
        <v>0.150721377679797</v>
      </c>
      <c r="AB235" s="169" t="n">
        <v>0.226082066519696</v>
      </c>
      <c r="AC235" s="65"/>
      <c r="AD235" s="169" t="n">
        <v>0.0278054132342813</v>
      </c>
      <c r="AE235" s="169" t="n">
        <v>0.0556108264685626</v>
      </c>
      <c r="AF235" s="169" t="n">
        <v>0.0834162397028439</v>
      </c>
      <c r="AG235" s="65"/>
      <c r="AH235" s="169" t="n">
        <v>-0.25</v>
      </c>
      <c r="AI235" s="169" t="n">
        <v>1.25</v>
      </c>
      <c r="AJ235" s="169" t="n">
        <v>0.3</v>
      </c>
      <c r="AK235" s="65"/>
      <c r="AL235" s="169" t="n">
        <v>-0.15</v>
      </c>
      <c r="AM235" s="169" t="n">
        <v>0.4</v>
      </c>
      <c r="AN235" s="169" t="n">
        <v>0.2</v>
      </c>
      <c r="AO235" s="65"/>
      <c r="AP235" s="134" t="n">
        <v>73</v>
      </c>
      <c r="AQ235" s="170" t="n">
        <v>0.4</v>
      </c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135" t="n">
        <v>43344</v>
      </c>
      <c r="BI235" s="172" t="n">
        <v>0.9</v>
      </c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/>
      <c r="CB235" s="65"/>
      <c r="CC235" s="65"/>
      <c r="CD235" s="65"/>
      <c r="CE235" s="65"/>
      <c r="CF235" s="65"/>
      <c r="CG235" s="65"/>
      <c r="CH235" s="0"/>
      <c r="CP235" s="0"/>
      <c r="CQ235" s="0"/>
      <c r="CR235" s="0"/>
      <c r="CS235" s="0"/>
      <c r="CT235" s="0"/>
      <c r="CY235" s="174" t="n">
        <f aca="false">M235</f>
        <v>43344</v>
      </c>
      <c r="CZ235" s="175" t="n">
        <f aca="false">AI235+AH235</f>
        <v>1</v>
      </c>
      <c r="DA235" s="175" t="n">
        <f aca="false">AI235</f>
        <v>1.25</v>
      </c>
      <c r="DB235" s="175" t="n">
        <f aca="false">AI235+AJ235</f>
        <v>1.55</v>
      </c>
      <c r="DD235" s="175" t="n">
        <f aca="false">Z235</f>
        <v>0.0753606888398985</v>
      </c>
      <c r="DE235" s="175" t="n">
        <f aca="false">AA235</f>
        <v>0.150721377679797</v>
      </c>
      <c r="DF235" s="175" t="n">
        <f aca="false">AB235</f>
        <v>0.226082066519696</v>
      </c>
      <c r="DH235" s="174" t="n">
        <f aca="false">BH235</f>
        <v>43344</v>
      </c>
      <c r="DI235" s="128" t="n">
        <f aca="false">BI235</f>
        <v>0.9</v>
      </c>
    </row>
    <row r="236" customFormat="false" ht="12.75" hidden="false" customHeight="false" outlineLevel="0" collapsed="false">
      <c r="A236" s="138" t="n">
        <f aca="false">EOMONTH(A235,0)+1</f>
        <v>52718</v>
      </c>
      <c r="B236" s="128" t="n">
        <f aca="false">'Gas Curves'!C240</f>
        <v>0.062883599035464</v>
      </c>
      <c r="C236" s="128"/>
      <c r="D236" s="167" t="n">
        <v>42491</v>
      </c>
      <c r="E236" s="168" t="n">
        <v>40.17</v>
      </c>
      <c r="F236" s="168" t="n">
        <v>42.8</v>
      </c>
      <c r="G236" s="168" t="n">
        <v>46.65</v>
      </c>
      <c r="H236" s="152"/>
      <c r="I236" s="168" t="n">
        <v>24.3349996185303</v>
      </c>
      <c r="J236" s="168" t="n">
        <v>25.6499996185303</v>
      </c>
      <c r="K236" s="168" t="n">
        <v>27.2399996185303</v>
      </c>
      <c r="L236" s="134"/>
      <c r="M236" s="135" t="n">
        <v>43374</v>
      </c>
      <c r="N236" s="169" t="n">
        <v>29.3500011444092</v>
      </c>
      <c r="O236" s="169" t="n">
        <v>30.9250011444092</v>
      </c>
      <c r="P236" s="169" t="n">
        <v>32.4325011444092</v>
      </c>
      <c r="Q236" s="65"/>
      <c r="R236" s="169" t="n">
        <v>22.7000015258789</v>
      </c>
      <c r="S236" s="169" t="n">
        <v>27.7000015258789</v>
      </c>
      <c r="T236" s="169" t="n">
        <v>29.2075015258789</v>
      </c>
      <c r="U236" s="65"/>
      <c r="V236" s="169" t="n">
        <v>0</v>
      </c>
      <c r="W236" s="169" t="n">
        <v>0</v>
      </c>
      <c r="X236" s="169" t="n">
        <v>0</v>
      </c>
      <c r="Y236" s="65"/>
      <c r="Z236" s="169" t="n">
        <v>0.0651800088356474</v>
      </c>
      <c r="AA236" s="169" t="n">
        <v>0.130360017671295</v>
      </c>
      <c r="AB236" s="169" t="n">
        <v>0.195540026506942</v>
      </c>
      <c r="AC236" s="65"/>
      <c r="AD236" s="169" t="n">
        <v>0.020854059925711</v>
      </c>
      <c r="AE236" s="169" t="n">
        <v>0.041708119851422</v>
      </c>
      <c r="AF236" s="169" t="n">
        <v>0.0625621797771329</v>
      </c>
      <c r="AG236" s="65"/>
      <c r="AH236" s="169" t="n">
        <v>-0.25</v>
      </c>
      <c r="AI236" s="169" t="n">
        <v>1.25</v>
      </c>
      <c r="AJ236" s="169" t="n">
        <v>0.3</v>
      </c>
      <c r="AK236" s="65"/>
      <c r="AL236" s="169" t="n">
        <v>-0.15</v>
      </c>
      <c r="AM236" s="169" t="n">
        <v>0.35</v>
      </c>
      <c r="AN236" s="169" t="n">
        <v>0.2</v>
      </c>
      <c r="AO236" s="65"/>
      <c r="AP236" s="134" t="n">
        <v>73</v>
      </c>
      <c r="AQ236" s="170" t="n">
        <v>0.4</v>
      </c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135" t="n">
        <v>43374</v>
      </c>
      <c r="BI236" s="172" t="n">
        <v>0.9</v>
      </c>
      <c r="BJ236" s="65"/>
      <c r="BK236" s="65"/>
      <c r="BL236" s="65"/>
      <c r="BM236" s="65"/>
      <c r="BN236" s="65"/>
      <c r="BO236" s="65"/>
      <c r="BP236" s="65"/>
      <c r="BQ236" s="65"/>
      <c r="BR236" s="65"/>
      <c r="BS236" s="65"/>
      <c r="BT236" s="65"/>
      <c r="BU236" s="65"/>
      <c r="BV236" s="65"/>
      <c r="BW236" s="65"/>
      <c r="BX236" s="65"/>
      <c r="BY236" s="65"/>
      <c r="BZ236" s="65"/>
      <c r="CA236" s="65"/>
      <c r="CB236" s="65"/>
      <c r="CC236" s="65"/>
      <c r="CD236" s="65"/>
      <c r="CE236" s="65"/>
      <c r="CF236" s="65"/>
      <c r="CG236" s="65"/>
      <c r="CH236" s="0"/>
      <c r="CP236" s="0"/>
      <c r="CQ236" s="0"/>
      <c r="CR236" s="0"/>
      <c r="CS236" s="0"/>
      <c r="CT236" s="0"/>
      <c r="CY236" s="174" t="n">
        <f aca="false">M236</f>
        <v>43374</v>
      </c>
      <c r="CZ236" s="175" t="n">
        <f aca="false">AI236+AH236</f>
        <v>1</v>
      </c>
      <c r="DA236" s="175" t="n">
        <f aca="false">AI236</f>
        <v>1.25</v>
      </c>
      <c r="DB236" s="175" t="n">
        <f aca="false">AI236+AJ236</f>
        <v>1.55</v>
      </c>
      <c r="DD236" s="175" t="n">
        <f aca="false">Z236</f>
        <v>0.0651800088356474</v>
      </c>
      <c r="DE236" s="175" t="n">
        <f aca="false">AA236</f>
        <v>0.130360017671295</v>
      </c>
      <c r="DF236" s="175" t="n">
        <f aca="false">AB236</f>
        <v>0.195540026506942</v>
      </c>
      <c r="DH236" s="174" t="n">
        <f aca="false">BH236</f>
        <v>43374</v>
      </c>
      <c r="DI236" s="128" t="n">
        <f aca="false">BI236</f>
        <v>0.9</v>
      </c>
    </row>
    <row r="237" customFormat="false" ht="12.75" hidden="false" customHeight="false" outlineLevel="0" collapsed="false">
      <c r="A237" s="138" t="n">
        <f aca="false">EOMONTH(A236,0)+1</f>
        <v>52749</v>
      </c>
      <c r="B237" s="128" t="n">
        <f aca="false">'Gas Curves'!C241</f>
        <v>0.062907314128441</v>
      </c>
      <c r="C237" s="128"/>
      <c r="D237" s="167" t="n">
        <v>42522</v>
      </c>
      <c r="E237" s="168" t="n">
        <v>51.68</v>
      </c>
      <c r="F237" s="168" t="n">
        <v>56.75</v>
      </c>
      <c r="G237" s="168" t="n">
        <v>62.62</v>
      </c>
      <c r="H237" s="152"/>
      <c r="I237" s="168" t="n">
        <v>23.4899996185303</v>
      </c>
      <c r="J237" s="168" t="n">
        <v>26.0249996185303</v>
      </c>
      <c r="K237" s="168" t="n">
        <v>28.4449996185303</v>
      </c>
      <c r="L237" s="134"/>
      <c r="M237" s="135" t="n">
        <v>43405</v>
      </c>
      <c r="N237" s="169" t="n">
        <v>31.7000015258789</v>
      </c>
      <c r="O237" s="169" t="n">
        <v>33.2750015258789</v>
      </c>
      <c r="P237" s="169" t="n">
        <v>34.7825015258789</v>
      </c>
      <c r="Q237" s="65"/>
      <c r="R237" s="169" t="n">
        <v>24.9000003814697</v>
      </c>
      <c r="S237" s="169" t="n">
        <v>29.9000003814697</v>
      </c>
      <c r="T237" s="169" t="n">
        <v>31.4075003814697</v>
      </c>
      <c r="U237" s="65"/>
      <c r="V237" s="169" t="n">
        <v>0</v>
      </c>
      <c r="W237" s="169" t="n">
        <v>0</v>
      </c>
      <c r="X237" s="169" t="n">
        <v>0</v>
      </c>
      <c r="Y237" s="65"/>
      <c r="Z237" s="169" t="n">
        <v>0.0651800088356474</v>
      </c>
      <c r="AA237" s="169" t="n">
        <v>0.130360017671295</v>
      </c>
      <c r="AB237" s="169" t="n">
        <v>0.195540026506942</v>
      </c>
      <c r="AC237" s="65"/>
      <c r="AD237" s="169" t="n">
        <v>0.020854059925711</v>
      </c>
      <c r="AE237" s="169" t="n">
        <v>0.041708119851422</v>
      </c>
      <c r="AF237" s="169" t="n">
        <v>0.0625621797771329</v>
      </c>
      <c r="AG237" s="65"/>
      <c r="AH237" s="169" t="n">
        <v>-0.25</v>
      </c>
      <c r="AI237" s="169" t="n">
        <v>1.25</v>
      </c>
      <c r="AJ237" s="169" t="n">
        <v>0.3</v>
      </c>
      <c r="AK237" s="65"/>
      <c r="AL237" s="169" t="n">
        <v>-0.15</v>
      </c>
      <c r="AM237" s="169" t="n">
        <v>0.3</v>
      </c>
      <c r="AN237" s="169" t="n">
        <v>0.2</v>
      </c>
      <c r="AO237" s="65"/>
      <c r="AP237" s="134" t="n">
        <v>74</v>
      </c>
      <c r="AQ237" s="170" t="n">
        <v>0.4</v>
      </c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135" t="n">
        <v>43405</v>
      </c>
      <c r="BI237" s="172" t="n">
        <v>0.9</v>
      </c>
      <c r="BJ237" s="65"/>
      <c r="BK237" s="65"/>
      <c r="BL237" s="65"/>
      <c r="BM237" s="65"/>
      <c r="BN237" s="65"/>
      <c r="BO237" s="65"/>
      <c r="BP237" s="65"/>
      <c r="BQ237" s="65"/>
      <c r="BR237" s="65"/>
      <c r="BS237" s="65"/>
      <c r="BT237" s="65"/>
      <c r="BU237" s="65"/>
      <c r="BV237" s="65"/>
      <c r="BW237" s="65"/>
      <c r="BX237" s="65"/>
      <c r="BY237" s="65"/>
      <c r="BZ237" s="65"/>
      <c r="CA237" s="65"/>
      <c r="CB237" s="65"/>
      <c r="CC237" s="65"/>
      <c r="CD237" s="65"/>
      <c r="CE237" s="65"/>
      <c r="CF237" s="65"/>
      <c r="CG237" s="65"/>
      <c r="CH237" s="0"/>
      <c r="CP237" s="0"/>
      <c r="CQ237" s="0"/>
      <c r="CR237" s="0"/>
      <c r="CS237" s="0"/>
      <c r="CT237" s="0"/>
      <c r="CY237" s="174" t="n">
        <f aca="false">M237</f>
        <v>43405</v>
      </c>
      <c r="CZ237" s="175" t="n">
        <f aca="false">AI237+AH237</f>
        <v>1</v>
      </c>
      <c r="DA237" s="175" t="n">
        <f aca="false">AI237</f>
        <v>1.25</v>
      </c>
      <c r="DB237" s="175" t="n">
        <f aca="false">AI237+AJ237</f>
        <v>1.55</v>
      </c>
      <c r="DD237" s="175" t="n">
        <f aca="false">Z237</f>
        <v>0.0651800088356474</v>
      </c>
      <c r="DE237" s="175" t="n">
        <f aca="false">AA237</f>
        <v>0.130360017671295</v>
      </c>
      <c r="DF237" s="175" t="n">
        <f aca="false">AB237</f>
        <v>0.195540026506942</v>
      </c>
      <c r="DH237" s="174" t="n">
        <f aca="false">BH237</f>
        <v>43405</v>
      </c>
      <c r="DI237" s="128" t="n">
        <f aca="false">BI237</f>
        <v>0.9</v>
      </c>
    </row>
    <row r="238" customFormat="false" ht="12.75" hidden="false" customHeight="false" outlineLevel="0" collapsed="false">
      <c r="A238" s="138" t="n">
        <f aca="false">EOMONTH(A237,0)+1</f>
        <v>52779</v>
      </c>
      <c r="B238" s="128" t="n">
        <f aca="false">'Gas Curves'!C242</f>
        <v>0.062931819724713</v>
      </c>
      <c r="C238" s="128"/>
      <c r="D238" s="167" t="n">
        <v>42552</v>
      </c>
      <c r="E238" s="168" t="n">
        <v>72.35</v>
      </c>
      <c r="F238" s="168" t="n">
        <v>82.25</v>
      </c>
      <c r="G238" s="168" t="n">
        <v>94.76</v>
      </c>
      <c r="H238" s="152"/>
      <c r="I238" s="168" t="n">
        <v>24.8</v>
      </c>
      <c r="J238" s="168" t="n">
        <v>29.75</v>
      </c>
      <c r="K238" s="168" t="n">
        <v>34.915</v>
      </c>
      <c r="L238" s="134"/>
      <c r="M238" s="135" t="n">
        <v>43435</v>
      </c>
      <c r="N238" s="169" t="n">
        <v>32.3</v>
      </c>
      <c r="O238" s="169" t="n">
        <v>33.875</v>
      </c>
      <c r="P238" s="169" t="n">
        <v>35.3825</v>
      </c>
      <c r="Q238" s="65"/>
      <c r="R238" s="169" t="n">
        <v>25.4000003814697</v>
      </c>
      <c r="S238" s="169" t="n">
        <v>30.4000003814697</v>
      </c>
      <c r="T238" s="169" t="n">
        <v>31.9075003814697</v>
      </c>
      <c r="U238" s="65"/>
      <c r="V238" s="169" t="n">
        <v>0</v>
      </c>
      <c r="W238" s="169" t="n">
        <v>0</v>
      </c>
      <c r="X238" s="169" t="n">
        <v>0</v>
      </c>
      <c r="Y238" s="65"/>
      <c r="Z238" s="169" t="n">
        <v>0.0638788843714456</v>
      </c>
      <c r="AA238" s="169" t="n">
        <v>0.127757768742891</v>
      </c>
      <c r="AB238" s="169" t="n">
        <v>0.191636653114337</v>
      </c>
      <c r="AC238" s="65"/>
      <c r="AD238" s="169" t="n">
        <v>0.020854059925711</v>
      </c>
      <c r="AE238" s="169" t="n">
        <v>0.041708119851422</v>
      </c>
      <c r="AF238" s="169" t="n">
        <v>0.0625621797771329</v>
      </c>
      <c r="AG238" s="65"/>
      <c r="AH238" s="169" t="n">
        <v>-0.25</v>
      </c>
      <c r="AI238" s="169" t="n">
        <v>1.25</v>
      </c>
      <c r="AJ238" s="169" t="n">
        <v>0.3</v>
      </c>
      <c r="AK238" s="65"/>
      <c r="AL238" s="169" t="n">
        <v>-0.15</v>
      </c>
      <c r="AM238" s="169" t="n">
        <v>0.3</v>
      </c>
      <c r="AN238" s="169" t="n">
        <v>0.2</v>
      </c>
      <c r="AO238" s="65"/>
      <c r="AP238" s="134" t="n">
        <v>74</v>
      </c>
      <c r="AQ238" s="170" t="n">
        <v>0.4</v>
      </c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135" t="n">
        <v>43435</v>
      </c>
      <c r="BI238" s="172" t="n">
        <v>0.9</v>
      </c>
      <c r="BJ238" s="65"/>
      <c r="BK238" s="65"/>
      <c r="BL238" s="65"/>
      <c r="BM238" s="65"/>
      <c r="BN238" s="65"/>
      <c r="BO238" s="65"/>
      <c r="BP238" s="65"/>
      <c r="BQ238" s="65"/>
      <c r="BR238" s="65"/>
      <c r="BS238" s="65"/>
      <c r="BT238" s="65"/>
      <c r="BU238" s="65"/>
      <c r="BV238" s="65"/>
      <c r="BW238" s="65"/>
      <c r="BX238" s="65"/>
      <c r="BY238" s="65"/>
      <c r="BZ238" s="65"/>
      <c r="CA238" s="65"/>
      <c r="CB238" s="65"/>
      <c r="CC238" s="65"/>
      <c r="CD238" s="65"/>
      <c r="CE238" s="65"/>
      <c r="CF238" s="65"/>
      <c r="CG238" s="65"/>
      <c r="CH238" s="0"/>
      <c r="CP238" s="0"/>
      <c r="CQ238" s="0"/>
      <c r="CR238" s="0"/>
      <c r="CS238" s="0"/>
      <c r="CT238" s="0"/>
      <c r="CY238" s="174" t="n">
        <f aca="false">M238</f>
        <v>43435</v>
      </c>
      <c r="CZ238" s="175" t="n">
        <f aca="false">AI238+AH238</f>
        <v>1</v>
      </c>
      <c r="DA238" s="175" t="n">
        <f aca="false">AI238</f>
        <v>1.25</v>
      </c>
      <c r="DB238" s="175" t="n">
        <f aca="false">AI238+AJ238</f>
        <v>1.55</v>
      </c>
      <c r="DD238" s="175" t="n">
        <f aca="false">Z238</f>
        <v>0.0638788843714456</v>
      </c>
      <c r="DE238" s="175" t="n">
        <f aca="false">AA238</f>
        <v>0.127757768742891</v>
      </c>
      <c r="DF238" s="175" t="n">
        <f aca="false">AB238</f>
        <v>0.191636653114337</v>
      </c>
      <c r="DH238" s="174" t="n">
        <f aca="false">BH238</f>
        <v>43435</v>
      </c>
      <c r="DI238" s="128" t="n">
        <f aca="false">BI238</f>
        <v>0.9</v>
      </c>
    </row>
    <row r="239" customFormat="false" ht="12.75" hidden="false" customHeight="false" outlineLevel="0" collapsed="false">
      <c r="A239" s="138" t="n">
        <f aca="false">EOMONTH(A238,0)+1</f>
        <v>52810</v>
      </c>
      <c r="B239" s="128" t="n">
        <f aca="false">'Gas Curves'!C243</f>
        <v>0.062955534818069</v>
      </c>
      <c r="C239" s="128"/>
      <c r="D239" s="167" t="n">
        <v>42583</v>
      </c>
      <c r="E239" s="168" t="n">
        <v>72.35</v>
      </c>
      <c r="F239" s="168" t="n">
        <v>82.25</v>
      </c>
      <c r="G239" s="168" t="n">
        <v>94.76</v>
      </c>
      <c r="H239" s="152"/>
      <c r="I239" s="168" t="n">
        <v>36.9500015258789</v>
      </c>
      <c r="J239" s="168" t="n">
        <v>41.9000015258789</v>
      </c>
      <c r="K239" s="168" t="n">
        <v>47.0650015258789</v>
      </c>
      <c r="L239" s="134"/>
      <c r="M239" s="135" t="n">
        <v>43466</v>
      </c>
      <c r="N239" s="169" t="n">
        <v>34.8294960021973</v>
      </c>
      <c r="O239" s="169" t="n">
        <v>36.4044960021973</v>
      </c>
      <c r="P239" s="169" t="n">
        <v>37.6644960021973</v>
      </c>
      <c r="Q239" s="65"/>
      <c r="R239" s="169" t="n">
        <v>27.5039974212647</v>
      </c>
      <c r="S239" s="169" t="n">
        <v>32.5039974212647</v>
      </c>
      <c r="T239" s="169" t="n">
        <v>33.7639974212647</v>
      </c>
      <c r="U239" s="65"/>
      <c r="V239" s="169" t="n">
        <v>0</v>
      </c>
      <c r="W239" s="169" t="n">
        <v>0</v>
      </c>
      <c r="X239" s="169" t="n">
        <v>0</v>
      </c>
      <c r="Y239" s="65"/>
      <c r="Z239" s="169" t="n">
        <v>0.0942652295751635</v>
      </c>
      <c r="AA239" s="169" t="n">
        <v>0.188530459150327</v>
      </c>
      <c r="AB239" s="169" t="n">
        <v>0.28279568872549</v>
      </c>
      <c r="AC239" s="65"/>
      <c r="AD239" s="169" t="n">
        <v>0.020854059925711</v>
      </c>
      <c r="AE239" s="169" t="n">
        <v>0.041708119851422</v>
      </c>
      <c r="AF239" s="169" t="n">
        <v>0.0625621797771329</v>
      </c>
      <c r="AG239" s="65"/>
      <c r="AH239" s="169" t="n">
        <v>-0.25</v>
      </c>
      <c r="AI239" s="169" t="n">
        <v>1.25</v>
      </c>
      <c r="AJ239" s="169" t="n">
        <v>0.3</v>
      </c>
      <c r="AK239" s="65"/>
      <c r="AL239" s="169" t="n">
        <v>-0.15</v>
      </c>
      <c r="AM239" s="169" t="n">
        <v>0.3</v>
      </c>
      <c r="AN239" s="169" t="n">
        <v>0.2</v>
      </c>
      <c r="AO239" s="65"/>
      <c r="AP239" s="134" t="n">
        <v>74</v>
      </c>
      <c r="AQ239" s="170" t="n">
        <v>0.4</v>
      </c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135" t="n">
        <v>43466</v>
      </c>
      <c r="BI239" s="172" t="n">
        <v>0.9</v>
      </c>
      <c r="BJ239" s="65"/>
      <c r="BK239" s="65"/>
      <c r="BL239" s="65"/>
      <c r="BM239" s="65"/>
      <c r="BN239" s="65"/>
      <c r="BO239" s="65"/>
      <c r="BP239" s="65"/>
      <c r="BQ239" s="65"/>
      <c r="BR239" s="65"/>
      <c r="BS239" s="65"/>
      <c r="BT239" s="65"/>
      <c r="BU239" s="65"/>
      <c r="BV239" s="65"/>
      <c r="BW239" s="65"/>
      <c r="BX239" s="65"/>
      <c r="BY239" s="65"/>
      <c r="BZ239" s="65"/>
      <c r="CA239" s="65"/>
      <c r="CB239" s="65"/>
      <c r="CC239" s="65"/>
      <c r="CD239" s="65"/>
      <c r="CE239" s="65"/>
      <c r="CF239" s="65"/>
      <c r="CG239" s="65"/>
      <c r="CH239" s="0"/>
      <c r="CP239" s="0"/>
      <c r="CQ239" s="0"/>
      <c r="CR239" s="0"/>
      <c r="CS239" s="0"/>
      <c r="CT239" s="0"/>
      <c r="CY239" s="174" t="n">
        <f aca="false">M239</f>
        <v>43466</v>
      </c>
      <c r="CZ239" s="175" t="n">
        <f aca="false">AI239+AH239</f>
        <v>1</v>
      </c>
      <c r="DA239" s="175" t="n">
        <f aca="false">AI239</f>
        <v>1.25</v>
      </c>
      <c r="DB239" s="175" t="n">
        <f aca="false">AI239+AJ239</f>
        <v>1.55</v>
      </c>
      <c r="DD239" s="175" t="n">
        <f aca="false">Z239</f>
        <v>0.0942652295751635</v>
      </c>
      <c r="DE239" s="175" t="n">
        <f aca="false">AA239</f>
        <v>0.188530459150327</v>
      </c>
      <c r="DF239" s="175" t="n">
        <f aca="false">AB239</f>
        <v>0.28279568872549</v>
      </c>
      <c r="DH239" s="174" t="n">
        <f aca="false">BH239</f>
        <v>43466</v>
      </c>
      <c r="DI239" s="128" t="n">
        <f aca="false">BI239</f>
        <v>0.9</v>
      </c>
    </row>
    <row r="240" customFormat="false" ht="12.75" hidden="false" customHeight="false" outlineLevel="0" collapsed="false">
      <c r="A240" s="138" t="n">
        <f aca="false">EOMONTH(A239,0)+1</f>
        <v>52841</v>
      </c>
      <c r="B240" s="128" t="n">
        <f aca="false">'Gas Curves'!C244</f>
        <v>0.062980040414733</v>
      </c>
      <c r="C240" s="128"/>
      <c r="D240" s="167" t="n">
        <v>42614</v>
      </c>
      <c r="E240" s="168" t="n">
        <v>35.43</v>
      </c>
      <c r="F240" s="168" t="n">
        <v>40.5</v>
      </c>
      <c r="G240" s="168" t="n">
        <v>44.35</v>
      </c>
      <c r="H240" s="152"/>
      <c r="I240" s="168" t="n">
        <v>27.8649996185303</v>
      </c>
      <c r="J240" s="168" t="n">
        <v>30.3999996185303</v>
      </c>
      <c r="K240" s="168" t="n">
        <v>31.9899996185303</v>
      </c>
      <c r="L240" s="134"/>
      <c r="M240" s="135" t="n">
        <v>43497</v>
      </c>
      <c r="N240" s="169" t="n">
        <v>34.4919967651367</v>
      </c>
      <c r="O240" s="169" t="n">
        <v>35.7294967651367</v>
      </c>
      <c r="P240" s="169" t="n">
        <v>36.9894967651367</v>
      </c>
      <c r="Q240" s="65"/>
      <c r="R240" s="169" t="n">
        <v>26.9039970397949</v>
      </c>
      <c r="S240" s="169" t="n">
        <v>31.9039970397949</v>
      </c>
      <c r="T240" s="169" t="n">
        <v>33.1639970397949</v>
      </c>
      <c r="U240" s="65"/>
      <c r="V240" s="169" t="n">
        <v>0</v>
      </c>
      <c r="W240" s="169" t="n">
        <v>0</v>
      </c>
      <c r="X240" s="169" t="n">
        <v>0</v>
      </c>
      <c r="Y240" s="65"/>
      <c r="Z240" s="169" t="n">
        <v>0.0910666090107368</v>
      </c>
      <c r="AA240" s="169" t="n">
        <v>0.182133218021474</v>
      </c>
      <c r="AB240" s="169" t="n">
        <v>0.27319982703221</v>
      </c>
      <c r="AC240" s="65"/>
      <c r="AD240" s="169" t="n">
        <v>0.020854059925711</v>
      </c>
      <c r="AE240" s="169" t="n">
        <v>0.041708119851422</v>
      </c>
      <c r="AF240" s="169" t="n">
        <v>0.0625621797771329</v>
      </c>
      <c r="AG240" s="65"/>
      <c r="AH240" s="169" t="n">
        <v>-0.25</v>
      </c>
      <c r="AI240" s="169" t="n">
        <v>1.25</v>
      </c>
      <c r="AJ240" s="169" t="n">
        <v>0.3</v>
      </c>
      <c r="AK240" s="65"/>
      <c r="AL240" s="169" t="n">
        <v>-0.15</v>
      </c>
      <c r="AM240" s="169" t="n">
        <v>0.3</v>
      </c>
      <c r="AN240" s="169" t="n">
        <v>0.2</v>
      </c>
      <c r="AO240" s="65"/>
      <c r="AP240" s="134" t="n">
        <v>74</v>
      </c>
      <c r="AQ240" s="170" t="n">
        <v>0.4</v>
      </c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135" t="n">
        <v>43497</v>
      </c>
      <c r="BI240" s="172" t="n">
        <v>0.9</v>
      </c>
      <c r="BJ240" s="65"/>
      <c r="BK240" s="65"/>
      <c r="BL240" s="65"/>
      <c r="BM240" s="65"/>
      <c r="BN240" s="65"/>
      <c r="BO240" s="65"/>
      <c r="BP240" s="65"/>
      <c r="BQ240" s="65"/>
      <c r="BR240" s="65"/>
      <c r="BS240" s="65"/>
      <c r="BT240" s="65"/>
      <c r="BU240" s="65"/>
      <c r="BV240" s="65"/>
      <c r="BW240" s="65"/>
      <c r="BX240" s="65"/>
      <c r="BY240" s="65"/>
      <c r="BZ240" s="65"/>
      <c r="CA240" s="65"/>
      <c r="CB240" s="65"/>
      <c r="CC240" s="65"/>
      <c r="CD240" s="65"/>
      <c r="CE240" s="65"/>
      <c r="CF240" s="65"/>
      <c r="CG240" s="65"/>
      <c r="CH240" s="0"/>
      <c r="CP240" s="0"/>
      <c r="CQ240" s="0"/>
      <c r="CR240" s="0"/>
      <c r="CS240" s="0"/>
      <c r="CT240" s="0"/>
      <c r="CY240" s="174" t="n">
        <f aca="false">M240</f>
        <v>43497</v>
      </c>
      <c r="CZ240" s="175" t="n">
        <f aca="false">AI240+AH240</f>
        <v>1</v>
      </c>
      <c r="DA240" s="175" t="n">
        <f aca="false">AI240</f>
        <v>1.25</v>
      </c>
      <c r="DB240" s="175" t="n">
        <f aca="false">AI240+AJ240</f>
        <v>1.55</v>
      </c>
      <c r="DD240" s="175" t="n">
        <f aca="false">Z240</f>
        <v>0.0910666090107368</v>
      </c>
      <c r="DE240" s="175" t="n">
        <f aca="false">AA240</f>
        <v>0.182133218021474</v>
      </c>
      <c r="DF240" s="175" t="n">
        <f aca="false">AB240</f>
        <v>0.27319982703221</v>
      </c>
      <c r="DH240" s="174" t="n">
        <f aca="false">BH240</f>
        <v>43497</v>
      </c>
      <c r="DI240" s="128" t="n">
        <f aca="false">BI240</f>
        <v>0.9</v>
      </c>
    </row>
    <row r="241" customFormat="false" ht="12.75" hidden="false" customHeight="false" outlineLevel="0" collapsed="false">
      <c r="A241" s="138" t="n">
        <f aca="false">EOMONTH(A240,0)+1</f>
        <v>52871</v>
      </c>
      <c r="B241" s="128" t="n">
        <f aca="false">'Gas Curves'!C245</f>
        <v>0.063004546011597</v>
      </c>
      <c r="C241" s="128"/>
      <c r="D241" s="167" t="n">
        <v>42644</v>
      </c>
      <c r="E241" s="168" t="n">
        <v>37.87</v>
      </c>
      <c r="F241" s="168" t="n">
        <v>40.5</v>
      </c>
      <c r="G241" s="168" t="n">
        <v>42.95</v>
      </c>
      <c r="H241" s="152"/>
      <c r="I241" s="168" t="n">
        <v>27.0849996185303</v>
      </c>
      <c r="J241" s="168" t="n">
        <v>28.3999996185303</v>
      </c>
      <c r="K241" s="168" t="n">
        <v>29.4049996185303</v>
      </c>
      <c r="L241" s="134"/>
      <c r="M241" s="135" t="n">
        <v>43525</v>
      </c>
      <c r="N241" s="169" t="n">
        <v>28.6374969482422</v>
      </c>
      <c r="O241" s="169" t="n">
        <v>29.8749969482422</v>
      </c>
      <c r="P241" s="169" t="n">
        <v>31.1349969482422</v>
      </c>
      <c r="Q241" s="65"/>
      <c r="R241" s="169" t="n">
        <v>21.6999984741211</v>
      </c>
      <c r="S241" s="169" t="n">
        <v>26.6999984741211</v>
      </c>
      <c r="T241" s="169" t="n">
        <v>27.9599984741211</v>
      </c>
      <c r="U241" s="65"/>
      <c r="V241" s="169" t="n">
        <v>0</v>
      </c>
      <c r="W241" s="169" t="n">
        <v>0</v>
      </c>
      <c r="X241" s="169" t="n">
        <v>0</v>
      </c>
      <c r="Y241" s="65"/>
      <c r="Z241" s="169" t="n">
        <v>0.0721937023797812</v>
      </c>
      <c r="AA241" s="169" t="n">
        <v>0.144387404759562</v>
      </c>
      <c r="AB241" s="169" t="n">
        <v>0.216581107139343</v>
      </c>
      <c r="AC241" s="65"/>
      <c r="AD241" s="169" t="n">
        <v>0.020854059925711</v>
      </c>
      <c r="AE241" s="169" t="n">
        <v>0.041708119851422</v>
      </c>
      <c r="AF241" s="169" t="n">
        <v>0.0625621797771329</v>
      </c>
      <c r="AG241" s="65"/>
      <c r="AH241" s="169" t="n">
        <v>-0.25</v>
      </c>
      <c r="AI241" s="169" t="n">
        <v>1.25</v>
      </c>
      <c r="AJ241" s="169" t="n">
        <v>0.3</v>
      </c>
      <c r="AK241" s="65"/>
      <c r="AL241" s="169" t="n">
        <v>-0.15</v>
      </c>
      <c r="AM241" s="169" t="n">
        <v>0.3</v>
      </c>
      <c r="AN241" s="169" t="n">
        <v>0.2</v>
      </c>
      <c r="AO241" s="65"/>
      <c r="AP241" s="134" t="n">
        <v>74</v>
      </c>
      <c r="AQ241" s="170" t="n">
        <v>0.4</v>
      </c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135" t="n">
        <v>43525</v>
      </c>
      <c r="BI241" s="172" t="n">
        <v>0.9</v>
      </c>
      <c r="BJ241" s="65"/>
      <c r="BK241" s="65"/>
      <c r="BL241" s="65"/>
      <c r="BM241" s="65"/>
      <c r="BN241" s="65"/>
      <c r="BO241" s="65"/>
      <c r="BP241" s="65"/>
      <c r="BQ241" s="65"/>
      <c r="BR241" s="65"/>
      <c r="BS241" s="65"/>
      <c r="BT241" s="65"/>
      <c r="BU241" s="65"/>
      <c r="BV241" s="65"/>
      <c r="BW241" s="65"/>
      <c r="BX241" s="65"/>
      <c r="BY241" s="65"/>
      <c r="BZ241" s="65"/>
      <c r="CA241" s="65"/>
      <c r="CB241" s="65"/>
      <c r="CC241" s="65"/>
      <c r="CD241" s="65"/>
      <c r="CE241" s="65"/>
      <c r="CF241" s="65"/>
      <c r="CG241" s="65"/>
      <c r="CH241" s="0"/>
      <c r="CP241" s="0"/>
      <c r="CQ241" s="0"/>
      <c r="CR241" s="0"/>
      <c r="CS241" s="0"/>
      <c r="CT241" s="0"/>
      <c r="CY241" s="174" t="n">
        <f aca="false">M241</f>
        <v>43525</v>
      </c>
      <c r="CZ241" s="175" t="n">
        <f aca="false">AI241+AH241</f>
        <v>1</v>
      </c>
      <c r="DA241" s="175" t="n">
        <f aca="false">AI241</f>
        <v>1.25</v>
      </c>
      <c r="DB241" s="175" t="n">
        <f aca="false">AI241+AJ241</f>
        <v>1.55</v>
      </c>
      <c r="DD241" s="175" t="n">
        <f aca="false">Z241</f>
        <v>0.0721937023797812</v>
      </c>
      <c r="DE241" s="175" t="n">
        <f aca="false">AA241</f>
        <v>0.144387404759562</v>
      </c>
      <c r="DF241" s="175" t="n">
        <f aca="false">AB241</f>
        <v>0.216581107139343</v>
      </c>
      <c r="DH241" s="174" t="n">
        <f aca="false">BH241</f>
        <v>43525</v>
      </c>
      <c r="DI241" s="128" t="n">
        <f aca="false">BI241</f>
        <v>0.9</v>
      </c>
    </row>
    <row r="242" customFormat="false" ht="12.75" hidden="false" customHeight="false" outlineLevel="0" collapsed="false">
      <c r="A242" s="138" t="n">
        <f aca="false">EOMONTH(A241,0)+1</f>
        <v>52902</v>
      </c>
      <c r="B242" s="128" t="n">
        <f aca="false">'Gas Curves'!C246</f>
        <v>0.063027470602391</v>
      </c>
      <c r="C242" s="128"/>
      <c r="D242" s="167" t="n">
        <v>42675</v>
      </c>
      <c r="E242" s="168" t="n">
        <v>40.37</v>
      </c>
      <c r="F242" s="168" t="n">
        <v>43</v>
      </c>
      <c r="G242" s="168" t="n">
        <v>45.45</v>
      </c>
      <c r="H242" s="152"/>
      <c r="I242" s="168" t="n">
        <v>27.8349996185303</v>
      </c>
      <c r="J242" s="168" t="n">
        <v>29.1499996185303</v>
      </c>
      <c r="K242" s="168" t="n">
        <v>30.1549996185303</v>
      </c>
      <c r="L242" s="134"/>
      <c r="M242" s="135" t="n">
        <v>43556</v>
      </c>
      <c r="N242" s="169" t="n">
        <v>27.6249996185303</v>
      </c>
      <c r="O242" s="169" t="n">
        <v>29.1999996185303</v>
      </c>
      <c r="P242" s="169" t="n">
        <v>30.4599996185303</v>
      </c>
      <c r="Q242" s="65"/>
      <c r="R242" s="169" t="n">
        <v>21.1</v>
      </c>
      <c r="S242" s="169" t="n">
        <v>26.1</v>
      </c>
      <c r="T242" s="169" t="n">
        <v>27.36</v>
      </c>
      <c r="U242" s="65"/>
      <c r="V242" s="169" t="n">
        <v>0</v>
      </c>
      <c r="W242" s="169" t="n">
        <v>0</v>
      </c>
      <c r="X242" s="169" t="n">
        <v>0</v>
      </c>
      <c r="Y242" s="65"/>
      <c r="Z242" s="169" t="n">
        <v>0</v>
      </c>
      <c r="AA242" s="169" t="n">
        <v>0</v>
      </c>
      <c r="AB242" s="169" t="n">
        <v>0</v>
      </c>
      <c r="AC242" s="65"/>
      <c r="AD242" s="169" t="n">
        <v>0</v>
      </c>
      <c r="AE242" s="169" t="n">
        <v>0</v>
      </c>
      <c r="AF242" s="169" t="n">
        <v>0</v>
      </c>
      <c r="AG242" s="65"/>
      <c r="AH242" s="169" t="n">
        <v>0</v>
      </c>
      <c r="AI242" s="169" t="n">
        <v>0</v>
      </c>
      <c r="AJ242" s="169" t="n">
        <v>0</v>
      </c>
      <c r="AK242" s="65"/>
      <c r="AL242" s="169" t="n">
        <v>0</v>
      </c>
      <c r="AM242" s="169" t="n">
        <v>0</v>
      </c>
      <c r="AN242" s="169" t="n">
        <v>0</v>
      </c>
      <c r="AO242" s="65"/>
      <c r="AP242" s="134" t="n">
        <v>0</v>
      </c>
      <c r="AQ242" s="170" t="n">
        <v>0</v>
      </c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135" t="n">
        <v>43556</v>
      </c>
      <c r="BI242" s="172" t="n">
        <v>0</v>
      </c>
      <c r="BJ242" s="65"/>
      <c r="BK242" s="65"/>
      <c r="BL242" s="65"/>
      <c r="BM242" s="65"/>
      <c r="BN242" s="65"/>
      <c r="BO242" s="65"/>
      <c r="BP242" s="65"/>
      <c r="BQ242" s="65"/>
      <c r="BR242" s="65"/>
      <c r="BS242" s="65"/>
      <c r="BT242" s="65"/>
      <c r="BU242" s="65"/>
      <c r="BV242" s="65"/>
      <c r="BW242" s="65"/>
      <c r="BX242" s="65"/>
      <c r="BY242" s="65"/>
      <c r="BZ242" s="65"/>
      <c r="CA242" s="65"/>
      <c r="CB242" s="65"/>
      <c r="CC242" s="65"/>
      <c r="CD242" s="65"/>
      <c r="CE242" s="65"/>
      <c r="CF242" s="65"/>
      <c r="CG242" s="65"/>
      <c r="CH242" s="0"/>
      <c r="CP242" s="0"/>
      <c r="CQ242" s="0"/>
      <c r="CR242" s="0"/>
      <c r="CS242" s="0"/>
      <c r="CT242" s="0"/>
      <c r="CY242" s="174" t="n">
        <f aca="false">M242</f>
        <v>43556</v>
      </c>
      <c r="CZ242" s="175" t="n">
        <f aca="false">AI242+AH242</f>
        <v>0</v>
      </c>
      <c r="DA242" s="175" t="n">
        <f aca="false">AI242</f>
        <v>0</v>
      </c>
      <c r="DB242" s="175" t="n">
        <f aca="false">AI242+AJ242</f>
        <v>0</v>
      </c>
      <c r="DD242" s="175" t="n">
        <f aca="false">Z242</f>
        <v>0</v>
      </c>
      <c r="DE242" s="175" t="n">
        <f aca="false">AA242</f>
        <v>0</v>
      </c>
      <c r="DF242" s="175" t="n">
        <f aca="false">AB242</f>
        <v>0</v>
      </c>
      <c r="DH242" s="174" t="n">
        <f aca="false">BH242</f>
        <v>43556</v>
      </c>
      <c r="DI242" s="128" t="n">
        <f aca="false">BI242</f>
        <v>0</v>
      </c>
    </row>
    <row r="243" customFormat="false" ht="12.75" hidden="false" customHeight="false" outlineLevel="0" collapsed="false">
      <c r="A243" s="138" t="n">
        <f aca="false">EOMONTH(A242,0)+1</f>
        <v>52932</v>
      </c>
      <c r="B243" s="128" t="n">
        <f aca="false">'Gas Curves'!C247</f>
        <v>0.06305197619964</v>
      </c>
      <c r="C243" s="128"/>
      <c r="D243" s="167" t="n">
        <v>42705</v>
      </c>
      <c r="E243" s="168" t="n">
        <v>40.37</v>
      </c>
      <c r="F243" s="168" t="n">
        <v>43</v>
      </c>
      <c r="G243" s="168" t="n">
        <v>45.45</v>
      </c>
      <c r="H243" s="152"/>
      <c r="I243" s="168" t="n">
        <v>27.7349992370605</v>
      </c>
      <c r="J243" s="168" t="n">
        <v>29.0499992370605</v>
      </c>
      <c r="K243" s="168" t="n">
        <v>30.0549992370605</v>
      </c>
      <c r="L243" s="134"/>
      <c r="M243" s="13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135"/>
      <c r="BI243" s="65"/>
      <c r="BJ243" s="65"/>
      <c r="BK243" s="65"/>
      <c r="BL243" s="65"/>
      <c r="BM243" s="65"/>
      <c r="BN243" s="65"/>
      <c r="BO243" s="65"/>
      <c r="BP243" s="65"/>
      <c r="BQ243" s="65"/>
      <c r="BR243" s="65"/>
      <c r="BS243" s="65"/>
      <c r="BT243" s="65"/>
      <c r="BU243" s="65"/>
      <c r="BV243" s="65"/>
      <c r="BW243" s="65"/>
      <c r="BX243" s="65"/>
      <c r="BY243" s="65"/>
      <c r="BZ243" s="65"/>
      <c r="CA243" s="65"/>
      <c r="CB243" s="65"/>
      <c r="CC243" s="65"/>
      <c r="CD243" s="65"/>
      <c r="CE243" s="65"/>
      <c r="CF243" s="65"/>
      <c r="CG243" s="65"/>
      <c r="CH243" s="0"/>
      <c r="CP243" s="0"/>
      <c r="CQ243" s="0"/>
      <c r="CR243" s="0"/>
      <c r="CS243" s="0"/>
      <c r="CT243" s="0"/>
      <c r="CY243" s="174" t="n">
        <f aca="false">IF(M243=0,EOMONTH(CY242,0)+1,M243)</f>
        <v>43586</v>
      </c>
      <c r="CZ243" s="175" t="n">
        <f aca="false">IF(AI243=0,CZ231,AH243+AI243)</f>
        <v>1</v>
      </c>
      <c r="DA243" s="175" t="n">
        <f aca="false">IF(AI243=0,DA231,AI243)</f>
        <v>1.25</v>
      </c>
      <c r="DB243" s="175" t="n">
        <f aca="false">IF(AI243=0,DB231,AI243+AJ243)</f>
        <v>1.55</v>
      </c>
      <c r="DD243" s="154" t="n">
        <f aca="false">IF(Z243=0,DD231,Z243)</f>
        <v>0.079836777060087</v>
      </c>
      <c r="DE243" s="154" t="n">
        <f aca="false">IF(AA243=0,DE231,AA243)</f>
        <v>0.159673554120174</v>
      </c>
      <c r="DF243" s="154" t="n">
        <f aca="false">IF(AB243=0,DF231,AB243)</f>
        <v>0.239510331180261</v>
      </c>
      <c r="DH243" s="174" t="n">
        <f aca="false">IF(BH243=0,EOMONTH(DH242,0)+1,BH243)</f>
        <v>43586</v>
      </c>
      <c r="DI243" s="207" t="n">
        <f aca="false">IF(BI243=0,DI231,BI243)</f>
        <v>0.9</v>
      </c>
    </row>
    <row r="244" customFormat="false" ht="12.75" hidden="false" customHeight="false" outlineLevel="0" collapsed="false">
      <c r="A244" s="138" t="n">
        <f aca="false">EOMONTH(A243,0)+1</f>
        <v>52963</v>
      </c>
      <c r="B244" s="128" t="n">
        <f aca="false">'Gas Curves'!C248</f>
        <v>0.063075691293941</v>
      </c>
      <c r="C244" s="128"/>
      <c r="D244" s="167" t="n">
        <v>42736</v>
      </c>
      <c r="E244" s="168" t="n">
        <v>56.67</v>
      </c>
      <c r="F244" s="168" t="n">
        <v>59.3</v>
      </c>
      <c r="G244" s="168" t="n">
        <v>61.34</v>
      </c>
      <c r="H244" s="152"/>
      <c r="I244" s="168" t="n">
        <v>28.7350003814697</v>
      </c>
      <c r="J244" s="168" t="n">
        <v>30.0500003814697</v>
      </c>
      <c r="K244" s="168" t="n">
        <v>30.8900003814697</v>
      </c>
      <c r="L244" s="134"/>
      <c r="M244" s="13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135"/>
      <c r="BI244" s="65"/>
      <c r="BJ244" s="65"/>
      <c r="BK244" s="65"/>
      <c r="BL244" s="65"/>
      <c r="BM244" s="65"/>
      <c r="BN244" s="65"/>
      <c r="BO244" s="65"/>
      <c r="BP244" s="65"/>
      <c r="BQ244" s="65"/>
      <c r="BR244" s="65"/>
      <c r="BS244" s="65"/>
      <c r="BT244" s="65"/>
      <c r="BU244" s="65"/>
      <c r="BV244" s="65"/>
      <c r="BW244" s="65"/>
      <c r="BX244" s="65"/>
      <c r="BY244" s="65"/>
      <c r="BZ244" s="65"/>
      <c r="CA244" s="65"/>
      <c r="CB244" s="65"/>
      <c r="CC244" s="65"/>
      <c r="CD244" s="65"/>
      <c r="CE244" s="65"/>
      <c r="CF244" s="65"/>
      <c r="CG244" s="65"/>
      <c r="CH244" s="0"/>
      <c r="CP244" s="0"/>
      <c r="CQ244" s="0"/>
      <c r="CR244" s="0"/>
      <c r="CS244" s="0"/>
      <c r="CT244" s="0"/>
      <c r="CY244" s="174" t="n">
        <f aca="false">EOMONTH(CY243,0)+1</f>
        <v>43617</v>
      </c>
      <c r="CZ244" s="175" t="n">
        <f aca="false">IF(AI244=0,CZ232,AH244+AI244)</f>
        <v>1</v>
      </c>
      <c r="DA244" s="175" t="n">
        <f aca="false">IF(AI244=0,DA232,AI244)</f>
        <v>1.25</v>
      </c>
      <c r="DB244" s="175" t="n">
        <f aca="false">IF(AI244=0,DB232,AI244+AJ244)</f>
        <v>1.55</v>
      </c>
      <c r="DD244" s="154" t="n">
        <f aca="false">IF(Z244=0,DD232,Z244)</f>
        <v>0.085380172451756</v>
      </c>
      <c r="DE244" s="154" t="n">
        <f aca="false">IF(AA244=0,DE232,AA244)</f>
        <v>0.170760344903512</v>
      </c>
      <c r="DF244" s="154" t="n">
        <f aca="false">IF(AB244=0,DF232,AB244)</f>
        <v>0.256140517355268</v>
      </c>
      <c r="DH244" s="174" t="n">
        <f aca="false">IF(BH244=0,EOMONTH(DH243,0)+1,BH244)</f>
        <v>43617</v>
      </c>
      <c r="DI244" s="207" t="n">
        <f aca="false">IF(BI244=0,DI232,BI244)</f>
        <v>0.9</v>
      </c>
    </row>
    <row r="245" customFormat="false" ht="12.75" hidden="false" customHeight="false" outlineLevel="0" collapsed="false">
      <c r="A245" s="138" t="n">
        <f aca="false">EOMONTH(A244,0)+1</f>
        <v>52994</v>
      </c>
      <c r="B245" s="128" t="n">
        <f aca="false">'Gas Curves'!C249</f>
        <v>0.063100196891582</v>
      </c>
      <c r="C245" s="128"/>
      <c r="D245" s="167" t="n">
        <v>42767</v>
      </c>
      <c r="E245" s="168" t="n">
        <v>57.23</v>
      </c>
      <c r="F245" s="168" t="n">
        <v>59.3</v>
      </c>
      <c r="G245" s="168" t="n">
        <v>61.34</v>
      </c>
      <c r="H245" s="152"/>
      <c r="I245" s="168" t="n">
        <v>25.665</v>
      </c>
      <c r="J245" s="168" t="n">
        <v>26.7</v>
      </c>
      <c r="K245" s="168" t="n">
        <v>27.54</v>
      </c>
      <c r="L245" s="134"/>
      <c r="M245" s="13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135"/>
      <c r="BI245" s="65"/>
      <c r="BJ245" s="65"/>
      <c r="BK245" s="65"/>
      <c r="BL245" s="65"/>
      <c r="BM245" s="65"/>
      <c r="BN245" s="65"/>
      <c r="BO245" s="65"/>
      <c r="BP245" s="65"/>
      <c r="BQ245" s="65"/>
      <c r="BR245" s="65"/>
      <c r="BS245" s="65"/>
      <c r="BT245" s="65"/>
      <c r="BU245" s="65"/>
      <c r="BV245" s="65"/>
      <c r="BW245" s="65"/>
      <c r="BX245" s="65"/>
      <c r="BY245" s="65"/>
      <c r="BZ245" s="65"/>
      <c r="CA245" s="65"/>
      <c r="CB245" s="65"/>
      <c r="CC245" s="65"/>
      <c r="CD245" s="65"/>
      <c r="CE245" s="65"/>
      <c r="CF245" s="65"/>
      <c r="CG245" s="65"/>
      <c r="CH245" s="0"/>
      <c r="CP245" s="0"/>
      <c r="CQ245" s="0"/>
      <c r="CR245" s="0"/>
      <c r="CS245" s="0"/>
      <c r="CT245" s="0"/>
      <c r="CY245" s="174" t="n">
        <f aca="false">EOMONTH(CY244,0)+1</f>
        <v>43647</v>
      </c>
      <c r="CZ245" s="175" t="n">
        <f aca="false">IF(AI245=0,CZ233,AH245+AI245)</f>
        <v>1</v>
      </c>
      <c r="DA245" s="175" t="n">
        <f aca="false">IF(AI245=0,DA233,AI245)</f>
        <v>1.25</v>
      </c>
      <c r="DB245" s="175" t="n">
        <f aca="false">IF(AI245=0,DB233,AI245+AJ245)</f>
        <v>1.55</v>
      </c>
      <c r="DD245" s="154" t="n">
        <f aca="false">IF(Z245=0,DD233,Z245)</f>
        <v>0.101692367108662</v>
      </c>
      <c r="DE245" s="154" t="n">
        <f aca="false">IF(AA245=0,DE233,AA245)</f>
        <v>0.203384734217324</v>
      </c>
      <c r="DF245" s="154" t="n">
        <f aca="false">IF(AB245=0,DF233,AB245)</f>
        <v>0.305077101325986</v>
      </c>
      <c r="DH245" s="174" t="n">
        <f aca="false">IF(BH245=0,EOMONTH(DH244,0)+1,BH245)</f>
        <v>43647</v>
      </c>
      <c r="DI245" s="207" t="n">
        <f aca="false">IF(BI245=0,DI233,BI245)</f>
        <v>0.9</v>
      </c>
    </row>
    <row r="246" customFormat="false" ht="12.75" hidden="false" customHeight="false" outlineLevel="0" collapsed="false">
      <c r="A246" s="138" t="n">
        <f aca="false">EOMONTH(A245,0)+1</f>
        <v>53022</v>
      </c>
      <c r="B246" s="128" t="n">
        <f aca="false">'Gas Curves'!C250</f>
        <v>0.063123911986263</v>
      </c>
      <c r="C246" s="128"/>
      <c r="D246" s="167" t="n">
        <v>42795</v>
      </c>
      <c r="E246" s="168" t="n">
        <v>40.23</v>
      </c>
      <c r="F246" s="168" t="n">
        <v>42.3</v>
      </c>
      <c r="G246" s="168" t="n">
        <v>44.34</v>
      </c>
      <c r="H246" s="152"/>
      <c r="I246" s="168" t="n">
        <v>26.0649996185303</v>
      </c>
      <c r="J246" s="168" t="n">
        <v>27.0999996185303</v>
      </c>
      <c r="K246" s="168" t="n">
        <v>27.9399996185303</v>
      </c>
      <c r="L246" s="134"/>
      <c r="M246" s="13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135"/>
      <c r="BI246" s="65"/>
      <c r="BJ246" s="65"/>
      <c r="BK246" s="65"/>
      <c r="BL246" s="65"/>
      <c r="BM246" s="65"/>
      <c r="BN246" s="65"/>
      <c r="BO246" s="65"/>
      <c r="BP246" s="65"/>
      <c r="BQ246" s="65"/>
      <c r="BR246" s="65"/>
      <c r="BS246" s="65"/>
      <c r="BT246" s="65"/>
      <c r="BU246" s="65"/>
      <c r="BV246" s="65"/>
      <c r="BW246" s="65"/>
      <c r="BX246" s="65"/>
      <c r="BY246" s="65"/>
      <c r="BZ246" s="65"/>
      <c r="CA246" s="65"/>
      <c r="CB246" s="65"/>
      <c r="CC246" s="65"/>
      <c r="CD246" s="65"/>
      <c r="CE246" s="65"/>
      <c r="CF246" s="65"/>
      <c r="CG246" s="65"/>
      <c r="CH246" s="0"/>
      <c r="CP246" s="0"/>
      <c r="CQ246" s="0"/>
      <c r="CR246" s="0"/>
      <c r="CS246" s="0"/>
      <c r="CT246" s="0"/>
      <c r="CY246" s="174" t="n">
        <f aca="false">EOMONTH(CY245,0)+1</f>
        <v>43678</v>
      </c>
      <c r="CZ246" s="175" t="n">
        <f aca="false">IF(AI246=0,CZ234,AH246+AI246)</f>
        <v>1</v>
      </c>
      <c r="DA246" s="175" t="n">
        <f aca="false">IF(AI246=0,DA234,AI246)</f>
        <v>1.25</v>
      </c>
      <c r="DB246" s="175" t="n">
        <f aca="false">IF(AI246=0,DB234,AI246+AJ246)</f>
        <v>1.55</v>
      </c>
      <c r="DD246" s="154" t="n">
        <f aca="false">IF(Z246=0,DD234,Z246)</f>
        <v>0.0994642258486125</v>
      </c>
      <c r="DE246" s="154" t="n">
        <f aca="false">IF(AA246=0,DE234,AA246)</f>
        <v>0.198928451697225</v>
      </c>
      <c r="DF246" s="154" t="n">
        <f aca="false">IF(AB246=0,DF234,AB246)</f>
        <v>0.298392677545837</v>
      </c>
      <c r="DH246" s="174" t="n">
        <f aca="false">IF(BH246=0,EOMONTH(DH245,0)+1,BH246)</f>
        <v>43678</v>
      </c>
      <c r="DI246" s="207" t="n">
        <f aca="false">IF(BI246=0,DI234,BI246)</f>
        <v>0.9</v>
      </c>
    </row>
    <row r="247" customFormat="false" ht="12.75" hidden="false" customHeight="false" outlineLevel="0" collapsed="false">
      <c r="A247" s="138" t="n">
        <f aca="false">EOMONTH(A246,0)+1</f>
        <v>53053</v>
      </c>
      <c r="B247" s="128" t="n">
        <f aca="false">'Gas Curves'!C251</f>
        <v>0.063148417584296</v>
      </c>
      <c r="C247" s="128"/>
      <c r="D247" s="167" t="n">
        <v>42826</v>
      </c>
      <c r="E247" s="168" t="n">
        <v>36.17</v>
      </c>
      <c r="F247" s="168" t="n">
        <v>38.8</v>
      </c>
      <c r="G247" s="168" t="n">
        <v>40.84</v>
      </c>
      <c r="H247" s="152"/>
      <c r="I247" s="168" t="n">
        <v>23.5349996185303</v>
      </c>
      <c r="J247" s="168" t="n">
        <v>24.8499996185303</v>
      </c>
      <c r="K247" s="168" t="n">
        <v>25.6899996185303</v>
      </c>
      <c r="L247" s="134"/>
      <c r="M247" s="13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135"/>
      <c r="BI247" s="65"/>
      <c r="BJ247" s="65"/>
      <c r="BK247" s="65"/>
      <c r="BL247" s="65"/>
      <c r="BM247" s="65"/>
      <c r="BN247" s="65"/>
      <c r="BO247" s="65"/>
      <c r="BP247" s="65"/>
      <c r="BQ247" s="65"/>
      <c r="BR247" s="65"/>
      <c r="BS247" s="65"/>
      <c r="BT247" s="65"/>
      <c r="BU247" s="65"/>
      <c r="BV247" s="65"/>
      <c r="BW247" s="65"/>
      <c r="BX247" s="65"/>
      <c r="BY247" s="65"/>
      <c r="BZ247" s="65"/>
      <c r="CA247" s="65"/>
      <c r="CB247" s="65"/>
      <c r="CC247" s="65"/>
      <c r="CD247" s="65"/>
      <c r="CE247" s="65"/>
      <c r="CF247" s="65"/>
      <c r="CG247" s="65"/>
      <c r="CH247" s="0"/>
      <c r="CP247" s="0"/>
      <c r="CQ247" s="0"/>
      <c r="CR247" s="0"/>
      <c r="CS247" s="0"/>
      <c r="CT247" s="0"/>
      <c r="CY247" s="174" t="n">
        <f aca="false">EOMONTH(CY246,0)+1</f>
        <v>43709</v>
      </c>
      <c r="CZ247" s="175" t="n">
        <f aca="false">IF(AI247=0,CZ235,AH247+AI247)</f>
        <v>1</v>
      </c>
      <c r="DA247" s="175" t="n">
        <f aca="false">IF(AI247=0,DA235,AI247)</f>
        <v>1.25</v>
      </c>
      <c r="DB247" s="175" t="n">
        <f aca="false">IF(AI247=0,DB235,AI247+AJ247)</f>
        <v>1.55</v>
      </c>
      <c r="DD247" s="154" t="n">
        <f aca="false">IF(Z247=0,DD235,Z247)</f>
        <v>0.0753606888398985</v>
      </c>
      <c r="DE247" s="154" t="n">
        <f aca="false">IF(AA247=0,DE235,AA247)</f>
        <v>0.150721377679797</v>
      </c>
      <c r="DF247" s="154" t="n">
        <f aca="false">IF(AB247=0,DF235,AB247)</f>
        <v>0.226082066519696</v>
      </c>
      <c r="DH247" s="174" t="n">
        <f aca="false">IF(BH247=0,EOMONTH(DH246,0)+1,BH247)</f>
        <v>43709</v>
      </c>
      <c r="DI247" s="207" t="n">
        <f aca="false">IF(BI247=0,DI235,BI247)</f>
        <v>0.9</v>
      </c>
    </row>
    <row r="248" customFormat="false" ht="12.75" hidden="false" customHeight="false" outlineLevel="0" collapsed="false">
      <c r="A248" s="138" t="n">
        <f aca="false">EOMONTH(A247,0)+1</f>
        <v>53083</v>
      </c>
      <c r="B248" s="128" t="n">
        <f aca="false">'Gas Curves'!C252</f>
        <v>0.063172923182529</v>
      </c>
      <c r="C248" s="128"/>
      <c r="D248" s="167" t="n">
        <v>42856</v>
      </c>
      <c r="E248" s="168" t="n">
        <v>40.67</v>
      </c>
      <c r="F248" s="168" t="n">
        <v>43.3</v>
      </c>
      <c r="G248" s="168" t="n">
        <v>47.15</v>
      </c>
      <c r="H248" s="152"/>
      <c r="I248" s="168" t="n">
        <v>24.5349996185303</v>
      </c>
      <c r="J248" s="168" t="n">
        <v>25.8499996185303</v>
      </c>
      <c r="K248" s="168" t="n">
        <v>27.4399996185303</v>
      </c>
      <c r="L248" s="134"/>
      <c r="M248" s="13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  <c r="BG248" s="65"/>
      <c r="BH248" s="135"/>
      <c r="BI248" s="65"/>
      <c r="BJ248" s="65"/>
      <c r="BK248" s="65"/>
      <c r="BL248" s="65"/>
      <c r="BM248" s="65"/>
      <c r="BN248" s="65"/>
      <c r="BO248" s="65"/>
      <c r="BP248" s="65"/>
      <c r="BQ248" s="65"/>
      <c r="BR248" s="65"/>
      <c r="BS248" s="65"/>
      <c r="BT248" s="65"/>
      <c r="BU248" s="65"/>
      <c r="BV248" s="65"/>
      <c r="BW248" s="65"/>
      <c r="BX248" s="65"/>
      <c r="BY248" s="65"/>
      <c r="BZ248" s="65"/>
      <c r="CA248" s="65"/>
      <c r="CB248" s="65"/>
      <c r="CC248" s="65"/>
      <c r="CD248" s="65"/>
      <c r="CE248" s="65"/>
      <c r="CF248" s="65"/>
      <c r="CG248" s="65"/>
      <c r="CH248" s="0"/>
      <c r="CP248" s="0"/>
      <c r="CQ248" s="0"/>
      <c r="CR248" s="0"/>
      <c r="CS248" s="0"/>
      <c r="CT248" s="0"/>
      <c r="CY248" s="174" t="n">
        <f aca="false">EOMONTH(CY247,0)+1</f>
        <v>43739</v>
      </c>
      <c r="CZ248" s="175" t="n">
        <f aca="false">IF(AI248=0,CZ236,AH248+AI248)</f>
        <v>1</v>
      </c>
      <c r="DA248" s="175" t="n">
        <f aca="false">IF(AI248=0,DA236,AI248)</f>
        <v>1.25</v>
      </c>
      <c r="DB248" s="175" t="n">
        <f aca="false">IF(AI248=0,DB236,AI248+AJ248)</f>
        <v>1.55</v>
      </c>
      <c r="DD248" s="154" t="n">
        <f aca="false">IF(Z248=0,DD236,Z248)</f>
        <v>0.0651800088356474</v>
      </c>
      <c r="DE248" s="154" t="n">
        <f aca="false">IF(AA248=0,DE236,AA248)</f>
        <v>0.130360017671295</v>
      </c>
      <c r="DF248" s="154" t="n">
        <f aca="false">IF(AB248=0,DF236,AB248)</f>
        <v>0.195540026506942</v>
      </c>
      <c r="DH248" s="174" t="n">
        <f aca="false">IF(BH248=0,EOMONTH(DH247,0)+1,BH248)</f>
        <v>43739</v>
      </c>
      <c r="DI248" s="207" t="n">
        <f aca="false">IF(BI248=0,DI236,BI248)</f>
        <v>0.9</v>
      </c>
    </row>
    <row r="249" customFormat="false" ht="12.75" hidden="false" customHeight="false" outlineLevel="0" collapsed="false">
      <c r="A249" s="138" t="n">
        <f aca="false">EOMONTH(A248,0)+1</f>
        <v>53114</v>
      </c>
      <c r="B249" s="128" t="n">
        <f aca="false">'Gas Curves'!C253</f>
        <v>0.063196638277782</v>
      </c>
      <c r="C249" s="128"/>
      <c r="D249" s="167" t="n">
        <v>42887</v>
      </c>
      <c r="E249" s="168" t="n">
        <v>52.68</v>
      </c>
      <c r="F249" s="168" t="n">
        <v>57.75</v>
      </c>
      <c r="G249" s="168" t="n">
        <v>63.62</v>
      </c>
      <c r="H249" s="152"/>
      <c r="I249" s="168" t="n">
        <v>23.6899996185303</v>
      </c>
      <c r="J249" s="168" t="n">
        <v>26.2249996185303</v>
      </c>
      <c r="K249" s="168" t="n">
        <v>28.6449996185303</v>
      </c>
      <c r="L249" s="134"/>
      <c r="M249" s="13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135"/>
      <c r="BI249" s="65"/>
      <c r="BJ249" s="65"/>
      <c r="BK249" s="65"/>
      <c r="BL249" s="65"/>
      <c r="BM249" s="65"/>
      <c r="BN249" s="65"/>
      <c r="BO249" s="65"/>
      <c r="BP249" s="65"/>
      <c r="BQ249" s="65"/>
      <c r="BR249" s="65"/>
      <c r="BS249" s="65"/>
      <c r="BT249" s="65"/>
      <c r="BU249" s="65"/>
      <c r="BV249" s="65"/>
      <c r="BW249" s="65"/>
      <c r="BX249" s="65"/>
      <c r="BY249" s="65"/>
      <c r="BZ249" s="65"/>
      <c r="CA249" s="65"/>
      <c r="CB249" s="65"/>
      <c r="CC249" s="65"/>
      <c r="CD249" s="65"/>
      <c r="CE249" s="65"/>
      <c r="CF249" s="65"/>
      <c r="CG249" s="65"/>
      <c r="CH249" s="0"/>
      <c r="CP249" s="0"/>
      <c r="CQ249" s="0"/>
      <c r="CR249" s="0"/>
      <c r="CS249" s="0"/>
      <c r="CT249" s="0"/>
      <c r="CY249" s="174" t="n">
        <f aca="false">EOMONTH(CY248,0)+1</f>
        <v>43770</v>
      </c>
      <c r="CZ249" s="175" t="n">
        <f aca="false">IF(AI249=0,CZ237,AH249+AI249)</f>
        <v>1</v>
      </c>
      <c r="DA249" s="175" t="n">
        <f aca="false">IF(AI249=0,DA237,AI249)</f>
        <v>1.25</v>
      </c>
      <c r="DB249" s="175" t="n">
        <f aca="false">IF(AI249=0,DB237,AI249+AJ249)</f>
        <v>1.55</v>
      </c>
      <c r="DD249" s="154" t="n">
        <f aca="false">IF(Z249=0,DD237,Z249)</f>
        <v>0.0651800088356474</v>
      </c>
      <c r="DE249" s="154" t="n">
        <f aca="false">IF(AA249=0,DE237,AA249)</f>
        <v>0.130360017671295</v>
      </c>
      <c r="DF249" s="154" t="n">
        <f aca="false">IF(AB249=0,DF237,AB249)</f>
        <v>0.195540026506942</v>
      </c>
      <c r="DH249" s="174" t="n">
        <f aca="false">IF(BH249=0,EOMONTH(DH248,0)+1,BH249)</f>
        <v>43770</v>
      </c>
      <c r="DI249" s="207" t="n">
        <f aca="false">IF(BI249=0,DI237,BI249)</f>
        <v>0.9</v>
      </c>
    </row>
    <row r="250" customFormat="false" ht="12.75" hidden="false" customHeight="false" outlineLevel="0" collapsed="false">
      <c r="A250" s="138" t="n">
        <f aca="false">EOMONTH(A249,0)+1</f>
        <v>53144</v>
      </c>
      <c r="B250" s="128" t="n">
        <f aca="false">'Gas Curves'!C254</f>
        <v>0.063221143876406</v>
      </c>
      <c r="C250" s="128"/>
      <c r="D250" s="167" t="n">
        <v>42917</v>
      </c>
      <c r="E250" s="168" t="n">
        <v>74.35</v>
      </c>
      <c r="F250" s="168" t="n">
        <v>84.25</v>
      </c>
      <c r="G250" s="168" t="n">
        <v>96.76</v>
      </c>
      <c r="H250" s="152"/>
      <c r="I250" s="168" t="n">
        <v>25</v>
      </c>
      <c r="J250" s="168" t="n">
        <v>29.95</v>
      </c>
      <c r="K250" s="168" t="n">
        <v>35.115</v>
      </c>
      <c r="L250" s="134"/>
      <c r="M250" s="13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135"/>
      <c r="BI250" s="65"/>
      <c r="BJ250" s="65"/>
      <c r="BK250" s="65"/>
      <c r="BL250" s="65"/>
      <c r="BM250" s="65"/>
      <c r="BN250" s="65"/>
      <c r="BO250" s="65"/>
      <c r="BP250" s="65"/>
      <c r="BQ250" s="65"/>
      <c r="BR250" s="65"/>
      <c r="BS250" s="65"/>
      <c r="BT250" s="65"/>
      <c r="BU250" s="65"/>
      <c r="BV250" s="65"/>
      <c r="BW250" s="65"/>
      <c r="BX250" s="65"/>
      <c r="BY250" s="65"/>
      <c r="BZ250" s="65"/>
      <c r="CA250" s="65"/>
      <c r="CB250" s="65"/>
      <c r="CC250" s="65"/>
      <c r="CD250" s="65"/>
      <c r="CE250" s="65"/>
      <c r="CF250" s="65"/>
      <c r="CG250" s="65"/>
      <c r="CH250" s="0"/>
      <c r="CP250" s="0"/>
      <c r="CQ250" s="0"/>
      <c r="CR250" s="0"/>
      <c r="CS250" s="0"/>
      <c r="CT250" s="0"/>
      <c r="CY250" s="174" t="n">
        <f aca="false">EOMONTH(CY249,0)+1</f>
        <v>43800</v>
      </c>
      <c r="CZ250" s="175" t="n">
        <f aca="false">IF(AI250=0,CZ238,AH250+AI250)</f>
        <v>1</v>
      </c>
      <c r="DA250" s="175" t="n">
        <f aca="false">IF(AI250=0,DA238,AI250)</f>
        <v>1.25</v>
      </c>
      <c r="DB250" s="175" t="n">
        <f aca="false">IF(AI250=0,DB238,AI250+AJ250)</f>
        <v>1.55</v>
      </c>
      <c r="DD250" s="154" t="n">
        <f aca="false">IF(Z250=0,DD238,Z250)</f>
        <v>0.0638788843714456</v>
      </c>
      <c r="DE250" s="154" t="n">
        <f aca="false">IF(AA250=0,DE238,AA250)</f>
        <v>0.127757768742891</v>
      </c>
      <c r="DF250" s="154" t="n">
        <f aca="false">IF(AB250=0,DF238,AB250)</f>
        <v>0.191636653114337</v>
      </c>
      <c r="DH250" s="174" t="n">
        <f aca="false">IF(BH250=0,EOMONTH(DH249,0)+1,BH250)</f>
        <v>43800</v>
      </c>
      <c r="DI250" s="207" t="n">
        <f aca="false">IF(BI250=0,DI238,BI250)</f>
        <v>0.9</v>
      </c>
    </row>
    <row r="251" customFormat="false" ht="12.75" hidden="false" customHeight="false" outlineLevel="0" collapsed="false">
      <c r="A251" s="138" t="n">
        <f aca="false">EOMONTH(A250,0)+1</f>
        <v>53175</v>
      </c>
      <c r="B251" s="128" t="n">
        <f aca="false">'Gas Curves'!C255</f>
        <v>0.063244858972038</v>
      </c>
      <c r="C251" s="128"/>
      <c r="D251" s="167" t="n">
        <v>42948</v>
      </c>
      <c r="E251" s="168" t="n">
        <v>74.35</v>
      </c>
      <c r="F251" s="168" t="n">
        <v>84.25</v>
      </c>
      <c r="G251" s="168" t="n">
        <v>96.76</v>
      </c>
      <c r="H251" s="152"/>
      <c r="I251" s="168" t="n">
        <v>37.1500015258789</v>
      </c>
      <c r="J251" s="168" t="n">
        <v>42.1000015258789</v>
      </c>
      <c r="K251" s="168" t="n">
        <v>47.2650015258789</v>
      </c>
      <c r="L251" s="134"/>
      <c r="M251" s="13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135"/>
      <c r="BI251" s="65"/>
      <c r="BJ251" s="65"/>
      <c r="BK251" s="65"/>
      <c r="BL251" s="65"/>
      <c r="BM251" s="65"/>
      <c r="BN251" s="65"/>
      <c r="BO251" s="65"/>
      <c r="BP251" s="65"/>
      <c r="BQ251" s="65"/>
      <c r="BR251" s="65"/>
      <c r="BS251" s="65"/>
      <c r="BT251" s="65"/>
      <c r="BU251" s="65"/>
      <c r="BV251" s="65"/>
      <c r="BW251" s="65"/>
      <c r="BX251" s="65"/>
      <c r="BY251" s="65"/>
      <c r="BZ251" s="65"/>
      <c r="CA251" s="65"/>
      <c r="CB251" s="65"/>
      <c r="CC251" s="65"/>
      <c r="CD251" s="65"/>
      <c r="CE251" s="65"/>
      <c r="CF251" s="65"/>
      <c r="CG251" s="65"/>
      <c r="CH251" s="0"/>
      <c r="CP251" s="0"/>
      <c r="CQ251" s="0"/>
      <c r="CR251" s="0"/>
      <c r="CS251" s="0"/>
      <c r="CT251" s="0"/>
      <c r="CY251" s="174" t="n">
        <f aca="false">EOMONTH(CY250,0)+1</f>
        <v>43831</v>
      </c>
      <c r="CZ251" s="175" t="n">
        <f aca="false">IF(AI251=0,CZ239,AH251+AI251)</f>
        <v>1</v>
      </c>
      <c r="DA251" s="175" t="n">
        <f aca="false">IF(AI251=0,DA239,AI251)</f>
        <v>1.25</v>
      </c>
      <c r="DB251" s="175" t="n">
        <f aca="false">IF(AI251=0,DB239,AI251+AJ251)</f>
        <v>1.55</v>
      </c>
      <c r="DD251" s="154" t="n">
        <f aca="false">IF(Z251=0,DD239,Z251)</f>
        <v>0.0942652295751635</v>
      </c>
      <c r="DE251" s="154" t="n">
        <f aca="false">IF(AA251=0,DE239,AA251)</f>
        <v>0.188530459150327</v>
      </c>
      <c r="DF251" s="154" t="n">
        <f aca="false">IF(AB251=0,DF239,AB251)</f>
        <v>0.28279568872549</v>
      </c>
      <c r="DH251" s="174" t="n">
        <f aca="false">IF(BH251=0,EOMONTH(DH250,0)+1,BH251)</f>
        <v>43831</v>
      </c>
      <c r="DI251" s="207" t="n">
        <f aca="false">IF(BI251=0,DI239,BI251)</f>
        <v>0.9</v>
      </c>
    </row>
    <row r="252" customFormat="false" ht="12.75" hidden="false" customHeight="false" outlineLevel="0" collapsed="false">
      <c r="A252" s="138" t="n">
        <f aca="false">EOMONTH(A251,0)+1</f>
        <v>53206</v>
      </c>
      <c r="B252" s="128" t="n">
        <f aca="false">'Gas Curves'!C256</f>
        <v>0.063269364571055</v>
      </c>
      <c r="C252" s="128"/>
      <c r="D252" s="167" t="n">
        <v>42979</v>
      </c>
      <c r="E252" s="168" t="n">
        <v>35.73</v>
      </c>
      <c r="F252" s="168" t="n">
        <v>40.8</v>
      </c>
      <c r="G252" s="168" t="n">
        <v>44.65</v>
      </c>
      <c r="H252" s="152"/>
      <c r="I252" s="168" t="n">
        <v>28.0649996185303</v>
      </c>
      <c r="J252" s="168" t="n">
        <v>30.5999996185303</v>
      </c>
      <c r="K252" s="168" t="n">
        <v>32.1899996185303</v>
      </c>
      <c r="L252" s="134"/>
      <c r="M252" s="13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  <c r="BG252" s="65"/>
      <c r="BH252" s="135"/>
      <c r="BI252" s="65"/>
      <c r="BJ252" s="65"/>
      <c r="BK252" s="65"/>
      <c r="BL252" s="65"/>
      <c r="BM252" s="65"/>
      <c r="BN252" s="65"/>
      <c r="BO252" s="65"/>
      <c r="BP252" s="65"/>
      <c r="BQ252" s="65"/>
      <c r="BR252" s="65"/>
      <c r="BS252" s="65"/>
      <c r="BT252" s="65"/>
      <c r="BU252" s="65"/>
      <c r="BV252" s="65"/>
      <c r="BW252" s="65"/>
      <c r="BX252" s="65"/>
      <c r="BY252" s="65"/>
      <c r="BZ252" s="65"/>
      <c r="CA252" s="65"/>
      <c r="CB252" s="65"/>
      <c r="CC252" s="65"/>
      <c r="CD252" s="65"/>
      <c r="CE252" s="65"/>
      <c r="CF252" s="65"/>
      <c r="CG252" s="65"/>
      <c r="CH252" s="0"/>
      <c r="CP252" s="0"/>
      <c r="CQ252" s="0"/>
      <c r="CR252" s="0"/>
      <c r="CS252" s="0"/>
      <c r="CT252" s="0"/>
      <c r="CY252" s="174" t="n">
        <f aca="false">EOMONTH(CY251,0)+1</f>
        <v>43862</v>
      </c>
      <c r="CZ252" s="175" t="n">
        <f aca="false">IF(AI252=0,CZ240,AH252+AI252)</f>
        <v>1</v>
      </c>
      <c r="DA252" s="175" t="n">
        <f aca="false">IF(AI252=0,DA240,AI252)</f>
        <v>1.25</v>
      </c>
      <c r="DB252" s="175" t="n">
        <f aca="false">IF(AI252=0,DB240,AI252+AJ252)</f>
        <v>1.55</v>
      </c>
      <c r="DD252" s="154" t="n">
        <f aca="false">IF(Z252=0,DD240,Z252)</f>
        <v>0.0910666090107368</v>
      </c>
      <c r="DE252" s="154" t="n">
        <f aca="false">IF(AA252=0,DE240,AA252)</f>
        <v>0.182133218021474</v>
      </c>
      <c r="DF252" s="154" t="n">
        <f aca="false">IF(AB252=0,DF240,AB252)</f>
        <v>0.27319982703221</v>
      </c>
      <c r="DH252" s="174" t="n">
        <f aca="false">IF(BH252=0,EOMONTH(DH251,0)+1,BH252)</f>
        <v>43862</v>
      </c>
      <c r="DI252" s="207" t="n">
        <f aca="false">IF(BI252=0,DI240,BI252)</f>
        <v>0.9</v>
      </c>
    </row>
    <row r="253" customFormat="false" ht="12.75" hidden="false" customHeight="false" outlineLevel="0" collapsed="false">
      <c r="A253" s="138" t="n">
        <f aca="false">EOMONTH(A252,0)+1</f>
        <v>53236</v>
      </c>
      <c r="B253" s="128" t="n">
        <f aca="false">'Gas Curves'!C257</f>
        <v>0.063276697538158</v>
      </c>
      <c r="C253" s="128"/>
      <c r="D253" s="167" t="n">
        <v>43009</v>
      </c>
      <c r="E253" s="168" t="n">
        <v>38.17</v>
      </c>
      <c r="F253" s="168" t="n">
        <v>40.8</v>
      </c>
      <c r="G253" s="168" t="n">
        <v>43.25</v>
      </c>
      <c r="H253" s="152"/>
      <c r="I253" s="168" t="n">
        <v>27.2849996185303</v>
      </c>
      <c r="J253" s="168" t="n">
        <v>28.5999996185303</v>
      </c>
      <c r="K253" s="168" t="n">
        <v>29.6049996185303</v>
      </c>
      <c r="L253" s="134"/>
      <c r="M253" s="13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135"/>
      <c r="BI253" s="65"/>
      <c r="BJ253" s="65"/>
      <c r="BK253" s="65"/>
      <c r="BL253" s="65"/>
      <c r="BM253" s="65"/>
      <c r="BN253" s="65"/>
      <c r="BO253" s="65"/>
      <c r="BP253" s="65"/>
      <c r="BQ253" s="65"/>
      <c r="BR253" s="65"/>
      <c r="BS253" s="65"/>
      <c r="BT253" s="65"/>
      <c r="BU253" s="65"/>
      <c r="BV253" s="65"/>
      <c r="BW253" s="65"/>
      <c r="BX253" s="65"/>
      <c r="BY253" s="65"/>
      <c r="BZ253" s="65"/>
      <c r="CA253" s="65"/>
      <c r="CB253" s="65"/>
      <c r="CC253" s="65"/>
      <c r="CD253" s="65"/>
      <c r="CE253" s="65"/>
      <c r="CF253" s="65"/>
      <c r="CG253" s="65"/>
      <c r="CH253" s="0"/>
      <c r="CP253" s="0"/>
      <c r="CQ253" s="0"/>
      <c r="CR253" s="0"/>
      <c r="CS253" s="0"/>
      <c r="CT253" s="0"/>
      <c r="CY253" s="174" t="n">
        <f aca="false">EOMONTH(CY252,0)+1</f>
        <v>43891</v>
      </c>
      <c r="CZ253" s="175" t="n">
        <f aca="false">IF(AI253=0,CZ241,AH253+AI253)</f>
        <v>1</v>
      </c>
      <c r="DA253" s="175" t="n">
        <f aca="false">IF(AI253=0,DA241,AI253)</f>
        <v>1.25</v>
      </c>
      <c r="DB253" s="175" t="n">
        <f aca="false">IF(AI253=0,DB241,AI253+AJ253)</f>
        <v>1.55</v>
      </c>
      <c r="DD253" s="154" t="n">
        <f aca="false">IF(Z253=0,DD241,Z253)</f>
        <v>0.0721937023797812</v>
      </c>
      <c r="DE253" s="154" t="n">
        <f aca="false">IF(AA253=0,DE241,AA253)</f>
        <v>0.144387404759562</v>
      </c>
      <c r="DF253" s="154" t="n">
        <f aca="false">IF(AB253=0,DF241,AB253)</f>
        <v>0.216581107139343</v>
      </c>
      <c r="DH253" s="174" t="n">
        <f aca="false">IF(BH253=0,EOMONTH(DH252,0)+1,BH253)</f>
        <v>43891</v>
      </c>
      <c r="DI253" s="207" t="n">
        <f aca="false">IF(BI253=0,DI241,BI253)</f>
        <v>0.9</v>
      </c>
    </row>
    <row r="254" customFormat="false" ht="12.75" hidden="false" customHeight="false" outlineLevel="0" collapsed="false">
      <c r="A254" s="138" t="n">
        <f aca="false">EOMONTH(A253,0)+1</f>
        <v>53267</v>
      </c>
      <c r="B254" s="128" t="n">
        <f aca="false">'Gas Curves'!C258</f>
        <v>0.063274789942849</v>
      </c>
      <c r="C254" s="128"/>
      <c r="D254" s="167" t="n">
        <v>43040</v>
      </c>
      <c r="E254" s="168" t="n">
        <v>40.67</v>
      </c>
      <c r="F254" s="168" t="n">
        <v>43.3</v>
      </c>
      <c r="G254" s="168" t="n">
        <v>45.75</v>
      </c>
      <c r="H254" s="152"/>
      <c r="I254" s="168" t="n">
        <v>28.0349996185303</v>
      </c>
      <c r="J254" s="168" t="n">
        <v>29.3499996185303</v>
      </c>
      <c r="K254" s="168" t="n">
        <v>30.3549996185303</v>
      </c>
      <c r="L254" s="134"/>
      <c r="M254" s="13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65"/>
      <c r="BH254" s="135"/>
      <c r="BI254" s="65"/>
      <c r="BJ254" s="65"/>
      <c r="BK254" s="65"/>
      <c r="BL254" s="65"/>
      <c r="BM254" s="65"/>
      <c r="BN254" s="65"/>
      <c r="BO254" s="65"/>
      <c r="BP254" s="65"/>
      <c r="BQ254" s="65"/>
      <c r="BR254" s="65"/>
      <c r="BS254" s="65"/>
      <c r="BT254" s="65"/>
      <c r="BU254" s="65"/>
      <c r="BV254" s="65"/>
      <c r="BW254" s="65"/>
      <c r="BX254" s="65"/>
      <c r="BY254" s="65"/>
      <c r="BZ254" s="65"/>
      <c r="CA254" s="65"/>
      <c r="CB254" s="65"/>
      <c r="CC254" s="65"/>
      <c r="CD254" s="65"/>
      <c r="CE254" s="65"/>
      <c r="CF254" s="65"/>
      <c r="CG254" s="65"/>
      <c r="CH254" s="0"/>
      <c r="CP254" s="0"/>
      <c r="CQ254" s="0"/>
      <c r="CR254" s="0"/>
      <c r="CS254" s="0"/>
      <c r="CT254" s="0"/>
      <c r="CY254" s="174" t="n">
        <f aca="false">EOMONTH(CY253,0)+1</f>
        <v>43922</v>
      </c>
      <c r="CZ254" s="175" t="n">
        <f aca="false">IF(AI254=0,CZ242,AH254+AI254)</f>
        <v>0</v>
      </c>
      <c r="DA254" s="175" t="n">
        <f aca="false">IF(AI254=0,DA242,AI254)</f>
        <v>0</v>
      </c>
      <c r="DB254" s="175" t="n">
        <f aca="false">IF(AI254=0,DB242,AI254+AJ254)</f>
        <v>0</v>
      </c>
      <c r="DD254" s="154" t="n">
        <f aca="false">IF(Z254=0,DD242,Z254)</f>
        <v>0</v>
      </c>
      <c r="DE254" s="154" t="n">
        <f aca="false">IF(AA254=0,DE242,AA254)</f>
        <v>0</v>
      </c>
      <c r="DF254" s="154" t="n">
        <f aca="false">IF(AB254=0,DF242,AB254)</f>
        <v>0</v>
      </c>
      <c r="DH254" s="174" t="n">
        <f aca="false">IF(BH254=0,EOMONTH(DH253,0)+1,BH254)</f>
        <v>43922</v>
      </c>
      <c r="DI254" s="207" t="n">
        <f aca="false">IF(BI254=0,DI242,BI254)</f>
        <v>0</v>
      </c>
    </row>
    <row r="255" customFormat="false" ht="12.75" hidden="false" customHeight="false" outlineLevel="0" collapsed="false">
      <c r="A255" s="138" t="n">
        <f aca="false">EOMONTH(A254,0)+1</f>
        <v>53297</v>
      </c>
      <c r="B255" s="128" t="n">
        <f aca="false">'Gas Curves'!C259</f>
        <v>0.063272677962329</v>
      </c>
      <c r="C255" s="128"/>
      <c r="D255" s="167" t="n">
        <v>43070</v>
      </c>
      <c r="E255" s="168" t="n">
        <v>40.67</v>
      </c>
      <c r="F255" s="168" t="n">
        <v>43.3</v>
      </c>
      <c r="G255" s="168" t="n">
        <v>45.75</v>
      </c>
      <c r="H255" s="152"/>
      <c r="I255" s="168" t="n">
        <v>27.9349992370605</v>
      </c>
      <c r="J255" s="168" t="n">
        <v>29.2499992370605</v>
      </c>
      <c r="K255" s="168" t="n">
        <v>30.2549992370605</v>
      </c>
      <c r="L255" s="134"/>
      <c r="M255" s="13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  <c r="AZ255" s="65"/>
      <c r="BA255" s="65"/>
      <c r="BB255" s="65"/>
      <c r="BC255" s="65"/>
      <c r="BD255" s="65"/>
      <c r="BE255" s="65"/>
      <c r="BF255" s="65"/>
      <c r="BG255" s="65"/>
      <c r="BH255" s="135"/>
      <c r="BI255" s="65"/>
      <c r="BJ255" s="65"/>
      <c r="BK255" s="65"/>
      <c r="BL255" s="65"/>
      <c r="BM255" s="65"/>
      <c r="BN255" s="65"/>
      <c r="BO255" s="65"/>
      <c r="BP255" s="65"/>
      <c r="BQ255" s="65"/>
      <c r="BR255" s="65"/>
      <c r="BS255" s="65"/>
      <c r="BT255" s="65"/>
      <c r="BU255" s="65"/>
      <c r="BV255" s="65"/>
      <c r="BW255" s="65"/>
      <c r="BX255" s="65"/>
      <c r="BY255" s="65"/>
      <c r="BZ255" s="65"/>
      <c r="CA255" s="65"/>
      <c r="CB255" s="65"/>
      <c r="CC255" s="65"/>
      <c r="CD255" s="65"/>
      <c r="CE255" s="65"/>
      <c r="CF255" s="65"/>
      <c r="CG255" s="65"/>
      <c r="CH255" s="0"/>
      <c r="CP255" s="0"/>
      <c r="CQ255" s="0"/>
      <c r="CR255" s="0"/>
      <c r="CS255" s="0"/>
      <c r="CT255" s="0"/>
      <c r="CY255" s="174" t="n">
        <f aca="false">EOMONTH(CY254,0)+1</f>
        <v>43952</v>
      </c>
      <c r="CZ255" s="175" t="n">
        <f aca="false">IF(AI255=0,CZ243,AH255+AI255)</f>
        <v>1</v>
      </c>
      <c r="DA255" s="175" t="n">
        <f aca="false">IF(AI255=0,DA243,AI255)</f>
        <v>1.25</v>
      </c>
      <c r="DB255" s="175" t="n">
        <f aca="false">IF(AI255=0,DB243,AI255+AJ255)</f>
        <v>1.55</v>
      </c>
      <c r="DD255" s="154" t="n">
        <f aca="false">IF(Z255=0,DD243,Z255)</f>
        <v>0.079836777060087</v>
      </c>
      <c r="DE255" s="154" t="n">
        <f aca="false">IF(AA255=0,DE243,AA255)</f>
        <v>0.159673554120174</v>
      </c>
      <c r="DF255" s="154" t="n">
        <f aca="false">IF(AB255=0,DF243,AB255)</f>
        <v>0.239510331180261</v>
      </c>
      <c r="DH255" s="174" t="n">
        <f aca="false">IF(BH255=0,EOMONTH(DH254,0)+1,BH255)</f>
        <v>43952</v>
      </c>
      <c r="DI255" s="207" t="n">
        <f aca="false">IF(BI255=0,DI243,BI255)</f>
        <v>0.9</v>
      </c>
    </row>
    <row r="256" customFormat="false" ht="12.75" hidden="false" customHeight="false" outlineLevel="0" collapsed="false">
      <c r="A256" s="138" t="n">
        <f aca="false">EOMONTH(A255,0)+1</f>
        <v>53328</v>
      </c>
      <c r="B256" s="128" t="n">
        <f aca="false">'Gas Curves'!C260</f>
        <v>0.063270634110214</v>
      </c>
      <c r="C256" s="128"/>
      <c r="D256" s="167" t="n">
        <v>43101</v>
      </c>
      <c r="E256" s="168" t="n">
        <v>56.97</v>
      </c>
      <c r="F256" s="168" t="n">
        <v>59.6</v>
      </c>
      <c r="G256" s="168" t="n">
        <v>61.64</v>
      </c>
      <c r="H256" s="152"/>
      <c r="I256" s="168" t="n">
        <v>28.9350003814697</v>
      </c>
      <c r="J256" s="168" t="n">
        <v>30.2500003814697</v>
      </c>
      <c r="K256" s="168" t="n">
        <v>31.0900003814697</v>
      </c>
      <c r="L256" s="134"/>
      <c r="M256" s="13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135"/>
      <c r="BI256" s="65"/>
      <c r="BJ256" s="65"/>
      <c r="BK256" s="65"/>
      <c r="BL256" s="65"/>
      <c r="BM256" s="65"/>
      <c r="BN256" s="65"/>
      <c r="BO256" s="65"/>
      <c r="BP256" s="65"/>
      <c r="BQ256" s="65"/>
      <c r="BR256" s="65"/>
      <c r="BS256" s="65"/>
      <c r="BT256" s="65"/>
      <c r="BU256" s="65"/>
      <c r="BV256" s="65"/>
      <c r="BW256" s="65"/>
      <c r="BX256" s="65"/>
      <c r="BY256" s="65"/>
      <c r="BZ256" s="65"/>
      <c r="CA256" s="65"/>
      <c r="CB256" s="65"/>
      <c r="CC256" s="65"/>
      <c r="CD256" s="65"/>
      <c r="CE256" s="65"/>
      <c r="CF256" s="65"/>
      <c r="CG256" s="65"/>
      <c r="CH256" s="0"/>
      <c r="CP256" s="0"/>
      <c r="CQ256" s="0"/>
      <c r="CR256" s="0"/>
      <c r="CS256" s="0"/>
      <c r="CT256" s="0"/>
      <c r="CY256" s="174" t="n">
        <f aca="false">EOMONTH(CY255,0)+1</f>
        <v>43983</v>
      </c>
      <c r="CZ256" s="175" t="n">
        <f aca="false">IF(AI256=0,CZ244,AH256+AI256)</f>
        <v>1</v>
      </c>
      <c r="DA256" s="175" t="n">
        <f aca="false">IF(AI256=0,DA244,AI256)</f>
        <v>1.25</v>
      </c>
      <c r="DB256" s="175" t="n">
        <f aca="false">IF(AI256=0,DB244,AI256+AJ256)</f>
        <v>1.55</v>
      </c>
      <c r="DD256" s="154" t="n">
        <f aca="false">IF(Z256=0,DD244,Z256)</f>
        <v>0.085380172451756</v>
      </c>
      <c r="DE256" s="154" t="n">
        <f aca="false">IF(AA256=0,DE244,AA256)</f>
        <v>0.170760344903512</v>
      </c>
      <c r="DF256" s="154" t="n">
        <f aca="false">IF(AB256=0,DF244,AB256)</f>
        <v>0.256140517355268</v>
      </c>
      <c r="DH256" s="174" t="n">
        <f aca="false">IF(BH256=0,EOMONTH(DH255,0)+1,BH256)</f>
        <v>43983</v>
      </c>
      <c r="DI256" s="207" t="n">
        <f aca="false">IF(BI256=0,DI244,BI256)</f>
        <v>0.9</v>
      </c>
    </row>
    <row r="257" customFormat="false" ht="12.75" hidden="false" customHeight="false" outlineLevel="0" collapsed="false">
      <c r="A257" s="138" t="n">
        <f aca="false">EOMONTH(A256,0)+1</f>
        <v>53359</v>
      </c>
      <c r="B257" s="128" t="n">
        <f aca="false">'Gas Curves'!C261</f>
        <v>0.063268522129697</v>
      </c>
      <c r="C257" s="128"/>
      <c r="D257" s="167" t="n">
        <v>43132</v>
      </c>
      <c r="E257" s="168" t="n">
        <v>57.53</v>
      </c>
      <c r="F257" s="168" t="n">
        <v>59.6</v>
      </c>
      <c r="G257" s="168" t="n">
        <v>61.64</v>
      </c>
      <c r="H257" s="152"/>
      <c r="I257" s="168" t="n">
        <v>25.865</v>
      </c>
      <c r="J257" s="168" t="n">
        <v>26.9</v>
      </c>
      <c r="K257" s="168" t="n">
        <v>27.74</v>
      </c>
      <c r="L257" s="134"/>
      <c r="M257" s="13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135"/>
      <c r="BI257" s="65"/>
      <c r="BJ257" s="65"/>
      <c r="BK257" s="65"/>
      <c r="BL257" s="65"/>
      <c r="BM257" s="65"/>
      <c r="BN257" s="65"/>
      <c r="BO257" s="65"/>
      <c r="BP257" s="65"/>
      <c r="BQ257" s="65"/>
      <c r="BR257" s="65"/>
      <c r="BS257" s="65"/>
      <c r="BT257" s="65"/>
      <c r="BU257" s="65"/>
      <c r="BV257" s="65"/>
      <c r="BW257" s="65"/>
      <c r="BX257" s="65"/>
      <c r="BY257" s="65"/>
      <c r="BZ257" s="65"/>
      <c r="CA257" s="65"/>
      <c r="CB257" s="65"/>
      <c r="CC257" s="65"/>
      <c r="CD257" s="65"/>
      <c r="CE257" s="65"/>
      <c r="CF257" s="65"/>
      <c r="CG257" s="65"/>
      <c r="CH257" s="0"/>
      <c r="CI257" s="0"/>
      <c r="CJ257" s="0"/>
      <c r="CK257" s="0"/>
      <c r="CP257" s="0"/>
      <c r="CQ257" s="0"/>
      <c r="CR257" s="0"/>
      <c r="CS257" s="0"/>
      <c r="CT257" s="0"/>
      <c r="CY257" s="174" t="n">
        <f aca="false">EOMONTH(CY256,0)+1</f>
        <v>44013</v>
      </c>
      <c r="CZ257" s="175" t="n">
        <f aca="false">IF(AI257=0,CZ245,AH257+AI257)</f>
        <v>1</v>
      </c>
      <c r="DA257" s="175" t="n">
        <f aca="false">IF(AI257=0,DA245,AI257)</f>
        <v>1.25</v>
      </c>
      <c r="DB257" s="175" t="n">
        <f aca="false">IF(AI257=0,DB245,AI257+AJ257)</f>
        <v>1.55</v>
      </c>
      <c r="DD257" s="154" t="n">
        <f aca="false">IF(Z257=0,DD245,Z257)</f>
        <v>0.101692367108662</v>
      </c>
      <c r="DE257" s="154" t="n">
        <f aca="false">IF(AA257=0,DE245,AA257)</f>
        <v>0.203384734217324</v>
      </c>
      <c r="DF257" s="154" t="n">
        <f aca="false">IF(AB257=0,DF245,AB257)</f>
        <v>0.305077101325986</v>
      </c>
      <c r="DH257" s="174" t="n">
        <f aca="false">IF(BH257=0,EOMONTH(DH256,0)+1,BH257)</f>
        <v>44013</v>
      </c>
      <c r="DI257" s="207" t="n">
        <f aca="false">IF(BI257=0,DI245,BI257)</f>
        <v>0.9</v>
      </c>
    </row>
    <row r="258" customFormat="false" ht="12.75" hidden="false" customHeight="false" outlineLevel="0" collapsed="false">
      <c r="A258" s="138" t="n">
        <f aca="false">EOMONTH(A257,0)+1</f>
        <v>53387</v>
      </c>
      <c r="B258" s="128" t="n">
        <f aca="false">'Gas Curves'!C262</f>
        <v>0.063266478277585</v>
      </c>
      <c r="C258" s="128"/>
      <c r="D258" s="167" t="n">
        <v>43160</v>
      </c>
      <c r="E258" s="168" t="n">
        <v>40.53</v>
      </c>
      <c r="F258" s="168" t="n">
        <v>42.6</v>
      </c>
      <c r="G258" s="168" t="n">
        <v>44.64</v>
      </c>
      <c r="H258" s="208"/>
      <c r="I258" s="168" t="n">
        <v>26.2649996185303</v>
      </c>
      <c r="J258" s="168" t="n">
        <v>27.2999996185303</v>
      </c>
      <c r="K258" s="168" t="n">
        <v>28.1399996185303</v>
      </c>
      <c r="L258" s="134"/>
      <c r="M258" s="13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135"/>
      <c r="BI258" s="65"/>
      <c r="BJ258" s="65"/>
      <c r="BK258" s="65"/>
      <c r="BL258" s="65"/>
      <c r="BM258" s="65"/>
      <c r="BN258" s="65"/>
      <c r="BO258" s="65"/>
      <c r="BP258" s="65"/>
      <c r="BQ258" s="65"/>
      <c r="BR258" s="65"/>
      <c r="BS258" s="65"/>
      <c r="BT258" s="65"/>
      <c r="BU258" s="65"/>
      <c r="BV258" s="65"/>
      <c r="BW258" s="65"/>
      <c r="BX258" s="65"/>
      <c r="BY258" s="65"/>
      <c r="BZ258" s="65"/>
      <c r="CA258" s="65"/>
      <c r="CB258" s="65"/>
      <c r="CC258" s="65"/>
      <c r="CD258" s="65"/>
      <c r="CE258" s="65"/>
      <c r="CF258" s="65"/>
      <c r="CG258" s="65"/>
      <c r="CH258" s="0"/>
      <c r="CI258" s="0"/>
      <c r="CJ258" s="0"/>
      <c r="CK258" s="0"/>
      <c r="CP258" s="0"/>
      <c r="CQ258" s="0"/>
      <c r="CR258" s="0"/>
      <c r="CS258" s="0"/>
      <c r="CT258" s="0"/>
      <c r="CY258" s="174" t="n">
        <f aca="false">EOMONTH(CY257,0)+1</f>
        <v>44044</v>
      </c>
      <c r="CZ258" s="175" t="n">
        <f aca="false">IF(AI258=0,CZ246,AH258+AI258)</f>
        <v>1</v>
      </c>
      <c r="DA258" s="175" t="n">
        <f aca="false">IF(AI258=0,DA246,AI258)</f>
        <v>1.25</v>
      </c>
      <c r="DB258" s="175" t="n">
        <f aca="false">IF(AI258=0,DB246,AI258+AJ258)</f>
        <v>1.55</v>
      </c>
      <c r="DD258" s="154" t="n">
        <f aca="false">IF(Z258=0,DD246,Z258)</f>
        <v>0.0994642258486125</v>
      </c>
      <c r="DE258" s="154" t="n">
        <f aca="false">IF(AA258=0,DE246,AA258)</f>
        <v>0.198928451697225</v>
      </c>
      <c r="DF258" s="154" t="n">
        <f aca="false">IF(AB258=0,DF246,AB258)</f>
        <v>0.298392677545837</v>
      </c>
      <c r="DH258" s="174" t="n">
        <f aca="false">IF(BH258=0,EOMONTH(DH257,0)+1,BH258)</f>
        <v>44044</v>
      </c>
      <c r="DI258" s="207" t="n">
        <f aca="false">IF(BI258=0,DI246,BI258)</f>
        <v>0.9</v>
      </c>
    </row>
    <row r="259" customFormat="false" ht="12.75" hidden="false" customHeight="false" outlineLevel="0" collapsed="false">
      <c r="A259" s="138" t="n">
        <f aca="false">EOMONTH(A258,0)+1</f>
        <v>53418</v>
      </c>
      <c r="B259" s="128" t="n">
        <f aca="false">'Gas Curves'!C263</f>
        <v>0.063264366297071</v>
      </c>
      <c r="C259" s="128"/>
      <c r="D259" s="167" t="n">
        <v>43191</v>
      </c>
      <c r="E259" s="168" t="n">
        <v>36.47</v>
      </c>
      <c r="F259" s="168" t="n">
        <v>39.1</v>
      </c>
      <c r="G259" s="168" t="n">
        <v>41.14</v>
      </c>
      <c r="H259" s="208"/>
      <c r="I259" s="168" t="n">
        <v>23.7349996185303</v>
      </c>
      <c r="J259" s="168" t="n">
        <v>25.0499996185303</v>
      </c>
      <c r="K259" s="168" t="n">
        <v>25.8899996185303</v>
      </c>
      <c r="L259" s="134"/>
      <c r="M259" s="13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135"/>
      <c r="BI259" s="65"/>
      <c r="BJ259" s="65"/>
      <c r="BK259" s="65"/>
      <c r="BL259" s="65"/>
      <c r="BM259" s="65"/>
      <c r="BN259" s="65"/>
      <c r="BO259" s="65"/>
      <c r="BP259" s="65"/>
      <c r="BQ259" s="65"/>
      <c r="BR259" s="65"/>
      <c r="BS259" s="65"/>
      <c r="BT259" s="65"/>
      <c r="BU259" s="65"/>
      <c r="BV259" s="65"/>
      <c r="BW259" s="65"/>
      <c r="BX259" s="65"/>
      <c r="BY259" s="65"/>
      <c r="BZ259" s="65"/>
      <c r="CA259" s="65"/>
      <c r="CB259" s="65"/>
      <c r="CC259" s="65"/>
      <c r="CD259" s="65"/>
      <c r="CE259" s="65"/>
      <c r="CF259" s="65"/>
      <c r="CG259" s="65"/>
      <c r="CH259" s="0"/>
      <c r="CI259" s="0"/>
      <c r="CJ259" s="0"/>
      <c r="CK259" s="0"/>
      <c r="CP259" s="0"/>
      <c r="CQ259" s="0"/>
      <c r="CR259" s="0"/>
      <c r="CS259" s="0"/>
      <c r="CT259" s="0"/>
      <c r="CY259" s="174" t="n">
        <f aca="false">EOMONTH(CY258,0)+1</f>
        <v>44075</v>
      </c>
      <c r="CZ259" s="175" t="n">
        <f aca="false">IF(AI259=0,CZ247,AH259+AI259)</f>
        <v>1</v>
      </c>
      <c r="DA259" s="175" t="n">
        <f aca="false">IF(AI259=0,DA247,AI259)</f>
        <v>1.25</v>
      </c>
      <c r="DB259" s="175" t="n">
        <f aca="false">IF(AI259=0,DB247,AI259+AJ259)</f>
        <v>1.55</v>
      </c>
      <c r="DD259" s="154" t="n">
        <f aca="false">IF(Z259=0,DD247,Z259)</f>
        <v>0.0753606888398985</v>
      </c>
      <c r="DE259" s="154" t="n">
        <f aca="false">IF(AA259=0,DE247,AA259)</f>
        <v>0.150721377679797</v>
      </c>
      <c r="DF259" s="154" t="n">
        <f aca="false">IF(AB259=0,DF247,AB259)</f>
        <v>0.226082066519696</v>
      </c>
      <c r="DH259" s="174" t="n">
        <f aca="false">IF(BH259=0,EOMONTH(DH258,0)+1,BH259)</f>
        <v>44075</v>
      </c>
      <c r="DI259" s="207" t="n">
        <f aca="false">IF(BI259=0,DI247,BI259)</f>
        <v>0.9</v>
      </c>
    </row>
    <row r="260" customFormat="false" ht="12.75" hidden="false" customHeight="false" outlineLevel="0" collapsed="false">
      <c r="A260" s="138" t="n">
        <f aca="false">EOMONTH(A259,0)+1</f>
        <v>53448</v>
      </c>
      <c r="B260" s="128" t="n">
        <f aca="false">'Gas Curves'!C264</f>
        <v>0.063262254316558</v>
      </c>
      <c r="C260" s="128"/>
      <c r="D260" s="167" t="n">
        <v>43221</v>
      </c>
      <c r="E260" s="168" t="n">
        <v>41.17</v>
      </c>
      <c r="F260" s="168" t="n">
        <v>43.8</v>
      </c>
      <c r="G260" s="168" t="n">
        <v>47.65</v>
      </c>
      <c r="H260" s="208"/>
      <c r="I260" s="168" t="n">
        <v>24.7349996185303</v>
      </c>
      <c r="J260" s="168" t="n">
        <v>26.0499996185303</v>
      </c>
      <c r="K260" s="168" t="n">
        <v>27.6399996185303</v>
      </c>
      <c r="L260" s="134"/>
      <c r="M260" s="13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  <c r="AZ260" s="65"/>
      <c r="BA260" s="65"/>
      <c r="BB260" s="65"/>
      <c r="BC260" s="65"/>
      <c r="BD260" s="65"/>
      <c r="BE260" s="65"/>
      <c r="BF260" s="65"/>
      <c r="BG260" s="65"/>
      <c r="BH260" s="135"/>
      <c r="BI260" s="65"/>
      <c r="BJ260" s="65"/>
      <c r="BK260" s="65"/>
      <c r="BL260" s="65"/>
      <c r="BM260" s="65"/>
      <c r="BN260" s="65"/>
      <c r="BO260" s="65"/>
      <c r="BP260" s="65"/>
      <c r="BQ260" s="65"/>
      <c r="BR260" s="65"/>
      <c r="BS260" s="65"/>
      <c r="BT260" s="65"/>
      <c r="BU260" s="65"/>
      <c r="BV260" s="65"/>
      <c r="BW260" s="65"/>
      <c r="BX260" s="65"/>
      <c r="BY260" s="65"/>
      <c r="BZ260" s="65"/>
      <c r="CA260" s="65"/>
      <c r="CB260" s="65"/>
      <c r="CC260" s="65"/>
      <c r="CD260" s="65"/>
      <c r="CE260" s="65"/>
      <c r="CF260" s="65"/>
      <c r="CG260" s="65"/>
      <c r="CH260" s="0"/>
      <c r="CI260" s="0"/>
      <c r="CJ260" s="0"/>
      <c r="CK260" s="0"/>
      <c r="CP260" s="0"/>
      <c r="CQ260" s="0"/>
      <c r="CR260" s="0"/>
      <c r="CS260" s="0"/>
      <c r="CT260" s="0"/>
      <c r="CY260" s="174" t="n">
        <f aca="false">EOMONTH(CY259,0)+1</f>
        <v>44105</v>
      </c>
      <c r="CZ260" s="175" t="n">
        <f aca="false">IF(AI260=0,CZ248,AH260+AI260)</f>
        <v>1</v>
      </c>
      <c r="DA260" s="175" t="n">
        <f aca="false">IF(AI260=0,DA248,AI260)</f>
        <v>1.25</v>
      </c>
      <c r="DB260" s="175" t="n">
        <f aca="false">IF(AI260=0,DB248,AI260+AJ260)</f>
        <v>1.55</v>
      </c>
      <c r="DD260" s="154" t="n">
        <f aca="false">IF(Z260=0,DD248,Z260)</f>
        <v>0.0651800088356474</v>
      </c>
      <c r="DE260" s="154" t="n">
        <f aca="false">IF(AA260=0,DE248,AA260)</f>
        <v>0.130360017671295</v>
      </c>
      <c r="DF260" s="154" t="n">
        <f aca="false">IF(AB260=0,DF248,AB260)</f>
        <v>0.195540026506942</v>
      </c>
      <c r="DH260" s="174" t="n">
        <f aca="false">IF(BH260=0,EOMONTH(DH259,0)+1,BH260)</f>
        <v>44105</v>
      </c>
      <c r="DI260" s="207" t="n">
        <f aca="false">IF(BI260=0,DI248,BI260)</f>
        <v>0.9</v>
      </c>
    </row>
    <row r="261" customFormat="false" ht="12.75" hidden="false" customHeight="false" outlineLevel="0" collapsed="false">
      <c r="A261" s="138" t="n">
        <f aca="false">EOMONTH(A260,0)+1</f>
        <v>53479</v>
      </c>
      <c r="B261" s="128" t="n">
        <f aca="false">'Gas Curves'!C265</f>
        <v>0.06326021046445</v>
      </c>
      <c r="C261" s="128"/>
      <c r="D261" s="167" t="n">
        <v>43252</v>
      </c>
      <c r="E261" s="168" t="n">
        <v>53.68</v>
      </c>
      <c r="F261" s="168" t="n">
        <v>58.75</v>
      </c>
      <c r="G261" s="168" t="n">
        <v>64.62</v>
      </c>
      <c r="H261" s="208"/>
      <c r="I261" s="168" t="n">
        <v>23.8899996185303</v>
      </c>
      <c r="J261" s="168" t="n">
        <v>26.4249996185303</v>
      </c>
      <c r="K261" s="168" t="n">
        <v>28.8449996185303</v>
      </c>
      <c r="L261" s="134"/>
      <c r="M261" s="13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  <c r="BG261" s="65"/>
      <c r="BH261" s="135"/>
      <c r="BI261" s="65"/>
      <c r="BJ261" s="65"/>
      <c r="BK261" s="65"/>
      <c r="BL261" s="65"/>
      <c r="BM261" s="65"/>
      <c r="BN261" s="65"/>
      <c r="BO261" s="65"/>
      <c r="BP261" s="65"/>
      <c r="BQ261" s="65"/>
      <c r="BR261" s="65"/>
      <c r="BS261" s="65"/>
      <c r="BT261" s="65"/>
      <c r="BU261" s="65"/>
      <c r="BV261" s="65"/>
      <c r="BW261" s="65"/>
      <c r="BX261" s="65"/>
      <c r="BY261" s="65"/>
      <c r="BZ261" s="65"/>
      <c r="CA261" s="65"/>
      <c r="CB261" s="65"/>
      <c r="CC261" s="65"/>
      <c r="CD261" s="65"/>
      <c r="CE261" s="65"/>
      <c r="CF261" s="65"/>
      <c r="CG261" s="65"/>
      <c r="CH261" s="0"/>
      <c r="CI261" s="0"/>
      <c r="CJ261" s="0"/>
      <c r="CK261" s="0"/>
      <c r="CP261" s="0"/>
      <c r="CQ261" s="0"/>
      <c r="CR261" s="0"/>
      <c r="CS261" s="0"/>
      <c r="CT261" s="0"/>
      <c r="CY261" s="174" t="n">
        <f aca="false">EOMONTH(CY260,0)+1</f>
        <v>44136</v>
      </c>
      <c r="CZ261" s="175" t="n">
        <f aca="false">IF(AI261=0,CZ249,AH261+AI261)</f>
        <v>1</v>
      </c>
      <c r="DA261" s="175" t="n">
        <f aca="false">IF(AI261=0,DA249,AI261)</f>
        <v>1.25</v>
      </c>
      <c r="DB261" s="175" t="n">
        <f aca="false">IF(AI261=0,DB249,AI261+AJ261)</f>
        <v>1.55</v>
      </c>
      <c r="DD261" s="154" t="n">
        <f aca="false">IF(Z261=0,DD249,Z261)</f>
        <v>0.0651800088356474</v>
      </c>
      <c r="DE261" s="154" t="n">
        <f aca="false">IF(AA261=0,DE249,AA261)</f>
        <v>0.130360017671295</v>
      </c>
      <c r="DF261" s="154" t="n">
        <f aca="false">IF(AB261=0,DF249,AB261)</f>
        <v>0.195540026506942</v>
      </c>
      <c r="DH261" s="174" t="n">
        <f aca="false">IF(BH261=0,EOMONTH(DH260,0)+1,BH261)</f>
        <v>44136</v>
      </c>
      <c r="DI261" s="207" t="n">
        <f aca="false">IF(BI261=0,DI249,BI261)</f>
        <v>0.9</v>
      </c>
    </row>
    <row r="262" customFormat="false" ht="12.75" hidden="false" customHeight="false" outlineLevel="0" collapsed="false">
      <c r="A262" s="138" t="n">
        <f aca="false">EOMONTH(A261,0)+1</f>
        <v>53509</v>
      </c>
      <c r="B262" s="128" t="n">
        <f aca="false">'Gas Curves'!C266</f>
        <v>0.06325809848394</v>
      </c>
      <c r="C262" s="128"/>
      <c r="D262" s="167" t="n">
        <v>43282</v>
      </c>
      <c r="E262" s="168" t="n">
        <v>76.35</v>
      </c>
      <c r="F262" s="168" t="n">
        <v>86.25</v>
      </c>
      <c r="G262" s="168" t="n">
        <v>98.76</v>
      </c>
      <c r="H262" s="208"/>
      <c r="I262" s="168" t="n">
        <v>25.2</v>
      </c>
      <c r="J262" s="168" t="n">
        <v>30.15</v>
      </c>
      <c r="K262" s="168" t="n">
        <v>35.315</v>
      </c>
      <c r="L262" s="134"/>
      <c r="M262" s="13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  <c r="BG262" s="65"/>
      <c r="BH262" s="135"/>
      <c r="BI262" s="65"/>
      <c r="BJ262" s="65"/>
      <c r="BK262" s="65"/>
      <c r="BL262" s="65"/>
      <c r="BM262" s="65"/>
      <c r="BN262" s="65"/>
      <c r="BO262" s="65"/>
      <c r="BP262" s="65"/>
      <c r="BQ262" s="65"/>
      <c r="BR262" s="65"/>
      <c r="BS262" s="65"/>
      <c r="BT262" s="65"/>
      <c r="BU262" s="65"/>
      <c r="BV262" s="65"/>
      <c r="BW262" s="65"/>
      <c r="BX262" s="65"/>
      <c r="BY262" s="65"/>
      <c r="BZ262" s="65"/>
      <c r="CA262" s="65"/>
      <c r="CB262" s="65"/>
      <c r="CC262" s="65"/>
      <c r="CD262" s="65"/>
      <c r="CE262" s="65"/>
      <c r="CF262" s="65"/>
      <c r="CG262" s="65"/>
      <c r="CH262" s="0"/>
      <c r="CI262" s="0"/>
      <c r="CJ262" s="0"/>
      <c r="CK262" s="0"/>
      <c r="CP262" s="0"/>
      <c r="CQ262" s="0"/>
      <c r="CR262" s="0"/>
      <c r="CS262" s="0"/>
      <c r="CT262" s="0"/>
      <c r="CY262" s="174" t="n">
        <f aca="false">EOMONTH(CY261,0)+1</f>
        <v>44166</v>
      </c>
      <c r="CZ262" s="175" t="n">
        <f aca="false">IF(AI262=0,CZ250,AH262+AI262)</f>
        <v>1</v>
      </c>
      <c r="DA262" s="175" t="n">
        <f aca="false">IF(AI262=0,DA250,AI262)</f>
        <v>1.25</v>
      </c>
      <c r="DB262" s="175" t="n">
        <f aca="false">IF(AI262=0,DB250,AI262+AJ262)</f>
        <v>1.55</v>
      </c>
      <c r="DD262" s="154" t="n">
        <f aca="false">IF(Z262=0,DD250,Z262)</f>
        <v>0.0638788843714456</v>
      </c>
      <c r="DE262" s="154" t="n">
        <f aca="false">IF(AA262=0,DE250,AA262)</f>
        <v>0.127757768742891</v>
      </c>
      <c r="DF262" s="154" t="n">
        <f aca="false">IF(AB262=0,DF250,AB262)</f>
        <v>0.191636653114337</v>
      </c>
      <c r="DH262" s="174" t="n">
        <f aca="false">IF(BH262=0,EOMONTH(DH261,0)+1,BH262)</f>
        <v>44166</v>
      </c>
      <c r="DI262" s="207" t="n">
        <f aca="false">IF(BI262=0,DI250,BI262)</f>
        <v>0.9</v>
      </c>
    </row>
    <row r="263" customFormat="false" ht="12.75" hidden="false" customHeight="false" outlineLevel="0" collapsed="false">
      <c r="A263" s="138" t="n">
        <f aca="false">EOMONTH(A262,0)+1</f>
        <v>53540</v>
      </c>
      <c r="B263" s="128" t="n">
        <f aca="false">'Gas Curves'!C267</f>
        <v>0.063256054631835</v>
      </c>
      <c r="C263" s="128"/>
      <c r="D263" s="167" t="n">
        <v>43313</v>
      </c>
      <c r="E263" s="168" t="n">
        <v>76.35</v>
      </c>
      <c r="F263" s="168" t="n">
        <v>86.25</v>
      </c>
      <c r="G263" s="168" t="n">
        <v>98.76</v>
      </c>
      <c r="H263" s="208"/>
      <c r="I263" s="168" t="n">
        <v>37.3500015258789</v>
      </c>
      <c r="J263" s="168" t="n">
        <v>42.3000015258789</v>
      </c>
      <c r="K263" s="168" t="n">
        <v>47.4650015258789</v>
      </c>
      <c r="L263" s="134"/>
      <c r="M263" s="13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  <c r="BG263" s="65"/>
      <c r="BH263" s="135"/>
      <c r="BI263" s="65"/>
      <c r="BJ263" s="65"/>
      <c r="BK263" s="65"/>
      <c r="BL263" s="65"/>
      <c r="BM263" s="65"/>
      <c r="BN263" s="65"/>
      <c r="BO263" s="65"/>
      <c r="BP263" s="65"/>
      <c r="BQ263" s="65"/>
      <c r="BR263" s="65"/>
      <c r="BS263" s="65"/>
      <c r="BT263" s="65"/>
      <c r="BU263" s="65"/>
      <c r="BV263" s="65"/>
      <c r="BW263" s="65"/>
      <c r="BX263" s="65"/>
      <c r="BY263" s="65"/>
      <c r="BZ263" s="65"/>
      <c r="CA263" s="65"/>
      <c r="CB263" s="65"/>
      <c r="CC263" s="65"/>
      <c r="CD263" s="65"/>
      <c r="CE263" s="65"/>
      <c r="CF263" s="65"/>
      <c r="CG263" s="65"/>
      <c r="CH263" s="0"/>
      <c r="CI263" s="0"/>
      <c r="CJ263" s="0"/>
      <c r="CK263" s="0"/>
      <c r="CP263" s="0"/>
      <c r="CQ263" s="0"/>
      <c r="CR263" s="0"/>
      <c r="CS263" s="0"/>
      <c r="CT263" s="0"/>
      <c r="CY263" s="174" t="n">
        <f aca="false">EOMONTH(CY262,0)+1</f>
        <v>44197</v>
      </c>
      <c r="CZ263" s="175" t="n">
        <f aca="false">IF(AI263=0,CZ251,AH263+AI263)</f>
        <v>1</v>
      </c>
      <c r="DA263" s="175" t="n">
        <f aca="false">IF(AI263=0,DA251,AI263)</f>
        <v>1.25</v>
      </c>
      <c r="DB263" s="175" t="n">
        <f aca="false">IF(AI263=0,DB251,AI263+AJ263)</f>
        <v>1.55</v>
      </c>
      <c r="DD263" s="154" t="n">
        <f aca="false">IF(Z263=0,DD251,Z263)</f>
        <v>0.0942652295751635</v>
      </c>
      <c r="DE263" s="154" t="n">
        <f aca="false">IF(AA263=0,DE251,AA263)</f>
        <v>0.188530459150327</v>
      </c>
      <c r="DF263" s="154" t="n">
        <f aca="false">IF(AB263=0,DF251,AB263)</f>
        <v>0.28279568872549</v>
      </c>
      <c r="DH263" s="174" t="n">
        <f aca="false">IF(BH263=0,EOMONTH(DH262,0)+1,BH263)</f>
        <v>44197</v>
      </c>
      <c r="DI263" s="207" t="n">
        <f aca="false">IF(BI263=0,DI251,BI263)</f>
        <v>0.9</v>
      </c>
    </row>
    <row r="264" customFormat="false" ht="12.75" hidden="false" customHeight="false" outlineLevel="0" collapsed="false">
      <c r="A264" s="138" t="n">
        <f aca="false">EOMONTH(A263,0)+1</f>
        <v>53571</v>
      </c>
      <c r="B264" s="128" t="n">
        <f aca="false">'Gas Curves'!C268</f>
        <v>0.063253942651328</v>
      </c>
      <c r="C264" s="128"/>
      <c r="D264" s="167" t="n">
        <v>43344</v>
      </c>
      <c r="E264" s="168" t="n">
        <v>36.03</v>
      </c>
      <c r="F264" s="168" t="n">
        <v>41.1</v>
      </c>
      <c r="G264" s="168" t="n">
        <v>44.95</v>
      </c>
      <c r="H264" s="208"/>
      <c r="I264" s="168" t="n">
        <v>28.2649996185303</v>
      </c>
      <c r="J264" s="168" t="n">
        <v>30.7999996185303</v>
      </c>
      <c r="K264" s="168" t="n">
        <v>32.3899996185303</v>
      </c>
      <c r="L264" s="134"/>
      <c r="M264" s="13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135"/>
      <c r="BI264" s="65"/>
      <c r="BJ264" s="65"/>
      <c r="BK264" s="65"/>
      <c r="BL264" s="65"/>
      <c r="BM264" s="65"/>
      <c r="BN264" s="65"/>
      <c r="BO264" s="65"/>
      <c r="BP264" s="65"/>
      <c r="BQ264" s="65"/>
      <c r="BR264" s="65"/>
      <c r="BS264" s="65"/>
      <c r="BT264" s="65"/>
      <c r="BU264" s="65"/>
      <c r="BV264" s="65"/>
      <c r="BW264" s="65"/>
      <c r="BX264" s="65"/>
      <c r="BY264" s="65"/>
      <c r="BZ264" s="65"/>
      <c r="CA264" s="65"/>
      <c r="CB264" s="65"/>
      <c r="CC264" s="65"/>
      <c r="CD264" s="65"/>
      <c r="CE264" s="65"/>
      <c r="CF264" s="65"/>
      <c r="CG264" s="65"/>
      <c r="CH264" s="0"/>
      <c r="CI264" s="0"/>
      <c r="CJ264" s="0"/>
      <c r="CK264" s="0"/>
      <c r="CP264" s="0"/>
      <c r="CQ264" s="0"/>
      <c r="CR264" s="0"/>
      <c r="CS264" s="0"/>
      <c r="CT264" s="0"/>
      <c r="CY264" s="174" t="n">
        <f aca="false">EOMONTH(CY263,0)+1</f>
        <v>44228</v>
      </c>
      <c r="CZ264" s="175" t="n">
        <f aca="false">IF(AI264=0,CZ252,AH264+AI264)</f>
        <v>1</v>
      </c>
      <c r="DA264" s="175" t="n">
        <f aca="false">IF(AI264=0,DA252,AI264)</f>
        <v>1.25</v>
      </c>
      <c r="DB264" s="175" t="n">
        <f aca="false">IF(AI264=0,DB252,AI264+AJ264)</f>
        <v>1.55</v>
      </c>
      <c r="DD264" s="154" t="n">
        <f aca="false">IF(Z264=0,DD252,Z264)</f>
        <v>0.0910666090107368</v>
      </c>
      <c r="DE264" s="154" t="n">
        <f aca="false">IF(AA264=0,DE252,AA264)</f>
        <v>0.182133218021474</v>
      </c>
      <c r="DF264" s="154" t="n">
        <f aca="false">IF(AB264=0,DF252,AB264)</f>
        <v>0.27319982703221</v>
      </c>
      <c r="DH264" s="174" t="n">
        <f aca="false">IF(BH264=0,EOMONTH(DH263,0)+1,BH264)</f>
        <v>44228</v>
      </c>
      <c r="DI264" s="207" t="n">
        <f aca="false">IF(BI264=0,DI252,BI264)</f>
        <v>0.9</v>
      </c>
    </row>
    <row r="265" customFormat="false" ht="12.75" hidden="false" customHeight="false" outlineLevel="0" collapsed="false">
      <c r="A265" s="138" t="n">
        <f aca="false">EOMONTH(A264,0)+1</f>
        <v>53601</v>
      </c>
      <c r="B265" s="128" t="n">
        <f aca="false">'Gas Curves'!C269</f>
        <v>0.063251830670823</v>
      </c>
      <c r="C265" s="128"/>
      <c r="D265" s="167" t="n">
        <v>43374</v>
      </c>
      <c r="E265" s="168" t="n">
        <v>38.47</v>
      </c>
      <c r="F265" s="168" t="n">
        <v>41.1</v>
      </c>
      <c r="G265" s="168" t="n">
        <v>43.55</v>
      </c>
      <c r="H265" s="208"/>
      <c r="I265" s="168" t="n">
        <v>27.4849996185303</v>
      </c>
      <c r="J265" s="168" t="n">
        <v>28.7999996185303</v>
      </c>
      <c r="K265" s="168" t="n">
        <v>29.8049996185303</v>
      </c>
      <c r="L265" s="134"/>
      <c r="M265" s="13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135"/>
      <c r="BI265" s="65"/>
      <c r="BJ265" s="65"/>
      <c r="BK265" s="65"/>
      <c r="BL265" s="65"/>
      <c r="BM265" s="65"/>
      <c r="BN265" s="65"/>
      <c r="BO265" s="65"/>
      <c r="BP265" s="65"/>
      <c r="BQ265" s="65"/>
      <c r="BR265" s="65"/>
      <c r="BS265" s="65"/>
      <c r="BT265" s="65"/>
      <c r="BU265" s="65"/>
      <c r="BV265" s="65"/>
      <c r="BW265" s="65"/>
      <c r="BX265" s="65"/>
      <c r="BY265" s="65"/>
      <c r="BZ265" s="65"/>
      <c r="CA265" s="65"/>
      <c r="CB265" s="65"/>
      <c r="CC265" s="65"/>
      <c r="CD265" s="65"/>
      <c r="CE265" s="65"/>
      <c r="CF265" s="65"/>
      <c r="CG265" s="65"/>
      <c r="CH265" s="0"/>
      <c r="CI265" s="0"/>
      <c r="CJ265" s="0"/>
      <c r="CK265" s="0"/>
      <c r="CP265" s="0"/>
      <c r="CQ265" s="0"/>
      <c r="CR265" s="0"/>
      <c r="CS265" s="0"/>
      <c r="CT265" s="0"/>
      <c r="CY265" s="174" t="n">
        <f aca="false">EOMONTH(CY264,0)+1</f>
        <v>44256</v>
      </c>
      <c r="CZ265" s="175" t="n">
        <f aca="false">IF(AI265=0,CZ253,AH265+AI265)</f>
        <v>1</v>
      </c>
      <c r="DA265" s="175" t="n">
        <f aca="false">IF(AI265=0,DA253,AI265)</f>
        <v>1.25</v>
      </c>
      <c r="DB265" s="175" t="n">
        <f aca="false">IF(AI265=0,DB253,AI265+AJ265)</f>
        <v>1.55</v>
      </c>
      <c r="DD265" s="154" t="n">
        <f aca="false">IF(Z265=0,DD253,Z265)</f>
        <v>0.0721937023797812</v>
      </c>
      <c r="DE265" s="154" t="n">
        <f aca="false">IF(AA265=0,DE253,AA265)</f>
        <v>0.144387404759562</v>
      </c>
      <c r="DF265" s="154" t="n">
        <f aca="false">IF(AB265=0,DF253,AB265)</f>
        <v>0.216581107139343</v>
      </c>
      <c r="DH265" s="174" t="n">
        <f aca="false">IF(BH265=0,EOMONTH(DH264,0)+1,BH265)</f>
        <v>44256</v>
      </c>
      <c r="DI265" s="207" t="n">
        <f aca="false">IF(BI265=0,DI253,BI265)</f>
        <v>0.9</v>
      </c>
    </row>
    <row r="266" customFormat="false" ht="12.75" hidden="false" customHeight="false" outlineLevel="0" collapsed="false">
      <c r="A266" s="138" t="n">
        <f aca="false">EOMONTH(A265,0)+1</f>
        <v>53632</v>
      </c>
      <c r="B266" s="128" t="n">
        <f aca="false">'Gas Curves'!C270</f>
        <v>0.063249923075529</v>
      </c>
      <c r="C266" s="128"/>
      <c r="D266" s="167" t="n">
        <v>43405</v>
      </c>
      <c r="E266" s="168" t="n">
        <v>40.97</v>
      </c>
      <c r="F266" s="168" t="n">
        <v>43.6</v>
      </c>
      <c r="G266" s="168" t="n">
        <v>46.05</v>
      </c>
      <c r="H266" s="208"/>
      <c r="I266" s="168" t="n">
        <v>28.2349996185303</v>
      </c>
      <c r="J266" s="168" t="n">
        <v>29.5499996185303</v>
      </c>
      <c r="K266" s="168" t="n">
        <v>30.5549996185303</v>
      </c>
      <c r="L266" s="134"/>
      <c r="M266" s="13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135"/>
      <c r="BI266" s="65"/>
      <c r="BJ266" s="65"/>
      <c r="BK266" s="65"/>
      <c r="BL266" s="65"/>
      <c r="BM266" s="65"/>
      <c r="BN266" s="65"/>
      <c r="BO266" s="65"/>
      <c r="BP266" s="65"/>
      <c r="BQ266" s="65"/>
      <c r="BR266" s="65"/>
      <c r="BS266" s="65"/>
      <c r="BT266" s="65"/>
      <c r="BU266" s="65"/>
      <c r="BV266" s="65"/>
      <c r="BW266" s="65"/>
      <c r="BX266" s="65"/>
      <c r="BY266" s="65"/>
      <c r="BZ266" s="65"/>
      <c r="CA266" s="65"/>
      <c r="CB266" s="65"/>
      <c r="CC266" s="65"/>
      <c r="CD266" s="65"/>
      <c r="CE266" s="65"/>
      <c r="CF266" s="65"/>
      <c r="CG266" s="65"/>
      <c r="CH266" s="0"/>
      <c r="CI266" s="0"/>
      <c r="CJ266" s="0"/>
      <c r="CK266" s="0"/>
      <c r="CP266" s="0"/>
      <c r="CQ266" s="0"/>
      <c r="CR266" s="0"/>
      <c r="CS266" s="0"/>
      <c r="CT266" s="0"/>
      <c r="CY266" s="174" t="n">
        <f aca="false">EOMONTH(CY265,0)+1</f>
        <v>44287</v>
      </c>
      <c r="CZ266" s="175" t="n">
        <f aca="false">IF(AI266=0,CZ254,AH266+AI266)</f>
        <v>0</v>
      </c>
      <c r="DA266" s="175" t="n">
        <f aca="false">IF(AI266=0,DA254,AI266)</f>
        <v>0</v>
      </c>
      <c r="DB266" s="175" t="n">
        <f aca="false">IF(AI266=0,DB254,AI266+AJ266)</f>
        <v>0</v>
      </c>
      <c r="DD266" s="154" t="n">
        <f aca="false">IF(Z266=0,DD254,Z266)</f>
        <v>0</v>
      </c>
      <c r="DE266" s="154" t="n">
        <f aca="false">IF(AA266=0,DE254,AA266)</f>
        <v>0</v>
      </c>
      <c r="DF266" s="154" t="n">
        <f aca="false">IF(AB266=0,DF254,AB266)</f>
        <v>0</v>
      </c>
      <c r="DH266" s="174" t="n">
        <f aca="false">IF(BH266=0,EOMONTH(DH265,0)+1,BH266)</f>
        <v>44287</v>
      </c>
      <c r="DI266" s="207" t="n">
        <f aca="false">IF(BI266=0,DI254,BI266)</f>
        <v>0</v>
      </c>
    </row>
    <row r="267" customFormat="false" ht="12.75" hidden="false" customHeight="false" outlineLevel="0" collapsed="false">
      <c r="A267" s="138" t="n">
        <f aca="false">EOMONTH(A266,0)+1</f>
        <v>53662</v>
      </c>
      <c r="B267" s="128" t="n">
        <f aca="false">'Gas Curves'!C271</f>
        <v>0.063247811095026</v>
      </c>
      <c r="C267" s="128"/>
      <c r="D267" s="167" t="n">
        <v>43435</v>
      </c>
      <c r="E267" s="168" t="n">
        <v>40.97</v>
      </c>
      <c r="F267" s="168" t="n">
        <v>43.6</v>
      </c>
      <c r="G267" s="168" t="n">
        <v>46.05</v>
      </c>
      <c r="H267" s="208"/>
      <c r="I267" s="168" t="n">
        <v>28.1349992370605</v>
      </c>
      <c r="J267" s="168" t="n">
        <v>29.4499992370605</v>
      </c>
      <c r="K267" s="168" t="n">
        <v>30.4549992370605</v>
      </c>
      <c r="L267" s="134"/>
      <c r="M267" s="13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135"/>
      <c r="BI267" s="65"/>
      <c r="BJ267" s="65"/>
      <c r="BK267" s="65"/>
      <c r="BL267" s="65"/>
      <c r="BM267" s="65"/>
      <c r="BN267" s="65"/>
      <c r="BO267" s="65"/>
      <c r="BP267" s="65"/>
      <c r="BQ267" s="65"/>
      <c r="BR267" s="65"/>
      <c r="BS267" s="65"/>
      <c r="BT267" s="65"/>
      <c r="BU267" s="65"/>
      <c r="BV267" s="65"/>
      <c r="BW267" s="65"/>
      <c r="BX267" s="65"/>
      <c r="BY267" s="65"/>
      <c r="BZ267" s="65"/>
      <c r="CA267" s="65"/>
      <c r="CB267" s="65"/>
      <c r="CC267" s="65"/>
      <c r="CD267" s="65"/>
      <c r="CE267" s="65"/>
      <c r="CF267" s="65"/>
      <c r="CG267" s="65"/>
      <c r="CH267" s="0"/>
      <c r="CI267" s="0"/>
      <c r="CJ267" s="0"/>
      <c r="CK267" s="0"/>
      <c r="CP267" s="0"/>
      <c r="CQ267" s="0"/>
      <c r="CR267" s="0"/>
      <c r="CS267" s="0"/>
      <c r="CT267" s="0"/>
      <c r="CY267" s="174" t="n">
        <f aca="false">EOMONTH(CY266,0)+1</f>
        <v>44317</v>
      </c>
      <c r="CZ267" s="175" t="n">
        <f aca="false">IF(AI267=0,CZ255,AH267+AI267)</f>
        <v>1</v>
      </c>
      <c r="DA267" s="175" t="n">
        <f aca="false">IF(AI267=0,DA255,AI267)</f>
        <v>1.25</v>
      </c>
      <c r="DB267" s="175" t="n">
        <f aca="false">IF(AI267=0,DB255,AI267+AJ267)</f>
        <v>1.55</v>
      </c>
      <c r="DD267" s="154" t="n">
        <f aca="false">IF(Z267=0,DD255,Z267)</f>
        <v>0.079836777060087</v>
      </c>
      <c r="DE267" s="154" t="n">
        <f aca="false">IF(AA267=0,DE255,AA267)</f>
        <v>0.159673554120174</v>
      </c>
      <c r="DF267" s="154" t="n">
        <f aca="false">IF(AB267=0,DF255,AB267)</f>
        <v>0.239510331180261</v>
      </c>
      <c r="DH267" s="174" t="n">
        <f aca="false">IF(BH267=0,EOMONTH(DH266,0)+1,BH267)</f>
        <v>44317</v>
      </c>
      <c r="DI267" s="207" t="n">
        <f aca="false">IF(BI267=0,DI255,BI267)</f>
        <v>0.9</v>
      </c>
    </row>
    <row r="268" customFormat="false" ht="12.75" hidden="false" customHeight="false" outlineLevel="0" collapsed="false">
      <c r="A268" s="138" t="n">
        <f aca="false">EOMONTH(A267,0)+1</f>
        <v>53693</v>
      </c>
      <c r="B268" s="128" t="n">
        <f aca="false">'Gas Curves'!C272</f>
        <v>0.063245767242928</v>
      </c>
      <c r="C268" s="128"/>
      <c r="D268" s="167" t="n">
        <v>43466</v>
      </c>
      <c r="E268" s="168" t="n">
        <v>57.27</v>
      </c>
      <c r="F268" s="168" t="n">
        <v>59.9</v>
      </c>
      <c r="G268" s="168" t="n">
        <v>61.94</v>
      </c>
      <c r="H268" s="208"/>
      <c r="I268" s="168" t="n">
        <v>29.1350003814697</v>
      </c>
      <c r="J268" s="168" t="n">
        <v>30.4500003814697</v>
      </c>
      <c r="K268" s="168" t="n">
        <v>31.2900003814697</v>
      </c>
      <c r="L268" s="134"/>
      <c r="M268" s="13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135"/>
      <c r="BI268" s="65"/>
      <c r="BJ268" s="65"/>
      <c r="BK268" s="65"/>
      <c r="BL268" s="65"/>
      <c r="BM268" s="65"/>
      <c r="BN268" s="65"/>
      <c r="BO268" s="65"/>
      <c r="BP268" s="65"/>
      <c r="BQ268" s="65"/>
      <c r="BR268" s="65"/>
      <c r="BS268" s="65"/>
      <c r="BT268" s="65"/>
      <c r="BU268" s="65"/>
      <c r="BV268" s="65"/>
      <c r="BW268" s="65"/>
      <c r="BX268" s="65"/>
      <c r="BY268" s="65"/>
      <c r="BZ268" s="65"/>
      <c r="CA268" s="65"/>
      <c r="CB268" s="65"/>
      <c r="CC268" s="65"/>
      <c r="CD268" s="65"/>
      <c r="CE268" s="65"/>
      <c r="CF268" s="65"/>
      <c r="CG268" s="65"/>
      <c r="CH268" s="0"/>
      <c r="CI268" s="0"/>
      <c r="CJ268" s="0"/>
      <c r="CK268" s="0"/>
      <c r="CP268" s="0"/>
      <c r="CQ268" s="0"/>
      <c r="CR268" s="0"/>
      <c r="CS268" s="0"/>
      <c r="CT268" s="0"/>
      <c r="CY268" s="174" t="n">
        <f aca="false">EOMONTH(CY267,0)+1</f>
        <v>44348</v>
      </c>
      <c r="CZ268" s="175" t="n">
        <f aca="false">IF(AI268=0,CZ256,AH268+AI268)</f>
        <v>1</v>
      </c>
      <c r="DA268" s="175" t="n">
        <f aca="false">IF(AI268=0,DA256,AI268)</f>
        <v>1.25</v>
      </c>
      <c r="DB268" s="175" t="n">
        <f aca="false">IF(AI268=0,DB256,AI268+AJ268)</f>
        <v>1.55</v>
      </c>
      <c r="DD268" s="154" t="n">
        <f aca="false">IF(Z268=0,DD256,Z268)</f>
        <v>0.085380172451756</v>
      </c>
      <c r="DE268" s="154" t="n">
        <f aca="false">IF(AA268=0,DE256,AA268)</f>
        <v>0.170760344903512</v>
      </c>
      <c r="DF268" s="154" t="n">
        <f aca="false">IF(AB268=0,DF256,AB268)</f>
        <v>0.256140517355268</v>
      </c>
      <c r="DH268" s="174" t="n">
        <f aca="false">IF(BH268=0,EOMONTH(DH267,0)+1,BH268)</f>
        <v>44348</v>
      </c>
      <c r="DI268" s="207" t="n">
        <f aca="false">IF(BI268=0,DI256,BI268)</f>
        <v>0.9</v>
      </c>
    </row>
    <row r="269" customFormat="false" ht="12.75" hidden="false" customHeight="false" outlineLevel="0" collapsed="false">
      <c r="A269" s="138" t="n">
        <f aca="false">EOMONTH(A268,0)+1</f>
        <v>53724</v>
      </c>
      <c r="B269" s="128" t="n">
        <f aca="false">'Gas Curves'!C273</f>
        <v>0.071107836399509</v>
      </c>
      <c r="C269" s="128"/>
      <c r="D269" s="167" t="n">
        <v>43497</v>
      </c>
      <c r="E269" s="168" t="n">
        <v>57.83</v>
      </c>
      <c r="F269" s="168" t="n">
        <v>59.9</v>
      </c>
      <c r="G269" s="168" t="n">
        <v>61.94</v>
      </c>
      <c r="H269" s="208"/>
      <c r="I269" s="168" t="n">
        <v>26.065</v>
      </c>
      <c r="J269" s="168" t="n">
        <v>27.1</v>
      </c>
      <c r="K269" s="168" t="n">
        <v>27.94</v>
      </c>
      <c r="L269" s="134"/>
      <c r="M269" s="13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135"/>
      <c r="BI269" s="65"/>
      <c r="BJ269" s="65"/>
      <c r="BK269" s="65"/>
      <c r="BL269" s="65"/>
      <c r="BM269" s="65"/>
      <c r="BN269" s="65"/>
      <c r="BO269" s="65"/>
      <c r="BP269" s="65"/>
      <c r="BQ269" s="65"/>
      <c r="BR269" s="65"/>
      <c r="BS269" s="65"/>
      <c r="BT269" s="65"/>
      <c r="BU269" s="65"/>
      <c r="BV269" s="65"/>
      <c r="BW269" s="65"/>
      <c r="BX269" s="65"/>
      <c r="BY269" s="65"/>
      <c r="BZ269" s="65"/>
      <c r="CA269" s="65"/>
      <c r="CB269" s="65"/>
      <c r="CC269" s="65"/>
      <c r="CD269" s="65"/>
      <c r="CE269" s="65"/>
      <c r="CF269" s="65"/>
      <c r="CG269" s="65"/>
      <c r="CH269" s="0"/>
      <c r="CI269" s="0"/>
      <c r="CJ269" s="0"/>
      <c r="CK269" s="0"/>
      <c r="CP269" s="0"/>
      <c r="CQ269" s="0"/>
      <c r="CR269" s="0"/>
      <c r="CS269" s="0"/>
      <c r="CT269" s="0"/>
      <c r="CY269" s="174" t="n">
        <f aca="false">EOMONTH(CY268,0)+1</f>
        <v>44378</v>
      </c>
      <c r="CZ269" s="175" t="n">
        <f aca="false">IF(AI269=0,CZ257,AH269+AI269)</f>
        <v>1</v>
      </c>
      <c r="DA269" s="175" t="n">
        <f aca="false">IF(AI269=0,DA257,AI269)</f>
        <v>1.25</v>
      </c>
      <c r="DB269" s="175" t="n">
        <f aca="false">IF(AI269=0,DB257,AI269+AJ269)</f>
        <v>1.55</v>
      </c>
      <c r="DD269" s="154" t="n">
        <f aca="false">IF(Z269=0,DD257,Z269)</f>
        <v>0.101692367108662</v>
      </c>
      <c r="DE269" s="154" t="n">
        <f aca="false">IF(AA269=0,DE257,AA269)</f>
        <v>0.203384734217324</v>
      </c>
      <c r="DF269" s="154" t="n">
        <f aca="false">IF(AB269=0,DF257,AB269)</f>
        <v>0.305077101325986</v>
      </c>
      <c r="DH269" s="174" t="n">
        <f aca="false">IF(BH269=0,EOMONTH(DH268,0)+1,BH269)</f>
        <v>44378</v>
      </c>
      <c r="DI269" s="207" t="n">
        <f aca="false">IF(BI269=0,DI257,BI269)</f>
        <v>0.9</v>
      </c>
    </row>
    <row r="270" customFormat="false" ht="12.75" hidden="false" customHeight="false" outlineLevel="0" collapsed="false">
      <c r="A270" s="138" t="n">
        <f aca="false">EOMONTH(A269,0)+1</f>
        <v>53752</v>
      </c>
      <c r="B270" s="128" t="n">
        <f aca="false">'Gas Curves'!C274</f>
        <v>0.071096411821189</v>
      </c>
      <c r="C270" s="128"/>
      <c r="D270" s="167" t="n">
        <v>43525</v>
      </c>
      <c r="E270" s="168" t="n">
        <v>40.83</v>
      </c>
      <c r="F270" s="168" t="n">
        <v>42.9</v>
      </c>
      <c r="G270" s="168" t="n">
        <v>44.94</v>
      </c>
      <c r="H270" s="208"/>
      <c r="I270" s="168" t="n">
        <v>26.4649996185303</v>
      </c>
      <c r="J270" s="168" t="n">
        <v>27.4999996185303</v>
      </c>
      <c r="K270" s="168" t="n">
        <v>28.3399996185303</v>
      </c>
      <c r="L270" s="134"/>
      <c r="M270" s="13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135"/>
      <c r="BI270" s="65"/>
      <c r="BJ270" s="65"/>
      <c r="BK270" s="65"/>
      <c r="BL270" s="65"/>
      <c r="BM270" s="65"/>
      <c r="BN270" s="65"/>
      <c r="BO270" s="65"/>
      <c r="BP270" s="65"/>
      <c r="BQ270" s="65"/>
      <c r="BR270" s="65"/>
      <c r="BS270" s="65"/>
      <c r="BT270" s="65"/>
      <c r="BU270" s="65"/>
      <c r="BV270" s="65"/>
      <c r="BW270" s="65"/>
      <c r="BX270" s="65"/>
      <c r="BY270" s="65"/>
      <c r="BZ270" s="65"/>
      <c r="CA270" s="65"/>
      <c r="CB270" s="65"/>
      <c r="CC270" s="65"/>
      <c r="CD270" s="65"/>
      <c r="CE270" s="65"/>
      <c r="CF270" s="65"/>
      <c r="CG270" s="65"/>
      <c r="CH270" s="0"/>
      <c r="CI270" s="0"/>
      <c r="CJ270" s="0"/>
      <c r="CK270" s="0"/>
      <c r="CP270" s="0"/>
      <c r="CQ270" s="0"/>
      <c r="CR270" s="0"/>
      <c r="CS270" s="0"/>
      <c r="CT270" s="0"/>
      <c r="CY270" s="174" t="n">
        <f aca="false">EOMONTH(CY269,0)+1</f>
        <v>44409</v>
      </c>
      <c r="CZ270" s="175" t="n">
        <f aca="false">IF(AI270=0,CZ258,AH270+AI270)</f>
        <v>1</v>
      </c>
      <c r="DA270" s="175" t="n">
        <f aca="false">IF(AI270=0,DA258,AI270)</f>
        <v>1.25</v>
      </c>
      <c r="DB270" s="175" t="n">
        <f aca="false">IF(AI270=0,DB258,AI270+AJ270)</f>
        <v>1.55</v>
      </c>
      <c r="DD270" s="154" t="n">
        <f aca="false">IF(Z270=0,DD258,Z270)</f>
        <v>0.0994642258486125</v>
      </c>
      <c r="DE270" s="154" t="n">
        <f aca="false">IF(AA270=0,DE258,AA270)</f>
        <v>0.198928451697225</v>
      </c>
      <c r="DF270" s="154" t="n">
        <f aca="false">IF(AB270=0,DF258,AB270)</f>
        <v>0.298392677545837</v>
      </c>
      <c r="DH270" s="174" t="n">
        <f aca="false">IF(BH270=0,EOMONTH(DH269,0)+1,BH270)</f>
        <v>44409</v>
      </c>
      <c r="DI270" s="207" t="n">
        <f aca="false">IF(BI270=0,DI258,BI270)</f>
        <v>0.9</v>
      </c>
    </row>
    <row r="271" customFormat="false" ht="12.75" hidden="false" customHeight="false" outlineLevel="0" collapsed="false">
      <c r="A271" s="138" t="n">
        <f aca="false">EOMONTH(A270,0)+1</f>
        <v>53783</v>
      </c>
      <c r="B271" s="128" t="n">
        <f aca="false">'Gas Curves'!C275</f>
        <v>0.071083763180955</v>
      </c>
      <c r="C271" s="128"/>
      <c r="D271" s="167" t="n">
        <v>43556</v>
      </c>
      <c r="E271" s="168" t="n">
        <v>36.77</v>
      </c>
      <c r="F271" s="168" t="n">
        <v>39.4</v>
      </c>
      <c r="G271" s="168" t="n">
        <v>41.44</v>
      </c>
      <c r="H271" s="208"/>
      <c r="I271" s="168" t="n">
        <v>23.9349996185303</v>
      </c>
      <c r="J271" s="168" t="n">
        <v>25.2499996185303</v>
      </c>
      <c r="K271" s="168" t="n">
        <v>26.0899996185303</v>
      </c>
      <c r="L271" s="134"/>
      <c r="M271" s="13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135"/>
      <c r="BI271" s="65"/>
      <c r="BJ271" s="65"/>
      <c r="BK271" s="65"/>
      <c r="BL271" s="65"/>
      <c r="BM271" s="65"/>
      <c r="BN271" s="65"/>
      <c r="BO271" s="65"/>
      <c r="BP271" s="65"/>
      <c r="BQ271" s="65"/>
      <c r="BR271" s="65"/>
      <c r="BS271" s="65"/>
      <c r="BT271" s="65"/>
      <c r="BU271" s="65"/>
      <c r="BV271" s="65"/>
      <c r="BW271" s="65"/>
      <c r="BX271" s="65"/>
      <c r="BY271" s="65"/>
      <c r="BZ271" s="65"/>
      <c r="CA271" s="65"/>
      <c r="CB271" s="65"/>
      <c r="CC271" s="65"/>
      <c r="CD271" s="65"/>
      <c r="CE271" s="65"/>
      <c r="CF271" s="65"/>
      <c r="CG271" s="65"/>
      <c r="CH271" s="0"/>
      <c r="CI271" s="0"/>
      <c r="CJ271" s="0"/>
      <c r="CK271" s="0"/>
      <c r="CP271" s="0"/>
      <c r="CQ271" s="0"/>
      <c r="CR271" s="0"/>
      <c r="CS271" s="0"/>
      <c r="CT271" s="0"/>
      <c r="CY271" s="174" t="n">
        <f aca="false">EOMONTH(CY270,0)+1</f>
        <v>44440</v>
      </c>
      <c r="CZ271" s="175" t="n">
        <f aca="false">IF(AI271=0,CZ259,AH271+AI271)</f>
        <v>1</v>
      </c>
      <c r="DA271" s="175" t="n">
        <f aca="false">IF(AI271=0,DA259,AI271)</f>
        <v>1.25</v>
      </c>
      <c r="DB271" s="175" t="n">
        <f aca="false">IF(AI271=0,DB259,AI271+AJ271)</f>
        <v>1.55</v>
      </c>
      <c r="DD271" s="154" t="n">
        <f aca="false">IF(Z271=0,DD259,Z271)</f>
        <v>0.0753606888398985</v>
      </c>
      <c r="DE271" s="154" t="n">
        <f aca="false">IF(AA271=0,DE259,AA271)</f>
        <v>0.150721377679797</v>
      </c>
      <c r="DF271" s="154" t="n">
        <f aca="false">IF(AB271=0,DF259,AB271)</f>
        <v>0.226082066519696</v>
      </c>
      <c r="DH271" s="174" t="n">
        <f aca="false">IF(BH271=0,EOMONTH(DH270,0)+1,BH271)</f>
        <v>44440</v>
      </c>
      <c r="DI271" s="207" t="n">
        <f aca="false">IF(BI271=0,DI259,BI271)</f>
        <v>0.9</v>
      </c>
    </row>
    <row r="272" customFormat="false" ht="12.75" hidden="false" customHeight="false" outlineLevel="0" collapsed="false">
      <c r="A272" s="138" t="n">
        <f aca="false">EOMONTH(A271,0)+1</f>
        <v>53813</v>
      </c>
      <c r="B272" s="128" t="n">
        <f aca="false">'Gas Curves'!C276</f>
        <v>0.071071522561424</v>
      </c>
      <c r="C272" s="128"/>
      <c r="D272" s="65"/>
      <c r="E272" s="65"/>
      <c r="F272" s="65"/>
      <c r="G272" s="65"/>
      <c r="H272" s="65"/>
      <c r="I272" s="65"/>
      <c r="J272" s="65"/>
      <c r="K272" s="65"/>
      <c r="L272" s="65"/>
      <c r="M272" s="13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  <c r="BG272" s="65"/>
      <c r="BH272" s="135"/>
      <c r="BI272" s="65"/>
      <c r="BJ272" s="65"/>
      <c r="BK272" s="65"/>
      <c r="BL272" s="65"/>
      <c r="BM272" s="65"/>
      <c r="BN272" s="65"/>
      <c r="BO272" s="65"/>
      <c r="BP272" s="65"/>
      <c r="BQ272" s="65"/>
      <c r="BR272" s="65"/>
      <c r="BS272" s="65"/>
      <c r="BT272" s="65"/>
      <c r="BU272" s="65"/>
      <c r="BV272" s="65"/>
      <c r="BW272" s="65"/>
      <c r="BX272" s="65"/>
      <c r="BY272" s="65"/>
      <c r="BZ272" s="65"/>
      <c r="CA272" s="65"/>
      <c r="CB272" s="65"/>
      <c r="CC272" s="65"/>
      <c r="CD272" s="65"/>
      <c r="CE272" s="65"/>
      <c r="CF272" s="65"/>
      <c r="CG272" s="65"/>
      <c r="CH272" s="0"/>
      <c r="CI272" s="0"/>
      <c r="CJ272" s="0"/>
      <c r="CK272" s="0"/>
      <c r="CP272" s="0"/>
      <c r="CQ272" s="0"/>
      <c r="CR272" s="0"/>
      <c r="CS272" s="0"/>
      <c r="CT272" s="0"/>
      <c r="CY272" s="174" t="n">
        <f aca="false">EOMONTH(CY271,0)+1</f>
        <v>44470</v>
      </c>
      <c r="CZ272" s="175" t="n">
        <f aca="false">IF(AI272=0,CZ260,AH272+AI272)</f>
        <v>1</v>
      </c>
      <c r="DA272" s="175" t="n">
        <f aca="false">IF(AI272=0,DA260,AI272)</f>
        <v>1.25</v>
      </c>
      <c r="DB272" s="175" t="n">
        <f aca="false">IF(AI272=0,DB260,AI272+AJ272)</f>
        <v>1.55</v>
      </c>
      <c r="DD272" s="154" t="n">
        <f aca="false">IF(Z272=0,DD260,Z272)</f>
        <v>0.0651800088356474</v>
      </c>
      <c r="DE272" s="154" t="n">
        <f aca="false">IF(AA272=0,DE260,AA272)</f>
        <v>0.130360017671295</v>
      </c>
      <c r="DF272" s="154" t="n">
        <f aca="false">IF(AB272=0,DF260,AB272)</f>
        <v>0.195540026506942</v>
      </c>
      <c r="DH272" s="174" t="n">
        <f aca="false">IF(BH272=0,EOMONTH(DH271,0)+1,BH272)</f>
        <v>44470</v>
      </c>
      <c r="DI272" s="207" t="n">
        <f aca="false">IF(BI272=0,DI260,BI272)</f>
        <v>0.9</v>
      </c>
    </row>
    <row r="273" customFormat="false" ht="12.75" hidden="false" customHeight="false" outlineLevel="0" collapsed="false">
      <c r="A273" s="138" t="n">
        <f aca="false">EOMONTH(A272,0)+1</f>
        <v>53844</v>
      </c>
      <c r="B273" s="128" t="n">
        <f aca="false">'Gas Curves'!C277</f>
        <v>0.071058873921295</v>
      </c>
      <c r="C273" s="128"/>
      <c r="D273" s="65"/>
      <c r="E273" s="65"/>
      <c r="F273" s="65"/>
      <c r="G273" s="65"/>
      <c r="H273" s="65"/>
      <c r="I273" s="65"/>
      <c r="J273" s="65"/>
      <c r="K273" s="65"/>
      <c r="L273" s="65"/>
      <c r="M273" s="13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135"/>
      <c r="BI273" s="65"/>
      <c r="BJ273" s="65"/>
      <c r="BK273" s="65"/>
      <c r="BL273" s="65"/>
      <c r="BM273" s="65"/>
      <c r="BN273" s="65"/>
      <c r="BO273" s="65"/>
      <c r="BP273" s="65"/>
      <c r="BQ273" s="65"/>
      <c r="BR273" s="65"/>
      <c r="BS273" s="65"/>
      <c r="BT273" s="65"/>
      <c r="BU273" s="65"/>
      <c r="BV273" s="65"/>
      <c r="BW273" s="65"/>
      <c r="BX273" s="65"/>
      <c r="BY273" s="65"/>
      <c r="BZ273" s="65"/>
      <c r="CA273" s="65"/>
      <c r="CB273" s="65"/>
      <c r="CC273" s="65"/>
      <c r="CD273" s="65"/>
      <c r="CE273" s="65"/>
      <c r="CF273" s="65"/>
      <c r="CG273" s="65"/>
      <c r="CH273" s="0"/>
      <c r="CI273" s="0"/>
      <c r="CJ273" s="0"/>
      <c r="CK273" s="0"/>
      <c r="CP273" s="0"/>
      <c r="CQ273" s="0"/>
      <c r="CR273" s="0"/>
      <c r="CS273" s="0"/>
      <c r="CT273" s="0"/>
      <c r="CY273" s="174" t="n">
        <f aca="false">EOMONTH(CY272,0)+1</f>
        <v>44501</v>
      </c>
      <c r="CZ273" s="175" t="n">
        <f aca="false">IF(AI273=0,CZ261,AH273+AI273)</f>
        <v>1</v>
      </c>
      <c r="DA273" s="175" t="n">
        <f aca="false">IF(AI273=0,DA261,AI273)</f>
        <v>1.25</v>
      </c>
      <c r="DB273" s="175" t="n">
        <f aca="false">IF(AI273=0,DB261,AI273+AJ273)</f>
        <v>1.55</v>
      </c>
      <c r="DD273" s="154" t="n">
        <f aca="false">IF(Z273=0,DD261,Z273)</f>
        <v>0.0651800088356474</v>
      </c>
      <c r="DE273" s="154" t="n">
        <f aca="false">IF(AA273=0,DE261,AA273)</f>
        <v>0.130360017671295</v>
      </c>
      <c r="DF273" s="154" t="n">
        <f aca="false">IF(AB273=0,DF261,AB273)</f>
        <v>0.195540026506942</v>
      </c>
      <c r="DH273" s="174" t="n">
        <f aca="false">IF(BH273=0,EOMONTH(DH272,0)+1,BH273)</f>
        <v>44501</v>
      </c>
      <c r="DI273" s="207" t="n">
        <f aca="false">IF(BI273=0,DI261,BI273)</f>
        <v>0.9</v>
      </c>
    </row>
    <row r="274" customFormat="false" ht="12.75" hidden="false" customHeight="false" outlineLevel="0" collapsed="false">
      <c r="A274" s="138" t="n">
        <f aca="false">EOMONTH(A273,0)+1</f>
        <v>53874</v>
      </c>
      <c r="B274" s="128" t="n">
        <f aca="false">'Gas Curves'!C278</f>
        <v>0.071046633301865</v>
      </c>
      <c r="C274" s="128"/>
      <c r="D274" s="65"/>
      <c r="E274" s="65"/>
      <c r="F274" s="65"/>
      <c r="G274" s="65"/>
      <c r="H274" s="65"/>
      <c r="I274" s="65"/>
      <c r="J274" s="65"/>
      <c r="K274" s="65"/>
      <c r="L274" s="65"/>
      <c r="M274" s="13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5"/>
      <c r="AU274" s="65"/>
      <c r="AV274" s="65"/>
      <c r="AW274" s="65"/>
      <c r="AX274" s="65"/>
      <c r="AY274" s="65"/>
      <c r="AZ274" s="65"/>
      <c r="BA274" s="65"/>
      <c r="BB274" s="65"/>
      <c r="BC274" s="65"/>
      <c r="BD274" s="65"/>
      <c r="BE274" s="65"/>
      <c r="BF274" s="65"/>
      <c r="BG274" s="65"/>
      <c r="BH274" s="135"/>
      <c r="BI274" s="65"/>
      <c r="BJ274" s="65"/>
      <c r="BK274" s="65"/>
      <c r="BL274" s="65"/>
      <c r="BM274" s="65"/>
      <c r="BN274" s="65"/>
      <c r="BO274" s="65"/>
      <c r="BP274" s="65"/>
      <c r="BQ274" s="65"/>
      <c r="BR274" s="65"/>
      <c r="BS274" s="65"/>
      <c r="BT274" s="65"/>
      <c r="BU274" s="65"/>
      <c r="BV274" s="65"/>
      <c r="BW274" s="65"/>
      <c r="BX274" s="65"/>
      <c r="BY274" s="65"/>
      <c r="BZ274" s="65"/>
      <c r="CA274" s="65"/>
      <c r="CB274" s="65"/>
      <c r="CC274" s="65"/>
      <c r="CD274" s="65"/>
      <c r="CE274" s="65"/>
      <c r="CF274" s="65"/>
      <c r="CG274" s="65"/>
      <c r="CH274" s="0"/>
      <c r="CI274" s="0"/>
      <c r="CJ274" s="0"/>
      <c r="CK274" s="0"/>
      <c r="CP274" s="0"/>
      <c r="CQ274" s="0"/>
      <c r="CR274" s="0"/>
      <c r="CS274" s="0"/>
      <c r="CT274" s="0"/>
      <c r="CY274" s="174" t="n">
        <f aca="false">EOMONTH(CY273,0)+1</f>
        <v>44531</v>
      </c>
      <c r="CZ274" s="175" t="n">
        <f aca="false">IF(AI274=0,CZ262,AH274+AI274)</f>
        <v>1</v>
      </c>
      <c r="DA274" s="175" t="n">
        <f aca="false">IF(AI274=0,DA262,AI274)</f>
        <v>1.25</v>
      </c>
      <c r="DB274" s="175" t="n">
        <f aca="false">IF(AI274=0,DB262,AI274+AJ274)</f>
        <v>1.55</v>
      </c>
      <c r="DD274" s="154" t="n">
        <f aca="false">IF(Z274=0,DD262,Z274)</f>
        <v>0.0638788843714456</v>
      </c>
      <c r="DE274" s="154" t="n">
        <f aca="false">IF(AA274=0,DE262,AA274)</f>
        <v>0.127757768742891</v>
      </c>
      <c r="DF274" s="154" t="n">
        <f aca="false">IF(AB274=0,DF262,AB274)</f>
        <v>0.191636653114337</v>
      </c>
      <c r="DH274" s="174" t="n">
        <f aca="false">IF(BH274=0,EOMONTH(DH273,0)+1,BH274)</f>
        <v>44531</v>
      </c>
      <c r="DI274" s="207" t="n">
        <f aca="false">IF(BI274=0,DI262,BI274)</f>
        <v>0.9</v>
      </c>
    </row>
    <row r="275" customFormat="false" ht="12.75" hidden="false" customHeight="false" outlineLevel="0" collapsed="false">
      <c r="A275" s="138" t="n">
        <f aca="false">EOMONTH(A274,0)+1</f>
        <v>53905</v>
      </c>
      <c r="B275" s="128" t="n">
        <f aca="false">'Gas Curves'!C279</f>
        <v>0.071033984661839</v>
      </c>
      <c r="C275" s="128"/>
      <c r="D275" s="65"/>
      <c r="E275" s="65"/>
      <c r="F275" s="65"/>
      <c r="G275" s="65"/>
      <c r="H275" s="65"/>
      <c r="I275" s="65"/>
      <c r="J275" s="65"/>
      <c r="K275" s="65"/>
      <c r="L275" s="65"/>
      <c r="M275" s="13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/>
      <c r="AS275" s="65"/>
      <c r="AT275" s="65"/>
      <c r="AU275" s="65"/>
      <c r="AV275" s="65"/>
      <c r="AW275" s="65"/>
      <c r="AX275" s="65"/>
      <c r="AY275" s="65"/>
      <c r="AZ275" s="65"/>
      <c r="BA275" s="65"/>
      <c r="BB275" s="65"/>
      <c r="BC275" s="65"/>
      <c r="BD275" s="65"/>
      <c r="BE275" s="65"/>
      <c r="BF275" s="65"/>
      <c r="BG275" s="65"/>
      <c r="BH275" s="135"/>
      <c r="BI275" s="65"/>
      <c r="BJ275" s="65"/>
      <c r="BK275" s="65"/>
      <c r="BL275" s="65"/>
      <c r="BM275" s="65"/>
      <c r="BN275" s="65"/>
      <c r="BO275" s="65"/>
      <c r="BP275" s="65"/>
      <c r="BQ275" s="65"/>
      <c r="BR275" s="65"/>
      <c r="BS275" s="65"/>
      <c r="BT275" s="65"/>
      <c r="BU275" s="65"/>
      <c r="BV275" s="65"/>
      <c r="BW275" s="65"/>
      <c r="BX275" s="65"/>
      <c r="BY275" s="65"/>
      <c r="BZ275" s="65"/>
      <c r="CA275" s="65"/>
      <c r="CB275" s="65"/>
      <c r="CC275" s="65"/>
      <c r="CD275" s="65"/>
      <c r="CE275" s="65"/>
      <c r="CF275" s="65"/>
      <c r="CG275" s="65"/>
      <c r="CH275" s="0"/>
      <c r="CI275" s="0"/>
      <c r="CJ275" s="0"/>
      <c r="CK275" s="0"/>
      <c r="CP275" s="0"/>
      <c r="CQ275" s="0"/>
      <c r="CR275" s="0"/>
      <c r="CS275" s="0"/>
      <c r="CT275" s="0"/>
      <c r="CY275" s="174" t="n">
        <f aca="false">EOMONTH(CY274,0)+1</f>
        <v>44562</v>
      </c>
      <c r="CZ275" s="175" t="n">
        <f aca="false">IF(AI275=0,CZ263,AH275+AI275)</f>
        <v>1</v>
      </c>
      <c r="DA275" s="175" t="n">
        <f aca="false">IF(AI275=0,DA263,AI275)</f>
        <v>1.25</v>
      </c>
      <c r="DB275" s="175" t="n">
        <f aca="false">IF(AI275=0,DB263,AI275+AJ275)</f>
        <v>1.55</v>
      </c>
      <c r="DD275" s="154" t="n">
        <f aca="false">IF(Z275=0,DD263,Z275)</f>
        <v>0.0942652295751635</v>
      </c>
      <c r="DE275" s="154" t="n">
        <f aca="false">IF(AA275=0,DE263,AA275)</f>
        <v>0.188530459150327</v>
      </c>
      <c r="DF275" s="154" t="n">
        <f aca="false">IF(AB275=0,DF263,AB275)</f>
        <v>0.28279568872549</v>
      </c>
      <c r="DH275" s="174" t="n">
        <f aca="false">IF(BH275=0,EOMONTH(DH274,0)+1,BH275)</f>
        <v>44562</v>
      </c>
      <c r="DI275" s="207" t="n">
        <f aca="false">IF(BI275=0,DI263,BI275)</f>
        <v>0.9</v>
      </c>
    </row>
    <row r="276" customFormat="false" ht="12.75" hidden="false" customHeight="false" outlineLevel="0" collapsed="false">
      <c r="A276" s="138" t="n">
        <f aca="false">EOMONTH(A275,0)+1</f>
        <v>53936</v>
      </c>
      <c r="B276" s="128" t="n">
        <f aca="false">'Gas Curves'!C280</f>
        <v>0.071021336021867</v>
      </c>
      <c r="C276" s="128"/>
      <c r="D276" s="65"/>
      <c r="E276" s="65"/>
      <c r="F276" s="65"/>
      <c r="G276" s="65"/>
      <c r="H276" s="65"/>
      <c r="I276" s="65"/>
      <c r="J276" s="65"/>
      <c r="K276" s="65"/>
      <c r="L276" s="65"/>
      <c r="M276" s="13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  <c r="AX276" s="65"/>
      <c r="AY276" s="65"/>
      <c r="AZ276" s="65"/>
      <c r="BA276" s="65"/>
      <c r="BB276" s="65"/>
      <c r="BC276" s="65"/>
      <c r="BD276" s="65"/>
      <c r="BE276" s="65"/>
      <c r="BF276" s="65"/>
      <c r="BG276" s="65"/>
      <c r="BH276" s="135"/>
      <c r="BI276" s="65"/>
      <c r="BJ276" s="65"/>
      <c r="BK276" s="65"/>
      <c r="BL276" s="65"/>
      <c r="BM276" s="65"/>
      <c r="BN276" s="65"/>
      <c r="BO276" s="65"/>
      <c r="BP276" s="65"/>
      <c r="BQ276" s="65"/>
      <c r="BR276" s="65"/>
      <c r="BS276" s="65"/>
      <c r="BT276" s="65"/>
      <c r="BU276" s="65"/>
      <c r="BV276" s="65"/>
      <c r="BW276" s="65"/>
      <c r="BX276" s="65"/>
      <c r="BY276" s="65"/>
      <c r="BZ276" s="65"/>
      <c r="CA276" s="65"/>
      <c r="CB276" s="65"/>
      <c r="CC276" s="65"/>
      <c r="CD276" s="65"/>
      <c r="CE276" s="65"/>
      <c r="CF276" s="65"/>
      <c r="CG276" s="65"/>
      <c r="CH276" s="0"/>
      <c r="CI276" s="0"/>
      <c r="CJ276" s="0"/>
      <c r="CK276" s="0"/>
      <c r="CP276" s="0"/>
      <c r="CQ276" s="0"/>
      <c r="CR276" s="0"/>
      <c r="CS276" s="0"/>
      <c r="CT276" s="0"/>
      <c r="CY276" s="174" t="n">
        <f aca="false">EOMONTH(CY275,0)+1</f>
        <v>44593</v>
      </c>
      <c r="CZ276" s="175" t="n">
        <f aca="false">IF(AI276=0,CZ264,AH276+AI276)</f>
        <v>1</v>
      </c>
      <c r="DA276" s="175" t="n">
        <f aca="false">IF(AI276=0,DA264,AI276)</f>
        <v>1.25</v>
      </c>
      <c r="DB276" s="175" t="n">
        <f aca="false">IF(AI276=0,DB264,AI276+AJ276)</f>
        <v>1.55</v>
      </c>
      <c r="DD276" s="154" t="n">
        <f aca="false">IF(Z276=0,DD264,Z276)</f>
        <v>0.0910666090107368</v>
      </c>
      <c r="DE276" s="154" t="n">
        <f aca="false">IF(AA276=0,DE264,AA276)</f>
        <v>0.182133218021474</v>
      </c>
      <c r="DF276" s="154" t="n">
        <f aca="false">IF(AB276=0,DF264,AB276)</f>
        <v>0.27319982703221</v>
      </c>
      <c r="DH276" s="174" t="n">
        <f aca="false">IF(BH276=0,EOMONTH(DH275,0)+1,BH276)</f>
        <v>44593</v>
      </c>
      <c r="DI276" s="207" t="n">
        <f aca="false">IF(BI276=0,DI264,BI276)</f>
        <v>0.9</v>
      </c>
    </row>
    <row r="277" customFormat="false" ht="12.75" hidden="false" customHeight="false" outlineLevel="0" collapsed="false">
      <c r="A277" s="138" t="n">
        <f aca="false">EOMONTH(A276,0)+1</f>
        <v>53966</v>
      </c>
      <c r="B277" s="128" t="n">
        <f aca="false">'Gas Curves'!C281</f>
        <v>0.071009095402589</v>
      </c>
      <c r="C277" s="128"/>
      <c r="D277" s="65"/>
      <c r="E277" s="65"/>
      <c r="F277" s="65"/>
      <c r="G277" s="65"/>
      <c r="H277" s="65"/>
      <c r="I277" s="65"/>
      <c r="J277" s="65"/>
      <c r="K277" s="65"/>
      <c r="L277" s="65"/>
      <c r="M277" s="13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65"/>
      <c r="AT277" s="65"/>
      <c r="AU277" s="65"/>
      <c r="AV277" s="65"/>
      <c r="AW277" s="65"/>
      <c r="AX277" s="65"/>
      <c r="AY277" s="65"/>
      <c r="AZ277" s="65"/>
      <c r="BA277" s="65"/>
      <c r="BB277" s="65"/>
      <c r="BC277" s="65"/>
      <c r="BD277" s="65"/>
      <c r="BE277" s="65"/>
      <c r="BF277" s="65"/>
      <c r="BG277" s="65"/>
      <c r="BH277" s="135"/>
      <c r="BI277" s="65"/>
      <c r="BJ277" s="65"/>
      <c r="BK277" s="65"/>
      <c r="BL277" s="65"/>
      <c r="BM277" s="65"/>
      <c r="BN277" s="65"/>
      <c r="BO277" s="65"/>
      <c r="BP277" s="65"/>
      <c r="BQ277" s="65"/>
      <c r="BR277" s="65"/>
      <c r="BS277" s="65"/>
      <c r="BT277" s="65"/>
      <c r="BU277" s="65"/>
      <c r="BV277" s="65"/>
      <c r="BW277" s="65"/>
      <c r="BX277" s="65"/>
      <c r="BY277" s="65"/>
      <c r="BZ277" s="65"/>
      <c r="CA277" s="65"/>
      <c r="CB277" s="65"/>
      <c r="CC277" s="65"/>
      <c r="CD277" s="65"/>
      <c r="CE277" s="65"/>
      <c r="CF277" s="65"/>
      <c r="CG277" s="65"/>
      <c r="CH277" s="0"/>
      <c r="CI277" s="0"/>
      <c r="CJ277" s="0"/>
      <c r="CK277" s="0"/>
      <c r="CP277" s="0"/>
      <c r="CQ277" s="0"/>
      <c r="CR277" s="0"/>
      <c r="CS277" s="0"/>
      <c r="CT277" s="0"/>
      <c r="CY277" s="174" t="n">
        <f aca="false">EOMONTH(CY276,0)+1</f>
        <v>44621</v>
      </c>
      <c r="CZ277" s="175" t="n">
        <f aca="false">IF(AI277=0,CZ265,AH277+AI277)</f>
        <v>1</v>
      </c>
      <c r="DA277" s="175" t="n">
        <f aca="false">IF(AI277=0,DA265,AI277)</f>
        <v>1.25</v>
      </c>
      <c r="DB277" s="175" t="n">
        <f aca="false">IF(AI277=0,DB265,AI277+AJ277)</f>
        <v>1.55</v>
      </c>
      <c r="DD277" s="154" t="n">
        <f aca="false">IF(Z277=0,DD265,Z277)</f>
        <v>0.0721937023797812</v>
      </c>
      <c r="DE277" s="154" t="n">
        <f aca="false">IF(AA277=0,DE265,AA277)</f>
        <v>0.144387404759562</v>
      </c>
      <c r="DF277" s="154" t="n">
        <f aca="false">IF(AB277=0,DF265,AB277)</f>
        <v>0.216581107139343</v>
      </c>
      <c r="DH277" s="174" t="n">
        <f aca="false">IF(BH277=0,EOMONTH(DH276,0)+1,BH277)</f>
        <v>44621</v>
      </c>
      <c r="DI277" s="207" t="n">
        <f aca="false">IF(BI277=0,DI265,BI277)</f>
        <v>0.9</v>
      </c>
    </row>
    <row r="278" customFormat="false" ht="12.75" hidden="false" customHeight="false" outlineLevel="0" collapsed="false">
      <c r="A278" s="138" t="n">
        <f aca="false">EOMONTH(A277,0)+1</f>
        <v>53997</v>
      </c>
      <c r="B278" s="128" t="n">
        <f aca="false">'Gas Curves'!C282</f>
        <v>0.07099644676272</v>
      </c>
      <c r="C278" s="128"/>
      <c r="D278" s="65"/>
      <c r="E278" s="65"/>
      <c r="F278" s="65"/>
      <c r="G278" s="65"/>
      <c r="H278" s="65"/>
      <c r="I278" s="65"/>
      <c r="J278" s="65"/>
      <c r="K278" s="65"/>
      <c r="L278" s="65"/>
      <c r="M278" s="13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  <c r="AX278" s="65"/>
      <c r="AY278" s="65"/>
      <c r="AZ278" s="65"/>
      <c r="BA278" s="65"/>
      <c r="BB278" s="65"/>
      <c r="BC278" s="65"/>
      <c r="BD278" s="65"/>
      <c r="BE278" s="65"/>
      <c r="BF278" s="65"/>
      <c r="BG278" s="65"/>
      <c r="BH278" s="135"/>
      <c r="BI278" s="65"/>
      <c r="BJ278" s="65"/>
      <c r="BK278" s="65"/>
      <c r="BL278" s="65"/>
      <c r="BM278" s="65"/>
      <c r="BN278" s="65"/>
      <c r="BO278" s="65"/>
      <c r="BP278" s="65"/>
      <c r="BQ278" s="65"/>
      <c r="BR278" s="65"/>
      <c r="BS278" s="65"/>
      <c r="BT278" s="65"/>
      <c r="BU278" s="65"/>
      <c r="BV278" s="65"/>
      <c r="BW278" s="65"/>
      <c r="BX278" s="65"/>
      <c r="BY278" s="65"/>
      <c r="BZ278" s="65"/>
      <c r="CA278" s="65"/>
      <c r="CB278" s="65"/>
      <c r="CC278" s="65"/>
      <c r="CD278" s="65"/>
      <c r="CE278" s="65"/>
      <c r="CF278" s="65"/>
      <c r="CG278" s="65"/>
      <c r="CH278" s="0"/>
      <c r="CI278" s="0"/>
      <c r="CJ278" s="0"/>
      <c r="CK278" s="0"/>
      <c r="CP278" s="0"/>
      <c r="CQ278" s="0"/>
      <c r="CR278" s="0"/>
      <c r="CS278" s="0"/>
      <c r="CT278" s="0"/>
      <c r="CY278" s="174" t="n">
        <f aca="false">EOMONTH(CY277,0)+1</f>
        <v>44652</v>
      </c>
      <c r="CZ278" s="175" t="n">
        <f aca="false">IF(AI278=0,CZ266,AH278+AI278)</f>
        <v>0</v>
      </c>
      <c r="DA278" s="175" t="n">
        <f aca="false">IF(AI278=0,DA266,AI278)</f>
        <v>0</v>
      </c>
      <c r="DB278" s="175" t="n">
        <f aca="false">IF(AI278=0,DB266,AI278+AJ278)</f>
        <v>0</v>
      </c>
      <c r="DD278" s="154" t="n">
        <f aca="false">IF(Z278=0,DD266,Z278)</f>
        <v>0</v>
      </c>
      <c r="DE278" s="154" t="n">
        <f aca="false">IF(AA278=0,DE266,AA278)</f>
        <v>0</v>
      </c>
      <c r="DF278" s="154" t="n">
        <f aca="false">IF(AB278=0,DF266,AB278)</f>
        <v>0</v>
      </c>
      <c r="DH278" s="174" t="n">
        <f aca="false">IF(BH278=0,EOMONTH(DH277,0)+1,BH278)</f>
        <v>44652</v>
      </c>
      <c r="DI278" s="207" t="n">
        <f aca="false">IF(BI278=0,DI266,BI278)</f>
        <v>0</v>
      </c>
    </row>
    <row r="279" customFormat="false" ht="12.75" hidden="false" customHeight="false" outlineLevel="0" collapsed="false">
      <c r="A279" s="138" t="n">
        <f aca="false">EOMONTH(A278,0)+1</f>
        <v>54027</v>
      </c>
      <c r="B279" s="128" t="n">
        <f aca="false">'Gas Curves'!C283</f>
        <v>0.070984206143543</v>
      </c>
      <c r="C279" s="128"/>
      <c r="D279" s="65"/>
      <c r="E279" s="65"/>
      <c r="F279" s="65"/>
      <c r="G279" s="65"/>
      <c r="H279" s="65"/>
      <c r="I279" s="65"/>
      <c r="J279" s="65"/>
      <c r="K279" s="65"/>
      <c r="L279" s="65"/>
      <c r="M279" s="13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  <c r="BG279" s="65"/>
      <c r="BH279" s="135"/>
      <c r="BI279" s="65"/>
      <c r="BJ279" s="65"/>
      <c r="BK279" s="65"/>
      <c r="BL279" s="65"/>
      <c r="BM279" s="65"/>
      <c r="BN279" s="65"/>
      <c r="BO279" s="65"/>
      <c r="BP279" s="65"/>
      <c r="BQ279" s="65"/>
      <c r="BR279" s="65"/>
      <c r="BS279" s="65"/>
      <c r="BT279" s="65"/>
      <c r="BU279" s="65"/>
      <c r="BV279" s="65"/>
      <c r="BW279" s="65"/>
      <c r="BX279" s="65"/>
      <c r="BY279" s="65"/>
      <c r="BZ279" s="65"/>
      <c r="CA279" s="65"/>
      <c r="CB279" s="65"/>
      <c r="CC279" s="65"/>
      <c r="CD279" s="65"/>
      <c r="CE279" s="65"/>
      <c r="CF279" s="65"/>
      <c r="CG279" s="65"/>
      <c r="CH279" s="0"/>
      <c r="CI279" s="0"/>
      <c r="CJ279" s="0"/>
      <c r="CK279" s="0"/>
      <c r="CP279" s="0"/>
      <c r="CQ279" s="0"/>
      <c r="CR279" s="0"/>
      <c r="CS279" s="0"/>
      <c r="CT279" s="0"/>
      <c r="CY279" s="174" t="n">
        <f aca="false">EOMONTH(CY278,0)+1</f>
        <v>44682</v>
      </c>
      <c r="CZ279" s="175" t="n">
        <f aca="false">IF(AI279=0,CZ267,AH279+AI279)</f>
        <v>1</v>
      </c>
      <c r="DA279" s="175" t="n">
        <f aca="false">IF(AI279=0,DA267,AI279)</f>
        <v>1.25</v>
      </c>
      <c r="DB279" s="175" t="n">
        <f aca="false">IF(AI279=0,DB267,AI279+AJ279)</f>
        <v>1.55</v>
      </c>
      <c r="DD279" s="154" t="n">
        <f aca="false">IF(Z279=0,DD267,Z279)</f>
        <v>0.079836777060087</v>
      </c>
      <c r="DE279" s="154" t="n">
        <f aca="false">IF(AA279=0,DE267,AA279)</f>
        <v>0.159673554120174</v>
      </c>
      <c r="DF279" s="154" t="n">
        <f aca="false">IF(AB279=0,DF267,AB279)</f>
        <v>0.239510331180261</v>
      </c>
      <c r="DH279" s="174" t="n">
        <f aca="false">IF(BH279=0,EOMONTH(DH278,0)+1,BH279)</f>
        <v>44682</v>
      </c>
      <c r="DI279" s="207" t="n">
        <f aca="false">IF(BI279=0,DI267,BI279)</f>
        <v>0.9</v>
      </c>
    </row>
    <row r="280" customFormat="false" ht="12.75" hidden="false" customHeight="false" outlineLevel="0" collapsed="false">
      <c r="A280" s="138" t="n">
        <f aca="false">EOMONTH(A279,0)+1</f>
        <v>54058</v>
      </c>
      <c r="B280" s="128" t="n">
        <f aca="false">'Gas Curves'!C284</f>
        <v>0.070971557503779</v>
      </c>
      <c r="C280" s="128"/>
      <c r="D280" s="65"/>
      <c r="E280" s="65"/>
      <c r="F280" s="65"/>
      <c r="G280" s="65"/>
      <c r="H280" s="65"/>
      <c r="I280" s="65"/>
      <c r="J280" s="65"/>
      <c r="K280" s="65"/>
      <c r="L280" s="65"/>
      <c r="M280" s="13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  <c r="AX280" s="65"/>
      <c r="AY280" s="65"/>
      <c r="AZ280" s="65"/>
      <c r="BA280" s="65"/>
      <c r="BB280" s="65"/>
      <c r="BC280" s="65"/>
      <c r="BD280" s="65"/>
      <c r="BE280" s="65"/>
      <c r="BF280" s="65"/>
      <c r="BG280" s="65"/>
      <c r="BH280" s="135"/>
      <c r="BI280" s="65"/>
      <c r="BJ280" s="65"/>
      <c r="BK280" s="65"/>
      <c r="BL280" s="65"/>
      <c r="BM280" s="65"/>
      <c r="BN280" s="65"/>
      <c r="BO280" s="65"/>
      <c r="BP280" s="65"/>
      <c r="BQ280" s="65"/>
      <c r="BR280" s="65"/>
      <c r="BS280" s="65"/>
      <c r="BT280" s="65"/>
      <c r="BU280" s="65"/>
      <c r="BV280" s="65"/>
      <c r="BW280" s="65"/>
      <c r="BX280" s="65"/>
      <c r="BY280" s="65"/>
      <c r="BZ280" s="65"/>
      <c r="CA280" s="65"/>
      <c r="CB280" s="65"/>
      <c r="CC280" s="65"/>
      <c r="CD280" s="65"/>
      <c r="CE280" s="65"/>
      <c r="CF280" s="65"/>
      <c r="CG280" s="65"/>
      <c r="CH280" s="0"/>
      <c r="CI280" s="0"/>
      <c r="CJ280" s="0"/>
      <c r="CK280" s="0"/>
      <c r="CP280" s="0"/>
      <c r="CQ280" s="0"/>
      <c r="CR280" s="0"/>
      <c r="CS280" s="0"/>
      <c r="CT280" s="0"/>
      <c r="CY280" s="174" t="n">
        <f aca="false">EOMONTH(CY279,0)+1</f>
        <v>44713</v>
      </c>
      <c r="CZ280" s="175" t="n">
        <f aca="false">IF(AI280=0,CZ268,AH280+AI280)</f>
        <v>1</v>
      </c>
      <c r="DA280" s="175" t="n">
        <f aca="false">IF(AI280=0,DA268,AI280)</f>
        <v>1.25</v>
      </c>
      <c r="DB280" s="175" t="n">
        <f aca="false">IF(AI280=0,DB268,AI280+AJ280)</f>
        <v>1.55</v>
      </c>
      <c r="DD280" s="154" t="n">
        <f aca="false">IF(Z280=0,DD268,Z280)</f>
        <v>0.085380172451756</v>
      </c>
      <c r="DE280" s="154" t="n">
        <f aca="false">IF(AA280=0,DE268,AA280)</f>
        <v>0.170760344903512</v>
      </c>
      <c r="DF280" s="154" t="n">
        <f aca="false">IF(AB280=0,DF268,AB280)</f>
        <v>0.256140517355268</v>
      </c>
      <c r="DH280" s="174" t="n">
        <f aca="false">IF(BH280=0,EOMONTH(DH279,0)+1,BH280)</f>
        <v>44713</v>
      </c>
      <c r="DI280" s="207" t="n">
        <f aca="false">IF(BI280=0,DI268,BI280)</f>
        <v>0.9</v>
      </c>
    </row>
    <row r="281" customFormat="false" ht="12.75" hidden="false" customHeight="false" outlineLevel="0" collapsed="false">
      <c r="A281" s="138" t="n">
        <f aca="false">EOMONTH(A280,0)+1</f>
        <v>54089</v>
      </c>
      <c r="B281" s="128" t="n">
        <f aca="false">'Gas Curves'!C285</f>
        <v>0.070958908864067</v>
      </c>
      <c r="C281" s="128"/>
      <c r="D281" s="65"/>
      <c r="E281" s="65"/>
      <c r="F281" s="65"/>
      <c r="G281" s="65"/>
      <c r="H281" s="65"/>
      <c r="I281" s="65"/>
      <c r="J281" s="65"/>
      <c r="K281" s="65"/>
      <c r="L281" s="65"/>
      <c r="M281" s="13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/>
      <c r="AS281" s="65"/>
      <c r="AT281" s="65"/>
      <c r="AU281" s="65"/>
      <c r="AV281" s="65"/>
      <c r="AW281" s="65"/>
      <c r="AX281" s="65"/>
      <c r="AY281" s="65"/>
      <c r="AZ281" s="65"/>
      <c r="BA281" s="65"/>
      <c r="BB281" s="65"/>
      <c r="BC281" s="65"/>
      <c r="BD281" s="65"/>
      <c r="BE281" s="65"/>
      <c r="BF281" s="65"/>
      <c r="BG281" s="65"/>
      <c r="BH281" s="135"/>
      <c r="BI281" s="65"/>
      <c r="BJ281" s="65"/>
      <c r="BK281" s="65"/>
      <c r="BL281" s="65"/>
      <c r="BM281" s="65"/>
      <c r="BN281" s="65"/>
      <c r="BO281" s="65"/>
      <c r="BP281" s="65"/>
      <c r="BQ281" s="65"/>
      <c r="BR281" s="65"/>
      <c r="BS281" s="65"/>
      <c r="BT281" s="65"/>
      <c r="BU281" s="65"/>
      <c r="BV281" s="65"/>
      <c r="BW281" s="65"/>
      <c r="BX281" s="65"/>
      <c r="BY281" s="65"/>
      <c r="BZ281" s="65"/>
      <c r="CA281" s="65"/>
      <c r="CB281" s="65"/>
      <c r="CC281" s="65"/>
      <c r="CD281" s="65"/>
      <c r="CE281" s="65"/>
      <c r="CF281" s="65"/>
      <c r="CG281" s="65"/>
      <c r="CH281" s="0"/>
      <c r="CI281" s="0"/>
      <c r="CJ281" s="0"/>
      <c r="CK281" s="0"/>
      <c r="CP281" s="0"/>
      <c r="CQ281" s="0"/>
      <c r="CR281" s="0"/>
      <c r="CS281" s="0"/>
      <c r="CT281" s="0"/>
      <c r="CY281" s="174" t="n">
        <f aca="false">EOMONTH(CY280,0)+1</f>
        <v>44743</v>
      </c>
      <c r="CZ281" s="175" t="n">
        <f aca="false">IF(AI281=0,CZ269,AH281+AI281)</f>
        <v>1</v>
      </c>
      <c r="DA281" s="175" t="n">
        <f aca="false">IF(AI281=0,DA269,AI281)</f>
        <v>1.25</v>
      </c>
      <c r="DB281" s="175" t="n">
        <f aca="false">IF(AI281=0,DB269,AI281+AJ281)</f>
        <v>1.55</v>
      </c>
      <c r="DD281" s="154" t="n">
        <f aca="false">IF(Z281=0,DD269,Z281)</f>
        <v>0.101692367108662</v>
      </c>
      <c r="DE281" s="154" t="n">
        <f aca="false">IF(AA281=0,DE269,AA281)</f>
        <v>0.203384734217324</v>
      </c>
      <c r="DF281" s="154" t="n">
        <f aca="false">IF(AB281=0,DF269,AB281)</f>
        <v>0.305077101325986</v>
      </c>
      <c r="DH281" s="174" t="n">
        <f aca="false">IF(BH281=0,EOMONTH(DH280,0)+1,BH281)</f>
        <v>44743</v>
      </c>
      <c r="DI281" s="207" t="n">
        <f aca="false">IF(BI281=0,DI269,BI281)</f>
        <v>0.9</v>
      </c>
    </row>
    <row r="282" customFormat="false" ht="12.75" hidden="false" customHeight="false" outlineLevel="0" collapsed="false">
      <c r="A282" s="138" t="n">
        <f aca="false">EOMONTH(A281,0)+1</f>
        <v>54118</v>
      </c>
      <c r="B282" s="128" t="n">
        <f aca="false">'Gas Curves'!C286</f>
        <v>0.070947484286308</v>
      </c>
      <c r="C282" s="128"/>
      <c r="D282" s="65"/>
      <c r="E282" s="65"/>
      <c r="F282" s="65"/>
      <c r="G282" s="65"/>
      <c r="H282" s="65"/>
      <c r="I282" s="65"/>
      <c r="J282" s="65"/>
      <c r="K282" s="65"/>
      <c r="L282" s="65"/>
      <c r="M282" s="13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  <c r="AX282" s="65"/>
      <c r="AY282" s="65"/>
      <c r="AZ282" s="65"/>
      <c r="BA282" s="65"/>
      <c r="BB282" s="65"/>
      <c r="BC282" s="65"/>
      <c r="BD282" s="65"/>
      <c r="BE282" s="65"/>
      <c r="BF282" s="65"/>
      <c r="BG282" s="65"/>
      <c r="BH282" s="135"/>
      <c r="BI282" s="65"/>
      <c r="BJ282" s="65"/>
      <c r="BK282" s="65"/>
      <c r="BL282" s="65"/>
      <c r="BM282" s="65"/>
      <c r="BN282" s="65"/>
      <c r="BO282" s="65"/>
      <c r="BP282" s="65"/>
      <c r="BQ282" s="65"/>
      <c r="BR282" s="65"/>
      <c r="BS282" s="65"/>
      <c r="BT282" s="65"/>
      <c r="BU282" s="65"/>
      <c r="BV282" s="65"/>
      <c r="BW282" s="65"/>
      <c r="BX282" s="65"/>
      <c r="BY282" s="65"/>
      <c r="BZ282" s="65"/>
      <c r="CA282" s="65"/>
      <c r="CB282" s="65"/>
      <c r="CC282" s="65"/>
      <c r="CD282" s="65"/>
      <c r="CE282" s="65"/>
      <c r="CF282" s="65"/>
      <c r="CG282" s="65"/>
      <c r="CH282" s="0"/>
      <c r="CI282" s="0"/>
      <c r="CJ282" s="0"/>
      <c r="CK282" s="0"/>
      <c r="CP282" s="0"/>
      <c r="CQ282" s="0"/>
      <c r="CR282" s="0"/>
      <c r="CS282" s="0"/>
      <c r="CT282" s="0"/>
      <c r="CY282" s="174" t="n">
        <f aca="false">EOMONTH(CY281,0)+1</f>
        <v>44774</v>
      </c>
      <c r="CZ282" s="175" t="n">
        <f aca="false">IF(AI282=0,CZ270,AH282+AI282)</f>
        <v>1</v>
      </c>
      <c r="DA282" s="175" t="n">
        <f aca="false">IF(AI282=0,DA270,AI282)</f>
        <v>1.25</v>
      </c>
      <c r="DB282" s="175" t="n">
        <f aca="false">IF(AI282=0,DB270,AI282+AJ282)</f>
        <v>1.55</v>
      </c>
      <c r="DD282" s="154" t="n">
        <f aca="false">IF(Z282=0,DD270,Z282)</f>
        <v>0.0994642258486125</v>
      </c>
      <c r="DE282" s="154" t="n">
        <f aca="false">IF(AA282=0,DE270,AA282)</f>
        <v>0.198928451697225</v>
      </c>
      <c r="DF282" s="154" t="n">
        <f aca="false">IF(AB282=0,DF270,AB282)</f>
        <v>0.298392677545837</v>
      </c>
      <c r="DH282" s="174" t="n">
        <f aca="false">IF(BH282=0,EOMONTH(DH281,0)+1,BH282)</f>
        <v>44774</v>
      </c>
      <c r="DI282" s="207" t="n">
        <f aca="false">IF(BI282=0,DI270,BI282)</f>
        <v>0.9</v>
      </c>
    </row>
    <row r="283" customFormat="false" ht="12.75" hidden="false" customHeight="false" outlineLevel="0" collapsed="false">
      <c r="A283" s="138" t="n">
        <f aca="false">EOMONTH(A282,0)+1</f>
        <v>54149</v>
      </c>
      <c r="B283" s="128" t="n">
        <f aca="false">'Gas Curves'!C287</f>
        <v>0.070934835646697</v>
      </c>
      <c r="C283" s="128"/>
      <c r="D283" s="65"/>
      <c r="E283" s="65"/>
      <c r="F283" s="65"/>
      <c r="G283" s="65"/>
      <c r="H283" s="65"/>
      <c r="I283" s="65"/>
      <c r="J283" s="65"/>
      <c r="K283" s="65"/>
      <c r="L283" s="65"/>
      <c r="M283" s="13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  <c r="BG283" s="65"/>
      <c r="BH283" s="135"/>
      <c r="BI283" s="65"/>
      <c r="BJ283" s="65"/>
      <c r="BK283" s="65"/>
      <c r="BL283" s="65"/>
      <c r="BM283" s="65"/>
      <c r="BN283" s="65"/>
      <c r="BO283" s="65"/>
      <c r="BP283" s="65"/>
      <c r="BQ283" s="65"/>
      <c r="BR283" s="65"/>
      <c r="BS283" s="65"/>
      <c r="BT283" s="65"/>
      <c r="BU283" s="65"/>
      <c r="BV283" s="65"/>
      <c r="BW283" s="65"/>
      <c r="BX283" s="65"/>
      <c r="BY283" s="65"/>
      <c r="BZ283" s="65"/>
      <c r="CA283" s="65"/>
      <c r="CB283" s="65"/>
      <c r="CC283" s="65"/>
      <c r="CD283" s="65"/>
      <c r="CE283" s="65"/>
      <c r="CF283" s="65"/>
      <c r="CG283" s="65"/>
      <c r="CH283" s="0"/>
      <c r="CI283" s="0"/>
      <c r="CJ283" s="0"/>
      <c r="CK283" s="0"/>
      <c r="CP283" s="0"/>
      <c r="CQ283" s="0"/>
      <c r="CR283" s="0"/>
      <c r="CS283" s="0"/>
      <c r="CT283" s="0"/>
      <c r="CY283" s="174" t="n">
        <f aca="false">EOMONTH(CY282,0)+1</f>
        <v>44805</v>
      </c>
      <c r="CZ283" s="175" t="n">
        <f aca="false">IF(AI283=0,CZ271,AH283+AI283)</f>
        <v>1</v>
      </c>
      <c r="DA283" s="175" t="n">
        <f aca="false">IF(AI283=0,DA271,AI283)</f>
        <v>1.25</v>
      </c>
      <c r="DB283" s="175" t="n">
        <f aca="false">IF(AI283=0,DB271,AI283+AJ283)</f>
        <v>1.55</v>
      </c>
      <c r="DD283" s="154" t="n">
        <f aca="false">IF(Z283=0,DD271,Z283)</f>
        <v>0.0753606888398985</v>
      </c>
      <c r="DE283" s="154" t="n">
        <f aca="false">IF(AA283=0,DE271,AA283)</f>
        <v>0.150721377679797</v>
      </c>
      <c r="DF283" s="154" t="n">
        <f aca="false">IF(AB283=0,DF271,AB283)</f>
        <v>0.226082066519696</v>
      </c>
      <c r="DH283" s="174" t="n">
        <f aca="false">IF(BH283=0,EOMONTH(DH282,0)+1,BH283)</f>
        <v>44805</v>
      </c>
      <c r="DI283" s="207" t="n">
        <f aca="false">IF(BI283=0,DI271,BI283)</f>
        <v>0.9</v>
      </c>
    </row>
    <row r="284" customFormat="false" ht="12.75" hidden="false" customHeight="false" outlineLevel="0" collapsed="false">
      <c r="A284" s="138" t="n">
        <f aca="false">EOMONTH(A283,0)+1</f>
        <v>54179</v>
      </c>
      <c r="B284" s="128" t="n">
        <f aca="false">'Gas Curves'!C288</f>
        <v>0.07092259502777</v>
      </c>
      <c r="C284" s="128"/>
      <c r="D284" s="65"/>
      <c r="E284" s="65"/>
      <c r="F284" s="65"/>
      <c r="G284" s="65"/>
      <c r="H284" s="65"/>
      <c r="I284" s="65"/>
      <c r="J284" s="65"/>
      <c r="K284" s="65"/>
      <c r="L284" s="65"/>
      <c r="M284" s="13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  <c r="AX284" s="65"/>
      <c r="AY284" s="65"/>
      <c r="AZ284" s="65"/>
      <c r="BA284" s="65"/>
      <c r="BB284" s="65"/>
      <c r="BC284" s="65"/>
      <c r="BD284" s="65"/>
      <c r="BE284" s="65"/>
      <c r="BF284" s="65"/>
      <c r="BG284" s="65"/>
      <c r="BH284" s="135"/>
      <c r="BI284" s="65"/>
      <c r="BJ284" s="65"/>
      <c r="BK284" s="65"/>
      <c r="BL284" s="65"/>
      <c r="BM284" s="65"/>
      <c r="BN284" s="65"/>
      <c r="BO284" s="65"/>
      <c r="BP284" s="65"/>
      <c r="BQ284" s="65"/>
      <c r="BR284" s="65"/>
      <c r="BS284" s="65"/>
      <c r="BT284" s="65"/>
      <c r="BU284" s="65"/>
      <c r="BV284" s="65"/>
      <c r="BW284" s="65"/>
      <c r="BX284" s="65"/>
      <c r="BY284" s="65"/>
      <c r="BZ284" s="65"/>
      <c r="CA284" s="65"/>
      <c r="CB284" s="65"/>
      <c r="CC284" s="65"/>
      <c r="CD284" s="65"/>
      <c r="CE284" s="65"/>
      <c r="CF284" s="65"/>
      <c r="CG284" s="65"/>
      <c r="CH284" s="0"/>
      <c r="CI284" s="0"/>
      <c r="CJ284" s="0"/>
      <c r="CK284" s="0"/>
      <c r="CP284" s="0"/>
      <c r="CQ284" s="0"/>
      <c r="CR284" s="0"/>
      <c r="CS284" s="0"/>
      <c r="CT284" s="0"/>
      <c r="CY284" s="174" t="n">
        <f aca="false">EOMONTH(CY283,0)+1</f>
        <v>44835</v>
      </c>
      <c r="CZ284" s="175" t="n">
        <f aca="false">IF(AI284=0,CZ272,AH284+AI284)</f>
        <v>1</v>
      </c>
      <c r="DA284" s="175" t="n">
        <f aca="false">IF(AI284=0,DA272,AI284)</f>
        <v>1.25</v>
      </c>
      <c r="DB284" s="175" t="n">
        <f aca="false">IF(AI284=0,DB272,AI284+AJ284)</f>
        <v>1.55</v>
      </c>
      <c r="DD284" s="154" t="n">
        <f aca="false">IF(Z284=0,DD272,Z284)</f>
        <v>0.0651800088356474</v>
      </c>
      <c r="DE284" s="154" t="n">
        <f aca="false">IF(AA284=0,DE272,AA284)</f>
        <v>0.130360017671295</v>
      </c>
      <c r="DF284" s="154" t="n">
        <f aca="false">IF(AB284=0,DF272,AB284)</f>
        <v>0.195540026506942</v>
      </c>
      <c r="DH284" s="174" t="n">
        <f aca="false">IF(BH284=0,EOMONTH(DH283,0)+1,BH284)</f>
        <v>44835</v>
      </c>
      <c r="DI284" s="207" t="n">
        <f aca="false">IF(BI284=0,DI272,BI284)</f>
        <v>0.9</v>
      </c>
    </row>
    <row r="285" customFormat="false" ht="12.75" hidden="false" customHeight="false" outlineLevel="0" collapsed="false">
      <c r="A285" s="138" t="n">
        <f aca="false">EOMONTH(A284,0)+1</f>
        <v>54210</v>
      </c>
      <c r="B285" s="128" t="n">
        <f aca="false">'Gas Curves'!C289</f>
        <v>0.070909946388262</v>
      </c>
      <c r="C285" s="128"/>
      <c r="D285" s="65"/>
      <c r="E285" s="65"/>
      <c r="F285" s="65"/>
      <c r="G285" s="65"/>
      <c r="H285" s="65"/>
      <c r="I285" s="65"/>
      <c r="J285" s="65"/>
      <c r="K285" s="65"/>
      <c r="L285" s="65"/>
      <c r="M285" s="13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/>
      <c r="AS285" s="65"/>
      <c r="AT285" s="65"/>
      <c r="AU285" s="65"/>
      <c r="AV285" s="65"/>
      <c r="AW285" s="65"/>
      <c r="AX285" s="65"/>
      <c r="AY285" s="65"/>
      <c r="AZ285" s="65"/>
      <c r="BA285" s="65"/>
      <c r="BB285" s="65"/>
      <c r="BC285" s="65"/>
      <c r="BD285" s="65"/>
      <c r="BE285" s="65"/>
      <c r="BF285" s="65"/>
      <c r="BG285" s="65"/>
      <c r="BH285" s="135"/>
      <c r="BI285" s="65"/>
      <c r="BJ285" s="65"/>
      <c r="BK285" s="65"/>
      <c r="BL285" s="65"/>
      <c r="BM285" s="65"/>
      <c r="BN285" s="65"/>
      <c r="BO285" s="65"/>
      <c r="BP285" s="65"/>
      <c r="BQ285" s="65"/>
      <c r="BR285" s="65"/>
      <c r="BS285" s="65"/>
      <c r="BT285" s="65"/>
      <c r="BU285" s="65"/>
      <c r="BV285" s="65"/>
      <c r="BW285" s="65"/>
      <c r="BX285" s="65"/>
      <c r="BY285" s="65"/>
      <c r="BZ285" s="65"/>
      <c r="CA285" s="65"/>
      <c r="CB285" s="65"/>
      <c r="CC285" s="65"/>
      <c r="CD285" s="65"/>
      <c r="CE285" s="65"/>
      <c r="CF285" s="65"/>
      <c r="CG285" s="65"/>
      <c r="CH285" s="0"/>
      <c r="CI285" s="0"/>
      <c r="CJ285" s="0"/>
      <c r="CK285" s="0"/>
      <c r="CP285" s="0"/>
      <c r="CQ285" s="0"/>
      <c r="CR285" s="0"/>
      <c r="CS285" s="0"/>
      <c r="CT285" s="0"/>
      <c r="CY285" s="174" t="n">
        <f aca="false">EOMONTH(CY284,0)+1</f>
        <v>44866</v>
      </c>
      <c r="CZ285" s="175" t="n">
        <f aca="false">IF(AI285=0,CZ273,AH285+AI285)</f>
        <v>1</v>
      </c>
      <c r="DA285" s="175" t="n">
        <f aca="false">IF(AI285=0,DA273,AI285)</f>
        <v>1.25</v>
      </c>
      <c r="DB285" s="175" t="n">
        <f aca="false">IF(AI285=0,DB273,AI285+AJ285)</f>
        <v>1.55</v>
      </c>
      <c r="DD285" s="154" t="n">
        <f aca="false">IF(Z285=0,DD273,Z285)</f>
        <v>0.0651800088356474</v>
      </c>
      <c r="DE285" s="154" t="n">
        <f aca="false">IF(AA285=0,DE273,AA285)</f>
        <v>0.130360017671295</v>
      </c>
      <c r="DF285" s="154" t="n">
        <f aca="false">IF(AB285=0,DF273,AB285)</f>
        <v>0.195540026506942</v>
      </c>
      <c r="DH285" s="174" t="n">
        <f aca="false">IF(BH285=0,EOMONTH(DH284,0)+1,BH285)</f>
        <v>44866</v>
      </c>
      <c r="DI285" s="207" t="n">
        <f aca="false">IF(BI285=0,DI273,BI285)</f>
        <v>0.9</v>
      </c>
    </row>
    <row r="286" customFormat="false" ht="12.75" hidden="false" customHeight="false" outlineLevel="0" collapsed="false">
      <c r="A286" s="138" t="n">
        <f aca="false">EOMONTH(A285,0)+1</f>
        <v>54240</v>
      </c>
      <c r="B286" s="128" t="n">
        <f aca="false">'Gas Curves'!C290</f>
        <v>0.070897705769435</v>
      </c>
      <c r="C286" s="128"/>
      <c r="D286" s="65"/>
      <c r="E286" s="65"/>
      <c r="F286" s="65"/>
      <c r="G286" s="65"/>
      <c r="H286" s="65"/>
      <c r="I286" s="65"/>
      <c r="J286" s="65"/>
      <c r="K286" s="65"/>
      <c r="L286" s="65"/>
      <c r="M286" s="13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  <c r="BG286" s="65"/>
      <c r="BH286" s="135"/>
      <c r="BI286" s="65"/>
      <c r="BJ286" s="65"/>
      <c r="BK286" s="65"/>
      <c r="BL286" s="65"/>
      <c r="BM286" s="65"/>
      <c r="BN286" s="65"/>
      <c r="BO286" s="65"/>
      <c r="BP286" s="65"/>
      <c r="BQ286" s="65"/>
      <c r="BR286" s="65"/>
      <c r="BS286" s="65"/>
      <c r="BT286" s="65"/>
      <c r="BU286" s="65"/>
      <c r="BV286" s="65"/>
      <c r="BW286" s="65"/>
      <c r="BX286" s="65"/>
      <c r="BY286" s="65"/>
      <c r="BZ286" s="65"/>
      <c r="CA286" s="65"/>
      <c r="CB286" s="65"/>
      <c r="CC286" s="65"/>
      <c r="CD286" s="65"/>
      <c r="CE286" s="65"/>
      <c r="CF286" s="65"/>
      <c r="CG286" s="65"/>
      <c r="CH286" s="0"/>
      <c r="CI286" s="0"/>
      <c r="CJ286" s="0"/>
      <c r="CK286" s="0"/>
      <c r="CP286" s="0"/>
      <c r="CQ286" s="0"/>
      <c r="CR286" s="0"/>
      <c r="CS286" s="0"/>
      <c r="CT286" s="0"/>
      <c r="CY286" s="174" t="n">
        <f aca="false">EOMONTH(CY285,0)+1</f>
        <v>44896</v>
      </c>
      <c r="CZ286" s="175" t="n">
        <f aca="false">IF(AI286=0,CZ274,AH286+AI286)</f>
        <v>1</v>
      </c>
      <c r="DA286" s="175" t="n">
        <f aca="false">IF(AI286=0,DA274,AI286)</f>
        <v>1.25</v>
      </c>
      <c r="DB286" s="175" t="n">
        <f aca="false">IF(AI286=0,DB274,AI286+AJ286)</f>
        <v>1.55</v>
      </c>
      <c r="DD286" s="154" t="n">
        <f aca="false">IF(Z286=0,DD274,Z286)</f>
        <v>0.0638788843714456</v>
      </c>
      <c r="DE286" s="154" t="n">
        <f aca="false">IF(AA286=0,DE274,AA286)</f>
        <v>0.127757768742891</v>
      </c>
      <c r="DF286" s="154" t="n">
        <f aca="false">IF(AB286=0,DF274,AB286)</f>
        <v>0.191636653114337</v>
      </c>
      <c r="DH286" s="174" t="n">
        <f aca="false">IF(BH286=0,EOMONTH(DH285,0)+1,BH286)</f>
        <v>44896</v>
      </c>
      <c r="DI286" s="207" t="n">
        <f aca="false">IF(BI286=0,DI274,BI286)</f>
        <v>0.9</v>
      </c>
    </row>
    <row r="287" customFormat="false" ht="12.75" hidden="false" customHeight="false" outlineLevel="0" collapsed="false">
      <c r="A287" s="138" t="n">
        <f aca="false">EOMONTH(A286,0)+1</f>
        <v>54271</v>
      </c>
      <c r="B287" s="128" t="n">
        <f aca="false">'Gas Curves'!C291</f>
        <v>0.070885057130032</v>
      </c>
      <c r="C287" s="128"/>
      <c r="D287" s="65"/>
      <c r="E287" s="65"/>
      <c r="F287" s="65"/>
      <c r="G287" s="65"/>
      <c r="H287" s="65"/>
      <c r="I287" s="65"/>
      <c r="J287" s="65"/>
      <c r="K287" s="65"/>
      <c r="L287" s="65"/>
      <c r="M287" s="13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135"/>
      <c r="BI287" s="65"/>
      <c r="BJ287" s="65"/>
      <c r="BK287" s="65"/>
      <c r="BL287" s="65"/>
      <c r="BM287" s="65"/>
      <c r="BN287" s="65"/>
      <c r="BO287" s="65"/>
      <c r="BP287" s="65"/>
      <c r="BQ287" s="65"/>
      <c r="BR287" s="65"/>
      <c r="BS287" s="65"/>
      <c r="BT287" s="65"/>
      <c r="BU287" s="65"/>
      <c r="BV287" s="65"/>
      <c r="BW287" s="65"/>
      <c r="BX287" s="65"/>
      <c r="BY287" s="65"/>
      <c r="BZ287" s="65"/>
      <c r="CA287" s="65"/>
      <c r="CB287" s="65"/>
      <c r="CC287" s="65"/>
      <c r="CD287" s="65"/>
      <c r="CE287" s="65"/>
      <c r="CF287" s="65"/>
      <c r="CG287" s="65"/>
      <c r="CH287" s="0"/>
      <c r="CI287" s="0"/>
      <c r="CJ287" s="0"/>
      <c r="CK287" s="0"/>
      <c r="CP287" s="0"/>
      <c r="CQ287" s="0"/>
      <c r="CR287" s="0"/>
      <c r="CS287" s="0"/>
      <c r="CT287" s="0"/>
      <c r="CY287" s="174" t="n">
        <f aca="false">EOMONTH(CY286,0)+1</f>
        <v>44927</v>
      </c>
      <c r="CZ287" s="175" t="n">
        <f aca="false">IF(AI287=0,CZ275,AH287+AI287)</f>
        <v>1</v>
      </c>
      <c r="DA287" s="175" t="n">
        <f aca="false">IF(AI287=0,DA275,AI287)</f>
        <v>1.25</v>
      </c>
      <c r="DB287" s="175" t="n">
        <f aca="false">IF(AI287=0,DB275,AI287+AJ287)</f>
        <v>1.55</v>
      </c>
      <c r="DD287" s="154" t="n">
        <f aca="false">IF(Z287=0,DD275,Z287)</f>
        <v>0.0942652295751635</v>
      </c>
      <c r="DE287" s="154" t="n">
        <f aca="false">IF(AA287=0,DE275,AA287)</f>
        <v>0.188530459150327</v>
      </c>
      <c r="DF287" s="154" t="n">
        <f aca="false">IF(AB287=0,DF275,AB287)</f>
        <v>0.28279568872549</v>
      </c>
      <c r="DH287" s="174" t="n">
        <f aca="false">IF(BH287=0,EOMONTH(DH286,0)+1,BH287)</f>
        <v>44927</v>
      </c>
      <c r="DI287" s="207" t="n">
        <f aca="false">IF(BI287=0,DI275,BI287)</f>
        <v>0.9</v>
      </c>
    </row>
    <row r="288" customFormat="false" ht="12.75" hidden="false" customHeight="false" outlineLevel="0" collapsed="false">
      <c r="A288" s="138" t="n">
        <f aca="false">EOMONTH(A287,0)+1</f>
        <v>54302</v>
      </c>
      <c r="B288" s="128" t="n">
        <f aca="false">'Gas Curves'!C292</f>
        <v>0.070872408490682</v>
      </c>
      <c r="C288" s="128"/>
      <c r="D288" s="65"/>
      <c r="E288" s="65"/>
      <c r="F288" s="65"/>
      <c r="G288" s="65"/>
      <c r="H288" s="65"/>
      <c r="I288" s="65"/>
      <c r="J288" s="65"/>
      <c r="K288" s="65"/>
      <c r="L288" s="65"/>
      <c r="M288" s="13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65"/>
      <c r="AT288" s="65"/>
      <c r="AU288" s="65"/>
      <c r="AV288" s="65"/>
      <c r="AW288" s="65"/>
      <c r="AX288" s="65"/>
      <c r="AY288" s="65"/>
      <c r="AZ288" s="65"/>
      <c r="BA288" s="65"/>
      <c r="BB288" s="65"/>
      <c r="BC288" s="65"/>
      <c r="BD288" s="65"/>
      <c r="BE288" s="65"/>
      <c r="BF288" s="65"/>
      <c r="BG288" s="65"/>
      <c r="BH288" s="135"/>
      <c r="BI288" s="65"/>
      <c r="BJ288" s="65"/>
      <c r="BK288" s="65"/>
      <c r="BL288" s="65"/>
      <c r="BM288" s="65"/>
      <c r="BN288" s="65"/>
      <c r="BO288" s="65"/>
      <c r="BP288" s="65"/>
      <c r="BQ288" s="65"/>
      <c r="BR288" s="65"/>
      <c r="BS288" s="65"/>
      <c r="BT288" s="65"/>
      <c r="BU288" s="65"/>
      <c r="BV288" s="65"/>
      <c r="BW288" s="65"/>
      <c r="BX288" s="65"/>
      <c r="BY288" s="65"/>
      <c r="BZ288" s="65"/>
      <c r="CA288" s="65"/>
      <c r="CB288" s="65"/>
      <c r="CC288" s="65"/>
      <c r="CD288" s="65"/>
      <c r="CE288" s="65"/>
      <c r="CF288" s="65"/>
      <c r="CG288" s="65"/>
      <c r="CH288" s="0"/>
      <c r="CI288" s="0"/>
      <c r="CJ288" s="0"/>
      <c r="CK288" s="0"/>
      <c r="CP288" s="0"/>
      <c r="CQ288" s="0"/>
      <c r="CR288" s="0"/>
      <c r="CS288" s="0"/>
      <c r="CT288" s="0"/>
      <c r="CY288" s="174" t="n">
        <f aca="false">EOMONTH(CY287,0)+1</f>
        <v>44958</v>
      </c>
      <c r="CZ288" s="175" t="n">
        <f aca="false">IF(AI288=0,CZ276,AH288+AI288)</f>
        <v>1</v>
      </c>
      <c r="DA288" s="175" t="n">
        <f aca="false">IF(AI288=0,DA276,AI288)</f>
        <v>1.25</v>
      </c>
      <c r="DB288" s="175" t="n">
        <f aca="false">IF(AI288=0,DB276,AI288+AJ288)</f>
        <v>1.55</v>
      </c>
      <c r="DD288" s="154" t="n">
        <f aca="false">IF(Z288=0,DD276,Z288)</f>
        <v>0.0910666090107368</v>
      </c>
      <c r="DE288" s="154" t="n">
        <f aca="false">IF(AA288=0,DE276,AA288)</f>
        <v>0.182133218021474</v>
      </c>
      <c r="DF288" s="154" t="n">
        <f aca="false">IF(AB288=0,DF276,AB288)</f>
        <v>0.27319982703221</v>
      </c>
      <c r="DH288" s="174" t="n">
        <f aca="false">IF(BH288=0,EOMONTH(DH287,0)+1,BH288)</f>
        <v>44958</v>
      </c>
      <c r="DI288" s="207" t="n">
        <f aca="false">IF(BI288=0,DI276,BI288)</f>
        <v>0.9</v>
      </c>
    </row>
    <row r="289" customFormat="false" ht="12.75" hidden="false" customHeight="false" outlineLevel="0" collapsed="false">
      <c r="A289" s="138" t="n">
        <f aca="false">EOMONTH(A288,0)+1</f>
        <v>54332</v>
      </c>
      <c r="B289" s="128" t="n">
        <f aca="false">'Gas Curves'!C293</f>
        <v>0.070860167872007</v>
      </c>
      <c r="C289" s="128"/>
      <c r="D289" s="65"/>
      <c r="E289" s="65"/>
      <c r="F289" s="65"/>
      <c r="G289" s="65"/>
      <c r="H289" s="65"/>
      <c r="I289" s="65"/>
      <c r="J289" s="65"/>
      <c r="K289" s="65"/>
      <c r="L289" s="65"/>
      <c r="M289" s="13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65"/>
      <c r="AT289" s="65"/>
      <c r="AU289" s="65"/>
      <c r="AV289" s="65"/>
      <c r="AW289" s="65"/>
      <c r="AX289" s="65"/>
      <c r="AY289" s="65"/>
      <c r="AZ289" s="65"/>
      <c r="BA289" s="65"/>
      <c r="BB289" s="65"/>
      <c r="BC289" s="65"/>
      <c r="BD289" s="65"/>
      <c r="BE289" s="65"/>
      <c r="BF289" s="65"/>
      <c r="BG289" s="65"/>
      <c r="BH289" s="135"/>
      <c r="BI289" s="65"/>
      <c r="BJ289" s="65"/>
      <c r="BK289" s="65"/>
      <c r="BL289" s="65"/>
      <c r="BM289" s="65"/>
      <c r="BN289" s="65"/>
      <c r="BO289" s="65"/>
      <c r="BP289" s="65"/>
      <c r="BQ289" s="65"/>
      <c r="BR289" s="65"/>
      <c r="BS289" s="65"/>
      <c r="BT289" s="65"/>
      <c r="BU289" s="65"/>
      <c r="BV289" s="65"/>
      <c r="BW289" s="65"/>
      <c r="BX289" s="65"/>
      <c r="BY289" s="65"/>
      <c r="BZ289" s="65"/>
      <c r="CA289" s="65"/>
      <c r="CB289" s="65"/>
      <c r="CC289" s="65"/>
      <c r="CD289" s="65"/>
      <c r="CE289" s="65"/>
      <c r="CF289" s="65"/>
      <c r="CG289" s="65"/>
      <c r="CH289" s="0"/>
      <c r="CI289" s="0"/>
      <c r="CJ289" s="0"/>
      <c r="CK289" s="0"/>
      <c r="CP289" s="0"/>
      <c r="CQ289" s="0"/>
      <c r="CR289" s="0"/>
      <c r="CS289" s="0"/>
      <c r="CT289" s="0"/>
      <c r="CY289" s="174" t="n">
        <f aca="false">EOMONTH(CY288,0)+1</f>
        <v>44986</v>
      </c>
      <c r="CZ289" s="175" t="n">
        <f aca="false">IF(AI289=0,CZ277,AH289+AI289)</f>
        <v>1</v>
      </c>
      <c r="DA289" s="175" t="n">
        <f aca="false">IF(AI289=0,DA277,AI289)</f>
        <v>1.25</v>
      </c>
      <c r="DB289" s="175" t="n">
        <f aca="false">IF(AI289=0,DB277,AI289+AJ289)</f>
        <v>1.55</v>
      </c>
      <c r="DD289" s="154" t="n">
        <f aca="false">IF(Z289=0,DD277,Z289)</f>
        <v>0.0721937023797812</v>
      </c>
      <c r="DE289" s="154" t="n">
        <f aca="false">IF(AA289=0,DE277,AA289)</f>
        <v>0.144387404759562</v>
      </c>
      <c r="DF289" s="154" t="n">
        <f aca="false">IF(AB289=0,DF277,AB289)</f>
        <v>0.216581107139343</v>
      </c>
      <c r="DH289" s="174" t="n">
        <f aca="false">IF(BH289=0,EOMONTH(DH288,0)+1,BH289)</f>
        <v>44986</v>
      </c>
      <c r="DI289" s="207" t="n">
        <f aca="false">IF(BI289=0,DI277,BI289)</f>
        <v>0.9</v>
      </c>
    </row>
    <row r="290" customFormat="false" ht="14.25" hidden="false" customHeight="false" outlineLevel="0" collapsed="false">
      <c r="A290" s="209" t="n">
        <f aca="false">EDATE(A289,1)</f>
        <v>54363</v>
      </c>
      <c r="B290" s="128" t="n">
        <f aca="false">'Gas Curves'!C294</f>
        <v>0.070847519232761</v>
      </c>
      <c r="C290" s="128"/>
      <c r="D290" s="65"/>
      <c r="E290" s="65"/>
      <c r="F290" s="65"/>
      <c r="G290" s="65"/>
      <c r="H290" s="65"/>
      <c r="I290" s="65"/>
      <c r="J290" s="65"/>
      <c r="K290" s="65"/>
      <c r="L290" s="65"/>
      <c r="M290" s="13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65"/>
      <c r="AT290" s="65"/>
      <c r="AU290" s="65"/>
      <c r="AV290" s="65"/>
      <c r="AW290" s="65"/>
      <c r="AX290" s="65"/>
      <c r="AY290" s="65"/>
      <c r="AZ290" s="65"/>
      <c r="BA290" s="65"/>
      <c r="BB290" s="65"/>
      <c r="BC290" s="65"/>
      <c r="BD290" s="65"/>
      <c r="BE290" s="65"/>
      <c r="BF290" s="65"/>
      <c r="BG290" s="65"/>
      <c r="BH290" s="135"/>
      <c r="BI290" s="65"/>
      <c r="BJ290" s="65"/>
      <c r="BK290" s="65"/>
      <c r="BL290" s="65"/>
      <c r="BM290" s="65"/>
      <c r="BN290" s="65"/>
      <c r="BO290" s="65"/>
      <c r="BP290" s="65"/>
      <c r="BQ290" s="65"/>
      <c r="BR290" s="65"/>
      <c r="BS290" s="65"/>
      <c r="BT290" s="65"/>
      <c r="BU290" s="65"/>
      <c r="BV290" s="65"/>
      <c r="BW290" s="65"/>
      <c r="BX290" s="65"/>
      <c r="BY290" s="65"/>
      <c r="BZ290" s="65"/>
      <c r="CA290" s="65"/>
      <c r="CB290" s="65"/>
      <c r="CC290" s="65"/>
      <c r="CD290" s="65"/>
      <c r="CE290" s="65"/>
      <c r="CF290" s="65"/>
      <c r="CG290" s="65"/>
      <c r="CH290" s="0"/>
      <c r="CI290" s="0"/>
      <c r="CJ290" s="0"/>
      <c r="CK290" s="0"/>
      <c r="CP290" s="0"/>
      <c r="CQ290" s="0"/>
      <c r="CR290" s="0"/>
      <c r="CS290" s="0"/>
      <c r="CT290" s="0"/>
      <c r="CY290" s="174" t="n">
        <f aca="false">EOMONTH(CY289,0)+1</f>
        <v>45017</v>
      </c>
      <c r="CZ290" s="175" t="n">
        <f aca="false">IF(AI290=0,CZ278,AH290+AI290)</f>
        <v>0</v>
      </c>
      <c r="DA290" s="175" t="n">
        <f aca="false">IF(AI290=0,DA278,AI290)</f>
        <v>0</v>
      </c>
      <c r="DB290" s="175" t="n">
        <f aca="false">IF(AI290=0,DB278,AI290+AJ290)</f>
        <v>0</v>
      </c>
      <c r="DD290" s="154" t="n">
        <f aca="false">IF(Z290=0,DD278,Z290)</f>
        <v>0</v>
      </c>
      <c r="DE290" s="154" t="n">
        <f aca="false">IF(AA290=0,DE278,AA290)</f>
        <v>0</v>
      </c>
      <c r="DF290" s="154" t="n">
        <f aca="false">IF(AB290=0,DF278,AB290)</f>
        <v>0</v>
      </c>
      <c r="DH290" s="174" t="n">
        <f aca="false">IF(BH290=0,EOMONTH(DH289,0)+1,BH290)</f>
        <v>45017</v>
      </c>
      <c r="DI290" s="207" t="n">
        <f aca="false">IF(BI290=0,DI278,BI290)</f>
        <v>0</v>
      </c>
    </row>
    <row r="291" customFormat="false" ht="14.25" hidden="false" customHeight="false" outlineLevel="0" collapsed="false">
      <c r="A291" s="209" t="n">
        <f aca="false">EDATE(A290,1)</f>
        <v>54393</v>
      </c>
      <c r="B291" s="128" t="n">
        <f aca="false">'Gas Curves'!C295</f>
        <v>0.070835278614186</v>
      </c>
      <c r="C291" s="128"/>
      <c r="D291" s="65"/>
      <c r="E291" s="65"/>
      <c r="F291" s="65"/>
      <c r="G291" s="65"/>
      <c r="H291" s="65"/>
      <c r="I291" s="65"/>
      <c r="J291" s="65"/>
      <c r="K291" s="65"/>
      <c r="L291" s="65"/>
      <c r="M291" s="13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  <c r="BG291" s="65"/>
      <c r="BH291" s="135"/>
      <c r="BI291" s="65"/>
      <c r="BJ291" s="65"/>
      <c r="BK291" s="65"/>
      <c r="BL291" s="65"/>
      <c r="BM291" s="65"/>
      <c r="BN291" s="65"/>
      <c r="BO291" s="65"/>
      <c r="BP291" s="65"/>
      <c r="BQ291" s="65"/>
      <c r="BR291" s="65"/>
      <c r="BS291" s="65"/>
      <c r="BT291" s="65"/>
      <c r="BU291" s="65"/>
      <c r="BV291" s="65"/>
      <c r="BW291" s="65"/>
      <c r="BX291" s="65"/>
      <c r="BY291" s="65"/>
      <c r="BZ291" s="65"/>
      <c r="CA291" s="65"/>
      <c r="CB291" s="65"/>
      <c r="CC291" s="65"/>
      <c r="CD291" s="65"/>
      <c r="CE291" s="65"/>
      <c r="CF291" s="65"/>
      <c r="CG291" s="65"/>
      <c r="CH291" s="0"/>
      <c r="CI291" s="0"/>
      <c r="CJ291" s="0"/>
      <c r="CK291" s="0"/>
      <c r="CP291" s="0"/>
      <c r="CQ291" s="0"/>
      <c r="CR291" s="0"/>
      <c r="CS291" s="0"/>
      <c r="CT291" s="0"/>
      <c r="CY291" s="174" t="n">
        <f aca="false">EOMONTH(CY290,0)+1</f>
        <v>45047</v>
      </c>
      <c r="CZ291" s="175" t="n">
        <f aca="false">IF(AI291=0,CZ279,AH291+AI291)</f>
        <v>1</v>
      </c>
      <c r="DA291" s="175" t="n">
        <f aca="false">IF(AI291=0,DA279,AI291)</f>
        <v>1.25</v>
      </c>
      <c r="DB291" s="175" t="n">
        <f aca="false">IF(AI291=0,DB279,AI291+AJ291)</f>
        <v>1.55</v>
      </c>
      <c r="DD291" s="154" t="n">
        <f aca="false">IF(Z291=0,DD279,Z291)</f>
        <v>0.079836777060087</v>
      </c>
      <c r="DE291" s="154" t="n">
        <f aca="false">IF(AA291=0,DE279,AA291)</f>
        <v>0.159673554120174</v>
      </c>
      <c r="DF291" s="154" t="n">
        <f aca="false">IF(AB291=0,DF279,AB291)</f>
        <v>0.239510331180261</v>
      </c>
      <c r="DH291" s="174" t="n">
        <f aca="false">IF(BH291=0,EOMONTH(DH290,0)+1,BH291)</f>
        <v>45047</v>
      </c>
      <c r="DI291" s="207" t="n">
        <f aca="false">IF(BI291=0,DI279,BI291)</f>
        <v>0.9</v>
      </c>
    </row>
    <row r="292" customFormat="false" ht="14.25" hidden="false" customHeight="false" outlineLevel="0" collapsed="false">
      <c r="A292" s="209" t="n">
        <f aca="false">EDATE(A291,1)</f>
        <v>54424</v>
      </c>
      <c r="B292" s="128" t="n">
        <f aca="false">'Gas Curves'!C296</f>
        <v>0.070822629975044</v>
      </c>
      <c r="C292" s="128"/>
      <c r="D292" s="65"/>
      <c r="E292" s="65"/>
      <c r="F292" s="65"/>
      <c r="G292" s="65"/>
      <c r="H292" s="65"/>
      <c r="I292" s="65"/>
      <c r="J292" s="65"/>
      <c r="K292" s="65"/>
      <c r="L292" s="65"/>
      <c r="M292" s="13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65"/>
      <c r="AT292" s="65"/>
      <c r="AU292" s="65"/>
      <c r="AV292" s="65"/>
      <c r="AW292" s="65"/>
      <c r="AX292" s="65"/>
      <c r="AY292" s="65"/>
      <c r="AZ292" s="65"/>
      <c r="BA292" s="65"/>
      <c r="BB292" s="65"/>
      <c r="BC292" s="65"/>
      <c r="BD292" s="65"/>
      <c r="BE292" s="65"/>
      <c r="BF292" s="65"/>
      <c r="BG292" s="65"/>
      <c r="BH292" s="135"/>
      <c r="BI292" s="65"/>
      <c r="BJ292" s="65"/>
      <c r="BK292" s="65"/>
      <c r="BL292" s="65"/>
      <c r="BM292" s="65"/>
      <c r="BN292" s="65"/>
      <c r="BO292" s="65"/>
      <c r="BP292" s="65"/>
      <c r="BQ292" s="65"/>
      <c r="BR292" s="65"/>
      <c r="BS292" s="65"/>
      <c r="BT292" s="65"/>
      <c r="BU292" s="65"/>
      <c r="BV292" s="65"/>
      <c r="BW292" s="65"/>
      <c r="BX292" s="65"/>
      <c r="BY292" s="65"/>
      <c r="BZ292" s="65"/>
      <c r="CA292" s="65"/>
      <c r="CB292" s="65"/>
      <c r="CC292" s="65"/>
      <c r="CD292" s="65"/>
      <c r="CE292" s="65"/>
      <c r="CF292" s="65"/>
      <c r="CG292" s="65"/>
      <c r="CH292" s="0"/>
      <c r="CI292" s="0"/>
      <c r="CJ292" s="0"/>
      <c r="CK292" s="0"/>
      <c r="CP292" s="0"/>
      <c r="CQ292" s="0"/>
      <c r="CR292" s="0"/>
      <c r="CS292" s="0"/>
      <c r="CT292" s="0"/>
      <c r="CY292" s="174" t="n">
        <f aca="false">EOMONTH(CY291,0)+1</f>
        <v>45078</v>
      </c>
      <c r="CZ292" s="175" t="n">
        <f aca="false">IF(AI292=0,CZ280,AH292+AI292)</f>
        <v>1</v>
      </c>
      <c r="DA292" s="175" t="n">
        <f aca="false">IF(AI292=0,DA280,AI292)</f>
        <v>1.25</v>
      </c>
      <c r="DB292" s="175" t="n">
        <f aca="false">IF(AI292=0,DB280,AI292+AJ292)</f>
        <v>1.55</v>
      </c>
      <c r="DD292" s="154" t="n">
        <f aca="false">IF(Z292=0,DD280,Z292)</f>
        <v>0.085380172451756</v>
      </c>
      <c r="DE292" s="154" t="n">
        <f aca="false">IF(AA292=0,DE280,AA292)</f>
        <v>0.170760344903512</v>
      </c>
      <c r="DF292" s="154" t="n">
        <f aca="false">IF(AB292=0,DF280,AB292)</f>
        <v>0.256140517355268</v>
      </c>
      <c r="DH292" s="174" t="n">
        <f aca="false">IF(BH292=0,EOMONTH(DH291,0)+1,BH292)</f>
        <v>45078</v>
      </c>
      <c r="DI292" s="207" t="n">
        <f aca="false">IF(BI292=0,DI280,BI292)</f>
        <v>0.9</v>
      </c>
    </row>
    <row r="293" customFormat="false" ht="14.25" hidden="false" customHeight="false" outlineLevel="0" collapsed="false">
      <c r="A293" s="209" t="n">
        <f aca="false">EDATE(A292,1)</f>
        <v>54455</v>
      </c>
      <c r="B293" s="128" t="n">
        <f aca="false">'Gas Curves'!C297</f>
        <v>0.070809981335955</v>
      </c>
      <c r="C293" s="128"/>
      <c r="D293" s="65"/>
      <c r="E293" s="65"/>
      <c r="F293" s="65"/>
      <c r="G293" s="65"/>
      <c r="H293" s="65"/>
      <c r="I293" s="65"/>
      <c r="J293" s="65"/>
      <c r="K293" s="65"/>
      <c r="L293" s="65"/>
      <c r="M293" s="13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/>
      <c r="AS293" s="65"/>
      <c r="AT293" s="65"/>
      <c r="AU293" s="65"/>
      <c r="AV293" s="65"/>
      <c r="AW293" s="65"/>
      <c r="AX293" s="65"/>
      <c r="AY293" s="65"/>
      <c r="AZ293" s="65"/>
      <c r="BA293" s="65"/>
      <c r="BB293" s="65"/>
      <c r="BC293" s="65"/>
      <c r="BD293" s="65"/>
      <c r="BE293" s="65"/>
      <c r="BF293" s="65"/>
      <c r="BG293" s="65"/>
      <c r="BH293" s="135"/>
      <c r="BI293" s="65"/>
      <c r="BJ293" s="65"/>
      <c r="BK293" s="65"/>
      <c r="BL293" s="65"/>
      <c r="BM293" s="65"/>
      <c r="BN293" s="65"/>
      <c r="BO293" s="65"/>
      <c r="BP293" s="65"/>
      <c r="BQ293" s="65"/>
      <c r="BR293" s="65"/>
      <c r="BS293" s="65"/>
      <c r="BT293" s="65"/>
      <c r="BU293" s="65"/>
      <c r="BV293" s="65"/>
      <c r="BW293" s="65"/>
      <c r="BX293" s="65"/>
      <c r="BY293" s="65"/>
      <c r="BZ293" s="65"/>
      <c r="CA293" s="65"/>
      <c r="CB293" s="65"/>
      <c r="CC293" s="65"/>
      <c r="CD293" s="65"/>
      <c r="CE293" s="65"/>
      <c r="CF293" s="65"/>
      <c r="CG293" s="65"/>
      <c r="CH293" s="0"/>
      <c r="CI293" s="0"/>
      <c r="CJ293" s="0"/>
      <c r="CK293" s="0"/>
      <c r="CP293" s="0"/>
      <c r="CQ293" s="0"/>
      <c r="CR293" s="0"/>
      <c r="CS293" s="0"/>
      <c r="CT293" s="0"/>
      <c r="CY293" s="174" t="n">
        <f aca="false">EOMONTH(CY292,0)+1</f>
        <v>45108</v>
      </c>
      <c r="CZ293" s="175" t="n">
        <f aca="false">IF(AI293=0,CZ281,AH293+AI293)</f>
        <v>1</v>
      </c>
      <c r="DA293" s="175" t="n">
        <f aca="false">IF(AI293=0,DA281,AI293)</f>
        <v>1.25</v>
      </c>
      <c r="DB293" s="175" t="n">
        <f aca="false">IF(AI293=0,DB281,AI293+AJ293)</f>
        <v>1.55</v>
      </c>
      <c r="DD293" s="154" t="n">
        <f aca="false">IF(Z293=0,DD281,Z293)</f>
        <v>0.101692367108662</v>
      </c>
      <c r="DE293" s="154" t="n">
        <f aca="false">IF(AA293=0,DE281,AA293)</f>
        <v>0.203384734217324</v>
      </c>
      <c r="DF293" s="154" t="n">
        <f aca="false">IF(AB293=0,DF281,AB293)</f>
        <v>0.305077101325986</v>
      </c>
      <c r="DH293" s="174" t="n">
        <f aca="false">IF(BH293=0,EOMONTH(DH292,0)+1,BH293)</f>
        <v>45108</v>
      </c>
      <c r="DI293" s="207" t="n">
        <f aca="false">IF(BI293=0,DI281,BI293)</f>
        <v>0.9</v>
      </c>
    </row>
    <row r="294" customFormat="false" ht="14.25" hidden="false" customHeight="false" outlineLevel="0" collapsed="false">
      <c r="A294" s="209" t="n">
        <f aca="false">EDATE(A293,1)</f>
        <v>54483</v>
      </c>
      <c r="B294" s="128" t="n">
        <f aca="false">'Gas Curves'!C298</f>
        <v>0.070798148738146</v>
      </c>
      <c r="C294" s="128"/>
      <c r="D294" s="65"/>
      <c r="E294" s="65"/>
      <c r="F294" s="65"/>
      <c r="G294" s="65"/>
      <c r="H294" s="65"/>
      <c r="I294" s="65"/>
      <c r="J294" s="65"/>
      <c r="K294" s="65"/>
      <c r="L294" s="65"/>
      <c r="M294" s="13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65"/>
      <c r="AT294" s="65"/>
      <c r="AU294" s="65"/>
      <c r="AV294" s="65"/>
      <c r="AW294" s="65"/>
      <c r="AX294" s="65"/>
      <c r="AY294" s="65"/>
      <c r="AZ294" s="65"/>
      <c r="BA294" s="65"/>
      <c r="BB294" s="65"/>
      <c r="BC294" s="65"/>
      <c r="BD294" s="65"/>
      <c r="BE294" s="65"/>
      <c r="BF294" s="65"/>
      <c r="BG294" s="65"/>
      <c r="BH294" s="135"/>
      <c r="BI294" s="65"/>
      <c r="BJ294" s="65"/>
      <c r="BK294" s="65"/>
      <c r="BL294" s="65"/>
      <c r="BM294" s="65"/>
      <c r="BN294" s="65"/>
      <c r="BO294" s="65"/>
      <c r="BP294" s="65"/>
      <c r="BQ294" s="65"/>
      <c r="BR294" s="65"/>
      <c r="BS294" s="65"/>
      <c r="BT294" s="65"/>
      <c r="BU294" s="65"/>
      <c r="BV294" s="65"/>
      <c r="BW294" s="65"/>
      <c r="BX294" s="65"/>
      <c r="BY294" s="65"/>
      <c r="BZ294" s="65"/>
      <c r="CA294" s="65"/>
      <c r="CB294" s="65"/>
      <c r="CC294" s="65"/>
      <c r="CD294" s="65"/>
      <c r="CE294" s="65"/>
      <c r="CF294" s="65"/>
      <c r="CG294" s="65"/>
      <c r="CH294" s="0"/>
      <c r="CI294" s="0"/>
      <c r="CJ294" s="0"/>
      <c r="CK294" s="0"/>
      <c r="CP294" s="0"/>
      <c r="CQ294" s="0"/>
      <c r="CR294" s="0"/>
      <c r="CS294" s="0"/>
      <c r="CT294" s="0"/>
      <c r="CY294" s="174" t="n">
        <f aca="false">EOMONTH(CY293,0)+1</f>
        <v>45139</v>
      </c>
      <c r="CZ294" s="175" t="n">
        <f aca="false">IF(AI294=0,CZ282,AH294+AI294)</f>
        <v>1</v>
      </c>
      <c r="DA294" s="175" t="n">
        <f aca="false">IF(AI294=0,DA282,AI294)</f>
        <v>1.25</v>
      </c>
      <c r="DB294" s="175" t="n">
        <f aca="false">IF(AI294=0,DB282,AI294+AJ294)</f>
        <v>1.55</v>
      </c>
      <c r="DD294" s="154" t="n">
        <f aca="false">IF(Z294=0,DD282,Z294)</f>
        <v>0.0994642258486125</v>
      </c>
      <c r="DE294" s="154" t="n">
        <f aca="false">IF(AA294=0,DE282,AA294)</f>
        <v>0.198928451697225</v>
      </c>
      <c r="DF294" s="154" t="n">
        <f aca="false">IF(AB294=0,DF282,AB294)</f>
        <v>0.298392677545837</v>
      </c>
      <c r="DH294" s="174" t="n">
        <f aca="false">IF(BH294=0,EOMONTH(DH293,0)+1,BH294)</f>
        <v>45139</v>
      </c>
      <c r="DI294" s="207" t="n">
        <f aca="false">IF(BI294=0,DI282,BI294)</f>
        <v>0.9</v>
      </c>
    </row>
    <row r="295" customFormat="false" ht="14.25" hidden="false" customHeight="false" outlineLevel="0" collapsed="false">
      <c r="A295" s="209" t="n">
        <f aca="false">EDATE(A294,1)</f>
        <v>54514</v>
      </c>
      <c r="B295" s="128" t="n">
        <f aca="false">'Gas Curves'!C299</f>
        <v>0.070785500099159</v>
      </c>
      <c r="C295" s="128"/>
      <c r="D295" s="65"/>
      <c r="E295" s="65"/>
      <c r="F295" s="65"/>
      <c r="G295" s="65"/>
      <c r="H295" s="65"/>
      <c r="I295" s="65"/>
      <c r="J295" s="65"/>
      <c r="K295" s="65"/>
      <c r="L295" s="65"/>
      <c r="M295" s="13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/>
      <c r="AS295" s="65"/>
      <c r="AT295" s="65"/>
      <c r="AU295" s="65"/>
      <c r="AV295" s="65"/>
      <c r="AW295" s="65"/>
      <c r="AX295" s="65"/>
      <c r="AY295" s="65"/>
      <c r="AZ295" s="65"/>
      <c r="BA295" s="65"/>
      <c r="BB295" s="65"/>
      <c r="BC295" s="65"/>
      <c r="BD295" s="65"/>
      <c r="BE295" s="65"/>
      <c r="BF295" s="65"/>
      <c r="BG295" s="65"/>
      <c r="BH295" s="135"/>
      <c r="BI295" s="65"/>
      <c r="BJ295" s="65"/>
      <c r="BK295" s="65"/>
      <c r="BL295" s="65"/>
      <c r="BM295" s="65"/>
      <c r="BN295" s="65"/>
      <c r="BO295" s="65"/>
      <c r="BP295" s="65"/>
      <c r="BQ295" s="65"/>
      <c r="BR295" s="65"/>
      <c r="BS295" s="65"/>
      <c r="BT295" s="65"/>
      <c r="BU295" s="65"/>
      <c r="BV295" s="65"/>
      <c r="BW295" s="65"/>
      <c r="BX295" s="65"/>
      <c r="BY295" s="65"/>
      <c r="BZ295" s="65"/>
      <c r="CA295" s="65"/>
      <c r="CB295" s="65"/>
      <c r="CC295" s="65"/>
      <c r="CD295" s="65"/>
      <c r="CE295" s="65"/>
      <c r="CF295" s="65"/>
      <c r="CG295" s="65"/>
      <c r="CH295" s="0"/>
      <c r="CI295" s="0"/>
      <c r="CJ295" s="0"/>
      <c r="CK295" s="0"/>
      <c r="CP295" s="0"/>
      <c r="CQ295" s="0"/>
      <c r="CR295" s="0"/>
      <c r="CS295" s="0"/>
      <c r="CT295" s="0"/>
      <c r="CY295" s="174" t="n">
        <f aca="false">EOMONTH(CY294,0)+1</f>
        <v>45170</v>
      </c>
      <c r="CZ295" s="175" t="n">
        <f aca="false">IF(AI295=0,CZ283,AH295+AI295)</f>
        <v>1</v>
      </c>
      <c r="DA295" s="175" t="n">
        <f aca="false">IF(AI295=0,DA283,AI295)</f>
        <v>1.25</v>
      </c>
      <c r="DB295" s="175" t="n">
        <f aca="false">IF(AI295=0,DB283,AI295+AJ295)</f>
        <v>1.55</v>
      </c>
      <c r="DD295" s="154" t="n">
        <f aca="false">IF(Z295=0,DD283,Z295)</f>
        <v>0.0753606888398985</v>
      </c>
      <c r="DE295" s="154" t="n">
        <f aca="false">IF(AA295=0,DE283,AA295)</f>
        <v>0.150721377679797</v>
      </c>
      <c r="DF295" s="154" t="n">
        <f aca="false">IF(AB295=0,DF283,AB295)</f>
        <v>0.226082066519696</v>
      </c>
      <c r="DH295" s="174" t="n">
        <f aca="false">IF(BH295=0,EOMONTH(DH294,0)+1,BH295)</f>
        <v>45170</v>
      </c>
      <c r="DI295" s="207" t="n">
        <f aca="false">IF(BI295=0,DI283,BI295)</f>
        <v>0.9</v>
      </c>
    </row>
    <row r="296" customFormat="false" ht="14.25" hidden="false" customHeight="false" outlineLevel="0" collapsed="false">
      <c r="A296" s="209" t="n">
        <f aca="false">EDATE(A295,1)</f>
        <v>54544</v>
      </c>
      <c r="B296" s="128" t="n">
        <f aca="false">'Gas Curves'!C300</f>
        <v>0.070773259480835</v>
      </c>
      <c r="C296" s="128"/>
      <c r="D296" s="65"/>
      <c r="E296" s="65"/>
      <c r="F296" s="65"/>
      <c r="G296" s="65"/>
      <c r="H296" s="65"/>
      <c r="I296" s="65"/>
      <c r="J296" s="65"/>
      <c r="K296" s="65"/>
      <c r="L296" s="65"/>
      <c r="M296" s="13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  <c r="AH296" s="65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/>
      <c r="AS296" s="65"/>
      <c r="AT296" s="65"/>
      <c r="AU296" s="65"/>
      <c r="AV296" s="65"/>
      <c r="AW296" s="65"/>
      <c r="AX296" s="65"/>
      <c r="AY296" s="65"/>
      <c r="AZ296" s="65"/>
      <c r="BA296" s="65"/>
      <c r="BB296" s="65"/>
      <c r="BC296" s="65"/>
      <c r="BD296" s="65"/>
      <c r="BE296" s="65"/>
      <c r="BF296" s="65"/>
      <c r="BG296" s="65"/>
      <c r="BH296" s="135"/>
      <c r="BI296" s="65"/>
      <c r="BJ296" s="65"/>
      <c r="BK296" s="65"/>
      <c r="BL296" s="65"/>
      <c r="BM296" s="65"/>
      <c r="BN296" s="65"/>
      <c r="BO296" s="65"/>
      <c r="BP296" s="65"/>
      <c r="BQ296" s="65"/>
      <c r="BR296" s="65"/>
      <c r="BS296" s="65"/>
      <c r="BT296" s="65"/>
      <c r="BU296" s="65"/>
      <c r="BV296" s="65"/>
      <c r="BW296" s="65"/>
      <c r="BX296" s="65"/>
      <c r="BY296" s="65"/>
      <c r="BZ296" s="65"/>
      <c r="CA296" s="65"/>
      <c r="CB296" s="65"/>
      <c r="CC296" s="65"/>
      <c r="CD296" s="65"/>
      <c r="CE296" s="65"/>
      <c r="CF296" s="65"/>
      <c r="CG296" s="65"/>
      <c r="CH296" s="0"/>
      <c r="CI296" s="0"/>
      <c r="CJ296" s="0"/>
      <c r="CK296" s="0"/>
      <c r="CP296" s="0"/>
      <c r="CQ296" s="0"/>
      <c r="CR296" s="0"/>
      <c r="CS296" s="0"/>
      <c r="CT296" s="0"/>
      <c r="CY296" s="174" t="n">
        <f aca="false">EOMONTH(CY295,0)+1</f>
        <v>45200</v>
      </c>
      <c r="CZ296" s="175" t="n">
        <f aca="false">IF(AI296=0,CZ284,AH296+AI296)</f>
        <v>1</v>
      </c>
      <c r="DA296" s="175" t="n">
        <f aca="false">IF(AI296=0,DA284,AI296)</f>
        <v>1.25</v>
      </c>
      <c r="DB296" s="175" t="n">
        <f aca="false">IF(AI296=0,DB284,AI296+AJ296)</f>
        <v>1.55</v>
      </c>
      <c r="DD296" s="154" t="n">
        <f aca="false">IF(Z296=0,DD284,Z296)</f>
        <v>0.0651800088356474</v>
      </c>
      <c r="DE296" s="154" t="n">
        <f aca="false">IF(AA296=0,DE284,AA296)</f>
        <v>0.130360017671295</v>
      </c>
      <c r="DF296" s="154" t="n">
        <f aca="false">IF(AB296=0,DF284,AB296)</f>
        <v>0.195540026506942</v>
      </c>
      <c r="DH296" s="174" t="n">
        <f aca="false">IF(BH296=0,EOMONTH(DH295,0)+1,BH296)</f>
        <v>45200</v>
      </c>
      <c r="DI296" s="207" t="n">
        <f aca="false">IF(BI296=0,DI284,BI296)</f>
        <v>0.9</v>
      </c>
    </row>
    <row r="297" customFormat="false" ht="14.25" hidden="false" customHeight="false" outlineLevel="0" collapsed="false">
      <c r="A297" s="209" t="n">
        <f aca="false">EDATE(A296,1)</f>
        <v>54575</v>
      </c>
      <c r="B297" s="128" t="n">
        <f aca="false">'Gas Curves'!C301</f>
        <v>0.070760610841952</v>
      </c>
      <c r="C297" s="128"/>
      <c r="D297" s="65"/>
      <c r="E297" s="65"/>
      <c r="F297" s="65"/>
      <c r="G297" s="65"/>
      <c r="H297" s="65"/>
      <c r="I297" s="65"/>
      <c r="J297" s="65"/>
      <c r="K297" s="65"/>
      <c r="L297" s="65"/>
      <c r="M297" s="13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  <c r="AH297" s="65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/>
      <c r="AS297" s="65"/>
      <c r="AT297" s="65"/>
      <c r="AU297" s="65"/>
      <c r="AV297" s="65"/>
      <c r="AW297" s="65"/>
      <c r="AX297" s="65"/>
      <c r="AY297" s="65"/>
      <c r="AZ297" s="65"/>
      <c r="BA297" s="65"/>
      <c r="BB297" s="65"/>
      <c r="BC297" s="65"/>
      <c r="BD297" s="65"/>
      <c r="BE297" s="65"/>
      <c r="BF297" s="65"/>
      <c r="BG297" s="65"/>
      <c r="BH297" s="135"/>
      <c r="BI297" s="65"/>
      <c r="BJ297" s="65"/>
      <c r="BK297" s="65"/>
      <c r="BL297" s="65"/>
      <c r="BM297" s="65"/>
      <c r="BN297" s="65"/>
      <c r="BO297" s="65"/>
      <c r="BP297" s="65"/>
      <c r="BQ297" s="65"/>
      <c r="BR297" s="65"/>
      <c r="BS297" s="65"/>
      <c r="BT297" s="65"/>
      <c r="BU297" s="65"/>
      <c r="BV297" s="65"/>
      <c r="BW297" s="65"/>
      <c r="BX297" s="65"/>
      <c r="BY297" s="65"/>
      <c r="BZ297" s="65"/>
      <c r="CA297" s="65"/>
      <c r="CB297" s="65"/>
      <c r="CC297" s="65"/>
      <c r="CD297" s="65"/>
      <c r="CE297" s="65"/>
      <c r="CF297" s="65"/>
      <c r="CG297" s="65"/>
      <c r="CH297" s="0"/>
      <c r="CI297" s="0"/>
      <c r="CJ297" s="0"/>
      <c r="CK297" s="0"/>
      <c r="CP297" s="0"/>
      <c r="CQ297" s="0"/>
      <c r="CR297" s="0"/>
      <c r="CS297" s="0"/>
      <c r="CT297" s="0"/>
      <c r="CY297" s="174" t="n">
        <f aca="false">EOMONTH(CY296,0)+1</f>
        <v>45231</v>
      </c>
      <c r="CZ297" s="175" t="n">
        <f aca="false">IF(AI297=0,CZ285,AH297+AI297)</f>
        <v>1</v>
      </c>
      <c r="DA297" s="175" t="n">
        <f aca="false">IF(AI297=0,DA285,AI297)</f>
        <v>1.25</v>
      </c>
      <c r="DB297" s="175" t="n">
        <f aca="false">IF(AI297=0,DB285,AI297+AJ297)</f>
        <v>1.55</v>
      </c>
      <c r="DD297" s="154" t="n">
        <f aca="false">IF(Z297=0,DD285,Z297)</f>
        <v>0.0651800088356474</v>
      </c>
      <c r="DE297" s="154" t="n">
        <f aca="false">IF(AA297=0,DE285,AA297)</f>
        <v>0.130360017671295</v>
      </c>
      <c r="DF297" s="154" t="n">
        <f aca="false">IF(AB297=0,DF285,AB297)</f>
        <v>0.195540026506942</v>
      </c>
      <c r="DH297" s="174" t="n">
        <f aca="false">IF(BH297=0,EOMONTH(DH296,0)+1,BH297)</f>
        <v>45231</v>
      </c>
      <c r="DI297" s="207" t="n">
        <f aca="false">IF(BI297=0,DI285,BI297)</f>
        <v>0.9</v>
      </c>
    </row>
    <row r="298" customFormat="false" ht="14.25" hidden="false" customHeight="false" outlineLevel="0" collapsed="false">
      <c r="A298" s="209" t="n">
        <f aca="false">EDATE(A297,1)</f>
        <v>54605</v>
      </c>
      <c r="B298" s="128" t="n">
        <f aca="false">'Gas Curves'!C302</f>
        <v>0.070748370223729</v>
      </c>
      <c r="C298" s="128"/>
      <c r="D298" s="65"/>
      <c r="E298" s="65"/>
      <c r="F298" s="65"/>
      <c r="G298" s="65"/>
      <c r="H298" s="65"/>
      <c r="I298" s="65"/>
      <c r="J298" s="65"/>
      <c r="K298" s="65"/>
      <c r="L298" s="65"/>
      <c r="M298" s="13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  <c r="AX298" s="65"/>
      <c r="AY298" s="65"/>
      <c r="AZ298" s="65"/>
      <c r="BA298" s="65"/>
      <c r="BB298" s="65"/>
      <c r="BC298" s="65"/>
      <c r="BD298" s="65"/>
      <c r="BE298" s="65"/>
      <c r="BF298" s="65"/>
      <c r="BG298" s="65"/>
      <c r="BH298" s="135"/>
      <c r="BI298" s="65"/>
      <c r="BJ298" s="65"/>
      <c r="BK298" s="65"/>
      <c r="BL298" s="65"/>
      <c r="BM298" s="65"/>
      <c r="BN298" s="65"/>
      <c r="BO298" s="65"/>
      <c r="BP298" s="65"/>
      <c r="BQ298" s="65"/>
      <c r="BR298" s="65"/>
      <c r="BS298" s="65"/>
      <c r="BT298" s="65"/>
      <c r="BU298" s="65"/>
      <c r="BV298" s="65"/>
      <c r="BW298" s="65"/>
      <c r="BX298" s="65"/>
      <c r="BY298" s="65"/>
      <c r="BZ298" s="65"/>
      <c r="CA298" s="65"/>
      <c r="CB298" s="65"/>
      <c r="CC298" s="65"/>
      <c r="CD298" s="65"/>
      <c r="CE298" s="65"/>
      <c r="CF298" s="65"/>
      <c r="CG298" s="65"/>
      <c r="CH298" s="0"/>
      <c r="CI298" s="0"/>
      <c r="CJ298" s="0"/>
      <c r="CK298" s="0"/>
      <c r="CP298" s="0"/>
      <c r="CQ298" s="0"/>
      <c r="CR298" s="0"/>
      <c r="CS298" s="0"/>
      <c r="CT298" s="0"/>
      <c r="CY298" s="174" t="n">
        <f aca="false">EOMONTH(CY297,0)+1</f>
        <v>45261</v>
      </c>
      <c r="CZ298" s="175" t="n">
        <f aca="false">IF(AI298=0,CZ286,AH298+AI298)</f>
        <v>1</v>
      </c>
      <c r="DA298" s="175" t="n">
        <f aca="false">IF(AI298=0,DA286,AI298)</f>
        <v>1.25</v>
      </c>
      <c r="DB298" s="175" t="n">
        <f aca="false">IF(AI298=0,DB286,AI298+AJ298)</f>
        <v>1.55</v>
      </c>
      <c r="DD298" s="154" t="n">
        <f aca="false">IF(Z298=0,DD286,Z298)</f>
        <v>0.0638788843714456</v>
      </c>
      <c r="DE298" s="154" t="n">
        <f aca="false">IF(AA298=0,DE286,AA298)</f>
        <v>0.127757768742891</v>
      </c>
      <c r="DF298" s="154" t="n">
        <f aca="false">IF(AB298=0,DF286,AB298)</f>
        <v>0.191636653114337</v>
      </c>
      <c r="DH298" s="174" t="n">
        <f aca="false">IF(BH298=0,EOMONTH(DH297,0)+1,BH298)</f>
        <v>45261</v>
      </c>
      <c r="DI298" s="207" t="n">
        <f aca="false">IF(BI298=0,DI286,BI298)</f>
        <v>0.9</v>
      </c>
    </row>
    <row r="299" customFormat="false" ht="14.25" hidden="false" customHeight="false" outlineLevel="0" collapsed="false">
      <c r="A299" s="209" t="n">
        <f aca="false">EDATE(A298,1)</f>
        <v>54636</v>
      </c>
      <c r="B299" s="128" t="n">
        <f aca="false">'Gas Curves'!C303</f>
        <v>0.070735721584951</v>
      </c>
      <c r="C299" s="128"/>
      <c r="D299" s="65"/>
      <c r="E299" s="65"/>
      <c r="F299" s="65"/>
      <c r="G299" s="65"/>
      <c r="H299" s="65"/>
      <c r="I299" s="65"/>
      <c r="J299" s="65"/>
      <c r="K299" s="65"/>
      <c r="L299" s="65"/>
      <c r="M299" s="13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/>
      <c r="AS299" s="65"/>
      <c r="AT299" s="65"/>
      <c r="AU299" s="65"/>
      <c r="AV299" s="65"/>
      <c r="AW299" s="65"/>
      <c r="AX299" s="65"/>
      <c r="AY299" s="65"/>
      <c r="AZ299" s="65"/>
      <c r="BA299" s="65"/>
      <c r="BB299" s="65"/>
      <c r="BC299" s="65"/>
      <c r="BD299" s="65"/>
      <c r="BE299" s="65"/>
      <c r="BF299" s="65"/>
      <c r="BG299" s="65"/>
      <c r="BH299" s="135"/>
      <c r="BI299" s="65"/>
      <c r="BJ299" s="65"/>
      <c r="BK299" s="65"/>
      <c r="BL299" s="65"/>
      <c r="BM299" s="65"/>
      <c r="BN299" s="65"/>
      <c r="BO299" s="65"/>
      <c r="BP299" s="65"/>
      <c r="BQ299" s="65"/>
      <c r="BR299" s="65"/>
      <c r="BS299" s="65"/>
      <c r="BT299" s="65"/>
      <c r="BU299" s="65"/>
      <c r="BV299" s="65"/>
      <c r="BW299" s="65"/>
      <c r="BX299" s="65"/>
      <c r="BY299" s="65"/>
      <c r="BZ299" s="65"/>
      <c r="CA299" s="65"/>
      <c r="CB299" s="65"/>
      <c r="CC299" s="65"/>
      <c r="CD299" s="65"/>
      <c r="CE299" s="65"/>
      <c r="CF299" s="65"/>
      <c r="CG299" s="65"/>
      <c r="CH299" s="0"/>
      <c r="CI299" s="0"/>
      <c r="CJ299" s="0"/>
      <c r="CK299" s="0"/>
      <c r="CP299" s="0"/>
      <c r="CQ299" s="0"/>
      <c r="CR299" s="0"/>
      <c r="CS299" s="0"/>
      <c r="CT299" s="0"/>
      <c r="CY299" s="174" t="n">
        <f aca="false">EOMONTH(CY298,0)+1</f>
        <v>45292</v>
      </c>
      <c r="CZ299" s="175" t="n">
        <f aca="false">IF(AI299=0,CZ287,AH299+AI299)</f>
        <v>1</v>
      </c>
      <c r="DA299" s="175" t="n">
        <f aca="false">IF(AI299=0,DA287,AI299)</f>
        <v>1.25</v>
      </c>
      <c r="DB299" s="175" t="n">
        <f aca="false">IF(AI299=0,DB287,AI299+AJ299)</f>
        <v>1.55</v>
      </c>
      <c r="DD299" s="154" t="n">
        <f aca="false">IF(Z299=0,DD287,Z299)</f>
        <v>0.0942652295751635</v>
      </c>
      <c r="DE299" s="154" t="n">
        <f aca="false">IF(AA299=0,DE287,AA299)</f>
        <v>0.188530459150327</v>
      </c>
      <c r="DF299" s="154" t="n">
        <f aca="false">IF(AB299=0,DF287,AB299)</f>
        <v>0.28279568872549</v>
      </c>
      <c r="DH299" s="174" t="n">
        <f aca="false">IF(BH299=0,EOMONTH(DH298,0)+1,BH299)</f>
        <v>45292</v>
      </c>
      <c r="DI299" s="207" t="n">
        <f aca="false">IF(BI299=0,DI287,BI299)</f>
        <v>0.9</v>
      </c>
    </row>
    <row r="300" customFormat="false" ht="14.25" hidden="false" customHeight="false" outlineLevel="0" collapsed="false">
      <c r="A300" s="209" t="n">
        <f aca="false">EDATE(A299,1)</f>
        <v>54667</v>
      </c>
      <c r="B300" s="128" t="n">
        <f aca="false">'Gas Curves'!C304</f>
        <v>0.070723072946225</v>
      </c>
      <c r="C300" s="128"/>
      <c r="D300" s="65"/>
      <c r="E300" s="65"/>
      <c r="F300" s="65"/>
      <c r="G300" s="65"/>
      <c r="H300" s="65"/>
      <c r="I300" s="65"/>
      <c r="J300" s="65"/>
      <c r="K300" s="65"/>
      <c r="L300" s="65"/>
      <c r="M300" s="13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65"/>
      <c r="AT300" s="65"/>
      <c r="AU300" s="65"/>
      <c r="AV300" s="65"/>
      <c r="AW300" s="65"/>
      <c r="AX300" s="65"/>
      <c r="AY300" s="65"/>
      <c r="AZ300" s="65"/>
      <c r="BA300" s="65"/>
      <c r="BB300" s="65"/>
      <c r="BC300" s="65"/>
      <c r="BD300" s="65"/>
      <c r="BE300" s="65"/>
      <c r="BF300" s="65"/>
      <c r="BG300" s="65"/>
      <c r="BH300" s="135"/>
      <c r="BI300" s="65"/>
      <c r="BJ300" s="65"/>
      <c r="BK300" s="65"/>
      <c r="BL300" s="65"/>
      <c r="BM300" s="65"/>
      <c r="BN300" s="65"/>
      <c r="BO300" s="65"/>
      <c r="BP300" s="65"/>
      <c r="BQ300" s="65"/>
      <c r="BR300" s="65"/>
      <c r="BS300" s="65"/>
      <c r="BT300" s="65"/>
      <c r="BU300" s="65"/>
      <c r="BV300" s="65"/>
      <c r="BW300" s="65"/>
      <c r="BX300" s="65"/>
      <c r="BY300" s="65"/>
      <c r="BZ300" s="65"/>
      <c r="CA300" s="65"/>
      <c r="CB300" s="65"/>
      <c r="CC300" s="65"/>
      <c r="CD300" s="65"/>
      <c r="CE300" s="65"/>
      <c r="CF300" s="65"/>
      <c r="CG300" s="65"/>
      <c r="CH300" s="0"/>
      <c r="CI300" s="0"/>
      <c r="CJ300" s="0"/>
      <c r="CK300" s="0"/>
      <c r="CP300" s="0"/>
      <c r="CQ300" s="0"/>
      <c r="CR300" s="0"/>
      <c r="CS300" s="0"/>
      <c r="CT300" s="0"/>
      <c r="CU300" s="0"/>
      <c r="CV300" s="138"/>
      <c r="CW300" s="210"/>
      <c r="CX300" s="210"/>
      <c r="CY300" s="174" t="n">
        <f aca="false">EOMONTH(CY299,0)+1</f>
        <v>45323</v>
      </c>
      <c r="CZ300" s="175" t="n">
        <f aca="false">IF(AI300=0,CZ288,AH300+AI300)</f>
        <v>1</v>
      </c>
      <c r="DA300" s="175" t="n">
        <f aca="false">IF(AI300=0,DA288,AI300)</f>
        <v>1.25</v>
      </c>
      <c r="DB300" s="175" t="n">
        <f aca="false">IF(AI300=0,DB288,AI300+AJ300)</f>
        <v>1.55</v>
      </c>
      <c r="DD300" s="154" t="n">
        <f aca="false">IF(Z300=0,DD288,Z300)</f>
        <v>0.0910666090107368</v>
      </c>
      <c r="DE300" s="154" t="n">
        <f aca="false">IF(AA300=0,DE288,AA300)</f>
        <v>0.182133218021474</v>
      </c>
      <c r="DF300" s="154" t="n">
        <f aca="false">IF(AB300=0,DF288,AB300)</f>
        <v>0.27319982703221</v>
      </c>
      <c r="DG300" s="211"/>
      <c r="DH300" s="174" t="n">
        <f aca="false">IF(BH300=0,EOMONTH(DH299,0)+1,BH300)</f>
        <v>45323</v>
      </c>
      <c r="DI300" s="207" t="n">
        <f aca="false">IF(BI300=0,DI288,BI300)</f>
        <v>0.9</v>
      </c>
    </row>
    <row r="301" customFormat="false" ht="14.25" hidden="false" customHeight="false" outlineLevel="0" collapsed="false">
      <c r="A301" s="209" t="n">
        <f aca="false">EDATE(A300,1)</f>
        <v>54697</v>
      </c>
      <c r="B301" s="128" t="n">
        <f aca="false">'Gas Curves'!C305</f>
        <v>0.070710832328154</v>
      </c>
      <c r="C301" s="128"/>
      <c r="D301" s="65"/>
      <c r="E301" s="65"/>
      <c r="F301" s="65"/>
      <c r="G301" s="65"/>
      <c r="H301" s="65"/>
      <c r="I301" s="65"/>
      <c r="J301" s="65"/>
      <c r="K301" s="65"/>
      <c r="L301" s="65"/>
      <c r="M301" s="13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/>
      <c r="AS301" s="65"/>
      <c r="AT301" s="65"/>
      <c r="AU301" s="65"/>
      <c r="AV301" s="65"/>
      <c r="AW301" s="65"/>
      <c r="AX301" s="65"/>
      <c r="AY301" s="65"/>
      <c r="AZ301" s="65"/>
      <c r="BA301" s="65"/>
      <c r="BB301" s="65"/>
      <c r="BC301" s="65"/>
      <c r="BD301" s="65"/>
      <c r="BE301" s="65"/>
      <c r="BF301" s="65"/>
      <c r="BG301" s="65"/>
      <c r="BH301" s="135"/>
      <c r="BI301" s="65"/>
      <c r="BJ301" s="65"/>
      <c r="BK301" s="65"/>
      <c r="BL301" s="65"/>
      <c r="BM301" s="65"/>
      <c r="BN301" s="65"/>
      <c r="BO301" s="65"/>
      <c r="BP301" s="65"/>
      <c r="BQ301" s="65"/>
      <c r="BR301" s="65"/>
      <c r="BS301" s="65"/>
      <c r="BT301" s="65"/>
      <c r="BU301" s="65"/>
      <c r="BV301" s="65"/>
      <c r="BW301" s="65"/>
      <c r="BX301" s="65"/>
      <c r="BY301" s="65"/>
      <c r="BZ301" s="65"/>
      <c r="CA301" s="65"/>
      <c r="CB301" s="65"/>
      <c r="CC301" s="65"/>
      <c r="CD301" s="65"/>
      <c r="CE301" s="65"/>
      <c r="CF301" s="65"/>
      <c r="CG301" s="65"/>
      <c r="CH301" s="0"/>
      <c r="CI301" s="0"/>
      <c r="CJ301" s="0"/>
      <c r="CK301" s="0"/>
      <c r="CP301" s="0"/>
      <c r="CQ301" s="0"/>
      <c r="CR301" s="0"/>
      <c r="CS301" s="0"/>
      <c r="CT301" s="0"/>
      <c r="CU301" s="0"/>
      <c r="CV301" s="138"/>
      <c r="CW301" s="210"/>
      <c r="CX301" s="210"/>
      <c r="CY301" s="174" t="n">
        <f aca="false">EOMONTH(CY300,0)+1</f>
        <v>45352</v>
      </c>
      <c r="CZ301" s="175" t="n">
        <f aca="false">IF(AI301=0,CZ289,AH301+AI301)</f>
        <v>1</v>
      </c>
      <c r="DA301" s="175" t="n">
        <f aca="false">IF(AI301=0,DA289,AI301)</f>
        <v>1.25</v>
      </c>
      <c r="DB301" s="175" t="n">
        <f aca="false">IF(AI301=0,DB289,AI301+AJ301)</f>
        <v>1.55</v>
      </c>
      <c r="DD301" s="154" t="n">
        <f aca="false">IF(Z301=0,DD289,Z301)</f>
        <v>0.0721937023797812</v>
      </c>
      <c r="DE301" s="154" t="n">
        <f aca="false">IF(AA301=0,DE289,AA301)</f>
        <v>0.144387404759562</v>
      </c>
      <c r="DF301" s="154" t="n">
        <f aca="false">IF(AB301=0,DF289,AB301)</f>
        <v>0.216581107139343</v>
      </c>
      <c r="DG301" s="211"/>
      <c r="DH301" s="174" t="n">
        <f aca="false">IF(BH301=0,EOMONTH(DH300,0)+1,BH301)</f>
        <v>45352</v>
      </c>
      <c r="DI301" s="207" t="n">
        <f aca="false">IF(BI301=0,DI289,BI301)</f>
        <v>0.9</v>
      </c>
    </row>
    <row r="302" customFormat="false" ht="14.25" hidden="false" customHeight="false" outlineLevel="0" collapsed="false">
      <c r="A302" s="209" t="n">
        <f aca="false">EDATE(A301,1)</f>
        <v>54728</v>
      </c>
      <c r="B302" s="128" t="n">
        <f aca="false">'Gas Curves'!C306</f>
        <v>0.070698183689532</v>
      </c>
      <c r="C302" s="128"/>
      <c r="D302" s="65"/>
      <c r="E302" s="65"/>
      <c r="F302" s="65"/>
      <c r="G302" s="65"/>
      <c r="H302" s="65"/>
      <c r="I302" s="65"/>
      <c r="J302" s="65"/>
      <c r="K302" s="65"/>
      <c r="L302" s="65"/>
      <c r="M302" s="13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5"/>
      <c r="AU302" s="65"/>
      <c r="AV302" s="65"/>
      <c r="AW302" s="65"/>
      <c r="AX302" s="65"/>
      <c r="AY302" s="65"/>
      <c r="AZ302" s="65"/>
      <c r="BA302" s="65"/>
      <c r="BB302" s="65"/>
      <c r="BC302" s="65"/>
      <c r="BD302" s="65"/>
      <c r="BE302" s="65"/>
      <c r="BF302" s="65"/>
      <c r="BG302" s="65"/>
      <c r="BH302" s="135"/>
      <c r="BI302" s="65"/>
      <c r="BJ302" s="65"/>
      <c r="BK302" s="65"/>
      <c r="BL302" s="65"/>
      <c r="BM302" s="65"/>
      <c r="BN302" s="65"/>
      <c r="BO302" s="65"/>
      <c r="BP302" s="65"/>
      <c r="BQ302" s="65"/>
      <c r="BR302" s="65"/>
      <c r="BS302" s="65"/>
      <c r="BT302" s="65"/>
      <c r="BU302" s="65"/>
      <c r="BV302" s="65"/>
      <c r="BW302" s="65"/>
      <c r="BX302" s="65"/>
      <c r="BY302" s="65"/>
      <c r="BZ302" s="65"/>
      <c r="CA302" s="65"/>
      <c r="CB302" s="65"/>
      <c r="CC302" s="65"/>
      <c r="CD302" s="65"/>
      <c r="CE302" s="65"/>
      <c r="CF302" s="65"/>
      <c r="CG302" s="65"/>
      <c r="CH302" s="0"/>
      <c r="CI302" s="0"/>
      <c r="CJ302" s="0"/>
      <c r="CK302" s="0"/>
      <c r="CP302" s="0"/>
      <c r="CQ302" s="0"/>
      <c r="CR302" s="0"/>
      <c r="CS302" s="0"/>
      <c r="CT302" s="0"/>
      <c r="CU302" s="0"/>
      <c r="CV302" s="138"/>
      <c r="CW302" s="210"/>
      <c r="CX302" s="210"/>
      <c r="CY302" s="174" t="n">
        <f aca="false">EOMONTH(CY301,0)+1</f>
        <v>45383</v>
      </c>
      <c r="CZ302" s="175" t="n">
        <f aca="false">IF(AI302=0,CZ290,AH302+AI302)</f>
        <v>0</v>
      </c>
      <c r="DA302" s="175" t="n">
        <f aca="false">IF(AI302=0,DA290,AI302)</f>
        <v>0</v>
      </c>
      <c r="DB302" s="175" t="n">
        <f aca="false">IF(AI302=0,DB290,AI302+AJ302)</f>
        <v>0</v>
      </c>
      <c r="DD302" s="154" t="n">
        <f aca="false">IF(Z302=0,DD290,Z302)</f>
        <v>0</v>
      </c>
      <c r="DE302" s="154" t="n">
        <f aca="false">IF(AA302=0,DE290,AA302)</f>
        <v>0</v>
      </c>
      <c r="DF302" s="154" t="n">
        <f aca="false">IF(AB302=0,DF290,AB302)</f>
        <v>0</v>
      </c>
      <c r="DG302" s="211"/>
      <c r="DH302" s="174" t="n">
        <f aca="false">IF(BH302=0,EOMONTH(DH301,0)+1,BH302)</f>
        <v>45383</v>
      </c>
      <c r="DI302" s="207" t="n">
        <f aca="false">IF(BI302=0,DI290,BI302)</f>
        <v>0</v>
      </c>
    </row>
    <row r="303" customFormat="false" ht="14.25" hidden="false" customHeight="false" outlineLevel="0" collapsed="false">
      <c r="A303" s="209" t="n">
        <f aca="false">EDATE(A302,1)</f>
        <v>54758</v>
      </c>
      <c r="B303" s="128" t="n">
        <f aca="false">'Gas Curves'!C307</f>
        <v>0.070685943071562</v>
      </c>
      <c r="C303" s="128"/>
      <c r="D303" s="65"/>
      <c r="E303" s="65"/>
      <c r="F303" s="65"/>
      <c r="G303" s="65"/>
      <c r="H303" s="65"/>
      <c r="I303" s="65"/>
      <c r="J303" s="65"/>
      <c r="K303" s="65"/>
      <c r="L303" s="65"/>
      <c r="M303" s="13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65"/>
      <c r="AT303" s="65"/>
      <c r="AU303" s="65"/>
      <c r="AV303" s="65"/>
      <c r="AW303" s="65"/>
      <c r="AX303" s="65"/>
      <c r="AY303" s="65"/>
      <c r="AZ303" s="65"/>
      <c r="BA303" s="65"/>
      <c r="BB303" s="65"/>
      <c r="BC303" s="65"/>
      <c r="BD303" s="65"/>
      <c r="BE303" s="65"/>
      <c r="BF303" s="65"/>
      <c r="BG303" s="65"/>
      <c r="BH303" s="135"/>
      <c r="BI303" s="65"/>
      <c r="BJ303" s="65"/>
      <c r="BK303" s="65"/>
      <c r="BL303" s="65"/>
      <c r="BM303" s="65"/>
      <c r="BN303" s="65"/>
      <c r="BO303" s="65"/>
      <c r="BP303" s="65"/>
      <c r="BQ303" s="65"/>
      <c r="BR303" s="65"/>
      <c r="BS303" s="65"/>
      <c r="BT303" s="65"/>
      <c r="BU303" s="65"/>
      <c r="BV303" s="65"/>
      <c r="BW303" s="65"/>
      <c r="BX303" s="65"/>
      <c r="BY303" s="65"/>
      <c r="BZ303" s="65"/>
      <c r="CA303" s="65"/>
      <c r="CB303" s="65"/>
      <c r="CC303" s="65"/>
      <c r="CD303" s="65"/>
      <c r="CE303" s="65"/>
      <c r="CF303" s="65"/>
      <c r="CG303" s="65"/>
      <c r="CH303" s="0"/>
      <c r="CI303" s="0"/>
      <c r="CJ303" s="0"/>
      <c r="CK303" s="0"/>
      <c r="CP303" s="0"/>
      <c r="CQ303" s="0"/>
      <c r="CR303" s="0"/>
      <c r="CS303" s="0"/>
      <c r="CT303" s="0"/>
      <c r="CU303" s="0"/>
      <c r="CV303" s="138"/>
      <c r="CW303" s="210"/>
      <c r="CX303" s="210"/>
      <c r="CY303" s="174" t="n">
        <f aca="false">EOMONTH(CY302,0)+1</f>
        <v>45413</v>
      </c>
      <c r="CZ303" s="175" t="n">
        <f aca="false">IF(AI303=0,CZ291,AH303+AI303)</f>
        <v>1</v>
      </c>
      <c r="DA303" s="175" t="n">
        <f aca="false">IF(AI303=0,DA291,AI303)</f>
        <v>1.25</v>
      </c>
      <c r="DB303" s="175" t="n">
        <f aca="false">IF(AI303=0,DB291,AI303+AJ303)</f>
        <v>1.55</v>
      </c>
      <c r="DD303" s="154" t="n">
        <f aca="false">IF(Z303=0,DD291,Z303)</f>
        <v>0.079836777060087</v>
      </c>
      <c r="DE303" s="154" t="n">
        <f aca="false">IF(AA303=0,DE291,AA303)</f>
        <v>0.159673554120174</v>
      </c>
      <c r="DF303" s="154" t="n">
        <f aca="false">IF(AB303=0,DF291,AB303)</f>
        <v>0.239510331180261</v>
      </c>
      <c r="DG303" s="211"/>
      <c r="DH303" s="174" t="n">
        <f aca="false">IF(BH303=0,EOMONTH(DH302,0)+1,BH303)</f>
        <v>45413</v>
      </c>
      <c r="DI303" s="207" t="n">
        <f aca="false">IF(BI303=0,DI291,BI303)</f>
        <v>0.9</v>
      </c>
    </row>
    <row r="304" customFormat="false" ht="14.25" hidden="false" customHeight="false" outlineLevel="0" collapsed="false">
      <c r="A304" s="209" t="n">
        <f aca="false">EDATE(A303,1)</f>
        <v>54789</v>
      </c>
      <c r="B304" s="128" t="n">
        <f aca="false">'Gas Curves'!C308</f>
        <v>0.070673294433044</v>
      </c>
      <c r="C304" s="128"/>
      <c r="D304" s="65"/>
      <c r="E304" s="65"/>
      <c r="F304" s="65"/>
      <c r="G304" s="65"/>
      <c r="H304" s="65"/>
      <c r="I304" s="65"/>
      <c r="J304" s="65"/>
      <c r="K304" s="65"/>
      <c r="L304" s="65"/>
      <c r="M304" s="13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65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/>
      <c r="AS304" s="65"/>
      <c r="AT304" s="65"/>
      <c r="AU304" s="65"/>
      <c r="AV304" s="65"/>
      <c r="AW304" s="65"/>
      <c r="AX304" s="65"/>
      <c r="AY304" s="65"/>
      <c r="AZ304" s="65"/>
      <c r="BA304" s="65"/>
      <c r="BB304" s="65"/>
      <c r="BC304" s="65"/>
      <c r="BD304" s="65"/>
      <c r="BE304" s="65"/>
      <c r="BF304" s="65"/>
      <c r="BG304" s="65"/>
      <c r="BH304" s="135"/>
      <c r="BI304" s="65"/>
      <c r="BJ304" s="65"/>
      <c r="BK304" s="65"/>
      <c r="BL304" s="65"/>
      <c r="BM304" s="65"/>
      <c r="BN304" s="65"/>
      <c r="BO304" s="65"/>
      <c r="BP304" s="65"/>
      <c r="BQ304" s="65"/>
      <c r="BR304" s="65"/>
      <c r="BS304" s="65"/>
      <c r="BT304" s="65"/>
      <c r="BU304" s="65"/>
      <c r="BV304" s="65"/>
      <c r="BW304" s="65"/>
      <c r="BX304" s="65"/>
      <c r="BY304" s="65"/>
      <c r="BZ304" s="65"/>
      <c r="CA304" s="65"/>
      <c r="CB304" s="65"/>
      <c r="CC304" s="65"/>
      <c r="CD304" s="65"/>
      <c r="CE304" s="65"/>
      <c r="CF304" s="65"/>
      <c r="CG304" s="65"/>
      <c r="CH304" s="0"/>
      <c r="CI304" s="0"/>
      <c r="CJ304" s="0"/>
      <c r="CK304" s="0"/>
      <c r="CP304" s="0"/>
      <c r="CQ304" s="0"/>
      <c r="CR304" s="0"/>
      <c r="CS304" s="0"/>
      <c r="CT304" s="0"/>
      <c r="CU304" s="0"/>
      <c r="CV304" s="138"/>
      <c r="CW304" s="210"/>
      <c r="CX304" s="210"/>
      <c r="CY304" s="174" t="n">
        <f aca="false">EOMONTH(CY303,0)+1</f>
        <v>45444</v>
      </c>
      <c r="CZ304" s="175" t="n">
        <f aca="false">IF(AI304=0,CZ292,AH304+AI304)</f>
        <v>1</v>
      </c>
      <c r="DA304" s="175" t="n">
        <f aca="false">IF(AI304=0,DA292,AI304)</f>
        <v>1.25</v>
      </c>
      <c r="DB304" s="175" t="n">
        <f aca="false">IF(AI304=0,DB292,AI304+AJ304)</f>
        <v>1.55</v>
      </c>
      <c r="DD304" s="154" t="n">
        <f aca="false">IF(Z304=0,DD292,Z304)</f>
        <v>0.085380172451756</v>
      </c>
      <c r="DE304" s="154" t="n">
        <f aca="false">IF(AA304=0,DE292,AA304)</f>
        <v>0.170760344903512</v>
      </c>
      <c r="DF304" s="154" t="n">
        <f aca="false">IF(AB304=0,DF292,AB304)</f>
        <v>0.256140517355268</v>
      </c>
      <c r="DG304" s="211"/>
      <c r="DH304" s="174" t="n">
        <f aca="false">IF(BH304=0,EOMONTH(DH303,0)+1,BH304)</f>
        <v>45444</v>
      </c>
      <c r="DI304" s="207" t="n">
        <f aca="false">IF(BI304=0,DI292,BI304)</f>
        <v>0.9</v>
      </c>
    </row>
    <row r="305" customFormat="false" ht="14.25" hidden="false" customHeight="false" outlineLevel="0" collapsed="false">
      <c r="A305" s="209" t="n">
        <f aca="false">EDATE(A304,1)</f>
        <v>54820</v>
      </c>
      <c r="B305" s="128" t="n">
        <f aca="false">'Gas Curves'!C309</f>
        <v>0.07066064579458</v>
      </c>
      <c r="C305" s="128"/>
      <c r="D305" s="65"/>
      <c r="E305" s="65"/>
      <c r="F305" s="65"/>
      <c r="G305" s="65"/>
      <c r="H305" s="65"/>
      <c r="I305" s="65"/>
      <c r="J305" s="65"/>
      <c r="K305" s="65"/>
      <c r="L305" s="65"/>
      <c r="M305" s="13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  <c r="AH305" s="65"/>
      <c r="AI305" s="65"/>
      <c r="AJ305" s="65"/>
      <c r="AK305" s="65"/>
      <c r="AL305" s="65"/>
      <c r="AM305" s="65"/>
      <c r="AN305" s="65"/>
      <c r="AO305" s="65"/>
      <c r="AP305" s="65"/>
      <c r="AQ305" s="65"/>
      <c r="AR305" s="65"/>
      <c r="AS305" s="65"/>
      <c r="AT305" s="65"/>
      <c r="AU305" s="65"/>
      <c r="AV305" s="65"/>
      <c r="AW305" s="65"/>
      <c r="AX305" s="65"/>
      <c r="AY305" s="65"/>
      <c r="AZ305" s="65"/>
      <c r="BA305" s="65"/>
      <c r="BB305" s="65"/>
      <c r="BC305" s="65"/>
      <c r="BD305" s="65"/>
      <c r="BE305" s="65"/>
      <c r="BF305" s="65"/>
      <c r="BG305" s="65"/>
      <c r="BH305" s="135"/>
      <c r="BI305" s="65"/>
      <c r="BJ305" s="65"/>
      <c r="BK305" s="65"/>
      <c r="BL305" s="65"/>
      <c r="BM305" s="65"/>
      <c r="BN305" s="65"/>
      <c r="BO305" s="65"/>
      <c r="BP305" s="65"/>
      <c r="BQ305" s="65"/>
      <c r="BR305" s="65"/>
      <c r="BS305" s="65"/>
      <c r="BT305" s="65"/>
      <c r="BU305" s="65"/>
      <c r="BV305" s="65"/>
      <c r="BW305" s="65"/>
      <c r="BX305" s="65"/>
      <c r="BY305" s="65"/>
      <c r="BZ305" s="65"/>
      <c r="CA305" s="65"/>
      <c r="CB305" s="65"/>
      <c r="CC305" s="65"/>
      <c r="CD305" s="65"/>
      <c r="CE305" s="65"/>
      <c r="CF305" s="65"/>
      <c r="CG305" s="65"/>
      <c r="CH305" s="0"/>
      <c r="CI305" s="0"/>
      <c r="CJ305" s="0"/>
      <c r="CK305" s="0"/>
      <c r="CP305" s="0"/>
      <c r="CQ305" s="0"/>
      <c r="CR305" s="0"/>
      <c r="CS305" s="0"/>
      <c r="CT305" s="0"/>
      <c r="CU305" s="0"/>
      <c r="CV305" s="138"/>
      <c r="CW305" s="210"/>
      <c r="CX305" s="210"/>
      <c r="CY305" s="174" t="n">
        <f aca="false">EOMONTH(CY304,0)+1</f>
        <v>45474</v>
      </c>
      <c r="CZ305" s="175" t="n">
        <f aca="false">IF(AI305=0,CZ293,AH305+AI305)</f>
        <v>1</v>
      </c>
      <c r="DA305" s="175" t="n">
        <f aca="false">IF(AI305=0,DA293,AI305)</f>
        <v>1.25</v>
      </c>
      <c r="DB305" s="175" t="n">
        <f aca="false">IF(AI305=0,DB293,AI305+AJ305)</f>
        <v>1.55</v>
      </c>
      <c r="DD305" s="154" t="n">
        <f aca="false">IF(Z305=0,DD293,Z305)</f>
        <v>0.101692367108662</v>
      </c>
      <c r="DE305" s="154" t="n">
        <f aca="false">IF(AA305=0,DE293,AA305)</f>
        <v>0.203384734217324</v>
      </c>
      <c r="DF305" s="154" t="n">
        <f aca="false">IF(AB305=0,DF293,AB305)</f>
        <v>0.305077101325986</v>
      </c>
      <c r="DG305" s="211"/>
      <c r="DH305" s="174" t="n">
        <f aca="false">IF(BH305=0,EOMONTH(DH304,0)+1,BH305)</f>
        <v>45474</v>
      </c>
      <c r="DI305" s="207" t="n">
        <f aca="false">IF(BI305=0,DI293,BI305)</f>
        <v>0.9</v>
      </c>
    </row>
    <row r="306" customFormat="false" ht="14.25" hidden="false" customHeight="false" outlineLevel="0" collapsed="false">
      <c r="A306" s="209" t="n">
        <f aca="false">EDATE(A305,1)</f>
        <v>54848</v>
      </c>
      <c r="B306" s="128" t="n">
        <f aca="false">'Gas Curves'!C310</f>
        <v>0.070649221217947</v>
      </c>
      <c r="C306" s="128"/>
      <c r="D306" s="65"/>
      <c r="E306" s="65"/>
      <c r="F306" s="65"/>
      <c r="G306" s="65"/>
      <c r="H306" s="65"/>
      <c r="I306" s="65"/>
      <c r="J306" s="65"/>
      <c r="K306" s="65"/>
      <c r="L306" s="65"/>
      <c r="M306" s="13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65"/>
      <c r="AI306" s="65"/>
      <c r="AJ306" s="65"/>
      <c r="AK306" s="65"/>
      <c r="AL306" s="65"/>
      <c r="AM306" s="65"/>
      <c r="AN306" s="65"/>
      <c r="AO306" s="65"/>
      <c r="AP306" s="65"/>
      <c r="AQ306" s="65"/>
      <c r="AR306" s="65"/>
      <c r="AS306" s="65"/>
      <c r="AT306" s="65"/>
      <c r="AU306" s="65"/>
      <c r="AV306" s="65"/>
      <c r="AW306" s="65"/>
      <c r="AX306" s="65"/>
      <c r="AY306" s="65"/>
      <c r="AZ306" s="65"/>
      <c r="BA306" s="65"/>
      <c r="BB306" s="65"/>
      <c r="BC306" s="65"/>
      <c r="BD306" s="65"/>
      <c r="BE306" s="65"/>
      <c r="BF306" s="65"/>
      <c r="BG306" s="65"/>
      <c r="BH306" s="135"/>
      <c r="BI306" s="65"/>
      <c r="BJ306" s="65"/>
      <c r="BK306" s="65"/>
      <c r="BL306" s="65"/>
      <c r="BM306" s="65"/>
      <c r="BN306" s="65"/>
      <c r="BO306" s="65"/>
      <c r="BP306" s="65"/>
      <c r="BQ306" s="65"/>
      <c r="BR306" s="65"/>
      <c r="BS306" s="65"/>
      <c r="BT306" s="65"/>
      <c r="BU306" s="65"/>
      <c r="BV306" s="65"/>
      <c r="BW306" s="65"/>
      <c r="BX306" s="65"/>
      <c r="BY306" s="65"/>
      <c r="BZ306" s="65"/>
      <c r="CA306" s="65"/>
      <c r="CB306" s="65"/>
      <c r="CC306" s="65"/>
      <c r="CD306" s="65"/>
      <c r="CE306" s="65"/>
      <c r="CF306" s="65"/>
      <c r="CG306" s="65"/>
      <c r="CH306" s="0"/>
      <c r="CI306" s="0"/>
      <c r="CJ306" s="0"/>
      <c r="CK306" s="0"/>
      <c r="CP306" s="0"/>
      <c r="CQ306" s="0"/>
      <c r="CR306" s="0"/>
      <c r="CS306" s="0"/>
      <c r="CT306" s="0"/>
      <c r="CU306" s="0"/>
      <c r="CV306" s="138"/>
      <c r="CW306" s="210"/>
      <c r="CX306" s="210"/>
      <c r="CY306" s="174" t="n">
        <f aca="false">EOMONTH(CY305,0)+1</f>
        <v>45505</v>
      </c>
      <c r="CZ306" s="175" t="n">
        <f aca="false">IF(AI306=0,CZ294,AH306+AI306)</f>
        <v>1</v>
      </c>
      <c r="DA306" s="175" t="n">
        <f aca="false">IF(AI306=0,DA294,AI306)</f>
        <v>1.25</v>
      </c>
      <c r="DB306" s="175" t="n">
        <f aca="false">IF(AI306=0,DB294,AI306+AJ306)</f>
        <v>1.55</v>
      </c>
      <c r="DD306" s="154" t="n">
        <f aca="false">IF(Z306=0,DD294,Z306)</f>
        <v>0.0994642258486125</v>
      </c>
      <c r="DE306" s="154" t="n">
        <f aca="false">IF(AA306=0,DE294,AA306)</f>
        <v>0.198928451697225</v>
      </c>
      <c r="DF306" s="154" t="n">
        <f aca="false">IF(AB306=0,DF294,AB306)</f>
        <v>0.298392677545837</v>
      </c>
      <c r="DG306" s="211"/>
      <c r="DH306" s="174" t="n">
        <f aca="false">IF(BH306=0,EOMONTH(DH305,0)+1,BH306)</f>
        <v>45505</v>
      </c>
      <c r="DI306" s="207" t="n">
        <f aca="false">IF(BI306=0,DI294,BI306)</f>
        <v>0.9</v>
      </c>
    </row>
    <row r="307" customFormat="false" ht="14.25" hidden="false" customHeight="false" outlineLevel="0" collapsed="false">
      <c r="A307" s="209" t="n">
        <f aca="false">EDATE(A306,1)</f>
        <v>54879</v>
      </c>
      <c r="B307" s="128" t="n">
        <f aca="false">'Gas Curves'!C311</f>
        <v>0.070636572579584</v>
      </c>
      <c r="C307" s="128"/>
      <c r="D307" s="65"/>
      <c r="E307" s="65"/>
      <c r="F307" s="65"/>
      <c r="G307" s="65"/>
      <c r="H307" s="65"/>
      <c r="I307" s="65"/>
      <c r="J307" s="65"/>
      <c r="K307" s="65"/>
      <c r="L307" s="65"/>
      <c r="M307" s="13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/>
      <c r="AS307" s="65"/>
      <c r="AT307" s="65"/>
      <c r="AU307" s="65"/>
      <c r="AV307" s="65"/>
      <c r="AW307" s="65"/>
      <c r="AX307" s="65"/>
      <c r="AY307" s="65"/>
      <c r="AZ307" s="65"/>
      <c r="BA307" s="65"/>
      <c r="BB307" s="65"/>
      <c r="BC307" s="65"/>
      <c r="BD307" s="65"/>
      <c r="BE307" s="65"/>
      <c r="BF307" s="65"/>
      <c r="BG307" s="65"/>
      <c r="BH307" s="135"/>
      <c r="BI307" s="65"/>
      <c r="BJ307" s="65"/>
      <c r="BK307" s="65"/>
      <c r="BL307" s="65"/>
      <c r="BM307" s="65"/>
      <c r="BN307" s="65"/>
      <c r="BO307" s="65"/>
      <c r="BP307" s="65"/>
      <c r="BQ307" s="65"/>
      <c r="BR307" s="65"/>
      <c r="BS307" s="65"/>
      <c r="BT307" s="65"/>
      <c r="BU307" s="65"/>
      <c r="BV307" s="65"/>
      <c r="BW307" s="65"/>
      <c r="BX307" s="65"/>
      <c r="BY307" s="65"/>
      <c r="BZ307" s="65"/>
      <c r="CA307" s="65"/>
      <c r="CB307" s="65"/>
      <c r="CC307" s="65"/>
      <c r="CD307" s="65"/>
      <c r="CE307" s="65"/>
      <c r="CF307" s="65"/>
      <c r="CG307" s="65"/>
      <c r="CH307" s="0"/>
      <c r="CI307" s="0"/>
      <c r="CJ307" s="0"/>
      <c r="CK307" s="0"/>
      <c r="CP307" s="0"/>
      <c r="CQ307" s="0"/>
      <c r="CR307" s="0"/>
      <c r="CS307" s="0"/>
      <c r="CT307" s="0"/>
      <c r="CU307" s="0"/>
      <c r="CV307" s="138"/>
      <c r="CW307" s="210"/>
      <c r="CX307" s="210"/>
      <c r="CY307" s="174" t="n">
        <f aca="false">EOMONTH(CY306,0)+1</f>
        <v>45536</v>
      </c>
      <c r="CZ307" s="175" t="n">
        <f aca="false">IF(AI307=0,CZ295,AH307+AI307)</f>
        <v>1</v>
      </c>
      <c r="DA307" s="175" t="n">
        <f aca="false">IF(AI307=0,DA295,AI307)</f>
        <v>1.25</v>
      </c>
      <c r="DB307" s="175" t="n">
        <f aca="false">IF(AI307=0,DB295,AI307+AJ307)</f>
        <v>1.55</v>
      </c>
      <c r="DD307" s="154" t="n">
        <f aca="false">IF(Z307=0,DD295,Z307)</f>
        <v>0.0753606888398985</v>
      </c>
      <c r="DE307" s="154" t="n">
        <f aca="false">IF(AA307=0,DE295,AA307)</f>
        <v>0.150721377679797</v>
      </c>
      <c r="DF307" s="154" t="n">
        <f aca="false">IF(AB307=0,DF295,AB307)</f>
        <v>0.226082066519696</v>
      </c>
      <c r="DG307" s="211"/>
      <c r="DH307" s="174" t="n">
        <f aca="false">IF(BH307=0,EOMONTH(DH306,0)+1,BH307)</f>
        <v>45536</v>
      </c>
      <c r="DI307" s="207" t="n">
        <f aca="false">IF(BI307=0,DI295,BI307)</f>
        <v>0.9</v>
      </c>
    </row>
    <row r="308" customFormat="false" ht="14.25" hidden="false" customHeight="false" outlineLevel="0" collapsed="false">
      <c r="A308" s="209" t="n">
        <f aca="false">EDATE(A307,1)</f>
        <v>54909</v>
      </c>
      <c r="B308" s="128" t="n">
        <f aca="false">'Gas Curves'!C312</f>
        <v>0.070624331961862</v>
      </c>
      <c r="C308" s="128"/>
      <c r="D308" s="65"/>
      <c r="E308" s="65"/>
      <c r="F308" s="65"/>
      <c r="G308" s="65"/>
      <c r="H308" s="65"/>
      <c r="I308" s="65"/>
      <c r="J308" s="65"/>
      <c r="K308" s="65"/>
      <c r="L308" s="65"/>
      <c r="M308" s="13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65"/>
      <c r="AT308" s="65"/>
      <c r="AU308" s="65"/>
      <c r="AV308" s="65"/>
      <c r="AW308" s="65"/>
      <c r="AX308" s="65"/>
      <c r="AY308" s="65"/>
      <c r="AZ308" s="65"/>
      <c r="BA308" s="65"/>
      <c r="BB308" s="65"/>
      <c r="BC308" s="65"/>
      <c r="BD308" s="65"/>
      <c r="BE308" s="65"/>
      <c r="BF308" s="65"/>
      <c r="BG308" s="65"/>
      <c r="BH308" s="135"/>
      <c r="BI308" s="65"/>
      <c r="BJ308" s="65"/>
      <c r="BK308" s="65"/>
      <c r="BL308" s="65"/>
      <c r="BM308" s="65"/>
      <c r="BN308" s="65"/>
      <c r="BO308" s="65"/>
      <c r="BP308" s="65"/>
      <c r="BQ308" s="65"/>
      <c r="BR308" s="65"/>
      <c r="BS308" s="65"/>
      <c r="BT308" s="65"/>
      <c r="BU308" s="65"/>
      <c r="BV308" s="65"/>
      <c r="BW308" s="65"/>
      <c r="BX308" s="65"/>
      <c r="BY308" s="65"/>
      <c r="BZ308" s="65"/>
      <c r="CA308" s="65"/>
      <c r="CB308" s="65"/>
      <c r="CC308" s="65"/>
      <c r="CD308" s="65"/>
      <c r="CE308" s="65"/>
      <c r="CF308" s="65"/>
      <c r="CG308" s="65"/>
      <c r="CH308" s="0"/>
      <c r="CI308" s="0"/>
      <c r="CJ308" s="0"/>
      <c r="CK308" s="0"/>
      <c r="CP308" s="0"/>
      <c r="CQ308" s="0"/>
      <c r="CR308" s="0"/>
      <c r="CS308" s="0"/>
      <c r="CT308" s="0"/>
      <c r="CU308" s="0"/>
      <c r="CV308" s="138"/>
      <c r="CW308" s="210"/>
      <c r="CX308" s="210"/>
      <c r="CY308" s="174" t="n">
        <f aca="false">EOMONTH(CY307,0)+1</f>
        <v>45566</v>
      </c>
      <c r="CZ308" s="175" t="n">
        <f aca="false">IF(AI308=0,CZ296,AH308+AI308)</f>
        <v>1</v>
      </c>
      <c r="DA308" s="175" t="n">
        <f aca="false">IF(AI308=0,DA296,AI308)</f>
        <v>1.25</v>
      </c>
      <c r="DB308" s="175" t="n">
        <f aca="false">IF(AI308=0,DB296,AI308+AJ308)</f>
        <v>1.55</v>
      </c>
      <c r="DD308" s="154" t="n">
        <f aca="false">IF(Z308=0,DD296,Z308)</f>
        <v>0.0651800088356474</v>
      </c>
      <c r="DE308" s="154" t="n">
        <f aca="false">IF(AA308=0,DE296,AA308)</f>
        <v>0.130360017671295</v>
      </c>
      <c r="DF308" s="154" t="n">
        <f aca="false">IF(AB308=0,DF296,AB308)</f>
        <v>0.195540026506942</v>
      </c>
      <c r="DG308" s="211"/>
      <c r="DH308" s="174" t="n">
        <f aca="false">IF(BH308=0,EOMONTH(DH307,0)+1,BH308)</f>
        <v>45566</v>
      </c>
      <c r="DI308" s="207" t="n">
        <f aca="false">IF(BI308=0,DI296,BI308)</f>
        <v>0.9</v>
      </c>
    </row>
    <row r="309" customFormat="false" ht="14.25" hidden="false" customHeight="false" outlineLevel="0" collapsed="false">
      <c r="A309" s="209" t="n">
        <f aca="false">EDATE(A308,1)</f>
        <v>54940</v>
      </c>
      <c r="B309" s="128" t="n">
        <f aca="false">'Gas Curves'!C313</f>
        <v>0.070611683323602</v>
      </c>
      <c r="C309" s="128"/>
      <c r="D309" s="65"/>
      <c r="E309" s="65"/>
      <c r="F309" s="65"/>
      <c r="G309" s="65"/>
      <c r="H309" s="65"/>
      <c r="I309" s="65"/>
      <c r="J309" s="65"/>
      <c r="K309" s="65"/>
      <c r="L309" s="65"/>
      <c r="M309" s="13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5"/>
      <c r="AU309" s="65"/>
      <c r="AV309" s="65"/>
      <c r="AW309" s="65"/>
      <c r="AX309" s="65"/>
      <c r="AY309" s="65"/>
      <c r="AZ309" s="65"/>
      <c r="BA309" s="65"/>
      <c r="BB309" s="65"/>
      <c r="BC309" s="65"/>
      <c r="BD309" s="65"/>
      <c r="BE309" s="65"/>
      <c r="BF309" s="65"/>
      <c r="BG309" s="65"/>
      <c r="BH309" s="135"/>
      <c r="BI309" s="65"/>
      <c r="BJ309" s="65"/>
      <c r="BK309" s="65"/>
      <c r="BL309" s="65"/>
      <c r="BM309" s="65"/>
      <c r="BN309" s="65"/>
      <c r="BO309" s="65"/>
      <c r="BP309" s="65"/>
      <c r="BQ309" s="65"/>
      <c r="BR309" s="65"/>
      <c r="BS309" s="65"/>
      <c r="BT309" s="65"/>
      <c r="BU309" s="65"/>
      <c r="BV309" s="65"/>
      <c r="BW309" s="65"/>
      <c r="BX309" s="65"/>
      <c r="BY309" s="65"/>
      <c r="BZ309" s="65"/>
      <c r="CA309" s="65"/>
      <c r="CB309" s="65"/>
      <c r="CC309" s="65"/>
      <c r="CD309" s="65"/>
      <c r="CE309" s="65"/>
      <c r="CF309" s="65"/>
      <c r="CG309" s="65"/>
      <c r="CH309" s="0"/>
      <c r="CI309" s="0"/>
      <c r="CJ309" s="0"/>
      <c r="CK309" s="0"/>
      <c r="CP309" s="0"/>
      <c r="CQ309" s="0"/>
      <c r="CR309" s="0"/>
      <c r="CS309" s="0"/>
      <c r="CT309" s="0"/>
      <c r="CU309" s="0"/>
      <c r="CV309" s="138"/>
      <c r="CW309" s="210"/>
      <c r="CX309" s="210"/>
      <c r="CY309" s="174" t="n">
        <f aca="false">EOMONTH(CY308,0)+1</f>
        <v>45597</v>
      </c>
      <c r="CZ309" s="175" t="n">
        <f aca="false">IF(AI309=0,CZ297,AH309+AI309)</f>
        <v>1</v>
      </c>
      <c r="DA309" s="175" t="n">
        <f aca="false">IF(AI309=0,DA297,AI309)</f>
        <v>1.25</v>
      </c>
      <c r="DB309" s="175" t="n">
        <f aca="false">IF(AI309=0,DB297,AI309+AJ309)</f>
        <v>1.55</v>
      </c>
      <c r="DD309" s="154" t="n">
        <f aca="false">IF(Z309=0,DD297,Z309)</f>
        <v>0.0651800088356474</v>
      </c>
      <c r="DE309" s="154" t="n">
        <f aca="false">IF(AA309=0,DE297,AA309)</f>
        <v>0.130360017671295</v>
      </c>
      <c r="DF309" s="154" t="n">
        <f aca="false">IF(AB309=0,DF297,AB309)</f>
        <v>0.195540026506942</v>
      </c>
      <c r="DG309" s="211"/>
      <c r="DH309" s="174" t="n">
        <f aca="false">IF(BH309=0,EOMONTH(DH308,0)+1,BH309)</f>
        <v>45597</v>
      </c>
      <c r="DI309" s="207" t="n">
        <f aca="false">IF(BI309=0,DI297,BI309)</f>
        <v>0.9</v>
      </c>
    </row>
    <row r="310" customFormat="false" ht="14.25" hidden="false" customHeight="false" outlineLevel="0" collapsed="false">
      <c r="A310" s="209" t="n">
        <f aca="false">EDATE(A309,1)</f>
        <v>54970</v>
      </c>
      <c r="B310" s="128" t="n">
        <f aca="false">'Gas Curves'!C314</f>
        <v>0.070599442705982</v>
      </c>
      <c r="C310" s="128"/>
      <c r="D310" s="65"/>
      <c r="E310" s="65"/>
      <c r="F310" s="65"/>
      <c r="G310" s="65"/>
      <c r="H310" s="65"/>
      <c r="I310" s="65"/>
      <c r="J310" s="65"/>
      <c r="K310" s="65"/>
      <c r="L310" s="65"/>
      <c r="M310" s="13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5"/>
      <c r="AU310" s="65"/>
      <c r="AV310" s="65"/>
      <c r="AW310" s="65"/>
      <c r="AX310" s="65"/>
      <c r="AY310" s="65"/>
      <c r="AZ310" s="65"/>
      <c r="BA310" s="65"/>
      <c r="BB310" s="65"/>
      <c r="BC310" s="65"/>
      <c r="BD310" s="65"/>
      <c r="BE310" s="65"/>
      <c r="BF310" s="65"/>
      <c r="BG310" s="65"/>
      <c r="BH310" s="135"/>
      <c r="BI310" s="65"/>
      <c r="BJ310" s="65"/>
      <c r="BK310" s="65"/>
      <c r="BL310" s="65"/>
      <c r="BM310" s="65"/>
      <c r="BN310" s="65"/>
      <c r="BO310" s="65"/>
      <c r="BP310" s="65"/>
      <c r="BQ310" s="65"/>
      <c r="BR310" s="65"/>
      <c r="BS310" s="65"/>
      <c r="BT310" s="65"/>
      <c r="BU310" s="65"/>
      <c r="BV310" s="65"/>
      <c r="BW310" s="65"/>
      <c r="BX310" s="65"/>
      <c r="BY310" s="65"/>
      <c r="BZ310" s="65"/>
      <c r="CA310" s="65"/>
      <c r="CB310" s="65"/>
      <c r="CC310" s="65"/>
      <c r="CD310" s="65"/>
      <c r="CE310" s="65"/>
      <c r="CF310" s="65"/>
      <c r="CG310" s="65"/>
      <c r="CH310" s="0"/>
      <c r="CI310" s="0"/>
      <c r="CJ310" s="0"/>
      <c r="CK310" s="0"/>
      <c r="CP310" s="0"/>
      <c r="CQ310" s="0"/>
      <c r="CR310" s="0"/>
      <c r="CS310" s="0"/>
      <c r="CT310" s="0"/>
      <c r="CU310" s="0"/>
      <c r="CV310" s="138"/>
      <c r="CW310" s="210"/>
      <c r="CX310" s="210"/>
      <c r="CY310" s="174" t="n">
        <f aca="false">EOMONTH(CY309,0)+1</f>
        <v>45627</v>
      </c>
      <c r="CZ310" s="175" t="n">
        <f aca="false">IF(AI310=0,CZ298,AH310+AI310)</f>
        <v>1</v>
      </c>
      <c r="DA310" s="175" t="n">
        <f aca="false">IF(AI310=0,DA298,AI310)</f>
        <v>1.25</v>
      </c>
      <c r="DB310" s="175" t="n">
        <f aca="false">IF(AI310=0,DB298,AI310+AJ310)</f>
        <v>1.55</v>
      </c>
      <c r="DD310" s="154" t="n">
        <f aca="false">IF(Z310=0,DD298,Z310)</f>
        <v>0.0638788843714456</v>
      </c>
      <c r="DE310" s="154" t="n">
        <f aca="false">IF(AA310=0,DE298,AA310)</f>
        <v>0.127757768742891</v>
      </c>
      <c r="DF310" s="154" t="n">
        <f aca="false">IF(AB310=0,DF298,AB310)</f>
        <v>0.191636653114337</v>
      </c>
      <c r="DG310" s="210"/>
      <c r="DH310" s="174" t="n">
        <f aca="false">IF(BH310=0,EOMONTH(DH309,0)+1,BH310)</f>
        <v>45627</v>
      </c>
      <c r="DI310" s="207" t="n">
        <f aca="false">IF(BI310=0,DI298,BI310)</f>
        <v>0.9</v>
      </c>
    </row>
    <row r="311" customFormat="false" ht="14.25" hidden="false" customHeight="false" outlineLevel="0" collapsed="false">
      <c r="A311" s="209" t="n">
        <f aca="false">EDATE(A310,1)</f>
        <v>55001</v>
      </c>
      <c r="B311" s="128" t="n">
        <f aca="false">'Gas Curves'!C315</f>
        <v>0.070586794067826</v>
      </c>
      <c r="C311" s="128"/>
      <c r="D311" s="65"/>
      <c r="E311" s="65"/>
      <c r="F311" s="65"/>
      <c r="G311" s="65"/>
      <c r="H311" s="65"/>
      <c r="I311" s="65"/>
      <c r="J311" s="65"/>
      <c r="K311" s="65"/>
      <c r="L311" s="65"/>
      <c r="M311" s="13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65"/>
      <c r="AT311" s="65"/>
      <c r="AU311" s="65"/>
      <c r="AV311" s="65"/>
      <c r="AW311" s="65"/>
      <c r="AX311" s="65"/>
      <c r="AY311" s="65"/>
      <c r="AZ311" s="65"/>
      <c r="BA311" s="65"/>
      <c r="BB311" s="65"/>
      <c r="BC311" s="65"/>
      <c r="BD311" s="65"/>
      <c r="BE311" s="65"/>
      <c r="BF311" s="65"/>
      <c r="BG311" s="65"/>
      <c r="BH311" s="135"/>
      <c r="BI311" s="65"/>
      <c r="BJ311" s="65"/>
      <c r="BK311" s="65"/>
      <c r="BL311" s="65"/>
      <c r="BM311" s="65"/>
      <c r="BN311" s="65"/>
      <c r="BO311" s="65"/>
      <c r="BP311" s="65"/>
      <c r="BQ311" s="65"/>
      <c r="BR311" s="65"/>
      <c r="BS311" s="65"/>
      <c r="BT311" s="65"/>
      <c r="BU311" s="65"/>
      <c r="BV311" s="65"/>
      <c r="BW311" s="65"/>
      <c r="BX311" s="65"/>
      <c r="BY311" s="65"/>
      <c r="BZ311" s="65"/>
      <c r="CA311" s="65"/>
      <c r="CB311" s="65"/>
      <c r="CC311" s="65"/>
      <c r="CD311" s="65"/>
      <c r="CE311" s="65"/>
      <c r="CF311" s="65"/>
      <c r="CG311" s="65"/>
      <c r="CH311" s="0"/>
      <c r="CI311" s="0"/>
      <c r="CJ311" s="0"/>
      <c r="CK311" s="0"/>
      <c r="CP311" s="0"/>
      <c r="CQ311" s="0"/>
      <c r="CR311" s="0"/>
      <c r="CS311" s="0"/>
      <c r="CT311" s="0"/>
      <c r="CU311" s="0"/>
      <c r="CV311" s="138"/>
      <c r="CW311" s="210"/>
      <c r="CX311" s="210"/>
      <c r="CY311" s="174" t="n">
        <f aca="false">EOMONTH(CY310,0)+1</f>
        <v>45658</v>
      </c>
      <c r="CZ311" s="175" t="n">
        <f aca="false">IF(AI311=0,CZ299,AH311+AI311)</f>
        <v>1</v>
      </c>
      <c r="DA311" s="175" t="n">
        <f aca="false">IF(AI311=0,DA299,AI311)</f>
        <v>1.25</v>
      </c>
      <c r="DB311" s="175" t="n">
        <f aca="false">IF(AI311=0,DB299,AI311+AJ311)</f>
        <v>1.55</v>
      </c>
      <c r="DD311" s="154" t="n">
        <f aca="false">IF(Z311=0,DD299,Z311)</f>
        <v>0.0942652295751635</v>
      </c>
      <c r="DE311" s="154" t="n">
        <f aca="false">IF(AA311=0,DE299,AA311)</f>
        <v>0.188530459150327</v>
      </c>
      <c r="DF311" s="154" t="n">
        <f aca="false">IF(AB311=0,DF299,AB311)</f>
        <v>0.28279568872549</v>
      </c>
      <c r="DG311" s="210"/>
      <c r="DH311" s="174" t="n">
        <f aca="false">IF(BH311=0,EOMONTH(DH310,0)+1,BH311)</f>
        <v>45658</v>
      </c>
      <c r="DI311" s="207" t="n">
        <f aca="false">IF(BI311=0,DI299,BI311)</f>
        <v>0.9</v>
      </c>
    </row>
    <row r="312" customFormat="false" ht="14.25" hidden="false" customHeight="false" outlineLevel="0" collapsed="false">
      <c r="A312" s="209" t="n">
        <f aca="false">EDATE(A311,1)</f>
        <v>55032</v>
      </c>
      <c r="B312" s="128" t="n">
        <f aca="false">'Gas Curves'!C316</f>
        <v>0.070574145429723</v>
      </c>
      <c r="C312" s="128"/>
      <c r="D312" s="65"/>
      <c r="E312" s="65"/>
      <c r="F312" s="65"/>
      <c r="G312" s="65"/>
      <c r="H312" s="65"/>
      <c r="I312" s="65"/>
      <c r="J312" s="65"/>
      <c r="K312" s="65"/>
      <c r="L312" s="65"/>
      <c r="M312" s="13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5"/>
      <c r="AU312" s="65"/>
      <c r="AV312" s="65"/>
      <c r="AW312" s="65"/>
      <c r="AX312" s="65"/>
      <c r="AY312" s="65"/>
      <c r="AZ312" s="65"/>
      <c r="BA312" s="65"/>
      <c r="BB312" s="65"/>
      <c r="BC312" s="65"/>
      <c r="BD312" s="65"/>
      <c r="BE312" s="65"/>
      <c r="BF312" s="65"/>
      <c r="BG312" s="65"/>
      <c r="BH312" s="135"/>
      <c r="BI312" s="65"/>
      <c r="BJ312" s="65"/>
      <c r="BK312" s="65"/>
      <c r="BL312" s="65"/>
      <c r="BM312" s="65"/>
      <c r="BN312" s="65"/>
      <c r="BO312" s="65"/>
      <c r="BP312" s="65"/>
      <c r="BQ312" s="65"/>
      <c r="BR312" s="65"/>
      <c r="BS312" s="65"/>
      <c r="BT312" s="65"/>
      <c r="BU312" s="65"/>
      <c r="BV312" s="65"/>
      <c r="BW312" s="65"/>
      <c r="BX312" s="65"/>
      <c r="BY312" s="65"/>
      <c r="BZ312" s="65"/>
      <c r="CA312" s="65"/>
      <c r="CB312" s="65"/>
      <c r="CC312" s="65"/>
      <c r="CD312" s="65"/>
      <c r="CE312" s="65"/>
      <c r="CF312" s="65"/>
      <c r="CG312" s="65"/>
      <c r="CH312" s="0"/>
      <c r="CI312" s="0"/>
      <c r="CJ312" s="0"/>
      <c r="CK312" s="0"/>
      <c r="CP312" s="0"/>
      <c r="CQ312" s="0"/>
      <c r="CR312" s="0"/>
      <c r="CS312" s="0"/>
      <c r="CT312" s="0"/>
      <c r="CU312" s="0"/>
      <c r="CV312" s="138"/>
      <c r="CW312" s="210"/>
      <c r="CX312" s="210"/>
      <c r="CY312" s="174" t="n">
        <f aca="false">EOMONTH(CY311,0)+1</f>
        <v>45689</v>
      </c>
      <c r="CZ312" s="175" t="n">
        <f aca="false">IF(AI312=0,CZ300,AH312+AI312)</f>
        <v>1</v>
      </c>
      <c r="DA312" s="175" t="n">
        <f aca="false">IF(AI312=0,DA300,AI312)</f>
        <v>1.25</v>
      </c>
      <c r="DB312" s="175" t="n">
        <f aca="false">IF(AI312=0,DB300,AI312+AJ312)</f>
        <v>1.55</v>
      </c>
      <c r="DD312" s="154" t="n">
        <f aca="false">IF(Z312=0,DD300,Z312)</f>
        <v>0.0910666090107368</v>
      </c>
      <c r="DE312" s="154" t="n">
        <f aca="false">IF(AA312=0,DE300,AA312)</f>
        <v>0.182133218021474</v>
      </c>
      <c r="DF312" s="154" t="n">
        <f aca="false">IF(AB312=0,DF300,AB312)</f>
        <v>0.27319982703221</v>
      </c>
      <c r="DG312" s="210"/>
      <c r="DH312" s="174" t="n">
        <f aca="false">IF(BH312=0,EOMONTH(DH311,0)+1,BH312)</f>
        <v>45689</v>
      </c>
      <c r="DI312" s="207" t="n">
        <f aca="false">IF(BI312=0,DI300,BI312)</f>
        <v>0.9</v>
      </c>
    </row>
    <row r="313" customFormat="false" ht="14.25" hidden="false" customHeight="false" outlineLevel="0" collapsed="false">
      <c r="A313" s="209" t="n">
        <f aca="false">EDATE(A312,1)</f>
        <v>55062</v>
      </c>
      <c r="B313" s="128" t="n">
        <f aca="false">'Gas Curves'!C317</f>
        <v>0.070561904812254</v>
      </c>
      <c r="C313" s="128"/>
      <c r="D313" s="65"/>
      <c r="E313" s="65"/>
      <c r="F313" s="65"/>
      <c r="G313" s="65"/>
      <c r="H313" s="65"/>
      <c r="I313" s="65"/>
      <c r="J313" s="65"/>
      <c r="K313" s="65"/>
      <c r="L313" s="65"/>
      <c r="M313" s="13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  <c r="AH313" s="65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/>
      <c r="AS313" s="65"/>
      <c r="AT313" s="65"/>
      <c r="AU313" s="65"/>
      <c r="AV313" s="65"/>
      <c r="AW313" s="65"/>
      <c r="AX313" s="65"/>
      <c r="AY313" s="65"/>
      <c r="AZ313" s="65"/>
      <c r="BA313" s="65"/>
      <c r="BB313" s="65"/>
      <c r="BC313" s="65"/>
      <c r="BD313" s="65"/>
      <c r="BE313" s="65"/>
      <c r="BF313" s="65"/>
      <c r="BG313" s="65"/>
      <c r="BH313" s="135"/>
      <c r="BI313" s="65"/>
      <c r="BJ313" s="65"/>
      <c r="BK313" s="65"/>
      <c r="BL313" s="65"/>
      <c r="BM313" s="65"/>
      <c r="BN313" s="65"/>
      <c r="BO313" s="65"/>
      <c r="BP313" s="65"/>
      <c r="BQ313" s="65"/>
      <c r="BR313" s="65"/>
      <c r="BS313" s="65"/>
      <c r="BT313" s="65"/>
      <c r="BU313" s="65"/>
      <c r="BV313" s="65"/>
      <c r="BW313" s="65"/>
      <c r="BX313" s="65"/>
      <c r="BY313" s="65"/>
      <c r="BZ313" s="65"/>
      <c r="CA313" s="65"/>
      <c r="CB313" s="65"/>
      <c r="CC313" s="65"/>
      <c r="CD313" s="65"/>
      <c r="CE313" s="65"/>
      <c r="CF313" s="65"/>
      <c r="CG313" s="65"/>
      <c r="CH313" s="0"/>
      <c r="CI313" s="0"/>
      <c r="CJ313" s="0"/>
      <c r="CK313" s="0"/>
      <c r="CP313" s="0"/>
      <c r="CQ313" s="0"/>
      <c r="CR313" s="0"/>
      <c r="CS313" s="0"/>
      <c r="CT313" s="0"/>
      <c r="CU313" s="0"/>
      <c r="CV313" s="138"/>
      <c r="CW313" s="210"/>
      <c r="CX313" s="210"/>
      <c r="CY313" s="174" t="n">
        <f aca="false">EOMONTH(CY312,0)+1</f>
        <v>45717</v>
      </c>
      <c r="CZ313" s="175" t="n">
        <f aca="false">IF(AI313=0,CZ301,AH313+AI313)</f>
        <v>1</v>
      </c>
      <c r="DA313" s="175" t="n">
        <f aca="false">IF(AI313=0,DA301,AI313)</f>
        <v>1.25</v>
      </c>
      <c r="DB313" s="175" t="n">
        <f aca="false">IF(AI313=0,DB301,AI313+AJ313)</f>
        <v>1.55</v>
      </c>
      <c r="DD313" s="154" t="n">
        <f aca="false">IF(Z313=0,DD301,Z313)</f>
        <v>0.0721937023797812</v>
      </c>
      <c r="DE313" s="154" t="n">
        <f aca="false">IF(AA313=0,DE301,AA313)</f>
        <v>0.144387404759562</v>
      </c>
      <c r="DF313" s="154" t="n">
        <f aca="false">IF(AB313=0,DF301,AB313)</f>
        <v>0.216581107139343</v>
      </c>
      <c r="DG313" s="210"/>
      <c r="DH313" s="174" t="n">
        <f aca="false">IF(BH313=0,EOMONTH(DH312,0)+1,BH313)</f>
        <v>45717</v>
      </c>
      <c r="DI313" s="207" t="n">
        <f aca="false">IF(BI313=0,DI301,BI313)</f>
        <v>0.9</v>
      </c>
    </row>
    <row r="314" customFormat="false" ht="14.25" hidden="false" customHeight="false" outlineLevel="0" collapsed="false">
      <c r="A314" s="209" t="n">
        <f aca="false">EDATE(A313,1)</f>
        <v>55093</v>
      </c>
      <c r="B314" s="128" t="n">
        <f aca="false">'Gas Curves'!C318</f>
        <v>0.070549256174255</v>
      </c>
      <c r="C314" s="128"/>
      <c r="D314" s="65"/>
      <c r="E314" s="65"/>
      <c r="F314" s="65"/>
      <c r="G314" s="65"/>
      <c r="H314" s="65"/>
      <c r="I314" s="65"/>
      <c r="J314" s="65"/>
      <c r="K314" s="65"/>
      <c r="L314" s="65"/>
      <c r="M314" s="13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  <c r="AF314" s="65"/>
      <c r="AG314" s="65"/>
      <c r="AH314" s="65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/>
      <c r="AS314" s="65"/>
      <c r="AT314" s="65"/>
      <c r="AU314" s="65"/>
      <c r="AV314" s="65"/>
      <c r="AW314" s="65"/>
      <c r="AX314" s="65"/>
      <c r="AY314" s="65"/>
      <c r="AZ314" s="65"/>
      <c r="BA314" s="65"/>
      <c r="BB314" s="65"/>
      <c r="BC314" s="65"/>
      <c r="BD314" s="65"/>
      <c r="BE314" s="65"/>
      <c r="BF314" s="65"/>
      <c r="BG314" s="65"/>
      <c r="BH314" s="135"/>
      <c r="BI314" s="65"/>
      <c r="BJ314" s="65"/>
      <c r="BK314" s="65"/>
      <c r="BL314" s="65"/>
      <c r="BM314" s="65"/>
      <c r="BN314" s="65"/>
      <c r="BO314" s="65"/>
      <c r="BP314" s="65"/>
      <c r="BQ314" s="65"/>
      <c r="BR314" s="65"/>
      <c r="BS314" s="65"/>
      <c r="BT314" s="65"/>
      <c r="BU314" s="65"/>
      <c r="BV314" s="65"/>
      <c r="BW314" s="65"/>
      <c r="BX314" s="65"/>
      <c r="BY314" s="65"/>
      <c r="BZ314" s="65"/>
      <c r="CA314" s="65"/>
      <c r="CB314" s="65"/>
      <c r="CC314" s="65"/>
      <c r="CD314" s="65"/>
      <c r="CE314" s="65"/>
      <c r="CF314" s="65"/>
      <c r="CG314" s="65"/>
      <c r="CH314" s="0"/>
      <c r="CI314" s="0"/>
      <c r="CJ314" s="0"/>
      <c r="CK314" s="0"/>
      <c r="CP314" s="0"/>
      <c r="CQ314" s="0"/>
      <c r="CR314" s="0"/>
      <c r="CS314" s="0"/>
      <c r="CT314" s="0"/>
      <c r="CU314" s="110"/>
      <c r="CV314" s="138"/>
      <c r="CW314" s="210"/>
      <c r="CX314" s="210"/>
      <c r="CY314" s="174" t="n">
        <f aca="false">EOMONTH(CY313,0)+1</f>
        <v>45748</v>
      </c>
      <c r="CZ314" s="175" t="n">
        <f aca="false">IF(AI314=0,CZ302,AH314+AI314)</f>
        <v>0</v>
      </c>
      <c r="DA314" s="175" t="n">
        <f aca="false">IF(AI314=0,DA302,AI314)</f>
        <v>0</v>
      </c>
      <c r="DB314" s="175" t="n">
        <f aca="false">IF(AI314=0,DB302,AI314+AJ314)</f>
        <v>0</v>
      </c>
      <c r="DD314" s="154" t="n">
        <f aca="false">IF(Z314=0,DD302,Z314)</f>
        <v>0</v>
      </c>
      <c r="DE314" s="154" t="n">
        <f aca="false">IF(AA314=0,DE302,AA314)</f>
        <v>0</v>
      </c>
      <c r="DF314" s="154" t="n">
        <f aca="false">IF(AB314=0,DF302,AB314)</f>
        <v>0</v>
      </c>
      <c r="DG314" s="210"/>
      <c r="DH314" s="174" t="n">
        <f aca="false">IF(BH314=0,EOMONTH(DH313,0)+1,BH314)</f>
        <v>45748</v>
      </c>
      <c r="DI314" s="207" t="n">
        <f aca="false">IF(BI314=0,DI302,BI314)</f>
        <v>0</v>
      </c>
    </row>
    <row r="315" customFormat="false" ht="14.25" hidden="false" customHeight="false" outlineLevel="0" collapsed="false">
      <c r="A315" s="209" t="n">
        <f aca="false">EDATE(A314,1)</f>
        <v>55123</v>
      </c>
      <c r="B315" s="128" t="n">
        <f aca="false">'Gas Curves'!C319</f>
        <v>0.070537015556887</v>
      </c>
      <c r="C315" s="128"/>
      <c r="D315" s="65"/>
      <c r="E315" s="65"/>
      <c r="F315" s="65"/>
      <c r="G315" s="65"/>
      <c r="H315" s="65"/>
      <c r="I315" s="65"/>
      <c r="J315" s="65"/>
      <c r="K315" s="65"/>
      <c r="L315" s="65"/>
      <c r="M315" s="13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65"/>
      <c r="AT315" s="65"/>
      <c r="AU315" s="65"/>
      <c r="AV315" s="65"/>
      <c r="AW315" s="65"/>
      <c r="AX315" s="65"/>
      <c r="AY315" s="65"/>
      <c r="AZ315" s="65"/>
      <c r="BA315" s="65"/>
      <c r="BB315" s="65"/>
      <c r="BC315" s="65"/>
      <c r="BD315" s="65"/>
      <c r="BE315" s="65"/>
      <c r="BF315" s="65"/>
      <c r="BG315" s="65"/>
      <c r="BH315" s="135"/>
      <c r="BI315" s="65"/>
      <c r="BJ315" s="65"/>
      <c r="BK315" s="65"/>
      <c r="BL315" s="65"/>
      <c r="BM315" s="65"/>
      <c r="BN315" s="65"/>
      <c r="BO315" s="65"/>
      <c r="BP315" s="65"/>
      <c r="BQ315" s="65"/>
      <c r="BR315" s="65"/>
      <c r="BS315" s="65"/>
      <c r="BT315" s="65"/>
      <c r="BU315" s="65"/>
      <c r="BV315" s="65"/>
      <c r="BW315" s="65"/>
      <c r="BX315" s="65"/>
      <c r="BY315" s="65"/>
      <c r="BZ315" s="65"/>
      <c r="CA315" s="65"/>
      <c r="CB315" s="65"/>
      <c r="CC315" s="65"/>
      <c r="CD315" s="65"/>
      <c r="CE315" s="65"/>
      <c r="CF315" s="65"/>
      <c r="CG315" s="65"/>
      <c r="CH315" s="0"/>
      <c r="CI315" s="0"/>
      <c r="CJ315" s="0"/>
      <c r="CK315" s="0"/>
      <c r="CP315" s="0"/>
      <c r="CQ315" s="0"/>
      <c r="CR315" s="0"/>
      <c r="CS315" s="0"/>
      <c r="CT315" s="0"/>
      <c r="CU315" s="110"/>
      <c r="CV315" s="138"/>
      <c r="CW315" s="210"/>
      <c r="CX315" s="210"/>
      <c r="CY315" s="174" t="n">
        <f aca="false">EOMONTH(CY314,0)+1</f>
        <v>45778</v>
      </c>
      <c r="CZ315" s="175" t="n">
        <f aca="false">IF(AI315=0,CZ303,AH315+AI315)</f>
        <v>1</v>
      </c>
      <c r="DA315" s="175" t="n">
        <f aca="false">IF(AI315=0,DA303,AI315)</f>
        <v>1.25</v>
      </c>
      <c r="DB315" s="175" t="n">
        <f aca="false">IF(AI315=0,DB303,AI315+AJ315)</f>
        <v>1.55</v>
      </c>
      <c r="DD315" s="154" t="n">
        <f aca="false">IF(Z315=0,DD303,Z315)</f>
        <v>0.079836777060087</v>
      </c>
      <c r="DE315" s="154" t="n">
        <f aca="false">IF(AA315=0,DE303,AA315)</f>
        <v>0.159673554120174</v>
      </c>
      <c r="DF315" s="154" t="n">
        <f aca="false">IF(AB315=0,DF303,AB315)</f>
        <v>0.239510331180261</v>
      </c>
      <c r="DG315" s="210"/>
      <c r="DH315" s="174" t="n">
        <f aca="false">IF(BH315=0,EOMONTH(DH314,0)+1,BH315)</f>
        <v>45778</v>
      </c>
      <c r="DI315" s="207" t="n">
        <f aca="false">IF(BI315=0,DI303,BI315)</f>
        <v>0.9</v>
      </c>
    </row>
    <row r="316" customFormat="false" ht="14.25" hidden="false" customHeight="false" outlineLevel="0" collapsed="false">
      <c r="A316" s="209" t="n">
        <f aca="false">EDATE(A315,1)</f>
        <v>55154</v>
      </c>
      <c r="B316" s="128" t="n">
        <f aca="false">'Gas Curves'!C320</f>
        <v>0.070524366919</v>
      </c>
      <c r="C316" s="128"/>
      <c r="D316" s="65"/>
      <c r="E316" s="65"/>
      <c r="F316" s="65"/>
      <c r="G316" s="65"/>
      <c r="H316" s="65"/>
      <c r="I316" s="65"/>
      <c r="J316" s="65"/>
      <c r="K316" s="65"/>
      <c r="L316" s="65"/>
      <c r="M316" s="13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5"/>
      <c r="AU316" s="65"/>
      <c r="AV316" s="65"/>
      <c r="AW316" s="65"/>
      <c r="AX316" s="65"/>
      <c r="AY316" s="65"/>
      <c r="AZ316" s="65"/>
      <c r="BA316" s="65"/>
      <c r="BB316" s="65"/>
      <c r="BC316" s="65"/>
      <c r="BD316" s="65"/>
      <c r="BE316" s="65"/>
      <c r="BF316" s="65"/>
      <c r="BG316" s="65"/>
      <c r="BH316" s="135"/>
      <c r="BI316" s="65"/>
      <c r="BJ316" s="65"/>
      <c r="BK316" s="65"/>
      <c r="BL316" s="65"/>
      <c r="BM316" s="65"/>
      <c r="BN316" s="65"/>
      <c r="BO316" s="65"/>
      <c r="BP316" s="65"/>
      <c r="BQ316" s="65"/>
      <c r="BR316" s="65"/>
      <c r="BS316" s="65"/>
      <c r="BT316" s="65"/>
      <c r="BU316" s="65"/>
      <c r="BV316" s="65"/>
      <c r="BW316" s="65"/>
      <c r="BX316" s="65"/>
      <c r="BY316" s="65"/>
      <c r="BZ316" s="65"/>
      <c r="CA316" s="65"/>
      <c r="CB316" s="65"/>
      <c r="CC316" s="65"/>
      <c r="CD316" s="65"/>
      <c r="CE316" s="65"/>
      <c r="CF316" s="65"/>
      <c r="CG316" s="65"/>
      <c r="CH316" s="0"/>
      <c r="CP316" s="0"/>
      <c r="CQ316" s="0"/>
      <c r="CR316" s="0"/>
      <c r="CS316" s="0"/>
      <c r="CT316" s="0"/>
      <c r="CU316" s="110"/>
      <c r="CV316" s="138"/>
      <c r="CW316" s="210"/>
      <c r="CX316" s="210"/>
      <c r="CY316" s="174" t="n">
        <f aca="false">EOMONTH(CY315,0)+1</f>
        <v>45809</v>
      </c>
      <c r="CZ316" s="175" t="n">
        <f aca="false">IF(AI316=0,CZ304,AH316+AI316)</f>
        <v>1</v>
      </c>
      <c r="DA316" s="175" t="n">
        <f aca="false">IF(AI316=0,DA304,AI316)</f>
        <v>1.25</v>
      </c>
      <c r="DB316" s="175" t="n">
        <f aca="false">IF(AI316=0,DB304,AI316+AJ316)</f>
        <v>1.55</v>
      </c>
      <c r="DD316" s="154" t="n">
        <f aca="false">IF(Z316=0,DD304,Z316)</f>
        <v>0.085380172451756</v>
      </c>
      <c r="DE316" s="154" t="n">
        <f aca="false">IF(AA316=0,DE304,AA316)</f>
        <v>0.170760344903512</v>
      </c>
      <c r="DF316" s="154" t="n">
        <f aca="false">IF(AB316=0,DF304,AB316)</f>
        <v>0.256140517355268</v>
      </c>
      <c r="DG316" s="210"/>
      <c r="DH316" s="174" t="n">
        <f aca="false">IF(BH316=0,EOMONTH(DH315,0)+1,BH316)</f>
        <v>45809</v>
      </c>
      <c r="DI316" s="207" t="n">
        <f aca="false">IF(BI316=0,DI304,BI316)</f>
        <v>0.9</v>
      </c>
    </row>
    <row r="317" customFormat="false" ht="14.25" hidden="false" customHeight="false" outlineLevel="0" collapsed="false">
      <c r="A317" s="209" t="n">
        <f aca="false">EDATE(A316,1)</f>
        <v>55185</v>
      </c>
      <c r="B317" s="128" t="n">
        <f aca="false">'Gas Curves'!C321</f>
        <v>0.07051171828115</v>
      </c>
      <c r="C317" s="128"/>
      <c r="D317" s="65"/>
      <c r="E317" s="65"/>
      <c r="F317" s="65"/>
      <c r="G317" s="65"/>
      <c r="H317" s="65"/>
      <c r="I317" s="65"/>
      <c r="J317" s="65"/>
      <c r="K317" s="65"/>
      <c r="L317" s="65"/>
      <c r="M317" s="13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/>
      <c r="AS317" s="65"/>
      <c r="AT317" s="65"/>
      <c r="AU317" s="65"/>
      <c r="AV317" s="65"/>
      <c r="AW317" s="65"/>
      <c r="AX317" s="65"/>
      <c r="AY317" s="65"/>
      <c r="AZ317" s="65"/>
      <c r="BA317" s="65"/>
      <c r="BB317" s="65"/>
      <c r="BC317" s="65"/>
      <c r="BD317" s="65"/>
      <c r="BE317" s="65"/>
      <c r="BF317" s="65"/>
      <c r="BG317" s="65"/>
      <c r="BH317" s="135"/>
      <c r="BI317" s="65"/>
      <c r="BJ317" s="65"/>
      <c r="BK317" s="65"/>
      <c r="BL317" s="65"/>
      <c r="BM317" s="65"/>
      <c r="BN317" s="65"/>
      <c r="BO317" s="65"/>
      <c r="BP317" s="65"/>
      <c r="BQ317" s="65"/>
      <c r="BR317" s="65"/>
      <c r="BS317" s="65"/>
      <c r="BT317" s="65"/>
      <c r="BU317" s="65"/>
      <c r="BV317" s="65"/>
      <c r="BW317" s="65"/>
      <c r="BX317" s="65"/>
      <c r="BY317" s="65"/>
      <c r="BZ317" s="65"/>
      <c r="CA317" s="65"/>
      <c r="CB317" s="65"/>
      <c r="CC317" s="65"/>
      <c r="CD317" s="65"/>
      <c r="CE317" s="65"/>
      <c r="CF317" s="65"/>
      <c r="CG317" s="65"/>
      <c r="CH317" s="0"/>
      <c r="CP317" s="0"/>
      <c r="CQ317" s="0"/>
      <c r="CR317" s="0"/>
      <c r="CS317" s="0"/>
      <c r="CT317" s="0"/>
      <c r="CU317" s="110"/>
      <c r="CV317" s="138"/>
      <c r="CW317" s="210"/>
      <c r="CX317" s="210"/>
      <c r="CY317" s="174" t="n">
        <f aca="false">EOMONTH(CY316,0)+1</f>
        <v>45839</v>
      </c>
      <c r="CZ317" s="175" t="n">
        <f aca="false">IF(AI317=0,CZ305,AH317+AI317)</f>
        <v>1</v>
      </c>
      <c r="DA317" s="175" t="n">
        <f aca="false">IF(AI317=0,DA305,AI317)</f>
        <v>1.25</v>
      </c>
      <c r="DB317" s="175" t="n">
        <f aca="false">IF(AI317=0,DB305,AI317+AJ317)</f>
        <v>1.55</v>
      </c>
      <c r="DD317" s="154" t="n">
        <f aca="false">IF(Z317=0,DD305,Z317)</f>
        <v>0.101692367108662</v>
      </c>
      <c r="DE317" s="154" t="n">
        <f aca="false">IF(AA317=0,DE305,AA317)</f>
        <v>0.203384734217324</v>
      </c>
      <c r="DF317" s="154" t="n">
        <f aca="false">IF(AB317=0,DF305,AB317)</f>
        <v>0.305077101325986</v>
      </c>
      <c r="DG317" s="210"/>
      <c r="DH317" s="174" t="n">
        <f aca="false">IF(BH317=0,EOMONTH(DH316,0)+1,BH317)</f>
        <v>45839</v>
      </c>
      <c r="DI317" s="207" t="n">
        <f aca="false">IF(BI317=0,DI305,BI317)</f>
        <v>0.9</v>
      </c>
    </row>
    <row r="318" customFormat="false" ht="14.25" hidden="false" customHeight="false" outlineLevel="0" collapsed="false">
      <c r="A318" s="209" t="n">
        <f aca="false">EDATE(A317,1)</f>
        <v>55213</v>
      </c>
      <c r="B318" s="128" t="n">
        <f aca="false">'Gas Curves'!C322</f>
        <v>0.070500293705081</v>
      </c>
      <c r="C318" s="128"/>
      <c r="D318" s="65"/>
      <c r="E318" s="65"/>
      <c r="F318" s="65"/>
      <c r="G318" s="65"/>
      <c r="H318" s="65"/>
      <c r="I318" s="65"/>
      <c r="J318" s="65"/>
      <c r="K318" s="65"/>
      <c r="L318" s="65"/>
      <c r="M318" s="13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65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/>
      <c r="AS318" s="65"/>
      <c r="AT318" s="65"/>
      <c r="AU318" s="65"/>
      <c r="AV318" s="65"/>
      <c r="AW318" s="65"/>
      <c r="AX318" s="65"/>
      <c r="AY318" s="65"/>
      <c r="AZ318" s="65"/>
      <c r="BA318" s="65"/>
      <c r="BB318" s="65"/>
      <c r="BC318" s="65"/>
      <c r="BD318" s="65"/>
      <c r="BE318" s="65"/>
      <c r="BF318" s="65"/>
      <c r="BG318" s="65"/>
      <c r="BH318" s="135"/>
      <c r="BI318" s="65"/>
      <c r="BJ318" s="65"/>
      <c r="BK318" s="65"/>
      <c r="BL318" s="65"/>
      <c r="BM318" s="65"/>
      <c r="BN318" s="65"/>
      <c r="BO318" s="65"/>
      <c r="BP318" s="65"/>
      <c r="BQ318" s="65"/>
      <c r="BR318" s="65"/>
      <c r="BS318" s="65"/>
      <c r="BT318" s="65"/>
      <c r="BU318" s="65"/>
      <c r="BV318" s="65"/>
      <c r="BW318" s="65"/>
      <c r="BX318" s="65"/>
      <c r="BY318" s="65"/>
      <c r="BZ318" s="65"/>
      <c r="CA318" s="65"/>
      <c r="CB318" s="65"/>
      <c r="CC318" s="65"/>
      <c r="CD318" s="65"/>
      <c r="CE318" s="65"/>
      <c r="CF318" s="65"/>
      <c r="CG318" s="65"/>
      <c r="CH318" s="0"/>
      <c r="CP318" s="0"/>
      <c r="CQ318" s="0"/>
      <c r="CR318" s="0"/>
      <c r="CS318" s="0"/>
      <c r="CT318" s="0"/>
      <c r="CU318" s="110"/>
      <c r="CV318" s="138"/>
      <c r="CW318" s="210"/>
      <c r="CX318" s="210"/>
      <c r="CY318" s="174" t="n">
        <f aca="false">EOMONTH(CY317,0)+1</f>
        <v>45870</v>
      </c>
      <c r="CZ318" s="175" t="n">
        <f aca="false">IF(AI318=0,CZ306,AH318+AI318)</f>
        <v>1</v>
      </c>
      <c r="DA318" s="175" t="n">
        <f aca="false">IF(AI318=0,DA306,AI318)</f>
        <v>1.25</v>
      </c>
      <c r="DB318" s="175" t="n">
        <f aca="false">IF(AI318=0,DB306,AI318+AJ318)</f>
        <v>1.55</v>
      </c>
      <c r="DD318" s="154" t="n">
        <f aca="false">IF(Z318=0,DD306,Z318)</f>
        <v>0.0994642258486125</v>
      </c>
      <c r="DE318" s="154" t="n">
        <f aca="false">IF(AA318=0,DE306,AA318)</f>
        <v>0.198928451697225</v>
      </c>
      <c r="DF318" s="154" t="n">
        <f aca="false">IF(AB318=0,DF306,AB318)</f>
        <v>0.298392677545837</v>
      </c>
      <c r="DG318" s="210"/>
      <c r="DH318" s="174" t="n">
        <f aca="false">IF(BH318=0,EOMONTH(DH317,0)+1,BH318)</f>
        <v>45870</v>
      </c>
      <c r="DI318" s="207" t="n">
        <f aca="false">IF(BI318=0,DI306,BI318)</f>
        <v>0.9</v>
      </c>
    </row>
    <row r="319" customFormat="false" ht="14.25" hidden="false" customHeight="false" outlineLevel="0" collapsed="false">
      <c r="A319" s="209" t="n">
        <f aca="false">EDATE(A318,1)</f>
        <v>55244</v>
      </c>
      <c r="B319" s="128" t="n">
        <f aca="false">'Gas Curves'!C323</f>
        <v>0.070487645067339</v>
      </c>
      <c r="C319" s="128"/>
      <c r="D319" s="65"/>
      <c r="E319" s="65"/>
      <c r="F319" s="65"/>
      <c r="G319" s="65"/>
      <c r="H319" s="65"/>
      <c r="I319" s="65"/>
      <c r="J319" s="65"/>
      <c r="K319" s="65"/>
      <c r="L319" s="65"/>
      <c r="M319" s="13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  <c r="AF319" s="65"/>
      <c r="AG319" s="65"/>
      <c r="AH319" s="65"/>
      <c r="AI319" s="65"/>
      <c r="AJ319" s="65"/>
      <c r="AK319" s="65"/>
      <c r="AL319" s="65"/>
      <c r="AM319" s="65"/>
      <c r="AN319" s="65"/>
      <c r="AO319" s="65"/>
      <c r="AP319" s="65"/>
      <c r="AQ319" s="65"/>
      <c r="AR319" s="65"/>
      <c r="AS319" s="65"/>
      <c r="AT319" s="65"/>
      <c r="AU319" s="65"/>
      <c r="AV319" s="65"/>
      <c r="AW319" s="65"/>
      <c r="AX319" s="65"/>
      <c r="AY319" s="65"/>
      <c r="AZ319" s="65"/>
      <c r="BA319" s="65"/>
      <c r="BB319" s="65"/>
      <c r="BC319" s="65"/>
      <c r="BD319" s="65"/>
      <c r="BE319" s="65"/>
      <c r="BF319" s="65"/>
      <c r="BG319" s="65"/>
      <c r="BH319" s="135"/>
      <c r="BI319" s="65"/>
      <c r="BJ319" s="65"/>
      <c r="BK319" s="65"/>
      <c r="BL319" s="65"/>
      <c r="BM319" s="65"/>
      <c r="BN319" s="65"/>
      <c r="BO319" s="65"/>
      <c r="BP319" s="65"/>
      <c r="BQ319" s="65"/>
      <c r="BR319" s="65"/>
      <c r="BS319" s="65"/>
      <c r="BT319" s="65"/>
      <c r="BU319" s="65"/>
      <c r="BV319" s="65"/>
      <c r="BW319" s="65"/>
      <c r="BX319" s="65"/>
      <c r="BY319" s="65"/>
      <c r="BZ319" s="65"/>
      <c r="CA319" s="65"/>
      <c r="CB319" s="65"/>
      <c r="CC319" s="65"/>
      <c r="CD319" s="65"/>
      <c r="CE319" s="65"/>
      <c r="CF319" s="65"/>
      <c r="CG319" s="65"/>
      <c r="CH319" s="0"/>
      <c r="CP319" s="0"/>
      <c r="CQ319" s="0"/>
      <c r="CR319" s="0"/>
      <c r="CS319" s="0"/>
      <c r="CT319" s="0"/>
      <c r="CU319" s="110"/>
      <c r="CV319" s="138"/>
      <c r="CW319" s="210"/>
      <c r="CX319" s="210"/>
      <c r="CY319" s="174" t="n">
        <f aca="false">EOMONTH(CY318,0)+1</f>
        <v>45901</v>
      </c>
      <c r="CZ319" s="175" t="n">
        <f aca="false">IF(AI319=0,CZ307,AH319+AI319)</f>
        <v>1</v>
      </c>
      <c r="DA319" s="175" t="n">
        <f aca="false">IF(AI319=0,DA307,AI319)</f>
        <v>1.25</v>
      </c>
      <c r="DB319" s="175" t="n">
        <f aca="false">IF(AI319=0,DB307,AI319+AJ319)</f>
        <v>1.55</v>
      </c>
      <c r="DD319" s="154" t="n">
        <f aca="false">IF(Z319=0,DD307,Z319)</f>
        <v>0.0753606888398985</v>
      </c>
      <c r="DE319" s="154" t="n">
        <f aca="false">IF(AA319=0,DE307,AA319)</f>
        <v>0.150721377679797</v>
      </c>
      <c r="DF319" s="154" t="n">
        <f aca="false">IF(AB319=0,DF307,AB319)</f>
        <v>0.226082066519696</v>
      </c>
      <c r="DG319" s="210"/>
      <c r="DH319" s="174" t="n">
        <f aca="false">IF(BH319=0,EOMONTH(DH318,0)+1,BH319)</f>
        <v>45901</v>
      </c>
      <c r="DI319" s="207" t="n">
        <f aca="false">IF(BI319=0,DI307,BI319)</f>
        <v>0.9</v>
      </c>
    </row>
    <row r="320" customFormat="false" ht="14.25" hidden="false" customHeight="false" outlineLevel="0" collapsed="false">
      <c r="A320" s="209" t="n">
        <f aca="false">EDATE(A319,1)</f>
        <v>55274</v>
      </c>
      <c r="B320" s="128" t="n">
        <f aca="false">'Gas Curves'!C324</f>
        <v>0.07047540445022</v>
      </c>
      <c r="C320" s="128"/>
      <c r="D320" s="65"/>
      <c r="E320" s="65"/>
      <c r="F320" s="65"/>
      <c r="G320" s="65"/>
      <c r="H320" s="65"/>
      <c r="I320" s="65"/>
      <c r="J320" s="65"/>
      <c r="K320" s="65"/>
      <c r="L320" s="65"/>
      <c r="M320" s="13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  <c r="AF320" s="65"/>
      <c r="AG320" s="65"/>
      <c r="AH320" s="65"/>
      <c r="AI320" s="65"/>
      <c r="AJ320" s="65"/>
      <c r="AK320" s="65"/>
      <c r="AL320" s="65"/>
      <c r="AM320" s="65"/>
      <c r="AN320" s="65"/>
      <c r="AO320" s="65"/>
      <c r="AP320" s="65"/>
      <c r="AQ320" s="65"/>
      <c r="AR320" s="65"/>
      <c r="AS320" s="65"/>
      <c r="AT320" s="65"/>
      <c r="AU320" s="65"/>
      <c r="AV320" s="65"/>
      <c r="AW320" s="65"/>
      <c r="AX320" s="65"/>
      <c r="AY320" s="65"/>
      <c r="AZ320" s="65"/>
      <c r="BA320" s="65"/>
      <c r="BB320" s="65"/>
      <c r="BC320" s="65"/>
      <c r="BD320" s="65"/>
      <c r="BE320" s="65"/>
      <c r="BF320" s="65"/>
      <c r="BG320" s="65"/>
      <c r="BH320" s="135"/>
      <c r="BI320" s="65"/>
      <c r="BJ320" s="65"/>
      <c r="BK320" s="65"/>
      <c r="BL320" s="65"/>
      <c r="BM320" s="65"/>
      <c r="BN320" s="65"/>
      <c r="BO320" s="65"/>
      <c r="BP320" s="65"/>
      <c r="BQ320" s="65"/>
      <c r="BR320" s="65"/>
      <c r="BS320" s="65"/>
      <c r="BT320" s="65"/>
      <c r="BU320" s="65"/>
      <c r="BV320" s="65"/>
      <c r="BW320" s="65"/>
      <c r="BX320" s="65"/>
      <c r="BY320" s="65"/>
      <c r="BZ320" s="65"/>
      <c r="CA320" s="65"/>
      <c r="CB320" s="65"/>
      <c r="CC320" s="65"/>
      <c r="CD320" s="65"/>
      <c r="CE320" s="65"/>
      <c r="CF320" s="65"/>
      <c r="CG320" s="65"/>
      <c r="CH320" s="0"/>
      <c r="CP320" s="0"/>
      <c r="CQ320" s="0"/>
      <c r="CR320" s="0"/>
      <c r="CS320" s="0"/>
      <c r="CT320" s="0"/>
      <c r="CU320" s="110"/>
      <c r="CV320" s="138"/>
      <c r="CW320" s="210"/>
      <c r="CX320" s="210"/>
      <c r="CY320" s="174" t="n">
        <f aca="false">EOMONTH(CY319,0)+1</f>
        <v>45931</v>
      </c>
      <c r="CZ320" s="175" t="n">
        <f aca="false">IF(AI320=0,CZ308,AH320+AI320)</f>
        <v>1</v>
      </c>
      <c r="DA320" s="175" t="n">
        <f aca="false">IF(AI320=0,DA308,AI320)</f>
        <v>1.25</v>
      </c>
      <c r="DB320" s="175" t="n">
        <f aca="false">IF(AI320=0,DB308,AI320+AJ320)</f>
        <v>1.55</v>
      </c>
      <c r="DD320" s="154" t="n">
        <f aca="false">IF(Z320=0,DD308,Z320)</f>
        <v>0.0651800088356474</v>
      </c>
      <c r="DE320" s="154" t="n">
        <f aca="false">IF(AA320=0,DE308,AA320)</f>
        <v>0.130360017671295</v>
      </c>
      <c r="DF320" s="154" t="n">
        <f aca="false">IF(AB320=0,DF308,AB320)</f>
        <v>0.195540026506942</v>
      </c>
      <c r="DG320" s="210"/>
      <c r="DH320" s="174" t="n">
        <f aca="false">IF(BH320=0,EOMONTH(DH319,0)+1,BH320)</f>
        <v>45931</v>
      </c>
      <c r="DI320" s="207" t="n">
        <f aca="false">IF(BI320=0,DI308,BI320)</f>
        <v>0.9</v>
      </c>
    </row>
    <row r="321" customFormat="false" ht="14.25" hidden="false" customHeight="false" outlineLevel="0" collapsed="false">
      <c r="A321" s="209" t="n">
        <f aca="false">EDATE(A320,1)</f>
        <v>55305</v>
      </c>
      <c r="B321" s="128" t="n">
        <f aca="false">'Gas Curves'!C325</f>
        <v>0.070462755812584</v>
      </c>
      <c r="C321" s="128"/>
      <c r="D321" s="65"/>
      <c r="E321" s="65"/>
      <c r="F321" s="65"/>
      <c r="G321" s="65"/>
      <c r="H321" s="65"/>
      <c r="I321" s="65"/>
      <c r="J321" s="65"/>
      <c r="K321" s="65"/>
      <c r="L321" s="65"/>
      <c r="M321" s="13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  <c r="AH321" s="65"/>
      <c r="AI321" s="65"/>
      <c r="AJ321" s="65"/>
      <c r="AK321" s="65"/>
      <c r="AL321" s="65"/>
      <c r="AM321" s="65"/>
      <c r="AN321" s="65"/>
      <c r="AO321" s="65"/>
      <c r="AP321" s="65"/>
      <c r="AQ321" s="65"/>
      <c r="AR321" s="65"/>
      <c r="AS321" s="65"/>
      <c r="AT321" s="65"/>
      <c r="AU321" s="65"/>
      <c r="AV321" s="65"/>
      <c r="AW321" s="65"/>
      <c r="AX321" s="65"/>
      <c r="AY321" s="65"/>
      <c r="AZ321" s="65"/>
      <c r="BA321" s="65"/>
      <c r="BB321" s="65"/>
      <c r="BC321" s="65"/>
      <c r="BD321" s="65"/>
      <c r="BE321" s="65"/>
      <c r="BF321" s="65"/>
      <c r="BG321" s="65"/>
      <c r="BH321" s="135"/>
      <c r="BI321" s="65"/>
      <c r="BJ321" s="65"/>
      <c r="BK321" s="65"/>
      <c r="BL321" s="65"/>
      <c r="BM321" s="65"/>
      <c r="BN321" s="65"/>
      <c r="BO321" s="65"/>
      <c r="BP321" s="65"/>
      <c r="BQ321" s="65"/>
      <c r="BR321" s="65"/>
      <c r="BS321" s="65"/>
      <c r="BT321" s="65"/>
      <c r="BU321" s="65"/>
      <c r="BV321" s="65"/>
      <c r="BW321" s="65"/>
      <c r="BX321" s="65"/>
      <c r="BY321" s="65"/>
      <c r="BZ321" s="65"/>
      <c r="CA321" s="65"/>
      <c r="CB321" s="65"/>
      <c r="CC321" s="65"/>
      <c r="CD321" s="65"/>
      <c r="CE321" s="65"/>
      <c r="CF321" s="65"/>
      <c r="CG321" s="65"/>
      <c r="CH321" s="0"/>
      <c r="CP321" s="0"/>
      <c r="CQ321" s="0"/>
      <c r="CR321" s="0"/>
      <c r="CS321" s="0"/>
      <c r="CT321" s="0"/>
      <c r="CU321" s="110"/>
      <c r="CV321" s="138"/>
      <c r="CW321" s="210"/>
      <c r="CX321" s="210"/>
      <c r="CY321" s="174" t="n">
        <f aca="false">EOMONTH(CY320,0)+1</f>
        <v>45962</v>
      </c>
      <c r="CZ321" s="175" t="n">
        <f aca="false">IF(AI321=0,CZ309,AH321+AI321)</f>
        <v>1</v>
      </c>
      <c r="DA321" s="175" t="n">
        <f aca="false">IF(AI321=0,DA309,AI321)</f>
        <v>1.25</v>
      </c>
      <c r="DB321" s="175" t="n">
        <f aca="false">IF(AI321=0,DB309,AI321+AJ321)</f>
        <v>1.55</v>
      </c>
      <c r="DD321" s="154" t="n">
        <f aca="false">IF(Z321=0,DD309,Z321)</f>
        <v>0.0651800088356474</v>
      </c>
      <c r="DE321" s="154" t="n">
        <f aca="false">IF(AA321=0,DE309,AA321)</f>
        <v>0.130360017671295</v>
      </c>
      <c r="DF321" s="154" t="n">
        <f aca="false">IF(AB321=0,DF309,AB321)</f>
        <v>0.195540026506942</v>
      </c>
      <c r="DG321" s="210"/>
      <c r="DH321" s="174" t="n">
        <f aca="false">IF(BH321=0,EOMONTH(DH320,0)+1,BH321)</f>
        <v>45962</v>
      </c>
      <c r="DI321" s="207" t="n">
        <f aca="false">IF(BI321=0,DI309,BI321)</f>
        <v>0.9</v>
      </c>
    </row>
    <row r="322" customFormat="false" ht="14.25" hidden="false" customHeight="false" outlineLevel="0" collapsed="false">
      <c r="A322" s="209" t="n">
        <f aca="false">EDATE(A321,1)</f>
        <v>55335</v>
      </c>
      <c r="B322" s="128" t="n">
        <f aca="false">'Gas Curves'!C326</f>
        <v>0.070450515195565</v>
      </c>
      <c r="C322" s="128"/>
      <c r="D322" s="65"/>
      <c r="E322" s="65"/>
      <c r="F322" s="65"/>
      <c r="G322" s="65"/>
      <c r="H322" s="65"/>
      <c r="I322" s="65"/>
      <c r="J322" s="65"/>
      <c r="K322" s="65"/>
      <c r="L322" s="65"/>
      <c r="M322" s="13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  <c r="AJ322" s="65"/>
      <c r="AK322" s="65"/>
      <c r="AL322" s="65"/>
      <c r="AM322" s="65"/>
      <c r="AN322" s="65"/>
      <c r="AO322" s="65"/>
      <c r="AP322" s="65"/>
      <c r="AQ322" s="65"/>
      <c r="AR322" s="65"/>
      <c r="AS322" s="65"/>
      <c r="AT322" s="65"/>
      <c r="AU322" s="65"/>
      <c r="AV322" s="65"/>
      <c r="AW322" s="65"/>
      <c r="AX322" s="65"/>
      <c r="AY322" s="65"/>
      <c r="AZ322" s="65"/>
      <c r="BA322" s="65"/>
      <c r="BB322" s="65"/>
      <c r="BC322" s="65"/>
      <c r="BD322" s="65"/>
      <c r="BE322" s="65"/>
      <c r="BF322" s="65"/>
      <c r="BG322" s="65"/>
      <c r="BH322" s="135"/>
      <c r="BI322" s="65"/>
      <c r="BJ322" s="65"/>
      <c r="BK322" s="65"/>
      <c r="BL322" s="65"/>
      <c r="BM322" s="65"/>
      <c r="BN322" s="65"/>
      <c r="BO322" s="65"/>
      <c r="BP322" s="65"/>
      <c r="BQ322" s="65"/>
      <c r="BR322" s="65"/>
      <c r="BS322" s="65"/>
      <c r="BT322" s="65"/>
      <c r="BU322" s="65"/>
      <c r="BV322" s="65"/>
      <c r="BW322" s="65"/>
      <c r="BX322" s="65"/>
      <c r="BY322" s="65"/>
      <c r="BZ322" s="65"/>
      <c r="CA322" s="65"/>
      <c r="CB322" s="65"/>
      <c r="CC322" s="65"/>
      <c r="CD322" s="65"/>
      <c r="CE322" s="65"/>
      <c r="CF322" s="65"/>
      <c r="CG322" s="65"/>
      <c r="CH322" s="0"/>
      <c r="CP322" s="0"/>
      <c r="CQ322" s="0"/>
      <c r="CR322" s="0"/>
      <c r="CS322" s="0"/>
      <c r="CT322" s="0"/>
      <c r="CU322" s="110"/>
      <c r="CV322" s="138"/>
      <c r="CW322" s="210"/>
      <c r="CX322" s="210"/>
      <c r="CY322" s="174" t="n">
        <f aca="false">EOMONTH(CY321,0)+1</f>
        <v>45992</v>
      </c>
      <c r="CZ322" s="175" t="n">
        <f aca="false">IF(AI322=0,CZ310,AH322+AI322)</f>
        <v>1</v>
      </c>
      <c r="DA322" s="175" t="n">
        <f aca="false">IF(AI322=0,DA310,AI322)</f>
        <v>1.25</v>
      </c>
      <c r="DB322" s="175" t="n">
        <f aca="false">IF(AI322=0,DB310,AI322+AJ322)</f>
        <v>1.55</v>
      </c>
      <c r="DD322" s="154" t="n">
        <f aca="false">IF(Z322=0,DD310,Z322)</f>
        <v>0.0638788843714456</v>
      </c>
      <c r="DE322" s="154" t="n">
        <f aca="false">IF(AA322=0,DE310,AA322)</f>
        <v>0.127757768742891</v>
      </c>
      <c r="DF322" s="154" t="n">
        <f aca="false">IF(AB322=0,DF310,AB322)</f>
        <v>0.191636653114337</v>
      </c>
      <c r="DG322" s="210"/>
      <c r="DH322" s="174" t="n">
        <f aca="false">IF(BH322=0,EOMONTH(DH321,0)+1,BH322)</f>
        <v>45992</v>
      </c>
      <c r="DI322" s="207" t="n">
        <f aca="false">IF(BI322=0,DI310,BI322)</f>
        <v>0.9</v>
      </c>
    </row>
    <row r="323" customFormat="false" ht="14.25" hidden="false" customHeight="false" outlineLevel="0" collapsed="false">
      <c r="A323" s="209" t="n">
        <f aca="false">EDATE(A322,1)</f>
        <v>55366</v>
      </c>
      <c r="B323" s="128" t="n">
        <f aca="false">'Gas Curves'!C327</f>
        <v>0.070437866558032</v>
      </c>
      <c r="C323" s="128"/>
      <c r="D323" s="65"/>
      <c r="E323" s="65"/>
      <c r="F323" s="65"/>
      <c r="G323" s="65"/>
      <c r="H323" s="65"/>
      <c r="I323" s="65"/>
      <c r="J323" s="65"/>
      <c r="K323" s="65"/>
      <c r="L323" s="65"/>
      <c r="M323" s="13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65"/>
      <c r="AI323" s="65"/>
      <c r="AJ323" s="65"/>
      <c r="AK323" s="65"/>
      <c r="AL323" s="65"/>
      <c r="AM323" s="65"/>
      <c r="AN323" s="65"/>
      <c r="AO323" s="65"/>
      <c r="AP323" s="65"/>
      <c r="AQ323" s="65"/>
      <c r="AR323" s="65"/>
      <c r="AS323" s="65"/>
      <c r="AT323" s="65"/>
      <c r="AU323" s="65"/>
      <c r="AV323" s="65"/>
      <c r="AW323" s="65"/>
      <c r="AX323" s="65"/>
      <c r="AY323" s="65"/>
      <c r="AZ323" s="65"/>
      <c r="BA323" s="65"/>
      <c r="BB323" s="65"/>
      <c r="BC323" s="65"/>
      <c r="BD323" s="65"/>
      <c r="BE323" s="65"/>
      <c r="BF323" s="65"/>
      <c r="BG323" s="65"/>
      <c r="BH323" s="135"/>
      <c r="BI323" s="65"/>
      <c r="BJ323" s="65"/>
      <c r="BK323" s="65"/>
      <c r="BL323" s="65"/>
      <c r="BM323" s="65"/>
      <c r="BN323" s="65"/>
      <c r="BO323" s="65"/>
      <c r="BP323" s="65"/>
      <c r="BQ323" s="65"/>
      <c r="BR323" s="65"/>
      <c r="BS323" s="65"/>
      <c r="BT323" s="65"/>
      <c r="BU323" s="65"/>
      <c r="BV323" s="65"/>
      <c r="BW323" s="65"/>
      <c r="BX323" s="65"/>
      <c r="BY323" s="65"/>
      <c r="BZ323" s="65"/>
      <c r="CA323" s="65"/>
      <c r="CB323" s="65"/>
      <c r="CC323" s="65"/>
      <c r="CD323" s="65"/>
      <c r="CE323" s="65"/>
      <c r="CF323" s="65"/>
      <c r="CG323" s="65"/>
      <c r="CH323" s="0"/>
      <c r="CP323" s="0"/>
      <c r="CQ323" s="0"/>
      <c r="CR323" s="0"/>
      <c r="CS323" s="0"/>
      <c r="CT323" s="0"/>
      <c r="CU323" s="110"/>
      <c r="CV323" s="138"/>
      <c r="CW323" s="210"/>
      <c r="CX323" s="210"/>
      <c r="CY323" s="174" t="n">
        <f aca="false">EOMONTH(CY322,0)+1</f>
        <v>46023</v>
      </c>
      <c r="CZ323" s="175" t="n">
        <f aca="false">IF(AI323=0,CZ311,AH323+AI323)</f>
        <v>1</v>
      </c>
      <c r="DA323" s="175" t="n">
        <f aca="false">IF(AI323=0,DA311,AI323)</f>
        <v>1.25</v>
      </c>
      <c r="DB323" s="175" t="n">
        <f aca="false">IF(AI323=0,DB311,AI323+AJ323)</f>
        <v>1.55</v>
      </c>
      <c r="DD323" s="154" t="n">
        <f aca="false">IF(Z323=0,DD311,Z323)</f>
        <v>0.0942652295751635</v>
      </c>
      <c r="DE323" s="154" t="n">
        <f aca="false">IF(AA323=0,DE311,AA323)</f>
        <v>0.188530459150327</v>
      </c>
      <c r="DF323" s="154" t="n">
        <f aca="false">IF(AB323=0,DF311,AB323)</f>
        <v>0.28279568872549</v>
      </c>
      <c r="DG323" s="210"/>
      <c r="DH323" s="174" t="n">
        <f aca="false">IF(BH323=0,EOMONTH(DH322,0)+1,BH323)</f>
        <v>46023</v>
      </c>
      <c r="DI323" s="207" t="n">
        <f aca="false">IF(BI323=0,DI311,BI323)</f>
        <v>0.9</v>
      </c>
    </row>
    <row r="324" customFormat="false" ht="14.25" hidden="false" customHeight="false" outlineLevel="0" collapsed="false">
      <c r="A324" s="209" t="n">
        <f aca="false">EDATE(A323,1)</f>
        <v>55397</v>
      </c>
      <c r="B324" s="128" t="n">
        <f aca="false">'Gas Curves'!C328</f>
        <v>0.070425217920552</v>
      </c>
      <c r="C324" s="128"/>
      <c r="D324" s="65"/>
      <c r="E324" s="65"/>
      <c r="F324" s="65"/>
      <c r="G324" s="65"/>
      <c r="H324" s="65"/>
      <c r="I324" s="65"/>
      <c r="J324" s="65"/>
      <c r="K324" s="65"/>
      <c r="L324" s="65"/>
      <c r="M324" s="13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  <c r="AF324" s="65"/>
      <c r="AG324" s="65"/>
      <c r="AH324" s="65"/>
      <c r="AI324" s="65"/>
      <c r="AJ324" s="65"/>
      <c r="AK324" s="65"/>
      <c r="AL324" s="65"/>
      <c r="AM324" s="65"/>
      <c r="AN324" s="65"/>
      <c r="AO324" s="65"/>
      <c r="AP324" s="65"/>
      <c r="AQ324" s="65"/>
      <c r="AR324" s="65"/>
      <c r="AS324" s="65"/>
      <c r="AT324" s="65"/>
      <c r="AU324" s="65"/>
      <c r="AV324" s="65"/>
      <c r="AW324" s="65"/>
      <c r="AX324" s="65"/>
      <c r="AY324" s="65"/>
      <c r="AZ324" s="65"/>
      <c r="BA324" s="65"/>
      <c r="BB324" s="65"/>
      <c r="BC324" s="65"/>
      <c r="BD324" s="65"/>
      <c r="BE324" s="65"/>
      <c r="BF324" s="65"/>
      <c r="BG324" s="65"/>
      <c r="BH324" s="135"/>
      <c r="BI324" s="65"/>
      <c r="BJ324" s="65"/>
      <c r="BK324" s="65"/>
      <c r="BL324" s="65"/>
      <c r="BM324" s="65"/>
      <c r="BN324" s="65"/>
      <c r="BO324" s="65"/>
      <c r="BP324" s="65"/>
      <c r="BQ324" s="65"/>
      <c r="BR324" s="65"/>
      <c r="BS324" s="65"/>
      <c r="BT324" s="65"/>
      <c r="BU324" s="65"/>
      <c r="BV324" s="65"/>
      <c r="BW324" s="65"/>
      <c r="BX324" s="65"/>
      <c r="BY324" s="65"/>
      <c r="BZ324" s="65"/>
      <c r="CA324" s="65"/>
      <c r="CB324" s="65"/>
      <c r="CC324" s="65"/>
      <c r="CD324" s="65"/>
      <c r="CE324" s="65"/>
      <c r="CF324" s="65"/>
      <c r="CG324" s="65"/>
      <c r="CH324" s="0"/>
      <c r="CP324" s="0"/>
      <c r="CQ324" s="0"/>
      <c r="CR324" s="0"/>
      <c r="CS324" s="0"/>
      <c r="CT324" s="0"/>
      <c r="CU324" s="110"/>
      <c r="CV324" s="138"/>
      <c r="CW324" s="210"/>
      <c r="CX324" s="210"/>
      <c r="CY324" s="174" t="n">
        <f aca="false">EOMONTH(CY323,0)+1</f>
        <v>46054</v>
      </c>
      <c r="CZ324" s="175" t="n">
        <f aca="false">IF(AI324=0,CZ312,AH324+AI324)</f>
        <v>1</v>
      </c>
      <c r="DA324" s="175" t="n">
        <f aca="false">IF(AI324=0,DA312,AI324)</f>
        <v>1.25</v>
      </c>
      <c r="DB324" s="175" t="n">
        <f aca="false">IF(AI324=0,DB312,AI324+AJ324)</f>
        <v>1.55</v>
      </c>
      <c r="DD324" s="154" t="n">
        <f aca="false">IF(Z324=0,DD312,Z324)</f>
        <v>0.0910666090107368</v>
      </c>
      <c r="DE324" s="154" t="n">
        <f aca="false">IF(AA324=0,DE312,AA324)</f>
        <v>0.182133218021474</v>
      </c>
      <c r="DF324" s="154" t="n">
        <f aca="false">IF(AB324=0,DF312,AB324)</f>
        <v>0.27319982703221</v>
      </c>
      <c r="DG324" s="210"/>
      <c r="DH324" s="174" t="n">
        <f aca="false">IF(BH324=0,EOMONTH(DH323,0)+1,BH324)</f>
        <v>46054</v>
      </c>
      <c r="DI324" s="207" t="n">
        <f aca="false">IF(BI324=0,DI312,BI324)</f>
        <v>0.9</v>
      </c>
    </row>
    <row r="325" customFormat="false" ht="14.25" hidden="false" customHeight="false" outlineLevel="0" collapsed="false">
      <c r="A325" s="209" t="n">
        <f aca="false">EDATE(A324,1)</f>
        <v>55427</v>
      </c>
      <c r="B325" s="128" t="n">
        <f aca="false">'Gas Curves'!C329</f>
        <v>0.070412977303686</v>
      </c>
      <c r="C325" s="128"/>
      <c r="D325" s="65"/>
      <c r="E325" s="65"/>
      <c r="F325" s="65"/>
      <c r="G325" s="65"/>
      <c r="H325" s="65"/>
      <c r="I325" s="65"/>
      <c r="J325" s="65"/>
      <c r="K325" s="65"/>
      <c r="L325" s="65"/>
      <c r="M325" s="13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65"/>
      <c r="AI325" s="65"/>
      <c r="AJ325" s="65"/>
      <c r="AK325" s="65"/>
      <c r="AL325" s="65"/>
      <c r="AM325" s="65"/>
      <c r="AN325" s="65"/>
      <c r="AO325" s="65"/>
      <c r="AP325" s="65"/>
      <c r="AQ325" s="65"/>
      <c r="AR325" s="65"/>
      <c r="AS325" s="65"/>
      <c r="AT325" s="65"/>
      <c r="AU325" s="65"/>
      <c r="AV325" s="65"/>
      <c r="AW325" s="65"/>
      <c r="AX325" s="65"/>
      <c r="AY325" s="65"/>
      <c r="AZ325" s="65"/>
      <c r="BA325" s="65"/>
      <c r="BB325" s="65"/>
      <c r="BC325" s="65"/>
      <c r="BD325" s="65"/>
      <c r="BE325" s="65"/>
      <c r="BF325" s="65"/>
      <c r="BG325" s="65"/>
      <c r="BH325" s="135"/>
      <c r="BI325" s="65"/>
      <c r="BJ325" s="65"/>
      <c r="BK325" s="65"/>
      <c r="BL325" s="65"/>
      <c r="BM325" s="65"/>
      <c r="BN325" s="65"/>
      <c r="BO325" s="65"/>
      <c r="BP325" s="65"/>
      <c r="BQ325" s="65"/>
      <c r="BR325" s="65"/>
      <c r="BS325" s="65"/>
      <c r="BT325" s="65"/>
      <c r="BU325" s="65"/>
      <c r="BV325" s="65"/>
      <c r="BW325" s="65"/>
      <c r="BX325" s="65"/>
      <c r="BY325" s="65"/>
      <c r="BZ325" s="65"/>
      <c r="CA325" s="65"/>
      <c r="CB325" s="65"/>
      <c r="CC325" s="65"/>
      <c r="CD325" s="65"/>
      <c r="CE325" s="65"/>
      <c r="CF325" s="65"/>
      <c r="CG325" s="65"/>
      <c r="CH325" s="0"/>
      <c r="CP325" s="0"/>
      <c r="CQ325" s="0"/>
      <c r="CR325" s="0"/>
      <c r="CS325" s="0"/>
      <c r="CT325" s="0"/>
      <c r="CU325" s="110"/>
      <c r="CV325" s="138"/>
      <c r="CW325" s="210"/>
      <c r="CX325" s="210"/>
      <c r="CY325" s="174" t="n">
        <f aca="false">EOMONTH(CY324,0)+1</f>
        <v>46082</v>
      </c>
      <c r="CZ325" s="175" t="n">
        <f aca="false">IF(AI325=0,CZ313,AH325+AI325)</f>
        <v>1</v>
      </c>
      <c r="DA325" s="175" t="n">
        <f aca="false">IF(AI325=0,DA313,AI325)</f>
        <v>1.25</v>
      </c>
      <c r="DB325" s="175" t="n">
        <f aca="false">IF(AI325=0,DB313,AI325+AJ325)</f>
        <v>1.55</v>
      </c>
      <c r="DD325" s="154" t="n">
        <f aca="false">IF(Z325=0,DD313,Z325)</f>
        <v>0.0721937023797812</v>
      </c>
      <c r="DE325" s="154" t="n">
        <f aca="false">IF(AA325=0,DE313,AA325)</f>
        <v>0.144387404759562</v>
      </c>
      <c r="DF325" s="154" t="n">
        <f aca="false">IF(AB325=0,DF313,AB325)</f>
        <v>0.216581107139343</v>
      </c>
      <c r="DG325" s="210"/>
      <c r="DH325" s="174" t="n">
        <f aca="false">IF(BH325=0,EOMONTH(DH324,0)+1,BH325)</f>
        <v>46082</v>
      </c>
      <c r="DI325" s="207" t="n">
        <f aca="false">IF(BI325=0,DI313,BI325)</f>
        <v>0.9</v>
      </c>
    </row>
    <row r="326" customFormat="false" ht="14.25" hidden="false" customHeight="false" outlineLevel="0" collapsed="false">
      <c r="A326" s="209" t="n">
        <f aca="false">EDATE(A325,1)</f>
        <v>55458</v>
      </c>
      <c r="B326" s="128" t="n">
        <f aca="false">'Gas Curves'!C330</f>
        <v>0.07040032866631</v>
      </c>
      <c r="C326" s="128"/>
      <c r="D326" s="65"/>
      <c r="E326" s="65"/>
      <c r="F326" s="65"/>
      <c r="G326" s="65"/>
      <c r="H326" s="65"/>
      <c r="I326" s="65"/>
      <c r="J326" s="65"/>
      <c r="K326" s="65"/>
      <c r="L326" s="65"/>
      <c r="M326" s="13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  <c r="AF326" s="65"/>
      <c r="AG326" s="65"/>
      <c r="AH326" s="65"/>
      <c r="AI326" s="65"/>
      <c r="AJ326" s="65"/>
      <c r="AK326" s="65"/>
      <c r="AL326" s="65"/>
      <c r="AM326" s="65"/>
      <c r="AN326" s="65"/>
      <c r="AO326" s="65"/>
      <c r="AP326" s="65"/>
      <c r="AQ326" s="65"/>
      <c r="AR326" s="65"/>
      <c r="AS326" s="65"/>
      <c r="AT326" s="65"/>
      <c r="AU326" s="65"/>
      <c r="AV326" s="65"/>
      <c r="AW326" s="65"/>
      <c r="AX326" s="65"/>
      <c r="AY326" s="65"/>
      <c r="AZ326" s="65"/>
      <c r="BA326" s="65"/>
      <c r="BB326" s="65"/>
      <c r="BC326" s="65"/>
      <c r="BD326" s="65"/>
      <c r="BE326" s="65"/>
      <c r="BF326" s="65"/>
      <c r="BG326" s="65"/>
      <c r="BH326" s="135"/>
      <c r="BI326" s="65"/>
      <c r="BJ326" s="65"/>
      <c r="BK326" s="65"/>
      <c r="BL326" s="65"/>
      <c r="BM326" s="65"/>
      <c r="BN326" s="65"/>
      <c r="BO326" s="65"/>
      <c r="BP326" s="65"/>
      <c r="BQ326" s="65"/>
      <c r="BR326" s="65"/>
      <c r="BS326" s="65"/>
      <c r="BT326" s="65"/>
      <c r="BU326" s="65"/>
      <c r="BV326" s="65"/>
      <c r="BW326" s="65"/>
      <c r="BX326" s="65"/>
      <c r="BY326" s="65"/>
      <c r="BZ326" s="65"/>
      <c r="CA326" s="65"/>
      <c r="CB326" s="65"/>
      <c r="CC326" s="65"/>
      <c r="CD326" s="65"/>
      <c r="CE326" s="65"/>
      <c r="CF326" s="65"/>
      <c r="CG326" s="65"/>
      <c r="CH326" s="0"/>
      <c r="CP326" s="0"/>
      <c r="CQ326" s="0"/>
      <c r="CR326" s="0"/>
      <c r="CS326" s="0"/>
      <c r="CT326" s="0"/>
      <c r="CU326" s="110"/>
      <c r="CV326" s="138"/>
      <c r="CW326" s="210"/>
      <c r="CX326" s="210"/>
      <c r="CY326" s="174" t="n">
        <f aca="false">EOMONTH(CY325,0)+1</f>
        <v>46113</v>
      </c>
      <c r="CZ326" s="175" t="n">
        <f aca="false">IF(AI326=0,CZ314,AH326+AI326)</f>
        <v>0</v>
      </c>
      <c r="DA326" s="175" t="n">
        <f aca="false">IF(AI326=0,DA314,AI326)</f>
        <v>0</v>
      </c>
      <c r="DB326" s="175" t="n">
        <f aca="false">IF(AI326=0,DB314,AI326+AJ326)</f>
        <v>0</v>
      </c>
      <c r="DD326" s="154" t="n">
        <f aca="false">IF(Z326=0,DD314,Z326)</f>
        <v>0</v>
      </c>
      <c r="DE326" s="154" t="n">
        <f aca="false">IF(AA326=0,DE314,AA326)</f>
        <v>0</v>
      </c>
      <c r="DF326" s="154" t="n">
        <f aca="false">IF(AB326=0,DF314,AB326)</f>
        <v>0</v>
      </c>
      <c r="DG326" s="210"/>
      <c r="DH326" s="174" t="n">
        <f aca="false">IF(BH326=0,EOMONTH(DH325,0)+1,BH326)</f>
        <v>46113</v>
      </c>
      <c r="DI326" s="207" t="n">
        <f aca="false">IF(BI326=0,DI314,BI326)</f>
        <v>0</v>
      </c>
    </row>
    <row r="327" customFormat="false" ht="14.25" hidden="false" customHeight="false" outlineLevel="0" collapsed="false">
      <c r="A327" s="209" t="n">
        <f aca="false">EDATE(A326,1)</f>
        <v>55488</v>
      </c>
      <c r="B327" s="128" t="n">
        <f aca="false">'Gas Curves'!C331</f>
        <v>0.070388088049544</v>
      </c>
      <c r="C327" s="128"/>
      <c r="D327" s="65"/>
      <c r="E327" s="65"/>
      <c r="F327" s="65"/>
      <c r="G327" s="65"/>
      <c r="H327" s="65"/>
      <c r="I327" s="65"/>
      <c r="J327" s="65"/>
      <c r="K327" s="65"/>
      <c r="L327" s="65"/>
      <c r="M327" s="13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  <c r="AJ327" s="65"/>
      <c r="AK327" s="65"/>
      <c r="AL327" s="65"/>
      <c r="AM327" s="65"/>
      <c r="AN327" s="65"/>
      <c r="AO327" s="65"/>
      <c r="AP327" s="65"/>
      <c r="AQ327" s="65"/>
      <c r="AR327" s="65"/>
      <c r="AS327" s="65"/>
      <c r="AT327" s="65"/>
      <c r="AU327" s="65"/>
      <c r="AV327" s="65"/>
      <c r="AW327" s="65"/>
      <c r="AX327" s="65"/>
      <c r="AY327" s="65"/>
      <c r="AZ327" s="65"/>
      <c r="BA327" s="65"/>
      <c r="BB327" s="65"/>
      <c r="BC327" s="65"/>
      <c r="BD327" s="65"/>
      <c r="BE327" s="65"/>
      <c r="BF327" s="65"/>
      <c r="BG327" s="65"/>
      <c r="BH327" s="135"/>
      <c r="BI327" s="65"/>
      <c r="BJ327" s="65"/>
      <c r="BK327" s="65"/>
      <c r="BL327" s="65"/>
      <c r="BM327" s="65"/>
      <c r="BN327" s="65"/>
      <c r="BO327" s="65"/>
      <c r="BP327" s="65"/>
      <c r="BQ327" s="65"/>
      <c r="BR327" s="65"/>
      <c r="BS327" s="65"/>
      <c r="BT327" s="65"/>
      <c r="BU327" s="65"/>
      <c r="BV327" s="65"/>
      <c r="BW327" s="65"/>
      <c r="BX327" s="65"/>
      <c r="BY327" s="65"/>
      <c r="BZ327" s="65"/>
      <c r="CA327" s="65"/>
      <c r="CB327" s="65"/>
      <c r="CC327" s="65"/>
      <c r="CD327" s="65"/>
      <c r="CE327" s="65"/>
      <c r="CF327" s="65"/>
      <c r="CG327" s="65"/>
      <c r="CH327" s="0"/>
      <c r="CP327" s="0"/>
      <c r="CQ327" s="0"/>
      <c r="CR327" s="0"/>
      <c r="CS327" s="0"/>
      <c r="CT327" s="0"/>
      <c r="CU327" s="110"/>
      <c r="CV327" s="138"/>
      <c r="CW327" s="210"/>
      <c r="CX327" s="210"/>
      <c r="CY327" s="174" t="n">
        <f aca="false">EOMONTH(CY326,0)+1</f>
        <v>46143</v>
      </c>
      <c r="CZ327" s="175" t="n">
        <f aca="false">IF(AI327=0,CZ315,AH327+AI327)</f>
        <v>1</v>
      </c>
      <c r="DA327" s="175" t="n">
        <f aca="false">IF(AI327=0,DA315,AI327)</f>
        <v>1.25</v>
      </c>
      <c r="DB327" s="175" t="n">
        <f aca="false">IF(AI327=0,DB315,AI327+AJ327)</f>
        <v>1.55</v>
      </c>
      <c r="DD327" s="154" t="n">
        <f aca="false">IF(Z327=0,DD315,Z327)</f>
        <v>0.079836777060087</v>
      </c>
      <c r="DE327" s="154" t="n">
        <f aca="false">IF(AA327=0,DE315,AA327)</f>
        <v>0.159673554120174</v>
      </c>
      <c r="DF327" s="154" t="n">
        <f aca="false">IF(AB327=0,DF315,AB327)</f>
        <v>0.239510331180261</v>
      </c>
      <c r="DG327" s="210"/>
      <c r="DH327" s="174" t="n">
        <f aca="false">IF(BH327=0,EOMONTH(DH326,0)+1,BH327)</f>
        <v>46143</v>
      </c>
      <c r="DI327" s="207" t="n">
        <f aca="false">IF(BI327=0,DI315,BI327)</f>
        <v>0.9</v>
      </c>
    </row>
    <row r="328" customFormat="false" ht="14.25" hidden="false" customHeight="false" outlineLevel="0" collapsed="false">
      <c r="A328" s="209" t="n">
        <f aca="false">EDATE(A327,1)</f>
        <v>55519</v>
      </c>
      <c r="B328" s="128" t="n">
        <f aca="false">'Gas Curves'!C332</f>
        <v>0.070375439412273</v>
      </c>
      <c r="C328" s="128"/>
      <c r="D328" s="65"/>
      <c r="E328" s="65"/>
      <c r="F328" s="65"/>
      <c r="G328" s="65"/>
      <c r="H328" s="65"/>
      <c r="I328" s="65"/>
      <c r="J328" s="65"/>
      <c r="K328" s="65"/>
      <c r="L328" s="65"/>
      <c r="M328" s="13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  <c r="AF328" s="65"/>
      <c r="AG328" s="65"/>
      <c r="AH328" s="65"/>
      <c r="AI328" s="65"/>
      <c r="AJ328" s="65"/>
      <c r="AK328" s="65"/>
      <c r="AL328" s="65"/>
      <c r="AM328" s="65"/>
      <c r="AN328" s="65"/>
      <c r="AO328" s="65"/>
      <c r="AP328" s="65"/>
      <c r="AQ328" s="65"/>
      <c r="AR328" s="65"/>
      <c r="AS328" s="65"/>
      <c r="AT328" s="65"/>
      <c r="AU328" s="65"/>
      <c r="AV328" s="65"/>
      <c r="AW328" s="65"/>
      <c r="AX328" s="65"/>
      <c r="AY328" s="65"/>
      <c r="AZ328" s="65"/>
      <c r="BA328" s="65"/>
      <c r="BB328" s="65"/>
      <c r="BC328" s="65"/>
      <c r="BD328" s="65"/>
      <c r="BE328" s="65"/>
      <c r="BF328" s="65"/>
      <c r="BG328" s="65"/>
      <c r="BH328" s="135"/>
      <c r="BI328" s="65"/>
      <c r="BJ328" s="65"/>
      <c r="BK328" s="65"/>
      <c r="BL328" s="65"/>
      <c r="BM328" s="65"/>
      <c r="BN328" s="65"/>
      <c r="BO328" s="65"/>
      <c r="BP328" s="65"/>
      <c r="BQ328" s="65"/>
      <c r="BR328" s="65"/>
      <c r="BS328" s="65"/>
      <c r="BT328" s="65"/>
      <c r="BU328" s="65"/>
      <c r="BV328" s="65"/>
      <c r="BW328" s="65"/>
      <c r="BX328" s="65"/>
      <c r="BY328" s="65"/>
      <c r="BZ328" s="65"/>
      <c r="CA328" s="65"/>
      <c r="CB328" s="65"/>
      <c r="CC328" s="65"/>
      <c r="CD328" s="65"/>
      <c r="CE328" s="65"/>
      <c r="CF328" s="65"/>
      <c r="CG328" s="65"/>
      <c r="CH328" s="0"/>
      <c r="CP328" s="0"/>
      <c r="CQ328" s="0"/>
      <c r="CR328" s="0"/>
      <c r="CS328" s="0"/>
      <c r="CT328" s="0"/>
      <c r="CU328" s="110"/>
      <c r="CV328" s="138"/>
      <c r="CW328" s="210"/>
      <c r="CX328" s="210"/>
      <c r="CY328" s="174" t="n">
        <f aca="false">EOMONTH(CY327,0)+1</f>
        <v>46174</v>
      </c>
      <c r="CZ328" s="175" t="n">
        <f aca="false">IF(AI328=0,CZ316,AH328+AI328)</f>
        <v>1</v>
      </c>
      <c r="DA328" s="175" t="n">
        <f aca="false">IF(AI328=0,DA316,AI328)</f>
        <v>1.25</v>
      </c>
      <c r="DB328" s="175" t="n">
        <f aca="false">IF(AI328=0,DB316,AI328+AJ328)</f>
        <v>1.55</v>
      </c>
      <c r="DD328" s="154" t="n">
        <f aca="false">IF(Z328=0,DD316,Z328)</f>
        <v>0.085380172451756</v>
      </c>
      <c r="DE328" s="154" t="n">
        <f aca="false">IF(AA328=0,DE316,AA328)</f>
        <v>0.170760344903512</v>
      </c>
      <c r="DF328" s="154" t="n">
        <f aca="false">IF(AB328=0,DF316,AB328)</f>
        <v>0.256140517355268</v>
      </c>
      <c r="DG328" s="210"/>
      <c r="DH328" s="174" t="n">
        <f aca="false">IF(BH328=0,EOMONTH(DH327,0)+1,BH328)</f>
        <v>46174</v>
      </c>
      <c r="DI328" s="207" t="n">
        <f aca="false">IF(BI328=0,DI316,BI328)</f>
        <v>0.9</v>
      </c>
    </row>
    <row r="329" customFormat="false" ht="14.25" hidden="false" customHeight="false" outlineLevel="0" collapsed="false">
      <c r="A329" s="209" t="n">
        <f aca="false">EDATE(A328,1)</f>
        <v>55550</v>
      </c>
      <c r="B329" s="128" t="n">
        <f aca="false">'Gas Curves'!C333</f>
        <v>0.070362790775054</v>
      </c>
      <c r="C329" s="128"/>
      <c r="D329" s="65"/>
      <c r="E329" s="65"/>
      <c r="F329" s="65"/>
      <c r="G329" s="65"/>
      <c r="H329" s="65"/>
      <c r="I329" s="65"/>
      <c r="J329" s="65"/>
      <c r="K329" s="65"/>
      <c r="L329" s="65"/>
      <c r="M329" s="13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  <c r="AH329" s="65"/>
      <c r="AI329" s="65"/>
      <c r="AJ329" s="65"/>
      <c r="AK329" s="65"/>
      <c r="AL329" s="65"/>
      <c r="AM329" s="65"/>
      <c r="AN329" s="65"/>
      <c r="AO329" s="65"/>
      <c r="AP329" s="65"/>
      <c r="AQ329" s="65"/>
      <c r="AR329" s="65"/>
      <c r="AS329" s="65"/>
      <c r="AT329" s="65"/>
      <c r="AU329" s="65"/>
      <c r="AV329" s="65"/>
      <c r="AW329" s="65"/>
      <c r="AX329" s="65"/>
      <c r="AY329" s="65"/>
      <c r="AZ329" s="65"/>
      <c r="BA329" s="65"/>
      <c r="BB329" s="65"/>
      <c r="BC329" s="65"/>
      <c r="BD329" s="65"/>
      <c r="BE329" s="65"/>
      <c r="BF329" s="65"/>
      <c r="BG329" s="65"/>
      <c r="BH329" s="135"/>
      <c r="BI329" s="65"/>
      <c r="BJ329" s="65"/>
      <c r="BK329" s="65"/>
      <c r="BL329" s="65"/>
      <c r="BM329" s="65"/>
      <c r="BN329" s="65"/>
      <c r="BO329" s="65"/>
      <c r="BP329" s="65"/>
      <c r="BQ329" s="65"/>
      <c r="BR329" s="65"/>
      <c r="BS329" s="65"/>
      <c r="BT329" s="65"/>
      <c r="BU329" s="65"/>
      <c r="BV329" s="65"/>
      <c r="BW329" s="65"/>
      <c r="BX329" s="65"/>
      <c r="BY329" s="65"/>
      <c r="BZ329" s="65"/>
      <c r="CA329" s="65"/>
      <c r="CB329" s="65"/>
      <c r="CC329" s="65"/>
      <c r="CD329" s="65"/>
      <c r="CE329" s="65"/>
      <c r="CF329" s="65"/>
      <c r="CG329" s="65"/>
      <c r="CH329" s="0"/>
      <c r="CP329" s="0"/>
      <c r="CQ329" s="0"/>
      <c r="CR329" s="0"/>
      <c r="CS329" s="0"/>
      <c r="CT329" s="0"/>
      <c r="CU329" s="110"/>
      <c r="CV329" s="138"/>
      <c r="CW329" s="210"/>
      <c r="CX329" s="210"/>
      <c r="CY329" s="174" t="n">
        <f aca="false">EOMONTH(CY328,0)+1</f>
        <v>46204</v>
      </c>
      <c r="CZ329" s="175" t="n">
        <f aca="false">IF(AI329=0,CZ317,AH329+AI329)</f>
        <v>1</v>
      </c>
      <c r="DA329" s="175" t="n">
        <f aca="false">IF(AI329=0,DA317,AI329)</f>
        <v>1.25</v>
      </c>
      <c r="DB329" s="175" t="n">
        <f aca="false">IF(AI329=0,DB317,AI329+AJ329)</f>
        <v>1.55</v>
      </c>
      <c r="DD329" s="154" t="n">
        <f aca="false">IF(Z329=0,DD317,Z329)</f>
        <v>0.101692367108662</v>
      </c>
      <c r="DE329" s="154" t="n">
        <f aca="false">IF(AA329=0,DE317,AA329)</f>
        <v>0.203384734217324</v>
      </c>
      <c r="DF329" s="154" t="n">
        <f aca="false">IF(AB329=0,DF317,AB329)</f>
        <v>0.305077101325986</v>
      </c>
      <c r="DG329" s="210"/>
      <c r="DH329" s="174" t="n">
        <f aca="false">IF(BH329=0,EOMONTH(DH328,0)+1,BH329)</f>
        <v>46204</v>
      </c>
      <c r="DI329" s="207" t="n">
        <f aca="false">IF(BI329=0,DI317,BI329)</f>
        <v>0.9</v>
      </c>
    </row>
    <row r="330" customFormat="false" ht="14.25" hidden="false" customHeight="false" outlineLevel="0" collapsed="false">
      <c r="A330" s="209" t="n">
        <f aca="false">EDATE(A329,1)</f>
        <v>55579</v>
      </c>
      <c r="B330" s="128" t="n">
        <f aca="false">'Gas Curves'!C334</f>
        <v>0.070351366199546</v>
      </c>
      <c r="C330" s="128"/>
      <c r="D330" s="65"/>
      <c r="E330" s="65"/>
      <c r="F330" s="65"/>
      <c r="G330" s="65"/>
      <c r="H330" s="65"/>
      <c r="I330" s="65"/>
      <c r="J330" s="65"/>
      <c r="K330" s="65"/>
      <c r="L330" s="65"/>
      <c r="M330" s="13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  <c r="AF330" s="65"/>
      <c r="AG330" s="65"/>
      <c r="AH330" s="65"/>
      <c r="AI330" s="65"/>
      <c r="AJ330" s="65"/>
      <c r="AK330" s="65"/>
      <c r="AL330" s="65"/>
      <c r="AM330" s="65"/>
      <c r="AN330" s="65"/>
      <c r="AO330" s="65"/>
      <c r="AP330" s="65"/>
      <c r="AQ330" s="65"/>
      <c r="AR330" s="65"/>
      <c r="AS330" s="65"/>
      <c r="AT330" s="65"/>
      <c r="AU330" s="65"/>
      <c r="AV330" s="65"/>
      <c r="AW330" s="65"/>
      <c r="AX330" s="65"/>
      <c r="AY330" s="65"/>
      <c r="AZ330" s="65"/>
      <c r="BA330" s="65"/>
      <c r="BB330" s="65"/>
      <c r="BC330" s="65"/>
      <c r="BD330" s="65"/>
      <c r="BE330" s="65"/>
      <c r="BF330" s="65"/>
      <c r="BG330" s="65"/>
      <c r="BH330" s="135"/>
      <c r="BI330" s="65"/>
      <c r="BJ330" s="65"/>
      <c r="BK330" s="65"/>
      <c r="BL330" s="65"/>
      <c r="BM330" s="65"/>
      <c r="BN330" s="65"/>
      <c r="BO330" s="65"/>
      <c r="BP330" s="65"/>
      <c r="BQ330" s="65"/>
      <c r="BR330" s="65"/>
      <c r="BS330" s="65"/>
      <c r="BT330" s="65"/>
      <c r="BU330" s="65"/>
      <c r="BV330" s="65"/>
      <c r="BW330" s="65"/>
      <c r="BX330" s="65"/>
      <c r="BY330" s="65"/>
      <c r="BZ330" s="65"/>
      <c r="CA330" s="65"/>
      <c r="CB330" s="65"/>
      <c r="CC330" s="65"/>
      <c r="CD330" s="65"/>
      <c r="CE330" s="65"/>
      <c r="CF330" s="65"/>
      <c r="CG330" s="65"/>
      <c r="CH330" s="0"/>
      <c r="CP330" s="0"/>
      <c r="CQ330" s="0"/>
      <c r="CR330" s="0"/>
      <c r="CS330" s="0"/>
      <c r="CT330" s="0"/>
      <c r="CU330" s="110"/>
      <c r="CV330" s="138"/>
      <c r="CW330" s="210"/>
      <c r="CX330" s="210"/>
      <c r="CY330" s="174" t="n">
        <f aca="false">EOMONTH(CY329,0)+1</f>
        <v>46235</v>
      </c>
      <c r="CZ330" s="175" t="n">
        <f aca="false">IF(AI330=0,CZ318,AH330+AI330)</f>
        <v>1</v>
      </c>
      <c r="DA330" s="175" t="n">
        <f aca="false">IF(AI330=0,DA318,AI330)</f>
        <v>1.25</v>
      </c>
      <c r="DB330" s="175" t="n">
        <f aca="false">IF(AI330=0,DB318,AI330+AJ330)</f>
        <v>1.55</v>
      </c>
      <c r="DD330" s="154" t="n">
        <f aca="false">IF(Z330=0,DD318,Z330)</f>
        <v>0.0994642258486125</v>
      </c>
      <c r="DE330" s="154" t="n">
        <f aca="false">IF(AA330=0,DE318,AA330)</f>
        <v>0.198928451697225</v>
      </c>
      <c r="DF330" s="154" t="n">
        <f aca="false">IF(AB330=0,DF318,AB330)</f>
        <v>0.298392677545837</v>
      </c>
      <c r="DG330" s="210"/>
      <c r="DH330" s="174" t="n">
        <f aca="false">IF(BH330=0,EOMONTH(DH329,0)+1,BH330)</f>
        <v>46235</v>
      </c>
      <c r="DI330" s="207" t="n">
        <f aca="false">IF(BI330=0,DI318,BI330)</f>
        <v>0.9</v>
      </c>
    </row>
    <row r="331" customFormat="false" ht="14.25" hidden="false" customHeight="false" outlineLevel="0" collapsed="false">
      <c r="A331" s="209" t="n">
        <f aca="false">EDATE(A330,1)</f>
        <v>55610</v>
      </c>
      <c r="B331" s="128" t="n">
        <f aca="false">'Gas Curves'!C335</f>
        <v>0.070338717562428</v>
      </c>
      <c r="C331" s="128"/>
      <c r="D331" s="65"/>
      <c r="E331" s="65"/>
      <c r="F331" s="65"/>
      <c r="G331" s="65"/>
      <c r="H331" s="65"/>
      <c r="I331" s="65"/>
      <c r="J331" s="65"/>
      <c r="K331" s="65"/>
      <c r="L331" s="65"/>
      <c r="M331" s="13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5"/>
      <c r="AG331" s="65"/>
      <c r="AH331" s="65"/>
      <c r="AI331" s="65"/>
      <c r="AJ331" s="65"/>
      <c r="AK331" s="65"/>
      <c r="AL331" s="65"/>
      <c r="AM331" s="65"/>
      <c r="AN331" s="65"/>
      <c r="AO331" s="65"/>
      <c r="AP331" s="65"/>
      <c r="AQ331" s="65"/>
      <c r="AR331" s="65"/>
      <c r="AS331" s="65"/>
      <c r="AT331" s="65"/>
      <c r="AU331" s="65"/>
      <c r="AV331" s="65"/>
      <c r="AW331" s="65"/>
      <c r="AX331" s="65"/>
      <c r="AY331" s="65"/>
      <c r="AZ331" s="65"/>
      <c r="BA331" s="65"/>
      <c r="BB331" s="65"/>
      <c r="BC331" s="65"/>
      <c r="BD331" s="65"/>
      <c r="BE331" s="65"/>
      <c r="BF331" s="65"/>
      <c r="BG331" s="65"/>
      <c r="BH331" s="135"/>
      <c r="BI331" s="65"/>
      <c r="BJ331" s="65"/>
      <c r="BK331" s="65"/>
      <c r="BL331" s="65"/>
      <c r="BM331" s="65"/>
      <c r="BN331" s="65"/>
      <c r="BO331" s="65"/>
      <c r="BP331" s="65"/>
      <c r="BQ331" s="65"/>
      <c r="BR331" s="65"/>
      <c r="BS331" s="65"/>
      <c r="BT331" s="65"/>
      <c r="BU331" s="65"/>
      <c r="BV331" s="65"/>
      <c r="BW331" s="65"/>
      <c r="BX331" s="65"/>
      <c r="BY331" s="65"/>
      <c r="BZ331" s="65"/>
      <c r="CA331" s="65"/>
      <c r="CB331" s="65"/>
      <c r="CC331" s="65"/>
      <c r="CD331" s="65"/>
      <c r="CE331" s="65"/>
      <c r="CF331" s="65"/>
      <c r="CG331" s="65"/>
      <c r="CH331" s="0"/>
      <c r="CP331" s="0"/>
      <c r="CQ331" s="0"/>
      <c r="CR331" s="0"/>
      <c r="CS331" s="0"/>
      <c r="CT331" s="0"/>
      <c r="CU331" s="110"/>
      <c r="CV331" s="138"/>
      <c r="CW331" s="210"/>
      <c r="CX331" s="210"/>
      <c r="CY331" s="174" t="n">
        <f aca="false">EOMONTH(CY330,0)+1</f>
        <v>46266</v>
      </c>
      <c r="CZ331" s="175" t="n">
        <f aca="false">IF(AI331=0,CZ319,AH331+AI331)</f>
        <v>1</v>
      </c>
      <c r="DA331" s="175" t="n">
        <f aca="false">IF(AI331=0,DA319,AI331)</f>
        <v>1.25</v>
      </c>
      <c r="DB331" s="175" t="n">
        <f aca="false">IF(AI331=0,DB319,AI331+AJ331)</f>
        <v>1.55</v>
      </c>
      <c r="DD331" s="154" t="n">
        <f aca="false">IF(Z331=0,DD319,Z331)</f>
        <v>0.0753606888398985</v>
      </c>
      <c r="DE331" s="154" t="n">
        <f aca="false">IF(AA331=0,DE319,AA331)</f>
        <v>0.150721377679797</v>
      </c>
      <c r="DF331" s="154" t="n">
        <f aca="false">IF(AB331=0,DF319,AB331)</f>
        <v>0.226082066519696</v>
      </c>
      <c r="DG331" s="210"/>
      <c r="DH331" s="174" t="n">
        <f aca="false">IF(BH331=0,EOMONTH(DH330,0)+1,BH331)</f>
        <v>46266</v>
      </c>
      <c r="DI331" s="207" t="n">
        <f aca="false">IF(BI331=0,DI319,BI331)</f>
        <v>0.9</v>
      </c>
    </row>
    <row r="332" customFormat="false" ht="14.25" hidden="false" customHeight="false" outlineLevel="0" collapsed="false">
      <c r="A332" s="209" t="n">
        <f aca="false">EDATE(A331,1)</f>
        <v>55640</v>
      </c>
      <c r="B332" s="128" t="n">
        <f aca="false">'Gas Curves'!C336</f>
        <v>0.070326476945911</v>
      </c>
      <c r="C332" s="128"/>
      <c r="D332" s="65"/>
      <c r="E332" s="65"/>
      <c r="F332" s="65"/>
      <c r="G332" s="65"/>
      <c r="H332" s="65"/>
      <c r="I332" s="65"/>
      <c r="J332" s="65"/>
      <c r="K332" s="65"/>
      <c r="L332" s="65"/>
      <c r="M332" s="13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  <c r="AJ332" s="65"/>
      <c r="AK332" s="65"/>
      <c r="AL332" s="65"/>
      <c r="AM332" s="65"/>
      <c r="AN332" s="65"/>
      <c r="AO332" s="65"/>
      <c r="AP332" s="65"/>
      <c r="AQ332" s="65"/>
      <c r="AR332" s="65"/>
      <c r="AS332" s="65"/>
      <c r="AT332" s="65"/>
      <c r="AU332" s="65"/>
      <c r="AV332" s="65"/>
      <c r="AW332" s="65"/>
      <c r="AX332" s="65"/>
      <c r="AY332" s="65"/>
      <c r="AZ332" s="65"/>
      <c r="BA332" s="65"/>
      <c r="BB332" s="65"/>
      <c r="BC332" s="65"/>
      <c r="BD332" s="65"/>
      <c r="BE332" s="65"/>
      <c r="BF332" s="65"/>
      <c r="BG332" s="65"/>
      <c r="BH332" s="135"/>
      <c r="BI332" s="65"/>
      <c r="BJ332" s="65"/>
      <c r="BK332" s="65"/>
      <c r="BL332" s="65"/>
      <c r="BM332" s="65"/>
      <c r="BN332" s="65"/>
      <c r="BO332" s="65"/>
      <c r="BP332" s="65"/>
      <c r="BQ332" s="65"/>
      <c r="BR332" s="65"/>
      <c r="BS332" s="65"/>
      <c r="BT332" s="65"/>
      <c r="BU332" s="65"/>
      <c r="BV332" s="65"/>
      <c r="BW332" s="65"/>
      <c r="BX332" s="65"/>
      <c r="BY332" s="65"/>
      <c r="BZ332" s="65"/>
      <c r="CA332" s="65"/>
      <c r="CB332" s="65"/>
      <c r="CC332" s="65"/>
      <c r="CD332" s="65"/>
      <c r="CE332" s="65"/>
      <c r="CF332" s="65"/>
      <c r="CG332" s="65"/>
      <c r="CH332" s="0"/>
      <c r="CP332" s="0"/>
      <c r="CQ332" s="0"/>
      <c r="CR332" s="0"/>
      <c r="CS332" s="0"/>
      <c r="CT332" s="0"/>
      <c r="CU332" s="110"/>
      <c r="CV332" s="138"/>
      <c r="CW332" s="210"/>
      <c r="CX332" s="210"/>
      <c r="CY332" s="174" t="n">
        <f aca="false">EOMONTH(CY331,0)+1</f>
        <v>46296</v>
      </c>
      <c r="CZ332" s="175" t="n">
        <f aca="false">IF(AI332=0,CZ320,AH332+AI332)</f>
        <v>1</v>
      </c>
      <c r="DA332" s="175" t="n">
        <f aca="false">IF(AI332=0,DA320,AI332)</f>
        <v>1.25</v>
      </c>
      <c r="DB332" s="175" t="n">
        <f aca="false">IF(AI332=0,DB320,AI332+AJ332)</f>
        <v>1.55</v>
      </c>
      <c r="DD332" s="154" t="n">
        <f aca="false">IF(Z332=0,DD320,Z332)</f>
        <v>0.0651800088356474</v>
      </c>
      <c r="DE332" s="154" t="n">
        <f aca="false">IF(AA332=0,DE320,AA332)</f>
        <v>0.130360017671295</v>
      </c>
      <c r="DF332" s="154" t="n">
        <f aca="false">IF(AB332=0,DF320,AB332)</f>
        <v>0.195540026506942</v>
      </c>
      <c r="DG332" s="210"/>
      <c r="DH332" s="174" t="n">
        <f aca="false">IF(BH332=0,EOMONTH(DH331,0)+1,BH332)</f>
        <v>46296</v>
      </c>
      <c r="DI332" s="207" t="n">
        <f aca="false">IF(BI332=0,DI320,BI332)</f>
        <v>0.9</v>
      </c>
    </row>
    <row r="333" customFormat="false" ht="14.25" hidden="false" customHeight="false" outlineLevel="0" collapsed="false">
      <c r="A333" s="209" t="n">
        <f aca="false">EDATE(A332,1)</f>
        <v>55671</v>
      </c>
      <c r="B333" s="128" t="n">
        <f aca="false">'Gas Curves'!C337</f>
        <v>0.070313828308897</v>
      </c>
      <c r="C333" s="128"/>
      <c r="D333" s="65"/>
      <c r="E333" s="65"/>
      <c r="F333" s="65"/>
      <c r="G333" s="65"/>
      <c r="H333" s="65"/>
      <c r="I333" s="65"/>
      <c r="J333" s="65"/>
      <c r="K333" s="65"/>
      <c r="L333" s="65"/>
      <c r="M333" s="13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  <c r="AF333" s="65"/>
      <c r="AG333" s="65"/>
      <c r="AH333" s="65"/>
      <c r="AI333" s="65"/>
      <c r="AJ333" s="65"/>
      <c r="AK333" s="65"/>
      <c r="AL333" s="65"/>
      <c r="AM333" s="65"/>
      <c r="AN333" s="65"/>
      <c r="AO333" s="65"/>
      <c r="AP333" s="65"/>
      <c r="AQ333" s="65"/>
      <c r="AR333" s="65"/>
      <c r="AS333" s="65"/>
      <c r="AT333" s="65"/>
      <c r="AU333" s="65"/>
      <c r="AV333" s="65"/>
      <c r="AW333" s="65"/>
      <c r="AX333" s="65"/>
      <c r="AY333" s="65"/>
      <c r="AZ333" s="65"/>
      <c r="BA333" s="65"/>
      <c r="BB333" s="65"/>
      <c r="BC333" s="65"/>
      <c r="BD333" s="65"/>
      <c r="BE333" s="65"/>
      <c r="BF333" s="65"/>
      <c r="BG333" s="65"/>
      <c r="BH333" s="135"/>
      <c r="BI333" s="65"/>
      <c r="BJ333" s="65"/>
      <c r="BK333" s="65"/>
      <c r="BL333" s="65"/>
      <c r="BM333" s="65"/>
      <c r="BN333" s="65"/>
      <c r="BO333" s="65"/>
      <c r="BP333" s="65"/>
      <c r="BQ333" s="65"/>
      <c r="BR333" s="65"/>
      <c r="BS333" s="65"/>
      <c r="BT333" s="65"/>
      <c r="BU333" s="65"/>
      <c r="BV333" s="65"/>
      <c r="BW333" s="65"/>
      <c r="BX333" s="65"/>
      <c r="BY333" s="65"/>
      <c r="BZ333" s="65"/>
      <c r="CA333" s="65"/>
      <c r="CB333" s="65"/>
      <c r="CC333" s="65"/>
      <c r="CD333" s="65"/>
      <c r="CE333" s="65"/>
      <c r="CF333" s="65"/>
      <c r="CG333" s="65"/>
      <c r="CH333" s="0"/>
      <c r="CP333" s="0"/>
      <c r="CQ333" s="0"/>
      <c r="CR333" s="0"/>
      <c r="CS333" s="0"/>
      <c r="CT333" s="0"/>
      <c r="CU333" s="110"/>
      <c r="CV333" s="138"/>
      <c r="CW333" s="210"/>
      <c r="CX333" s="210"/>
      <c r="CY333" s="174" t="n">
        <f aca="false">EOMONTH(CY332,0)+1</f>
        <v>46327</v>
      </c>
      <c r="CZ333" s="175" t="n">
        <f aca="false">IF(AI333=0,CZ321,AH333+AI333)</f>
        <v>1</v>
      </c>
      <c r="DA333" s="175" t="n">
        <f aca="false">IF(AI333=0,DA321,AI333)</f>
        <v>1.25</v>
      </c>
      <c r="DB333" s="175" t="n">
        <f aca="false">IF(AI333=0,DB321,AI333+AJ333)</f>
        <v>1.55</v>
      </c>
      <c r="DD333" s="154" t="n">
        <f aca="false">IF(Z333=0,DD321,Z333)</f>
        <v>0.0651800088356474</v>
      </c>
      <c r="DE333" s="154" t="n">
        <f aca="false">IF(AA333=0,DE321,AA333)</f>
        <v>0.130360017671295</v>
      </c>
      <c r="DF333" s="154" t="n">
        <f aca="false">IF(AB333=0,DF321,AB333)</f>
        <v>0.195540026506942</v>
      </c>
      <c r="DG333" s="210"/>
      <c r="DH333" s="174" t="n">
        <f aca="false">IF(BH333=0,EOMONTH(DH332,0)+1,BH333)</f>
        <v>46327</v>
      </c>
      <c r="DI333" s="207" t="n">
        <f aca="false">IF(BI333=0,DI321,BI333)</f>
        <v>0.9</v>
      </c>
    </row>
    <row r="334" customFormat="false" ht="14.25" hidden="false" customHeight="false" outlineLevel="0" collapsed="false">
      <c r="A334" s="209" t="n">
        <f aca="false">EDATE(A333,1)</f>
        <v>55701</v>
      </c>
      <c r="B334" s="128" t="n">
        <f aca="false">'Gas Curves'!C338</f>
        <v>0.070301587692482</v>
      </c>
      <c r="C334" s="128"/>
      <c r="D334" s="65"/>
      <c r="E334" s="65"/>
      <c r="F334" s="65"/>
      <c r="G334" s="65"/>
      <c r="H334" s="65"/>
      <c r="I334" s="65"/>
      <c r="J334" s="65"/>
      <c r="K334" s="65"/>
      <c r="L334" s="65"/>
      <c r="M334" s="13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  <c r="AF334" s="65"/>
      <c r="AG334" s="65"/>
      <c r="AH334" s="65"/>
      <c r="AI334" s="65"/>
      <c r="AJ334" s="65"/>
      <c r="AK334" s="65"/>
      <c r="AL334" s="65"/>
      <c r="AM334" s="65"/>
      <c r="AN334" s="65"/>
      <c r="AO334" s="65"/>
      <c r="AP334" s="65"/>
      <c r="AQ334" s="65"/>
      <c r="AR334" s="65"/>
      <c r="AS334" s="65"/>
      <c r="AT334" s="65"/>
      <c r="AU334" s="65"/>
      <c r="AV334" s="65"/>
      <c r="AW334" s="65"/>
      <c r="AX334" s="65"/>
      <c r="AY334" s="65"/>
      <c r="AZ334" s="65"/>
      <c r="BA334" s="65"/>
      <c r="BB334" s="65"/>
      <c r="BC334" s="65"/>
      <c r="BD334" s="65"/>
      <c r="BE334" s="65"/>
      <c r="BF334" s="65"/>
      <c r="BG334" s="65"/>
      <c r="BH334" s="135"/>
      <c r="BI334" s="65"/>
      <c r="BJ334" s="65"/>
      <c r="BK334" s="65"/>
      <c r="BL334" s="65"/>
      <c r="BM334" s="65"/>
      <c r="BN334" s="65"/>
      <c r="BO334" s="65"/>
      <c r="BP334" s="65"/>
      <c r="BQ334" s="65"/>
      <c r="BR334" s="65"/>
      <c r="BS334" s="65"/>
      <c r="BT334" s="65"/>
      <c r="BU334" s="65"/>
      <c r="BV334" s="65"/>
      <c r="BW334" s="65"/>
      <c r="BX334" s="65"/>
      <c r="BY334" s="65"/>
      <c r="BZ334" s="65"/>
      <c r="CA334" s="65"/>
      <c r="CB334" s="65"/>
      <c r="CC334" s="65"/>
      <c r="CD334" s="65"/>
      <c r="CE334" s="65"/>
      <c r="CF334" s="65"/>
      <c r="CG334" s="65"/>
      <c r="CH334" s="0"/>
      <c r="CP334" s="0"/>
      <c r="CQ334" s="0"/>
      <c r="CR334" s="0"/>
      <c r="CS334" s="0"/>
      <c r="CT334" s="0"/>
      <c r="CU334" s="110"/>
      <c r="CV334" s="138"/>
      <c r="CW334" s="210"/>
      <c r="CX334" s="210"/>
      <c r="CY334" s="174" t="n">
        <f aca="false">EOMONTH(CY333,0)+1</f>
        <v>46357</v>
      </c>
      <c r="CZ334" s="175" t="n">
        <f aca="false">IF(AI334=0,CZ322,AH334+AI334)</f>
        <v>1</v>
      </c>
      <c r="DA334" s="175" t="n">
        <f aca="false">IF(AI334=0,DA322,AI334)</f>
        <v>1.25</v>
      </c>
      <c r="DB334" s="175" t="n">
        <f aca="false">IF(AI334=0,DB322,AI334+AJ334)</f>
        <v>1.55</v>
      </c>
      <c r="DD334" s="154" t="n">
        <f aca="false">IF(Z334=0,DD322,Z334)</f>
        <v>0.0638788843714456</v>
      </c>
      <c r="DE334" s="154" t="n">
        <f aca="false">IF(AA334=0,DE322,AA334)</f>
        <v>0.127757768742891</v>
      </c>
      <c r="DF334" s="154" t="n">
        <f aca="false">IF(AB334=0,DF322,AB334)</f>
        <v>0.191636653114337</v>
      </c>
      <c r="DG334" s="210"/>
      <c r="DH334" s="174" t="n">
        <f aca="false">IF(BH334=0,EOMONTH(DH333,0)+1,BH334)</f>
        <v>46357</v>
      </c>
      <c r="DI334" s="207" t="n">
        <f aca="false">IF(BI334=0,DI322,BI334)</f>
        <v>0.9</v>
      </c>
    </row>
    <row r="335" customFormat="false" ht="14.25" hidden="false" customHeight="false" outlineLevel="0" collapsed="false">
      <c r="A335" s="209" t="n">
        <f aca="false">EDATE(A334,1)</f>
        <v>55732</v>
      </c>
      <c r="B335" s="128" t="n">
        <f aca="false">'Gas Curves'!C339</f>
        <v>0.070288939055571</v>
      </c>
      <c r="C335" s="128"/>
      <c r="D335" s="65"/>
      <c r="E335" s="65"/>
      <c r="F335" s="65"/>
      <c r="G335" s="65"/>
      <c r="H335" s="65"/>
      <c r="I335" s="65"/>
      <c r="J335" s="65"/>
      <c r="K335" s="65"/>
      <c r="L335" s="65"/>
      <c r="M335" s="13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5"/>
      <c r="AG335" s="65"/>
      <c r="AH335" s="65"/>
      <c r="AI335" s="65"/>
      <c r="AJ335" s="65"/>
      <c r="AK335" s="65"/>
      <c r="AL335" s="65"/>
      <c r="AM335" s="65"/>
      <c r="AN335" s="65"/>
      <c r="AO335" s="65"/>
      <c r="AP335" s="65"/>
      <c r="AQ335" s="65"/>
      <c r="AR335" s="65"/>
      <c r="AS335" s="65"/>
      <c r="AT335" s="65"/>
      <c r="AU335" s="65"/>
      <c r="AV335" s="65"/>
      <c r="AW335" s="65"/>
      <c r="AX335" s="65"/>
      <c r="AY335" s="65"/>
      <c r="AZ335" s="65"/>
      <c r="BA335" s="65"/>
      <c r="BB335" s="65"/>
      <c r="BC335" s="65"/>
      <c r="BD335" s="65"/>
      <c r="BE335" s="65"/>
      <c r="BF335" s="65"/>
      <c r="BG335" s="65"/>
      <c r="BH335" s="135"/>
      <c r="BI335" s="65"/>
      <c r="BJ335" s="65"/>
      <c r="BK335" s="65"/>
      <c r="BL335" s="65"/>
      <c r="BM335" s="65"/>
      <c r="BN335" s="65"/>
      <c r="BO335" s="65"/>
      <c r="BP335" s="65"/>
      <c r="BQ335" s="65"/>
      <c r="BR335" s="65"/>
      <c r="BS335" s="65"/>
      <c r="BT335" s="65"/>
      <c r="BU335" s="65"/>
      <c r="BV335" s="65"/>
      <c r="BW335" s="65"/>
      <c r="BX335" s="65"/>
      <c r="BY335" s="65"/>
      <c r="BZ335" s="65"/>
      <c r="CA335" s="65"/>
      <c r="CB335" s="65"/>
      <c r="CC335" s="65"/>
      <c r="CD335" s="65"/>
      <c r="CE335" s="65"/>
      <c r="CF335" s="65"/>
      <c r="CG335" s="65"/>
      <c r="CH335" s="0"/>
      <c r="CP335" s="0"/>
      <c r="CQ335" s="0"/>
      <c r="CR335" s="0"/>
      <c r="CS335" s="0"/>
      <c r="CT335" s="0"/>
      <c r="CU335" s="110"/>
      <c r="CV335" s="138"/>
      <c r="CW335" s="210"/>
      <c r="CX335" s="210"/>
      <c r="CY335" s="174" t="n">
        <f aca="false">EOMONTH(CY334,0)+1</f>
        <v>46388</v>
      </c>
      <c r="CZ335" s="175" t="n">
        <f aca="false">IF(AI335=0,CZ323,AH335+AI335)</f>
        <v>1</v>
      </c>
      <c r="DA335" s="175" t="n">
        <f aca="false">IF(AI335=0,DA323,AI335)</f>
        <v>1.25</v>
      </c>
      <c r="DB335" s="175" t="n">
        <f aca="false">IF(AI335=0,DB323,AI335+AJ335)</f>
        <v>1.55</v>
      </c>
      <c r="DD335" s="154" t="n">
        <f aca="false">IF(Z335=0,DD323,Z335)</f>
        <v>0.0942652295751635</v>
      </c>
      <c r="DE335" s="154" t="n">
        <f aca="false">IF(AA335=0,DE323,AA335)</f>
        <v>0.188530459150327</v>
      </c>
      <c r="DF335" s="154" t="n">
        <f aca="false">IF(AB335=0,DF323,AB335)</f>
        <v>0.28279568872549</v>
      </c>
      <c r="DG335" s="210"/>
      <c r="DH335" s="174" t="n">
        <f aca="false">IF(BH335=0,EOMONTH(DH334,0)+1,BH335)</f>
        <v>46388</v>
      </c>
      <c r="DI335" s="207" t="n">
        <f aca="false">IF(BI335=0,DI323,BI335)</f>
        <v>0.9</v>
      </c>
    </row>
    <row r="336" customFormat="false" ht="14.25" hidden="false" customHeight="false" outlineLevel="0" collapsed="false">
      <c r="A336" s="209" t="n">
        <f aca="false">EDATE(A335,1)</f>
        <v>55763</v>
      </c>
      <c r="B336" s="128" t="n">
        <f aca="false">'Gas Curves'!C340</f>
        <v>0.070276290418714</v>
      </c>
      <c r="C336" s="128"/>
      <c r="D336" s="65"/>
      <c r="E336" s="65"/>
      <c r="F336" s="65"/>
      <c r="G336" s="65"/>
      <c r="H336" s="65"/>
      <c r="I336" s="65"/>
      <c r="J336" s="65"/>
      <c r="K336" s="65"/>
      <c r="L336" s="65"/>
      <c r="M336" s="13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  <c r="AF336" s="65"/>
      <c r="AG336" s="65"/>
      <c r="AH336" s="65"/>
      <c r="AI336" s="65"/>
      <c r="AJ336" s="65"/>
      <c r="AK336" s="65"/>
      <c r="AL336" s="65"/>
      <c r="AM336" s="65"/>
      <c r="AN336" s="65"/>
      <c r="AO336" s="65"/>
      <c r="AP336" s="65"/>
      <c r="AQ336" s="65"/>
      <c r="AR336" s="65"/>
      <c r="AS336" s="65"/>
      <c r="AT336" s="65"/>
      <c r="AU336" s="65"/>
      <c r="AV336" s="65"/>
      <c r="AW336" s="65"/>
      <c r="AX336" s="65"/>
      <c r="AY336" s="65"/>
      <c r="AZ336" s="65"/>
      <c r="BA336" s="65"/>
      <c r="BB336" s="65"/>
      <c r="BC336" s="65"/>
      <c r="BD336" s="65"/>
      <c r="BE336" s="65"/>
      <c r="BF336" s="65"/>
      <c r="BG336" s="65"/>
      <c r="BH336" s="135"/>
      <c r="BI336" s="65"/>
      <c r="BJ336" s="65"/>
      <c r="BK336" s="65"/>
      <c r="BL336" s="65"/>
      <c r="BM336" s="65"/>
      <c r="BN336" s="65"/>
      <c r="BO336" s="65"/>
      <c r="BP336" s="65"/>
      <c r="BQ336" s="65"/>
      <c r="BR336" s="65"/>
      <c r="BS336" s="65"/>
      <c r="BT336" s="65"/>
      <c r="BU336" s="65"/>
      <c r="BV336" s="65"/>
      <c r="BW336" s="65"/>
      <c r="BX336" s="65"/>
      <c r="BY336" s="65"/>
      <c r="BZ336" s="65"/>
      <c r="CA336" s="65"/>
      <c r="CB336" s="65"/>
      <c r="CC336" s="65"/>
      <c r="CD336" s="65"/>
      <c r="CE336" s="65"/>
      <c r="CF336" s="65"/>
      <c r="CG336" s="65"/>
      <c r="CH336" s="0"/>
      <c r="CP336" s="0"/>
      <c r="CQ336" s="0"/>
      <c r="CR336" s="0"/>
      <c r="CS336" s="0"/>
      <c r="CT336" s="0"/>
      <c r="CU336" s="110"/>
      <c r="CV336" s="138"/>
      <c r="CW336" s="210"/>
      <c r="CX336" s="210"/>
      <c r="CY336" s="174" t="n">
        <f aca="false">EOMONTH(CY335,0)+1</f>
        <v>46419</v>
      </c>
      <c r="CZ336" s="175" t="n">
        <f aca="false">IF(AI336=0,CZ324,AH336+AI336)</f>
        <v>1</v>
      </c>
      <c r="DA336" s="175" t="n">
        <f aca="false">IF(AI336=0,DA324,AI336)</f>
        <v>1.25</v>
      </c>
      <c r="DB336" s="175" t="n">
        <f aca="false">IF(AI336=0,DB324,AI336+AJ336)</f>
        <v>1.55</v>
      </c>
      <c r="DD336" s="154" t="n">
        <f aca="false">IF(Z336=0,DD324,Z336)</f>
        <v>0.0910666090107368</v>
      </c>
      <c r="DE336" s="154" t="n">
        <f aca="false">IF(AA336=0,DE324,AA336)</f>
        <v>0.182133218021474</v>
      </c>
      <c r="DF336" s="154" t="n">
        <f aca="false">IF(AB336=0,DF324,AB336)</f>
        <v>0.27319982703221</v>
      </c>
      <c r="DG336" s="210"/>
      <c r="DH336" s="174" t="n">
        <f aca="false">IF(BH336=0,EOMONTH(DH335,0)+1,BH336)</f>
        <v>46419</v>
      </c>
      <c r="DI336" s="207" t="n">
        <f aca="false">IF(BI336=0,DI324,BI336)</f>
        <v>0.9</v>
      </c>
    </row>
    <row r="337" customFormat="false" ht="14.25" hidden="false" customHeight="false" outlineLevel="0" collapsed="false">
      <c r="A337" s="209" t="n">
        <f aca="false">EDATE(A336,1)</f>
        <v>55793</v>
      </c>
      <c r="B337" s="128" t="n">
        <f aca="false">'Gas Curves'!C341</f>
        <v>0.07026404980245</v>
      </c>
      <c r="C337" s="128"/>
      <c r="D337" s="65"/>
      <c r="E337" s="65"/>
      <c r="F337" s="65"/>
      <c r="G337" s="65"/>
      <c r="H337" s="65"/>
      <c r="I337" s="65"/>
      <c r="J337" s="65"/>
      <c r="K337" s="65"/>
      <c r="L337" s="65"/>
      <c r="M337" s="13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  <c r="AO337" s="65"/>
      <c r="AP337" s="65"/>
      <c r="AQ337" s="65"/>
      <c r="AR337" s="65"/>
      <c r="AS337" s="65"/>
      <c r="AT337" s="65"/>
      <c r="AU337" s="65"/>
      <c r="AV337" s="65"/>
      <c r="AW337" s="65"/>
      <c r="AX337" s="65"/>
      <c r="AY337" s="65"/>
      <c r="AZ337" s="65"/>
      <c r="BA337" s="65"/>
      <c r="BB337" s="65"/>
      <c r="BC337" s="65"/>
      <c r="BD337" s="65"/>
      <c r="BE337" s="65"/>
      <c r="BF337" s="65"/>
      <c r="BG337" s="65"/>
      <c r="BH337" s="135"/>
      <c r="BI337" s="65"/>
      <c r="BJ337" s="65"/>
      <c r="BK337" s="65"/>
      <c r="BL337" s="65"/>
      <c r="BM337" s="65"/>
      <c r="BN337" s="65"/>
      <c r="BO337" s="65"/>
      <c r="BP337" s="65"/>
      <c r="BQ337" s="65"/>
      <c r="BR337" s="65"/>
      <c r="BS337" s="65"/>
      <c r="BT337" s="65"/>
      <c r="BU337" s="65"/>
      <c r="BV337" s="65"/>
      <c r="BW337" s="65"/>
      <c r="BX337" s="65"/>
      <c r="BY337" s="65"/>
      <c r="BZ337" s="65"/>
      <c r="CA337" s="65"/>
      <c r="CB337" s="65"/>
      <c r="CC337" s="65"/>
      <c r="CD337" s="65"/>
      <c r="CE337" s="65"/>
      <c r="CF337" s="65"/>
      <c r="CG337" s="65"/>
      <c r="CH337" s="0"/>
      <c r="CP337" s="0"/>
      <c r="CQ337" s="0"/>
      <c r="CR337" s="0"/>
      <c r="CS337" s="0"/>
      <c r="CT337" s="0"/>
      <c r="CU337" s="110"/>
      <c r="CV337" s="138"/>
      <c r="CW337" s="210"/>
      <c r="CX337" s="210"/>
      <c r="CY337" s="174" t="n">
        <f aca="false">EOMONTH(CY336,0)+1</f>
        <v>46447</v>
      </c>
      <c r="CZ337" s="175" t="n">
        <f aca="false">IF(AI337=0,CZ325,AH337+AI337)</f>
        <v>1</v>
      </c>
      <c r="DA337" s="175" t="n">
        <f aca="false">IF(AI337=0,DA325,AI337)</f>
        <v>1.25</v>
      </c>
      <c r="DB337" s="175" t="n">
        <f aca="false">IF(AI337=0,DB325,AI337+AJ337)</f>
        <v>1.55</v>
      </c>
      <c r="DD337" s="154" t="n">
        <f aca="false">IF(Z337=0,DD325,Z337)</f>
        <v>0.0721937023797812</v>
      </c>
      <c r="DE337" s="154" t="n">
        <f aca="false">IF(AA337=0,DE325,AA337)</f>
        <v>0.144387404759562</v>
      </c>
      <c r="DF337" s="154" t="n">
        <f aca="false">IF(AB337=0,DF325,AB337)</f>
        <v>0.216581107139343</v>
      </c>
      <c r="DG337" s="210"/>
      <c r="DH337" s="174" t="n">
        <f aca="false">IF(BH337=0,EOMONTH(DH336,0)+1,BH337)</f>
        <v>46447</v>
      </c>
      <c r="DI337" s="207" t="n">
        <f aca="false">IF(BI337=0,DI325,BI337)</f>
        <v>0.9</v>
      </c>
    </row>
    <row r="338" customFormat="false" ht="14.25" hidden="false" customHeight="false" outlineLevel="0" collapsed="false">
      <c r="A338" s="209" t="n">
        <f aca="false">EDATE(A337,1)</f>
        <v>55824</v>
      </c>
      <c r="B338" s="128" t="n">
        <f aca="false">'Gas Curves'!C342</f>
        <v>0.070251401165697</v>
      </c>
      <c r="C338" s="128"/>
      <c r="D338" s="65"/>
      <c r="E338" s="65"/>
      <c r="F338" s="65"/>
      <c r="G338" s="65"/>
      <c r="H338" s="65"/>
      <c r="I338" s="65"/>
      <c r="J338" s="65"/>
      <c r="K338" s="65"/>
      <c r="L338" s="65"/>
      <c r="M338" s="13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5"/>
      <c r="AG338" s="65"/>
      <c r="AH338" s="65"/>
      <c r="AI338" s="65"/>
      <c r="AJ338" s="65"/>
      <c r="AK338" s="65"/>
      <c r="AL338" s="65"/>
      <c r="AM338" s="65"/>
      <c r="AN338" s="65"/>
      <c r="AO338" s="65"/>
      <c r="AP338" s="65"/>
      <c r="AQ338" s="65"/>
      <c r="AR338" s="65"/>
      <c r="AS338" s="65"/>
      <c r="AT338" s="65"/>
      <c r="AU338" s="65"/>
      <c r="AV338" s="65"/>
      <c r="AW338" s="65"/>
      <c r="AX338" s="65"/>
      <c r="AY338" s="65"/>
      <c r="AZ338" s="65"/>
      <c r="BA338" s="65"/>
      <c r="BB338" s="65"/>
      <c r="BC338" s="65"/>
      <c r="BD338" s="65"/>
      <c r="BE338" s="65"/>
      <c r="BF338" s="65"/>
      <c r="BG338" s="65"/>
      <c r="BH338" s="135"/>
      <c r="BI338" s="65"/>
      <c r="BJ338" s="65"/>
      <c r="BK338" s="65"/>
      <c r="BL338" s="65"/>
      <c r="BM338" s="65"/>
      <c r="BN338" s="65"/>
      <c r="BO338" s="65"/>
      <c r="BP338" s="65"/>
      <c r="BQ338" s="65"/>
      <c r="BR338" s="65"/>
      <c r="BS338" s="65"/>
      <c r="BT338" s="65"/>
      <c r="BU338" s="65"/>
      <c r="BV338" s="65"/>
      <c r="BW338" s="65"/>
      <c r="BX338" s="65"/>
      <c r="BY338" s="65"/>
      <c r="BZ338" s="65"/>
      <c r="CA338" s="65"/>
      <c r="CB338" s="65"/>
      <c r="CC338" s="65"/>
      <c r="CD338" s="65"/>
      <c r="CE338" s="65"/>
      <c r="CF338" s="65"/>
      <c r="CG338" s="65"/>
      <c r="CH338" s="0"/>
      <c r="CP338" s="0"/>
      <c r="CQ338" s="0"/>
      <c r="CR338" s="0"/>
      <c r="CS338" s="0"/>
      <c r="CT338" s="0"/>
      <c r="CU338" s="110"/>
      <c r="CV338" s="138"/>
      <c r="CW338" s="210"/>
      <c r="CX338" s="210"/>
      <c r="CY338" s="174" t="n">
        <f aca="false">EOMONTH(CY337,0)+1</f>
        <v>46478</v>
      </c>
      <c r="CZ338" s="175" t="n">
        <f aca="false">IF(AI338=0,CZ326,AH338+AI338)</f>
        <v>0</v>
      </c>
      <c r="DA338" s="175" t="n">
        <f aca="false">IF(AI338=0,DA326,AI338)</f>
        <v>0</v>
      </c>
      <c r="DB338" s="175" t="n">
        <f aca="false">IF(AI338=0,DB326,AI338+AJ338)</f>
        <v>0</v>
      </c>
      <c r="DD338" s="154" t="n">
        <f aca="false">IF(Z338=0,DD326,Z338)</f>
        <v>0</v>
      </c>
      <c r="DE338" s="154" t="n">
        <f aca="false">IF(AA338=0,DE326,AA338)</f>
        <v>0</v>
      </c>
      <c r="DF338" s="154" t="n">
        <f aca="false">IF(AB338=0,DF326,AB338)</f>
        <v>0</v>
      </c>
      <c r="DG338" s="210"/>
      <c r="DH338" s="174" t="n">
        <f aca="false">IF(BH338=0,EOMONTH(DH337,0)+1,BH338)</f>
        <v>46478</v>
      </c>
      <c r="DI338" s="207" t="n">
        <f aca="false">IF(BI338=0,DI326,BI338)</f>
        <v>0</v>
      </c>
    </row>
    <row r="339" customFormat="false" ht="14.25" hidden="false" customHeight="false" outlineLevel="0" collapsed="false">
      <c r="A339" s="209" t="n">
        <f aca="false">EDATE(A338,1)</f>
        <v>55854</v>
      </c>
      <c r="B339" s="128" t="n">
        <f aca="false">'Gas Curves'!C343</f>
        <v>0.070239160549534</v>
      </c>
      <c r="C339" s="128"/>
      <c r="D339" s="65"/>
      <c r="E339" s="65"/>
      <c r="F339" s="65"/>
      <c r="G339" s="65"/>
      <c r="H339" s="65"/>
      <c r="I339" s="65"/>
      <c r="J339" s="65"/>
      <c r="K339" s="65"/>
      <c r="L339" s="65"/>
      <c r="M339" s="13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/>
      <c r="AS339" s="65"/>
      <c r="AT339" s="65"/>
      <c r="AU339" s="65"/>
      <c r="AV339" s="65"/>
      <c r="AW339" s="65"/>
      <c r="AX339" s="65"/>
      <c r="AY339" s="65"/>
      <c r="AZ339" s="65"/>
      <c r="BA339" s="65"/>
      <c r="BB339" s="65"/>
      <c r="BC339" s="65"/>
      <c r="BD339" s="65"/>
      <c r="BE339" s="65"/>
      <c r="BF339" s="65"/>
      <c r="BG339" s="65"/>
      <c r="BH339" s="135"/>
      <c r="BI339" s="65"/>
      <c r="BJ339" s="65"/>
      <c r="BK339" s="65"/>
      <c r="BL339" s="65"/>
      <c r="BM339" s="65"/>
      <c r="BN339" s="65"/>
      <c r="BO339" s="65"/>
      <c r="BP339" s="65"/>
      <c r="BQ339" s="65"/>
      <c r="BR339" s="65"/>
      <c r="BS339" s="65"/>
      <c r="BT339" s="65"/>
      <c r="BU339" s="65"/>
      <c r="BV339" s="65"/>
      <c r="BW339" s="65"/>
      <c r="BX339" s="65"/>
      <c r="BY339" s="65"/>
      <c r="BZ339" s="65"/>
      <c r="CA339" s="65"/>
      <c r="CB339" s="65"/>
      <c r="CC339" s="65"/>
      <c r="CD339" s="65"/>
      <c r="CE339" s="65"/>
      <c r="CF339" s="65"/>
      <c r="CG339" s="65"/>
      <c r="CH339" s="0"/>
      <c r="CP339" s="0"/>
      <c r="CQ339" s="0"/>
      <c r="CR339" s="0"/>
      <c r="CS339" s="0"/>
      <c r="CT339" s="0"/>
      <c r="CU339" s="110"/>
      <c r="CV339" s="138"/>
      <c r="CW339" s="210"/>
      <c r="CX339" s="210"/>
      <c r="CY339" s="174" t="n">
        <f aca="false">EOMONTH(CY338,0)+1</f>
        <v>46508</v>
      </c>
      <c r="CZ339" s="175" t="n">
        <f aca="false">IF(AI339=0,CZ327,AH339+AI339)</f>
        <v>1</v>
      </c>
      <c r="DA339" s="175" t="n">
        <f aca="false">IF(AI339=0,DA327,AI339)</f>
        <v>1.25</v>
      </c>
      <c r="DB339" s="175" t="n">
        <f aca="false">IF(AI339=0,DB327,AI339+AJ339)</f>
        <v>1.55</v>
      </c>
      <c r="DD339" s="154" t="n">
        <f aca="false">IF(Z339=0,DD327,Z339)</f>
        <v>0.079836777060087</v>
      </c>
      <c r="DE339" s="154" t="n">
        <f aca="false">IF(AA339=0,DE327,AA339)</f>
        <v>0.159673554120174</v>
      </c>
      <c r="DF339" s="154" t="n">
        <f aca="false">IF(AB339=0,DF327,AB339)</f>
        <v>0.239510331180261</v>
      </c>
      <c r="DG339" s="210"/>
      <c r="DH339" s="174" t="n">
        <f aca="false">IF(BH339=0,EOMONTH(DH338,0)+1,BH339)</f>
        <v>46508</v>
      </c>
      <c r="DI339" s="207" t="n">
        <f aca="false">IF(BI339=0,DI327,BI339)</f>
        <v>0.9</v>
      </c>
    </row>
    <row r="340" customFormat="false" ht="14.25" hidden="false" customHeight="false" outlineLevel="0" collapsed="false">
      <c r="A340" s="209" t="n">
        <f aca="false">EDATE(A339,1)</f>
        <v>55885</v>
      </c>
      <c r="B340" s="128" t="n">
        <f aca="false">'Gas Curves'!C344</f>
        <v>0.070226511912885</v>
      </c>
      <c r="C340" s="128"/>
      <c r="D340" s="65"/>
      <c r="E340" s="65"/>
      <c r="F340" s="65"/>
      <c r="G340" s="65"/>
      <c r="H340" s="65"/>
      <c r="I340" s="65"/>
      <c r="J340" s="65"/>
      <c r="K340" s="65"/>
      <c r="L340" s="65"/>
      <c r="M340" s="13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  <c r="AF340" s="65"/>
      <c r="AG340" s="65"/>
      <c r="AH340" s="65"/>
      <c r="AI340" s="65"/>
      <c r="AJ340" s="65"/>
      <c r="AK340" s="65"/>
      <c r="AL340" s="65"/>
      <c r="AM340" s="65"/>
      <c r="AN340" s="65"/>
      <c r="AO340" s="65"/>
      <c r="AP340" s="65"/>
      <c r="AQ340" s="65"/>
      <c r="AR340" s="65"/>
      <c r="AS340" s="65"/>
      <c r="AT340" s="65"/>
      <c r="AU340" s="65"/>
      <c r="AV340" s="65"/>
      <c r="AW340" s="65"/>
      <c r="AX340" s="65"/>
      <c r="AY340" s="65"/>
      <c r="AZ340" s="65"/>
      <c r="BA340" s="65"/>
      <c r="BB340" s="65"/>
      <c r="BC340" s="65"/>
      <c r="BD340" s="65"/>
      <c r="BE340" s="65"/>
      <c r="BF340" s="65"/>
      <c r="BG340" s="65"/>
      <c r="BH340" s="135"/>
      <c r="BI340" s="65"/>
      <c r="BJ340" s="65"/>
      <c r="BK340" s="65"/>
      <c r="BL340" s="65"/>
      <c r="BM340" s="65"/>
      <c r="BN340" s="65"/>
      <c r="BO340" s="65"/>
      <c r="BP340" s="65"/>
      <c r="BQ340" s="65"/>
      <c r="BR340" s="65"/>
      <c r="BS340" s="65"/>
      <c r="BT340" s="65"/>
      <c r="BU340" s="65"/>
      <c r="BV340" s="65"/>
      <c r="BW340" s="65"/>
      <c r="BX340" s="65"/>
      <c r="BY340" s="65"/>
      <c r="BZ340" s="65"/>
      <c r="CA340" s="65"/>
      <c r="CB340" s="65"/>
      <c r="CC340" s="65"/>
      <c r="CD340" s="65"/>
      <c r="CE340" s="65"/>
      <c r="CF340" s="65"/>
      <c r="CG340" s="65"/>
      <c r="CH340" s="0"/>
      <c r="CP340" s="0"/>
      <c r="CQ340" s="0"/>
      <c r="CR340" s="0"/>
      <c r="CS340" s="0"/>
      <c r="CT340" s="0"/>
      <c r="CU340" s="110"/>
      <c r="CV340" s="138"/>
      <c r="CW340" s="210"/>
      <c r="CX340" s="210"/>
      <c r="CY340" s="174" t="n">
        <f aca="false">EOMONTH(CY339,0)+1</f>
        <v>46539</v>
      </c>
      <c r="CZ340" s="175" t="n">
        <f aca="false">IF(AI340=0,CZ328,AH340+AI340)</f>
        <v>1</v>
      </c>
      <c r="DA340" s="175" t="n">
        <f aca="false">IF(AI340=0,DA328,AI340)</f>
        <v>1.25</v>
      </c>
      <c r="DB340" s="175" t="n">
        <f aca="false">IF(AI340=0,DB328,AI340+AJ340)</f>
        <v>1.55</v>
      </c>
      <c r="DD340" s="154" t="n">
        <f aca="false">IF(Z340=0,DD328,Z340)</f>
        <v>0.085380172451756</v>
      </c>
      <c r="DE340" s="154" t="n">
        <f aca="false">IF(AA340=0,DE328,AA340)</f>
        <v>0.170760344903512</v>
      </c>
      <c r="DF340" s="154" t="n">
        <f aca="false">IF(AB340=0,DF328,AB340)</f>
        <v>0.256140517355268</v>
      </c>
      <c r="DG340" s="210"/>
      <c r="DH340" s="174" t="n">
        <f aca="false">IF(BH340=0,EOMONTH(DH339,0)+1,BH340)</f>
        <v>46539</v>
      </c>
      <c r="DI340" s="207" t="n">
        <f aca="false">IF(BI340=0,DI328,BI340)</f>
        <v>0.9</v>
      </c>
    </row>
    <row r="341" customFormat="false" ht="14.25" hidden="false" customHeight="false" outlineLevel="0" collapsed="false">
      <c r="A341" s="209" t="n">
        <f aca="false">EDATE(A340,1)</f>
        <v>55916</v>
      </c>
      <c r="B341" s="128" t="n">
        <f aca="false">'Gas Curves'!C345</f>
        <v>0.070213863276289</v>
      </c>
      <c r="C341" s="128"/>
      <c r="D341" s="65"/>
      <c r="E341" s="65"/>
      <c r="F341" s="65"/>
      <c r="G341" s="65"/>
      <c r="H341" s="65"/>
      <c r="I341" s="65"/>
      <c r="J341" s="65"/>
      <c r="K341" s="65"/>
      <c r="L341" s="65"/>
      <c r="M341" s="13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  <c r="AF341" s="65"/>
      <c r="AG341" s="65"/>
      <c r="AH341" s="65"/>
      <c r="AI341" s="65"/>
      <c r="AJ341" s="65"/>
      <c r="AK341" s="65"/>
      <c r="AL341" s="65"/>
      <c r="AM341" s="65"/>
      <c r="AN341" s="65"/>
      <c r="AO341" s="65"/>
      <c r="AP341" s="65"/>
      <c r="AQ341" s="65"/>
      <c r="AR341" s="65"/>
      <c r="AS341" s="65"/>
      <c r="AT341" s="65"/>
      <c r="AU341" s="65"/>
      <c r="AV341" s="65"/>
      <c r="AW341" s="65"/>
      <c r="AX341" s="65"/>
      <c r="AY341" s="65"/>
      <c r="AZ341" s="65"/>
      <c r="BA341" s="65"/>
      <c r="BB341" s="65"/>
      <c r="BC341" s="65"/>
      <c r="BD341" s="65"/>
      <c r="BE341" s="65"/>
      <c r="BF341" s="65"/>
      <c r="BG341" s="65"/>
      <c r="BH341" s="135"/>
      <c r="BI341" s="65"/>
      <c r="BJ341" s="65"/>
      <c r="BK341" s="65"/>
      <c r="BL341" s="65"/>
      <c r="BM341" s="65"/>
      <c r="BN341" s="65"/>
      <c r="BO341" s="65"/>
      <c r="BP341" s="65"/>
      <c r="BQ341" s="65"/>
      <c r="BR341" s="65"/>
      <c r="BS341" s="65"/>
      <c r="BT341" s="65"/>
      <c r="BU341" s="65"/>
      <c r="BV341" s="65"/>
      <c r="BW341" s="65"/>
      <c r="BX341" s="65"/>
      <c r="BY341" s="65"/>
      <c r="BZ341" s="65"/>
      <c r="CA341" s="65"/>
      <c r="CB341" s="65"/>
      <c r="CC341" s="65"/>
      <c r="CD341" s="65"/>
      <c r="CE341" s="65"/>
      <c r="CF341" s="65"/>
      <c r="CG341" s="65"/>
      <c r="CH341" s="0"/>
      <c r="CP341" s="0"/>
      <c r="CQ341" s="0"/>
      <c r="CR341" s="0"/>
      <c r="CS341" s="0"/>
      <c r="CT341" s="0"/>
      <c r="CU341" s="110"/>
      <c r="CV341" s="138"/>
      <c r="CW341" s="210"/>
      <c r="CX341" s="210"/>
      <c r="CY341" s="174" t="n">
        <f aca="false">EOMONTH(CY340,0)+1</f>
        <v>46569</v>
      </c>
      <c r="CZ341" s="175" t="n">
        <f aca="false">IF(AI341=0,CZ329,AH341+AI341)</f>
        <v>1</v>
      </c>
      <c r="DA341" s="175" t="n">
        <f aca="false">IF(AI341=0,DA329,AI341)</f>
        <v>1.25</v>
      </c>
      <c r="DB341" s="175" t="n">
        <f aca="false">IF(AI341=0,DB329,AI341+AJ341)</f>
        <v>1.55</v>
      </c>
      <c r="DD341" s="154" t="n">
        <f aca="false">IF(Z341=0,DD329,Z341)</f>
        <v>0.101692367108662</v>
      </c>
      <c r="DE341" s="154" t="n">
        <f aca="false">IF(AA341=0,DE329,AA341)</f>
        <v>0.203384734217324</v>
      </c>
      <c r="DF341" s="154" t="n">
        <f aca="false">IF(AB341=0,DF329,AB341)</f>
        <v>0.305077101325986</v>
      </c>
      <c r="DG341" s="210"/>
      <c r="DH341" s="174" t="n">
        <f aca="false">IF(BH341=0,EOMONTH(DH340,0)+1,BH341)</f>
        <v>46569</v>
      </c>
      <c r="DI341" s="207" t="n">
        <f aca="false">IF(BI341=0,DI329,BI341)</f>
        <v>0.9</v>
      </c>
    </row>
    <row r="342" customFormat="false" ht="14.25" hidden="false" customHeight="false" outlineLevel="0" collapsed="false">
      <c r="A342" s="209" t="n">
        <f aca="false">EDATE(A341,1)</f>
        <v>55944</v>
      </c>
      <c r="B342" s="128" t="n">
        <f aca="false">'Gas Curves'!C346</f>
        <v>0.070202030680811</v>
      </c>
      <c r="C342" s="128"/>
      <c r="D342" s="65"/>
      <c r="E342" s="65"/>
      <c r="F342" s="65"/>
      <c r="G342" s="65"/>
      <c r="H342" s="65"/>
      <c r="I342" s="65"/>
      <c r="J342" s="65"/>
      <c r="K342" s="65"/>
      <c r="L342" s="65"/>
      <c r="M342" s="13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  <c r="AE342" s="65"/>
      <c r="AF342" s="65"/>
      <c r="AG342" s="65"/>
      <c r="AH342" s="65"/>
      <c r="AI342" s="65"/>
      <c r="AJ342" s="65"/>
      <c r="AK342" s="65"/>
      <c r="AL342" s="65"/>
      <c r="AM342" s="65"/>
      <c r="AN342" s="65"/>
      <c r="AO342" s="65"/>
      <c r="AP342" s="65"/>
      <c r="AQ342" s="65"/>
      <c r="AR342" s="65"/>
      <c r="AS342" s="65"/>
      <c r="AT342" s="65"/>
      <c r="AU342" s="65"/>
      <c r="AV342" s="65"/>
      <c r="AW342" s="65"/>
      <c r="AX342" s="65"/>
      <c r="AY342" s="65"/>
      <c r="AZ342" s="65"/>
      <c r="BA342" s="65"/>
      <c r="BB342" s="65"/>
      <c r="BC342" s="65"/>
      <c r="BD342" s="65"/>
      <c r="BE342" s="65"/>
      <c r="BF342" s="65"/>
      <c r="BG342" s="65"/>
      <c r="BH342" s="135"/>
      <c r="BI342" s="65"/>
      <c r="BJ342" s="65"/>
      <c r="BK342" s="65"/>
      <c r="BL342" s="65"/>
      <c r="BM342" s="65"/>
      <c r="BN342" s="65"/>
      <c r="BO342" s="65"/>
      <c r="BP342" s="65"/>
      <c r="BQ342" s="65"/>
      <c r="BR342" s="65"/>
      <c r="BS342" s="65"/>
      <c r="BT342" s="65"/>
      <c r="BU342" s="65"/>
      <c r="BV342" s="65"/>
      <c r="BW342" s="65"/>
      <c r="BX342" s="65"/>
      <c r="BY342" s="65"/>
      <c r="BZ342" s="65"/>
      <c r="CA342" s="65"/>
      <c r="CB342" s="65"/>
      <c r="CC342" s="65"/>
      <c r="CD342" s="65"/>
      <c r="CE342" s="65"/>
      <c r="CF342" s="65"/>
      <c r="CG342" s="65"/>
      <c r="CH342" s="0"/>
      <c r="CP342" s="0"/>
      <c r="CQ342" s="0"/>
      <c r="CR342" s="0"/>
      <c r="CS342" s="0"/>
      <c r="CT342" s="0"/>
      <c r="CU342" s="110"/>
      <c r="CV342" s="138"/>
      <c r="CW342" s="210"/>
      <c r="CX342" s="210"/>
      <c r="CY342" s="174" t="n">
        <f aca="false">EOMONTH(CY341,0)+1</f>
        <v>46600</v>
      </c>
      <c r="CZ342" s="175" t="n">
        <f aca="false">IF(AI342=0,CZ330,AH342+AI342)</f>
        <v>1</v>
      </c>
      <c r="DA342" s="175" t="n">
        <f aca="false">IF(AI342=0,DA330,AI342)</f>
        <v>1.25</v>
      </c>
      <c r="DB342" s="175" t="n">
        <f aca="false">IF(AI342=0,DB330,AI342+AJ342)</f>
        <v>1.55</v>
      </c>
      <c r="DD342" s="154" t="n">
        <f aca="false">IF(Z342=0,DD330,Z342)</f>
        <v>0.0994642258486125</v>
      </c>
      <c r="DE342" s="154" t="n">
        <f aca="false">IF(AA342=0,DE330,AA342)</f>
        <v>0.198928451697225</v>
      </c>
      <c r="DF342" s="154" t="n">
        <f aca="false">IF(AB342=0,DF330,AB342)</f>
        <v>0.298392677545837</v>
      </c>
      <c r="DG342" s="210"/>
      <c r="DH342" s="174" t="n">
        <f aca="false">IF(BH342=0,EOMONTH(DH341,0)+1,BH342)</f>
        <v>46600</v>
      </c>
      <c r="DI342" s="207" t="n">
        <f aca="false">IF(BI342=0,DI330,BI342)</f>
        <v>0.9</v>
      </c>
    </row>
    <row r="343" customFormat="false" ht="14.25" hidden="false" customHeight="false" outlineLevel="0" collapsed="false">
      <c r="A343" s="209" t="n">
        <f aca="false">EDATE(A342,1)</f>
        <v>55975</v>
      </c>
      <c r="B343" s="128" t="n">
        <f aca="false">'Gas Curves'!C347</f>
        <v>0.070189382044317</v>
      </c>
      <c r="C343" s="128"/>
      <c r="D343" s="65"/>
      <c r="E343" s="65"/>
      <c r="F343" s="65"/>
      <c r="G343" s="65"/>
      <c r="H343" s="65"/>
      <c r="I343" s="65"/>
      <c r="J343" s="65"/>
      <c r="K343" s="65"/>
      <c r="L343" s="65"/>
      <c r="M343" s="13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  <c r="AE343" s="65"/>
      <c r="AF343" s="65"/>
      <c r="AG343" s="65"/>
      <c r="AH343" s="65"/>
      <c r="AI343" s="65"/>
      <c r="AJ343" s="65"/>
      <c r="AK343" s="65"/>
      <c r="AL343" s="65"/>
      <c r="AM343" s="65"/>
      <c r="AN343" s="65"/>
      <c r="AO343" s="65"/>
      <c r="AP343" s="65"/>
      <c r="AQ343" s="65"/>
      <c r="AR343" s="65"/>
      <c r="AS343" s="65"/>
      <c r="AT343" s="65"/>
      <c r="AU343" s="65"/>
      <c r="AV343" s="65"/>
      <c r="AW343" s="65"/>
      <c r="AX343" s="65"/>
      <c r="AY343" s="65"/>
      <c r="AZ343" s="65"/>
      <c r="BA343" s="65"/>
      <c r="BB343" s="65"/>
      <c r="BC343" s="65"/>
      <c r="BD343" s="65"/>
      <c r="BE343" s="65"/>
      <c r="BF343" s="65"/>
      <c r="BG343" s="65"/>
      <c r="BH343" s="135"/>
      <c r="BI343" s="65"/>
      <c r="BJ343" s="65"/>
      <c r="BK343" s="65"/>
      <c r="BL343" s="65"/>
      <c r="BM343" s="65"/>
      <c r="BN343" s="65"/>
      <c r="BO343" s="65"/>
      <c r="BP343" s="65"/>
      <c r="BQ343" s="65"/>
      <c r="BR343" s="65"/>
      <c r="BS343" s="65"/>
      <c r="BT343" s="65"/>
      <c r="BU343" s="65"/>
      <c r="BV343" s="65"/>
      <c r="BW343" s="65"/>
      <c r="BX343" s="65"/>
      <c r="BY343" s="65"/>
      <c r="BZ343" s="65"/>
      <c r="CA343" s="65"/>
      <c r="CB343" s="65"/>
      <c r="CC343" s="65"/>
      <c r="CD343" s="65"/>
      <c r="CE343" s="65"/>
      <c r="CF343" s="65"/>
      <c r="CG343" s="65"/>
      <c r="CH343" s="0"/>
      <c r="CP343" s="0"/>
      <c r="CQ343" s="0"/>
      <c r="CR343" s="0"/>
      <c r="CS343" s="0"/>
      <c r="CT343" s="0"/>
      <c r="CU343" s="110"/>
      <c r="CV343" s="138"/>
      <c r="CW343" s="210"/>
      <c r="CX343" s="210"/>
      <c r="CY343" s="174" t="n">
        <f aca="false">EOMONTH(CY342,0)+1</f>
        <v>46631</v>
      </c>
      <c r="CZ343" s="175" t="n">
        <f aca="false">IF(AI343=0,CZ331,AH343+AI343)</f>
        <v>1</v>
      </c>
      <c r="DA343" s="175" t="n">
        <f aca="false">IF(AI343=0,DA331,AI343)</f>
        <v>1.25</v>
      </c>
      <c r="DB343" s="175" t="n">
        <f aca="false">IF(AI343=0,DB331,AI343+AJ343)</f>
        <v>1.55</v>
      </c>
      <c r="DD343" s="154" t="n">
        <f aca="false">IF(Z343=0,DD331,Z343)</f>
        <v>0.0753606888398985</v>
      </c>
      <c r="DE343" s="154" t="n">
        <f aca="false">IF(AA343=0,DE331,AA343)</f>
        <v>0.150721377679797</v>
      </c>
      <c r="DF343" s="154" t="n">
        <f aca="false">IF(AB343=0,DF331,AB343)</f>
        <v>0.226082066519696</v>
      </c>
      <c r="DG343" s="210"/>
      <c r="DH343" s="174" t="n">
        <f aca="false">IF(BH343=0,EOMONTH(DH342,0)+1,BH343)</f>
        <v>46631</v>
      </c>
      <c r="DI343" s="207" t="n">
        <f aca="false">IF(BI343=0,DI331,BI343)</f>
        <v>0.9</v>
      </c>
    </row>
    <row r="344" customFormat="false" ht="14.25" hidden="false" customHeight="false" outlineLevel="0" collapsed="false">
      <c r="A344" s="209" t="n">
        <f aca="false">EDATE(A343,1)</f>
        <v>56005</v>
      </c>
      <c r="B344" s="128" t="n">
        <f aca="false">'Gas Curves'!C348</f>
        <v>0.070177141428405</v>
      </c>
      <c r="C344" s="128"/>
      <c r="D344" s="65"/>
      <c r="E344" s="65"/>
      <c r="F344" s="65"/>
      <c r="G344" s="65"/>
      <c r="H344" s="65"/>
      <c r="I344" s="65"/>
      <c r="J344" s="65"/>
      <c r="K344" s="65"/>
      <c r="L344" s="65"/>
      <c r="M344" s="13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  <c r="AE344" s="65"/>
      <c r="AF344" s="65"/>
      <c r="AG344" s="65"/>
      <c r="AH344" s="65"/>
      <c r="AI344" s="65"/>
      <c r="AJ344" s="65"/>
      <c r="AK344" s="65"/>
      <c r="AL344" s="65"/>
      <c r="AM344" s="65"/>
      <c r="AN344" s="65"/>
      <c r="AO344" s="65"/>
      <c r="AP344" s="65"/>
      <c r="AQ344" s="65"/>
      <c r="AR344" s="65"/>
      <c r="AS344" s="65"/>
      <c r="AT344" s="65"/>
      <c r="AU344" s="65"/>
      <c r="AV344" s="65"/>
      <c r="AW344" s="65"/>
      <c r="AX344" s="65"/>
      <c r="AY344" s="65"/>
      <c r="AZ344" s="65"/>
      <c r="BA344" s="65"/>
      <c r="BB344" s="65"/>
      <c r="BC344" s="65"/>
      <c r="BD344" s="65"/>
      <c r="BE344" s="65"/>
      <c r="BF344" s="65"/>
      <c r="BG344" s="65"/>
      <c r="BH344" s="135"/>
      <c r="BI344" s="65"/>
      <c r="BJ344" s="65"/>
      <c r="BK344" s="65"/>
      <c r="BL344" s="65"/>
      <c r="BM344" s="65"/>
      <c r="BN344" s="65"/>
      <c r="BO344" s="65"/>
      <c r="BP344" s="65"/>
      <c r="BQ344" s="65"/>
      <c r="BR344" s="65"/>
      <c r="BS344" s="65"/>
      <c r="BT344" s="65"/>
      <c r="BU344" s="65"/>
      <c r="BV344" s="65"/>
      <c r="BW344" s="65"/>
      <c r="BX344" s="65"/>
      <c r="BY344" s="65"/>
      <c r="BZ344" s="65"/>
      <c r="CA344" s="65"/>
      <c r="CB344" s="65"/>
      <c r="CC344" s="65"/>
      <c r="CD344" s="65"/>
      <c r="CE344" s="65"/>
      <c r="CF344" s="65"/>
      <c r="CG344" s="65"/>
      <c r="CH344" s="0"/>
      <c r="CP344" s="0"/>
      <c r="CQ344" s="0"/>
      <c r="CR344" s="0"/>
      <c r="CS344" s="0"/>
      <c r="CT344" s="0"/>
      <c r="CU344" s="110"/>
      <c r="CV344" s="138"/>
      <c r="CW344" s="210"/>
      <c r="CX344" s="210"/>
      <c r="CY344" s="174" t="n">
        <f aca="false">EOMONTH(CY343,0)+1</f>
        <v>46661</v>
      </c>
      <c r="CZ344" s="175" t="n">
        <f aca="false">IF(AI344=0,CZ332,AH344+AI344)</f>
        <v>1</v>
      </c>
      <c r="DA344" s="175" t="n">
        <f aca="false">IF(AI344=0,DA332,AI344)</f>
        <v>1.25</v>
      </c>
      <c r="DB344" s="175" t="n">
        <f aca="false">IF(AI344=0,DB332,AI344+AJ344)</f>
        <v>1.55</v>
      </c>
      <c r="DD344" s="154" t="n">
        <f aca="false">IF(Z344=0,DD332,Z344)</f>
        <v>0.0651800088356474</v>
      </c>
      <c r="DE344" s="154" t="n">
        <f aca="false">IF(AA344=0,DE332,AA344)</f>
        <v>0.130360017671295</v>
      </c>
      <c r="DF344" s="154" t="n">
        <f aca="false">IF(AB344=0,DF332,AB344)</f>
        <v>0.195540026506942</v>
      </c>
      <c r="DG344" s="210"/>
      <c r="DH344" s="174" t="n">
        <f aca="false">IF(BH344=0,EOMONTH(DH343,0)+1,BH344)</f>
        <v>46661</v>
      </c>
      <c r="DI344" s="207" t="n">
        <f aca="false">IF(BI344=0,DI332,BI344)</f>
        <v>0.9</v>
      </c>
    </row>
    <row r="345" customFormat="false" ht="14.25" hidden="false" customHeight="false" outlineLevel="0" collapsed="false">
      <c r="A345" s="209" t="n">
        <f aca="false">EDATE(A344,1)</f>
        <v>56036</v>
      </c>
      <c r="B345" s="128" t="n">
        <f aca="false">'Gas Curves'!C349</f>
        <v>0.070164492792015</v>
      </c>
      <c r="C345" s="128"/>
      <c r="D345" s="65"/>
      <c r="E345" s="65"/>
      <c r="F345" s="65"/>
      <c r="G345" s="65"/>
      <c r="H345" s="65"/>
      <c r="I345" s="65"/>
      <c r="J345" s="65"/>
      <c r="K345" s="65"/>
      <c r="L345" s="65"/>
      <c r="M345" s="13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  <c r="AD345" s="65"/>
      <c r="AE345" s="65"/>
      <c r="AF345" s="65"/>
      <c r="AG345" s="65"/>
      <c r="AH345" s="65"/>
      <c r="AI345" s="65"/>
      <c r="AJ345" s="65"/>
      <c r="AK345" s="65"/>
      <c r="AL345" s="65"/>
      <c r="AM345" s="65"/>
      <c r="AN345" s="65"/>
      <c r="AO345" s="65"/>
      <c r="AP345" s="65"/>
      <c r="AQ345" s="65"/>
      <c r="AR345" s="65"/>
      <c r="AS345" s="65"/>
      <c r="AT345" s="65"/>
      <c r="AU345" s="65"/>
      <c r="AV345" s="65"/>
      <c r="AW345" s="65"/>
      <c r="AX345" s="65"/>
      <c r="AY345" s="65"/>
      <c r="AZ345" s="65"/>
      <c r="BA345" s="65"/>
      <c r="BB345" s="65"/>
      <c r="BC345" s="65"/>
      <c r="BD345" s="65"/>
      <c r="BE345" s="65"/>
      <c r="BF345" s="65"/>
      <c r="BG345" s="65"/>
      <c r="BH345" s="135"/>
      <c r="BI345" s="65"/>
      <c r="BJ345" s="65"/>
      <c r="BK345" s="65"/>
      <c r="BL345" s="65"/>
      <c r="BM345" s="65"/>
      <c r="BN345" s="65"/>
      <c r="BO345" s="65"/>
      <c r="BP345" s="65"/>
      <c r="BQ345" s="65"/>
      <c r="BR345" s="65"/>
      <c r="BS345" s="65"/>
      <c r="BT345" s="65"/>
      <c r="BU345" s="65"/>
      <c r="BV345" s="65"/>
      <c r="BW345" s="65"/>
      <c r="BX345" s="65"/>
      <c r="BY345" s="65"/>
      <c r="BZ345" s="65"/>
      <c r="CA345" s="65"/>
      <c r="CB345" s="65"/>
      <c r="CC345" s="65"/>
      <c r="CD345" s="65"/>
      <c r="CE345" s="65"/>
      <c r="CF345" s="65"/>
      <c r="CG345" s="65"/>
      <c r="CH345" s="0"/>
      <c r="CP345" s="0"/>
      <c r="CQ345" s="0"/>
      <c r="CR345" s="0"/>
      <c r="CS345" s="0"/>
      <c r="CT345" s="0"/>
      <c r="CU345" s="110"/>
      <c r="CV345" s="138"/>
      <c r="CW345" s="210"/>
      <c r="CX345" s="210"/>
      <c r="CY345" s="174" t="n">
        <f aca="false">EOMONTH(CY344,0)+1</f>
        <v>46692</v>
      </c>
      <c r="CZ345" s="175" t="n">
        <f aca="false">IF(AI345=0,CZ333,AH345+AI345)</f>
        <v>1</v>
      </c>
      <c r="DA345" s="175" t="n">
        <f aca="false">IF(AI345=0,DA333,AI345)</f>
        <v>1.25</v>
      </c>
      <c r="DB345" s="175" t="n">
        <f aca="false">IF(AI345=0,DB333,AI345+AJ345)</f>
        <v>1.55</v>
      </c>
      <c r="DD345" s="154" t="n">
        <f aca="false">IF(Z345=0,DD333,Z345)</f>
        <v>0.0651800088356474</v>
      </c>
      <c r="DE345" s="154" t="n">
        <f aca="false">IF(AA345=0,DE333,AA345)</f>
        <v>0.130360017671295</v>
      </c>
      <c r="DF345" s="154" t="n">
        <f aca="false">IF(AB345=0,DF333,AB345)</f>
        <v>0.195540026506942</v>
      </c>
      <c r="DG345" s="210"/>
      <c r="DH345" s="174" t="n">
        <f aca="false">IF(BH345=0,EOMONTH(DH344,0)+1,BH345)</f>
        <v>46692</v>
      </c>
      <c r="DI345" s="207" t="n">
        <f aca="false">IF(BI345=0,DI333,BI345)</f>
        <v>0.9</v>
      </c>
    </row>
    <row r="346" customFormat="false" ht="14.25" hidden="false" customHeight="false" outlineLevel="0" collapsed="false">
      <c r="A346" s="209" t="n">
        <f aca="false">EDATE(A345,1)</f>
        <v>56066</v>
      </c>
      <c r="B346" s="128" t="n">
        <f aca="false">'Gas Curves'!C350</f>
        <v>0.070152252176204</v>
      </c>
      <c r="C346" s="128"/>
      <c r="D346" s="65"/>
      <c r="E346" s="65"/>
      <c r="F346" s="65"/>
      <c r="G346" s="65"/>
      <c r="H346" s="65"/>
      <c r="I346" s="65"/>
      <c r="J346" s="65"/>
      <c r="K346" s="65"/>
      <c r="L346" s="65"/>
      <c r="M346" s="13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  <c r="AD346" s="65"/>
      <c r="AE346" s="65"/>
      <c r="AF346" s="65"/>
      <c r="AG346" s="65"/>
      <c r="AH346" s="65"/>
      <c r="AI346" s="65"/>
      <c r="AJ346" s="65"/>
      <c r="AK346" s="65"/>
      <c r="AL346" s="65"/>
      <c r="AM346" s="65"/>
      <c r="AN346" s="65"/>
      <c r="AO346" s="65"/>
      <c r="AP346" s="65"/>
      <c r="AQ346" s="65"/>
      <c r="AR346" s="65"/>
      <c r="AS346" s="65"/>
      <c r="AT346" s="65"/>
      <c r="AU346" s="65"/>
      <c r="AV346" s="65"/>
      <c r="AW346" s="65"/>
      <c r="AX346" s="65"/>
      <c r="AY346" s="65"/>
      <c r="AZ346" s="65"/>
      <c r="BA346" s="65"/>
      <c r="BB346" s="65"/>
      <c r="BC346" s="65"/>
      <c r="BD346" s="65"/>
      <c r="BE346" s="65"/>
      <c r="BF346" s="65"/>
      <c r="BG346" s="65"/>
      <c r="BH346" s="135"/>
      <c r="BI346" s="65"/>
      <c r="BJ346" s="65"/>
      <c r="BK346" s="65"/>
      <c r="BL346" s="65"/>
      <c r="BM346" s="65"/>
      <c r="BN346" s="65"/>
      <c r="BO346" s="65"/>
      <c r="BP346" s="65"/>
      <c r="BQ346" s="65"/>
      <c r="BR346" s="65"/>
      <c r="BS346" s="65"/>
      <c r="BT346" s="65"/>
      <c r="BU346" s="65"/>
      <c r="BV346" s="65"/>
      <c r="BW346" s="65"/>
      <c r="BX346" s="65"/>
      <c r="BY346" s="65"/>
      <c r="BZ346" s="65"/>
      <c r="CA346" s="65"/>
      <c r="CB346" s="65"/>
      <c r="CC346" s="65"/>
      <c r="CD346" s="65"/>
      <c r="CE346" s="65"/>
      <c r="CF346" s="65"/>
      <c r="CG346" s="65"/>
      <c r="CH346" s="0"/>
      <c r="CP346" s="0"/>
      <c r="CQ346" s="0"/>
      <c r="CR346" s="0"/>
      <c r="CS346" s="0"/>
      <c r="CT346" s="0"/>
      <c r="CU346" s="110"/>
      <c r="CV346" s="138"/>
      <c r="CW346" s="210"/>
      <c r="CX346" s="210"/>
      <c r="CY346" s="174" t="n">
        <f aca="false">EOMONTH(CY345,0)+1</f>
        <v>46722</v>
      </c>
      <c r="CZ346" s="175" t="n">
        <f aca="false">IF(AI346=0,CZ334,AH346+AI346)</f>
        <v>1</v>
      </c>
      <c r="DA346" s="175" t="n">
        <f aca="false">IF(AI346=0,DA334,AI346)</f>
        <v>1.25</v>
      </c>
      <c r="DB346" s="175" t="n">
        <f aca="false">IF(AI346=0,DB334,AI346+AJ346)</f>
        <v>1.55</v>
      </c>
      <c r="DD346" s="154" t="n">
        <f aca="false">IF(Z346=0,DD334,Z346)</f>
        <v>0.0638788843714456</v>
      </c>
      <c r="DE346" s="154" t="n">
        <f aca="false">IF(AA346=0,DE334,AA346)</f>
        <v>0.127757768742891</v>
      </c>
      <c r="DF346" s="154" t="n">
        <f aca="false">IF(AB346=0,DF334,AB346)</f>
        <v>0.191636653114337</v>
      </c>
      <c r="DG346" s="210"/>
      <c r="DH346" s="174" t="n">
        <f aca="false">IF(BH346=0,EOMONTH(DH345,0)+1,BH346)</f>
        <v>46722</v>
      </c>
      <c r="DI346" s="207" t="n">
        <f aca="false">IF(BI346=0,DI334,BI346)</f>
        <v>0.9</v>
      </c>
    </row>
    <row r="347" customFormat="false" ht="14.25" hidden="false" customHeight="false" outlineLevel="0" collapsed="false">
      <c r="A347" s="209" t="n">
        <f aca="false">EDATE(A346,1)</f>
        <v>56097</v>
      </c>
      <c r="B347" s="128" t="n">
        <f aca="false">'Gas Curves'!C351</f>
        <v>0.070139603539918</v>
      </c>
      <c r="C347" s="128"/>
      <c r="D347" s="65"/>
      <c r="E347" s="65"/>
      <c r="F347" s="65"/>
      <c r="G347" s="65"/>
      <c r="H347" s="65"/>
      <c r="I347" s="65"/>
      <c r="J347" s="65"/>
      <c r="K347" s="65"/>
      <c r="L347" s="65"/>
      <c r="M347" s="13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  <c r="AJ347" s="65"/>
      <c r="AK347" s="65"/>
      <c r="AL347" s="65"/>
      <c r="AM347" s="65"/>
      <c r="AN347" s="65"/>
      <c r="AO347" s="65"/>
      <c r="AP347" s="65"/>
      <c r="AQ347" s="65"/>
      <c r="AR347" s="65"/>
      <c r="AS347" s="65"/>
      <c r="AT347" s="65"/>
      <c r="AU347" s="65"/>
      <c r="AV347" s="65"/>
      <c r="AW347" s="65"/>
      <c r="AX347" s="65"/>
      <c r="AY347" s="65"/>
      <c r="AZ347" s="65"/>
      <c r="BA347" s="65"/>
      <c r="BB347" s="65"/>
      <c r="BC347" s="65"/>
      <c r="BD347" s="65"/>
      <c r="BE347" s="65"/>
      <c r="BF347" s="65"/>
      <c r="BG347" s="65"/>
      <c r="BH347" s="135"/>
      <c r="BI347" s="65"/>
      <c r="BJ347" s="65"/>
      <c r="BK347" s="65"/>
      <c r="BL347" s="65"/>
      <c r="BM347" s="65"/>
      <c r="BN347" s="65"/>
      <c r="BO347" s="65"/>
      <c r="BP347" s="65"/>
      <c r="BQ347" s="65"/>
      <c r="BR347" s="65"/>
      <c r="BS347" s="65"/>
      <c r="BT347" s="65"/>
      <c r="BU347" s="65"/>
      <c r="BV347" s="65"/>
      <c r="BW347" s="65"/>
      <c r="BX347" s="65"/>
      <c r="BY347" s="65"/>
      <c r="BZ347" s="65"/>
      <c r="CA347" s="65"/>
      <c r="CB347" s="65"/>
      <c r="CC347" s="65"/>
      <c r="CD347" s="65"/>
      <c r="CE347" s="65"/>
      <c r="CF347" s="65"/>
      <c r="CG347" s="65"/>
      <c r="CH347" s="0"/>
      <c r="CP347" s="0"/>
      <c r="CQ347" s="0"/>
      <c r="CR347" s="0"/>
      <c r="CS347" s="0"/>
      <c r="CT347" s="0"/>
      <c r="CU347" s="110"/>
      <c r="CV347" s="138"/>
      <c r="CW347" s="210"/>
      <c r="CX347" s="210"/>
      <c r="CY347" s="174" t="n">
        <f aca="false">EOMONTH(CY346,0)+1</f>
        <v>46753</v>
      </c>
      <c r="CZ347" s="175" t="n">
        <f aca="false">IF(AI347=0,CZ335,AH347+AI347)</f>
        <v>1</v>
      </c>
      <c r="DA347" s="175" t="n">
        <f aca="false">IF(AI347=0,DA335,AI347)</f>
        <v>1.25</v>
      </c>
      <c r="DB347" s="175" t="n">
        <f aca="false">IF(AI347=0,DB335,AI347+AJ347)</f>
        <v>1.55</v>
      </c>
      <c r="DD347" s="154" t="n">
        <f aca="false">IF(Z347=0,DD335,Z347)</f>
        <v>0.0942652295751635</v>
      </c>
      <c r="DE347" s="154" t="n">
        <f aca="false">IF(AA347=0,DE335,AA347)</f>
        <v>0.188530459150327</v>
      </c>
      <c r="DF347" s="154" t="n">
        <f aca="false">IF(AB347=0,DF335,AB347)</f>
        <v>0.28279568872549</v>
      </c>
      <c r="DG347" s="210"/>
      <c r="DH347" s="174" t="n">
        <f aca="false">IF(BH347=0,EOMONTH(DH346,0)+1,BH347)</f>
        <v>46753</v>
      </c>
      <c r="DI347" s="207" t="n">
        <f aca="false">IF(BI347=0,DI335,BI347)</f>
        <v>0.9</v>
      </c>
    </row>
    <row r="348" customFormat="false" ht="14.25" hidden="false" customHeight="false" outlineLevel="0" collapsed="false">
      <c r="A348" s="209" t="n">
        <f aca="false">EDATE(A347,1)</f>
        <v>56128</v>
      </c>
      <c r="B348" s="128" t="n">
        <f aca="false">'Gas Curves'!C352</f>
        <v>0.070126954903686</v>
      </c>
      <c r="C348" s="128"/>
      <c r="D348" s="65"/>
      <c r="E348" s="65"/>
      <c r="F348" s="65"/>
      <c r="G348" s="65"/>
      <c r="H348" s="65"/>
      <c r="I348" s="65"/>
      <c r="J348" s="65"/>
      <c r="K348" s="65"/>
      <c r="L348" s="65"/>
      <c r="M348" s="13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  <c r="AE348" s="65"/>
      <c r="AF348" s="65"/>
      <c r="AG348" s="65"/>
      <c r="AH348" s="65"/>
      <c r="AI348" s="65"/>
      <c r="AJ348" s="65"/>
      <c r="AK348" s="65"/>
      <c r="AL348" s="65"/>
      <c r="AM348" s="65"/>
      <c r="AN348" s="65"/>
      <c r="AO348" s="65"/>
      <c r="AP348" s="65"/>
      <c r="AQ348" s="65"/>
      <c r="AR348" s="65"/>
      <c r="AS348" s="65"/>
      <c r="AT348" s="65"/>
      <c r="AU348" s="65"/>
      <c r="AV348" s="65"/>
      <c r="AW348" s="65"/>
      <c r="AX348" s="65"/>
      <c r="AY348" s="65"/>
      <c r="AZ348" s="65"/>
      <c r="BA348" s="65"/>
      <c r="BB348" s="65"/>
      <c r="BC348" s="65"/>
      <c r="BD348" s="65"/>
      <c r="BE348" s="65"/>
      <c r="BF348" s="65"/>
      <c r="BG348" s="65"/>
      <c r="BH348" s="135"/>
      <c r="BI348" s="65"/>
      <c r="BJ348" s="65"/>
      <c r="BK348" s="65"/>
      <c r="BL348" s="65"/>
      <c r="BM348" s="65"/>
      <c r="BN348" s="65"/>
      <c r="BO348" s="65"/>
      <c r="BP348" s="65"/>
      <c r="BQ348" s="65"/>
      <c r="BR348" s="65"/>
      <c r="BS348" s="65"/>
      <c r="BT348" s="65"/>
      <c r="BU348" s="65"/>
      <c r="BV348" s="65"/>
      <c r="BW348" s="65"/>
      <c r="BX348" s="65"/>
      <c r="BY348" s="65"/>
      <c r="BZ348" s="65"/>
      <c r="CA348" s="65"/>
      <c r="CB348" s="65"/>
      <c r="CC348" s="65"/>
      <c r="CD348" s="65"/>
      <c r="CE348" s="65"/>
      <c r="CF348" s="65"/>
      <c r="CG348" s="65"/>
      <c r="CH348" s="0"/>
      <c r="CP348" s="0"/>
      <c r="CQ348" s="0"/>
      <c r="CR348" s="0"/>
      <c r="CS348" s="0"/>
      <c r="CT348" s="0"/>
      <c r="CU348" s="110"/>
      <c r="CV348" s="138"/>
      <c r="CW348" s="210"/>
      <c r="CX348" s="210"/>
      <c r="CY348" s="174" t="n">
        <f aca="false">EOMONTH(CY347,0)+1</f>
        <v>46784</v>
      </c>
      <c r="CZ348" s="175" t="n">
        <f aca="false">IF(AI348=0,CZ336,AH348+AI348)</f>
        <v>1</v>
      </c>
      <c r="DA348" s="175" t="n">
        <f aca="false">IF(AI348=0,DA336,AI348)</f>
        <v>1.25</v>
      </c>
      <c r="DB348" s="175" t="n">
        <f aca="false">IF(AI348=0,DB336,AI348+AJ348)</f>
        <v>1.55</v>
      </c>
      <c r="DD348" s="154" t="n">
        <f aca="false">IF(Z348=0,DD336,Z348)</f>
        <v>0.0910666090107368</v>
      </c>
      <c r="DE348" s="154" t="n">
        <f aca="false">IF(AA348=0,DE336,AA348)</f>
        <v>0.182133218021474</v>
      </c>
      <c r="DF348" s="154" t="n">
        <f aca="false">IF(AB348=0,DF336,AB348)</f>
        <v>0.27319982703221</v>
      </c>
      <c r="DG348" s="210"/>
      <c r="DH348" s="174" t="n">
        <f aca="false">IF(BH348=0,EOMONTH(DH347,0)+1,BH348)</f>
        <v>46784</v>
      </c>
      <c r="DI348" s="207" t="n">
        <f aca="false">IF(BI348=0,DI336,BI348)</f>
        <v>0.9</v>
      </c>
    </row>
    <row r="349" customFormat="false" ht="14.25" hidden="false" customHeight="false" outlineLevel="0" collapsed="false">
      <c r="A349" s="209" t="n">
        <f aca="false">EDATE(A348,1)</f>
        <v>56158</v>
      </c>
      <c r="B349" s="128" t="n">
        <f aca="false">'Gas Curves'!C353</f>
        <v>0.070114714288026</v>
      </c>
      <c r="C349" s="128"/>
      <c r="D349" s="65"/>
      <c r="E349" s="65"/>
      <c r="F349" s="65"/>
      <c r="G349" s="65"/>
      <c r="H349" s="65"/>
      <c r="I349" s="65"/>
      <c r="J349" s="65"/>
      <c r="K349" s="65"/>
      <c r="L349" s="65"/>
      <c r="M349" s="13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  <c r="AE349" s="65"/>
      <c r="AF349" s="65"/>
      <c r="AG349" s="65"/>
      <c r="AH349" s="65"/>
      <c r="AI349" s="65"/>
      <c r="AJ349" s="65"/>
      <c r="AK349" s="65"/>
      <c r="AL349" s="65"/>
      <c r="AM349" s="65"/>
      <c r="AN349" s="65"/>
      <c r="AO349" s="65"/>
      <c r="AP349" s="65"/>
      <c r="AQ349" s="65"/>
      <c r="AR349" s="65"/>
      <c r="AS349" s="65"/>
      <c r="AT349" s="65"/>
      <c r="AU349" s="65"/>
      <c r="AV349" s="65"/>
      <c r="AW349" s="65"/>
      <c r="AX349" s="65"/>
      <c r="AY349" s="65"/>
      <c r="AZ349" s="65"/>
      <c r="BA349" s="65"/>
      <c r="BB349" s="65"/>
      <c r="BC349" s="65"/>
      <c r="BD349" s="65"/>
      <c r="BE349" s="65"/>
      <c r="BF349" s="65"/>
      <c r="BG349" s="65"/>
      <c r="BH349" s="135"/>
      <c r="BI349" s="65"/>
      <c r="BJ349" s="65"/>
      <c r="BK349" s="65"/>
      <c r="BL349" s="65"/>
      <c r="BM349" s="65"/>
      <c r="BN349" s="65"/>
      <c r="BO349" s="65"/>
      <c r="BP349" s="65"/>
      <c r="BQ349" s="65"/>
      <c r="BR349" s="65"/>
      <c r="BS349" s="65"/>
      <c r="BT349" s="65"/>
      <c r="BU349" s="65"/>
      <c r="BV349" s="65"/>
      <c r="BW349" s="65"/>
      <c r="BX349" s="65"/>
      <c r="BY349" s="65"/>
      <c r="BZ349" s="65"/>
      <c r="CA349" s="65"/>
      <c r="CB349" s="65"/>
      <c r="CC349" s="65"/>
      <c r="CD349" s="65"/>
      <c r="CE349" s="65"/>
      <c r="CF349" s="65"/>
      <c r="CG349" s="65"/>
      <c r="CH349" s="0"/>
      <c r="CP349" s="0"/>
      <c r="CQ349" s="0"/>
      <c r="CR349" s="0"/>
      <c r="CS349" s="0"/>
      <c r="CT349" s="0"/>
      <c r="CU349" s="110"/>
      <c r="CV349" s="138"/>
      <c r="CW349" s="210"/>
      <c r="CX349" s="210"/>
      <c r="CY349" s="174" t="n">
        <f aca="false">EOMONTH(CY348,0)+1</f>
        <v>46813</v>
      </c>
      <c r="CZ349" s="175" t="n">
        <f aca="false">IF(AI349=0,CZ337,AH349+AI349)</f>
        <v>1</v>
      </c>
      <c r="DA349" s="175" t="n">
        <f aca="false">IF(AI349=0,DA337,AI349)</f>
        <v>1.25</v>
      </c>
      <c r="DB349" s="175" t="n">
        <f aca="false">IF(AI349=0,DB337,AI349+AJ349)</f>
        <v>1.55</v>
      </c>
      <c r="DD349" s="154" t="n">
        <f aca="false">IF(Z349=0,DD337,Z349)</f>
        <v>0.0721937023797812</v>
      </c>
      <c r="DE349" s="154" t="n">
        <f aca="false">IF(AA349=0,DE337,AA349)</f>
        <v>0.144387404759562</v>
      </c>
      <c r="DF349" s="154" t="n">
        <f aca="false">IF(AB349=0,DF337,AB349)</f>
        <v>0.216581107139343</v>
      </c>
      <c r="DG349" s="210"/>
      <c r="DH349" s="174" t="n">
        <f aca="false">IF(BH349=0,EOMONTH(DH348,0)+1,BH349)</f>
        <v>46813</v>
      </c>
      <c r="DI349" s="207" t="n">
        <f aca="false">IF(BI349=0,DI337,BI349)</f>
        <v>0.9</v>
      </c>
    </row>
    <row r="350" customFormat="false" ht="14.25" hidden="false" customHeight="false" outlineLevel="0" collapsed="false">
      <c r="A350" s="209" t="n">
        <f aca="false">EDATE(A349,1)</f>
        <v>56189</v>
      </c>
      <c r="B350" s="128" t="n">
        <f aca="false">'Gas Curves'!C354</f>
        <v>0.070102065651897</v>
      </c>
      <c r="C350" s="128"/>
      <c r="D350" s="65"/>
      <c r="E350" s="65"/>
      <c r="F350" s="65"/>
      <c r="G350" s="65"/>
      <c r="H350" s="65"/>
      <c r="I350" s="65"/>
      <c r="J350" s="65"/>
      <c r="K350" s="65"/>
      <c r="L350" s="65"/>
      <c r="M350" s="13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  <c r="AE350" s="65"/>
      <c r="AF350" s="65"/>
      <c r="AG350" s="65"/>
      <c r="AH350" s="65"/>
      <c r="AI350" s="65"/>
      <c r="AJ350" s="65"/>
      <c r="AK350" s="65"/>
      <c r="AL350" s="65"/>
      <c r="AM350" s="65"/>
      <c r="AN350" s="65"/>
      <c r="AO350" s="65"/>
      <c r="AP350" s="65"/>
      <c r="AQ350" s="65"/>
      <c r="AR350" s="65"/>
      <c r="AS350" s="65"/>
      <c r="AT350" s="65"/>
      <c r="AU350" s="65"/>
      <c r="AV350" s="65"/>
      <c r="AW350" s="65"/>
      <c r="AX350" s="65"/>
      <c r="AY350" s="65"/>
      <c r="AZ350" s="65"/>
      <c r="BA350" s="65"/>
      <c r="BB350" s="65"/>
      <c r="BC350" s="65"/>
      <c r="BD350" s="65"/>
      <c r="BE350" s="65"/>
      <c r="BF350" s="65"/>
      <c r="BG350" s="65"/>
      <c r="BH350" s="135"/>
      <c r="BI350" s="65"/>
      <c r="BJ350" s="65"/>
      <c r="BK350" s="65"/>
      <c r="BL350" s="65"/>
      <c r="BM350" s="65"/>
      <c r="BN350" s="65"/>
      <c r="BO350" s="65"/>
      <c r="BP350" s="65"/>
      <c r="BQ350" s="65"/>
      <c r="BR350" s="65"/>
      <c r="BS350" s="65"/>
      <c r="BT350" s="65"/>
      <c r="BU350" s="65"/>
      <c r="BV350" s="65"/>
      <c r="BW350" s="65"/>
      <c r="BX350" s="65"/>
      <c r="BY350" s="65"/>
      <c r="BZ350" s="65"/>
      <c r="CA350" s="65"/>
      <c r="CB350" s="65"/>
      <c r="CC350" s="65"/>
      <c r="CD350" s="65"/>
      <c r="CE350" s="65"/>
      <c r="CF350" s="65"/>
      <c r="CG350" s="65"/>
      <c r="CH350" s="0"/>
      <c r="CP350" s="0"/>
      <c r="CQ350" s="0"/>
      <c r="CR350" s="0"/>
      <c r="CS350" s="0"/>
      <c r="CT350" s="0"/>
      <c r="CU350" s="110"/>
      <c r="CV350" s="138"/>
      <c r="CW350" s="210"/>
      <c r="CX350" s="210"/>
      <c r="CY350" s="174" t="n">
        <f aca="false">EOMONTH(CY349,0)+1</f>
        <v>46844</v>
      </c>
      <c r="CZ350" s="175" t="n">
        <f aca="false">IF(AI350=0,CZ338,AH350+AI350)</f>
        <v>0</v>
      </c>
      <c r="DA350" s="175" t="n">
        <f aca="false">IF(AI350=0,DA338,AI350)</f>
        <v>0</v>
      </c>
      <c r="DB350" s="175" t="n">
        <f aca="false">IF(AI350=0,DB338,AI350+AJ350)</f>
        <v>0</v>
      </c>
      <c r="DD350" s="154" t="n">
        <f aca="false">IF(Z350=0,DD338,Z350)</f>
        <v>0</v>
      </c>
      <c r="DE350" s="154" t="n">
        <f aca="false">IF(AA350=0,DE338,AA350)</f>
        <v>0</v>
      </c>
      <c r="DF350" s="154" t="n">
        <f aca="false">IF(AB350=0,DF338,AB350)</f>
        <v>0</v>
      </c>
      <c r="DG350" s="210"/>
      <c r="DH350" s="174" t="n">
        <f aca="false">IF(BH350=0,EOMONTH(DH349,0)+1,BH350)</f>
        <v>46844</v>
      </c>
      <c r="DI350" s="207" t="n">
        <f aca="false">IF(BI350=0,DI338,BI350)</f>
        <v>0</v>
      </c>
    </row>
    <row r="351" customFormat="false" ht="14.25" hidden="false" customHeight="false" outlineLevel="0" collapsed="false">
      <c r="A351" s="209" t="n">
        <f aca="false">EDATE(A350,1)</f>
        <v>56219</v>
      </c>
      <c r="B351" s="128" t="n">
        <f aca="false">'Gas Curves'!C355</f>
        <v>0.070089825036339</v>
      </c>
      <c r="C351" s="128"/>
      <c r="D351" s="65"/>
      <c r="E351" s="65"/>
      <c r="F351" s="65"/>
      <c r="G351" s="65"/>
      <c r="H351" s="65"/>
      <c r="I351" s="65"/>
      <c r="J351" s="65"/>
      <c r="K351" s="65"/>
      <c r="L351" s="65"/>
      <c r="M351" s="13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  <c r="AJ351" s="65"/>
      <c r="AK351" s="65"/>
      <c r="AL351" s="65"/>
      <c r="AM351" s="65"/>
      <c r="AN351" s="65"/>
      <c r="AO351" s="65"/>
      <c r="AP351" s="65"/>
      <c r="AQ351" s="65"/>
      <c r="AR351" s="65"/>
      <c r="AS351" s="65"/>
      <c r="AT351" s="65"/>
      <c r="AU351" s="65"/>
      <c r="AV351" s="65"/>
      <c r="AW351" s="65"/>
      <c r="AX351" s="65"/>
      <c r="AY351" s="65"/>
      <c r="AZ351" s="65"/>
      <c r="BA351" s="65"/>
      <c r="BB351" s="65"/>
      <c r="BC351" s="65"/>
      <c r="BD351" s="65"/>
      <c r="BE351" s="65"/>
      <c r="BF351" s="65"/>
      <c r="BG351" s="65"/>
      <c r="BH351" s="135"/>
      <c r="BI351" s="65"/>
      <c r="BJ351" s="65"/>
      <c r="BK351" s="65"/>
      <c r="BL351" s="65"/>
      <c r="BM351" s="65"/>
      <c r="BN351" s="65"/>
      <c r="BO351" s="65"/>
      <c r="BP351" s="65"/>
      <c r="BQ351" s="65"/>
      <c r="BR351" s="65"/>
      <c r="BS351" s="65"/>
      <c r="BT351" s="65"/>
      <c r="BU351" s="65"/>
      <c r="BV351" s="65"/>
      <c r="BW351" s="65"/>
      <c r="BX351" s="65"/>
      <c r="BY351" s="65"/>
      <c r="BZ351" s="65"/>
      <c r="CA351" s="65"/>
      <c r="CB351" s="65"/>
      <c r="CC351" s="65"/>
      <c r="CD351" s="65"/>
      <c r="CE351" s="65"/>
      <c r="CF351" s="65"/>
      <c r="CG351" s="65"/>
      <c r="CH351" s="0"/>
      <c r="CP351" s="0"/>
      <c r="CQ351" s="0"/>
      <c r="CR351" s="0"/>
      <c r="CS351" s="0"/>
      <c r="CT351" s="0"/>
      <c r="CU351" s="110"/>
      <c r="CV351" s="138"/>
      <c r="CW351" s="210"/>
      <c r="CX351" s="210"/>
      <c r="CY351" s="174" t="n">
        <f aca="false">EOMONTH(CY350,0)+1</f>
        <v>46874</v>
      </c>
      <c r="CZ351" s="175" t="n">
        <f aca="false">IF(AI351=0,CZ339,AH351+AI351)</f>
        <v>1</v>
      </c>
      <c r="DA351" s="175" t="n">
        <f aca="false">IF(AI351=0,DA339,AI351)</f>
        <v>1.25</v>
      </c>
      <c r="DB351" s="175" t="n">
        <f aca="false">IF(AI351=0,DB339,AI351+AJ351)</f>
        <v>1.55</v>
      </c>
      <c r="DD351" s="154" t="n">
        <f aca="false">IF(Z351=0,DD339,Z351)</f>
        <v>0.079836777060087</v>
      </c>
      <c r="DE351" s="154" t="n">
        <f aca="false">IF(AA351=0,DE339,AA351)</f>
        <v>0.159673554120174</v>
      </c>
      <c r="DF351" s="154" t="n">
        <f aca="false">IF(AB351=0,DF339,AB351)</f>
        <v>0.239510331180261</v>
      </c>
      <c r="DG351" s="210"/>
      <c r="DH351" s="174" t="n">
        <f aca="false">IF(BH351=0,EOMONTH(DH350,0)+1,BH351)</f>
        <v>46874</v>
      </c>
      <c r="DI351" s="207" t="n">
        <f aca="false">IF(BI351=0,DI339,BI351)</f>
        <v>0.9</v>
      </c>
    </row>
    <row r="352" customFormat="false" ht="14.25" hidden="false" customHeight="false" outlineLevel="0" collapsed="false">
      <c r="A352" s="209" t="n">
        <f aca="false">EDATE(A351,1)</f>
        <v>56250</v>
      </c>
      <c r="B352" s="128" t="n">
        <f aca="false">'Gas Curves'!C356</f>
        <v>0.070077176400314</v>
      </c>
      <c r="C352" s="128"/>
      <c r="D352" s="65"/>
      <c r="E352" s="65"/>
      <c r="F352" s="65"/>
      <c r="G352" s="65"/>
      <c r="H352" s="65"/>
      <c r="I352" s="65"/>
      <c r="J352" s="65"/>
      <c r="K352" s="65"/>
      <c r="L352" s="65"/>
      <c r="M352" s="13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  <c r="AJ352" s="65"/>
      <c r="AK352" s="65"/>
      <c r="AL352" s="65"/>
      <c r="AM352" s="65"/>
      <c r="AN352" s="65"/>
      <c r="AO352" s="65"/>
      <c r="AP352" s="65"/>
      <c r="AQ352" s="65"/>
      <c r="AR352" s="65"/>
      <c r="AS352" s="65"/>
      <c r="AT352" s="65"/>
      <c r="AU352" s="65"/>
      <c r="AV352" s="65"/>
      <c r="AW352" s="65"/>
      <c r="AX352" s="65"/>
      <c r="AY352" s="65"/>
      <c r="AZ352" s="65"/>
      <c r="BA352" s="65"/>
      <c r="BB352" s="65"/>
      <c r="BC352" s="65"/>
      <c r="BD352" s="65"/>
      <c r="BE352" s="65"/>
      <c r="BF352" s="65"/>
      <c r="BG352" s="65"/>
      <c r="BH352" s="135"/>
      <c r="BI352" s="65"/>
      <c r="BJ352" s="65"/>
      <c r="BK352" s="65"/>
      <c r="BL352" s="65"/>
      <c r="BM352" s="65"/>
      <c r="BN352" s="65"/>
      <c r="BO352" s="65"/>
      <c r="BP352" s="65"/>
      <c r="BQ352" s="65"/>
      <c r="BR352" s="65"/>
      <c r="BS352" s="65"/>
      <c r="BT352" s="65"/>
      <c r="BU352" s="65"/>
      <c r="BV352" s="65"/>
      <c r="BW352" s="65"/>
      <c r="BX352" s="65"/>
      <c r="BY352" s="65"/>
      <c r="BZ352" s="65"/>
      <c r="CA352" s="65"/>
      <c r="CB352" s="65"/>
      <c r="CC352" s="65"/>
      <c r="CD352" s="65"/>
      <c r="CE352" s="65"/>
      <c r="CF352" s="65"/>
      <c r="CG352" s="65"/>
      <c r="CH352" s="0"/>
      <c r="CP352" s="0"/>
      <c r="CQ352" s="0"/>
      <c r="CR352" s="0"/>
      <c r="CS352" s="0"/>
      <c r="CT352" s="0"/>
      <c r="CU352" s="110"/>
      <c r="CV352" s="138"/>
      <c r="CW352" s="210"/>
      <c r="CX352" s="210"/>
      <c r="CY352" s="174" t="n">
        <f aca="false">EOMONTH(CY351,0)+1</f>
        <v>46905</v>
      </c>
      <c r="CZ352" s="175" t="n">
        <f aca="false">IF(AI352=0,CZ340,AH352+AI352)</f>
        <v>1</v>
      </c>
      <c r="DA352" s="175" t="n">
        <f aca="false">IF(AI352=0,DA340,AI352)</f>
        <v>1.25</v>
      </c>
      <c r="DB352" s="175" t="n">
        <f aca="false">IF(AI352=0,DB340,AI352+AJ352)</f>
        <v>1.55</v>
      </c>
      <c r="DD352" s="154" t="n">
        <f aca="false">IF(Z352=0,DD340,Z352)</f>
        <v>0.085380172451756</v>
      </c>
      <c r="DE352" s="154" t="n">
        <f aca="false">IF(AA352=0,DE340,AA352)</f>
        <v>0.170760344903512</v>
      </c>
      <c r="DF352" s="154" t="n">
        <f aca="false">IF(AB352=0,DF340,AB352)</f>
        <v>0.256140517355268</v>
      </c>
      <c r="DG352" s="210"/>
      <c r="DH352" s="174" t="n">
        <f aca="false">IF(BH352=0,EOMONTH(DH351,0)+1,BH352)</f>
        <v>46905</v>
      </c>
      <c r="DI352" s="207" t="n">
        <f aca="false">IF(BI352=0,DI340,BI352)</f>
        <v>0.9</v>
      </c>
    </row>
    <row r="353" customFormat="false" ht="14.25" hidden="false" customHeight="false" outlineLevel="0" collapsed="false">
      <c r="A353" s="209" t="n">
        <f aca="false">EDATE(A352,1)</f>
        <v>56281</v>
      </c>
      <c r="B353" s="128" t="n">
        <f aca="false">'Gas Curves'!C357</f>
        <v>0.070064527764343</v>
      </c>
      <c r="C353" s="128"/>
      <c r="D353" s="65"/>
      <c r="E353" s="65"/>
      <c r="F353" s="65"/>
      <c r="G353" s="65"/>
      <c r="H353" s="65"/>
      <c r="I353" s="65"/>
      <c r="J353" s="65"/>
      <c r="K353" s="65"/>
      <c r="L353" s="65"/>
      <c r="M353" s="13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  <c r="AD353" s="65"/>
      <c r="AE353" s="65"/>
      <c r="AF353" s="65"/>
      <c r="AG353" s="65"/>
      <c r="AH353" s="65"/>
      <c r="AI353" s="65"/>
      <c r="AJ353" s="65"/>
      <c r="AK353" s="65"/>
      <c r="AL353" s="65"/>
      <c r="AM353" s="65"/>
      <c r="AN353" s="65"/>
      <c r="AO353" s="65"/>
      <c r="AP353" s="65"/>
      <c r="AQ353" s="65"/>
      <c r="AR353" s="65"/>
      <c r="AS353" s="65"/>
      <c r="AT353" s="65"/>
      <c r="AU353" s="65"/>
      <c r="AV353" s="65"/>
      <c r="AW353" s="65"/>
      <c r="AX353" s="65"/>
      <c r="AY353" s="65"/>
      <c r="AZ353" s="65"/>
      <c r="BA353" s="65"/>
      <c r="BB353" s="65"/>
      <c r="BC353" s="65"/>
      <c r="BD353" s="65"/>
      <c r="BE353" s="65"/>
      <c r="BF353" s="65"/>
      <c r="BG353" s="65"/>
      <c r="BH353" s="135"/>
      <c r="BI353" s="65"/>
      <c r="BJ353" s="65"/>
      <c r="BK353" s="65"/>
      <c r="BL353" s="65"/>
      <c r="BM353" s="65"/>
      <c r="BN353" s="65"/>
      <c r="BO353" s="65"/>
      <c r="BP353" s="65"/>
      <c r="BQ353" s="65"/>
      <c r="BR353" s="65"/>
      <c r="BS353" s="65"/>
      <c r="BT353" s="65"/>
      <c r="BU353" s="65"/>
      <c r="BV353" s="65"/>
      <c r="BW353" s="65"/>
      <c r="BX353" s="65"/>
      <c r="BY353" s="65"/>
      <c r="BZ353" s="65"/>
      <c r="CA353" s="65"/>
      <c r="CB353" s="65"/>
      <c r="CC353" s="65"/>
      <c r="CD353" s="65"/>
      <c r="CE353" s="65"/>
      <c r="CF353" s="65"/>
      <c r="CG353" s="65"/>
      <c r="CH353" s="0"/>
      <c r="CP353" s="0"/>
      <c r="CQ353" s="0"/>
      <c r="CR353" s="0"/>
      <c r="CS353" s="0"/>
      <c r="CT353" s="0"/>
      <c r="CU353" s="110"/>
      <c r="CV353" s="138"/>
      <c r="CW353" s="210"/>
      <c r="CX353" s="210"/>
      <c r="CY353" s="174" t="n">
        <f aca="false">EOMONTH(CY352,0)+1</f>
        <v>46935</v>
      </c>
      <c r="CZ353" s="175" t="n">
        <f aca="false">IF(AI353=0,CZ341,AH353+AI353)</f>
        <v>1</v>
      </c>
      <c r="DA353" s="175" t="n">
        <f aca="false">IF(AI353=0,DA341,AI353)</f>
        <v>1.25</v>
      </c>
      <c r="DB353" s="175" t="n">
        <f aca="false">IF(AI353=0,DB341,AI353+AJ353)</f>
        <v>1.55</v>
      </c>
      <c r="DD353" s="154" t="n">
        <f aca="false">IF(Z353=0,DD341,Z353)</f>
        <v>0.101692367108662</v>
      </c>
      <c r="DE353" s="154" t="n">
        <f aca="false">IF(AA353=0,DE341,AA353)</f>
        <v>0.203384734217324</v>
      </c>
      <c r="DF353" s="154" t="n">
        <f aca="false">IF(AB353=0,DF341,AB353)</f>
        <v>0.305077101325986</v>
      </c>
      <c r="DG353" s="210"/>
      <c r="DH353" s="174" t="n">
        <f aca="false">IF(BH353=0,EOMONTH(DH352,0)+1,BH353)</f>
        <v>46935</v>
      </c>
      <c r="DI353" s="207" t="n">
        <f aca="false">IF(BI353=0,DI341,BI353)</f>
        <v>0.9</v>
      </c>
    </row>
    <row r="354" customFormat="false" ht="14.25" hidden="false" customHeight="false" outlineLevel="0" collapsed="false">
      <c r="A354" s="209" t="n">
        <f aca="false">EDATE(A353,1)</f>
        <v>56309</v>
      </c>
      <c r="B354" s="128" t="n">
        <f aca="false">'Gas Curves'!C358</f>
        <v>0.070053103189962</v>
      </c>
      <c r="C354" s="128"/>
      <c r="D354" s="65"/>
      <c r="E354" s="65"/>
      <c r="F354" s="65"/>
      <c r="G354" s="65"/>
      <c r="H354" s="65"/>
      <c r="I354" s="65"/>
      <c r="J354" s="65"/>
      <c r="K354" s="65"/>
      <c r="L354" s="65"/>
      <c r="M354" s="13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5"/>
      <c r="AG354" s="65"/>
      <c r="AH354" s="65"/>
      <c r="AI354" s="65"/>
      <c r="AJ354" s="65"/>
      <c r="AK354" s="65"/>
      <c r="AL354" s="65"/>
      <c r="AM354" s="65"/>
      <c r="AN354" s="65"/>
      <c r="AO354" s="65"/>
      <c r="AP354" s="65"/>
      <c r="AQ354" s="65"/>
      <c r="AR354" s="65"/>
      <c r="AS354" s="65"/>
      <c r="AT354" s="65"/>
      <c r="AU354" s="65"/>
      <c r="AV354" s="65"/>
      <c r="AW354" s="65"/>
      <c r="AX354" s="65"/>
      <c r="AY354" s="65"/>
      <c r="AZ354" s="65"/>
      <c r="BA354" s="65"/>
      <c r="BB354" s="65"/>
      <c r="BC354" s="65"/>
      <c r="BD354" s="65"/>
      <c r="BE354" s="65"/>
      <c r="BF354" s="65"/>
      <c r="BG354" s="65"/>
      <c r="BH354" s="135"/>
      <c r="BI354" s="65"/>
      <c r="BJ354" s="65"/>
      <c r="BK354" s="65"/>
      <c r="BL354" s="65"/>
      <c r="BM354" s="65"/>
      <c r="BN354" s="65"/>
      <c r="BO354" s="65"/>
      <c r="BP354" s="65"/>
      <c r="BQ354" s="65"/>
      <c r="BR354" s="65"/>
      <c r="BS354" s="65"/>
      <c r="BT354" s="65"/>
      <c r="BU354" s="65"/>
      <c r="BV354" s="65"/>
      <c r="BW354" s="65"/>
      <c r="BX354" s="65"/>
      <c r="BY354" s="65"/>
      <c r="BZ354" s="65"/>
      <c r="CA354" s="65"/>
      <c r="CB354" s="65"/>
      <c r="CC354" s="65"/>
      <c r="CD354" s="65"/>
      <c r="CE354" s="65"/>
      <c r="CF354" s="65"/>
      <c r="CG354" s="65"/>
      <c r="CH354" s="0"/>
      <c r="CP354" s="0"/>
      <c r="CQ354" s="0"/>
      <c r="CR354" s="0"/>
      <c r="CS354" s="0"/>
      <c r="CT354" s="0"/>
      <c r="CU354" s="110"/>
      <c r="CV354" s="138"/>
      <c r="CW354" s="210"/>
      <c r="CX354" s="210"/>
      <c r="CY354" s="174" t="n">
        <f aca="false">EOMONTH(CY353,0)+1</f>
        <v>46966</v>
      </c>
      <c r="CZ354" s="175" t="n">
        <f aca="false">IF(AI354=0,CZ342,AH354+AI354)</f>
        <v>1</v>
      </c>
      <c r="DA354" s="175" t="n">
        <f aca="false">IF(AI354=0,DA342,AI354)</f>
        <v>1.25</v>
      </c>
      <c r="DB354" s="175" t="n">
        <f aca="false">IF(AI354=0,DB342,AI354+AJ354)</f>
        <v>1.55</v>
      </c>
      <c r="DD354" s="154" t="n">
        <f aca="false">IF(Z354=0,DD342,Z354)</f>
        <v>0.0994642258486125</v>
      </c>
      <c r="DE354" s="154" t="n">
        <f aca="false">IF(AA354=0,DE342,AA354)</f>
        <v>0.198928451697225</v>
      </c>
      <c r="DF354" s="154" t="n">
        <f aca="false">IF(AB354=0,DF342,AB354)</f>
        <v>0.298392677545837</v>
      </c>
      <c r="DG354" s="210"/>
      <c r="DH354" s="174" t="n">
        <f aca="false">IF(BH354=0,EOMONTH(DH353,0)+1,BH354)</f>
        <v>46966</v>
      </c>
      <c r="DI354" s="207" t="n">
        <f aca="false">IF(BI354=0,DI342,BI354)</f>
        <v>0.9</v>
      </c>
    </row>
    <row r="355" customFormat="false" ht="14.25" hidden="false" customHeight="false" outlineLevel="0" collapsed="false">
      <c r="A355" s="209" t="n">
        <f aca="false">EDATE(A354,1)</f>
        <v>56340</v>
      </c>
      <c r="B355" s="128" t="n">
        <f aca="false">'Gas Curves'!C359</f>
        <v>0.07004045455409</v>
      </c>
      <c r="C355" s="128"/>
      <c r="D355" s="65"/>
      <c r="E355" s="65"/>
      <c r="F355" s="65"/>
      <c r="G355" s="65"/>
      <c r="H355" s="65"/>
      <c r="I355" s="65"/>
      <c r="J355" s="65"/>
      <c r="K355" s="65"/>
      <c r="L355" s="65"/>
      <c r="M355" s="13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  <c r="AE355" s="65"/>
      <c r="AF355" s="65"/>
      <c r="AG355" s="65"/>
      <c r="AH355" s="65"/>
      <c r="AI355" s="65"/>
      <c r="AJ355" s="65"/>
      <c r="AK355" s="65"/>
      <c r="AL355" s="65"/>
      <c r="AM355" s="65"/>
      <c r="AN355" s="65"/>
      <c r="AO355" s="65"/>
      <c r="AP355" s="65"/>
      <c r="AQ355" s="65"/>
      <c r="AR355" s="65"/>
      <c r="AS355" s="65"/>
      <c r="AT355" s="65"/>
      <c r="AU355" s="65"/>
      <c r="AV355" s="65"/>
      <c r="AW355" s="65"/>
      <c r="AX355" s="65"/>
      <c r="AY355" s="65"/>
      <c r="AZ355" s="65"/>
      <c r="BA355" s="65"/>
      <c r="BB355" s="65"/>
      <c r="BC355" s="65"/>
      <c r="BD355" s="65"/>
      <c r="BE355" s="65"/>
      <c r="BF355" s="65"/>
      <c r="BG355" s="65"/>
      <c r="BH355" s="135"/>
      <c r="BI355" s="65"/>
      <c r="BJ355" s="65"/>
      <c r="BK355" s="65"/>
      <c r="BL355" s="65"/>
      <c r="BM355" s="65"/>
      <c r="BN355" s="65"/>
      <c r="BO355" s="65"/>
      <c r="BP355" s="65"/>
      <c r="BQ355" s="65"/>
      <c r="BR355" s="65"/>
      <c r="BS355" s="65"/>
      <c r="BT355" s="65"/>
      <c r="BU355" s="65"/>
      <c r="BV355" s="65"/>
      <c r="BW355" s="65"/>
      <c r="BX355" s="65"/>
      <c r="BY355" s="65"/>
      <c r="BZ355" s="65"/>
      <c r="CA355" s="65"/>
      <c r="CB355" s="65"/>
      <c r="CC355" s="65"/>
      <c r="CD355" s="65"/>
      <c r="CE355" s="65"/>
      <c r="CF355" s="65"/>
      <c r="CG355" s="65"/>
      <c r="CH355" s="0"/>
      <c r="CP355" s="0"/>
      <c r="CQ355" s="0"/>
      <c r="CR355" s="0"/>
      <c r="CS355" s="0"/>
      <c r="CT355" s="0"/>
      <c r="CU355" s="110"/>
      <c r="CV355" s="138"/>
      <c r="CW355" s="210"/>
      <c r="CX355" s="210"/>
      <c r="CY355" s="174" t="n">
        <f aca="false">EOMONTH(CY354,0)+1</f>
        <v>46997</v>
      </c>
      <c r="CZ355" s="175" t="n">
        <f aca="false">IF(AI355=0,CZ343,AH355+AI355)</f>
        <v>1</v>
      </c>
      <c r="DA355" s="175" t="n">
        <f aca="false">IF(AI355=0,DA343,AI355)</f>
        <v>1.25</v>
      </c>
      <c r="DB355" s="175" t="n">
        <f aca="false">IF(AI355=0,DB343,AI355+AJ355)</f>
        <v>1.55</v>
      </c>
      <c r="DD355" s="154" t="n">
        <f aca="false">IF(Z355=0,DD343,Z355)</f>
        <v>0.0753606888398985</v>
      </c>
      <c r="DE355" s="154" t="n">
        <f aca="false">IF(AA355=0,DE343,AA355)</f>
        <v>0.150721377679797</v>
      </c>
      <c r="DF355" s="154" t="n">
        <f aca="false">IF(AB355=0,DF343,AB355)</f>
        <v>0.226082066519696</v>
      </c>
      <c r="DG355" s="210"/>
      <c r="DH355" s="174" t="n">
        <f aca="false">IF(BH355=0,EOMONTH(DH354,0)+1,BH355)</f>
        <v>46997</v>
      </c>
      <c r="DI355" s="207" t="n">
        <f aca="false">IF(BI355=0,DI343,BI355)</f>
        <v>0.9</v>
      </c>
    </row>
    <row r="356" customFormat="false" ht="14.25" hidden="false" customHeight="false" outlineLevel="0" collapsed="false">
      <c r="A356" s="209" t="n">
        <f aca="false">EDATE(A355,1)</f>
        <v>56370</v>
      </c>
      <c r="B356" s="128" t="n">
        <f aca="false">'Gas Curves'!C360</f>
        <v>0.070028213938782</v>
      </c>
      <c r="C356" s="128"/>
      <c r="D356" s="65"/>
      <c r="E356" s="65"/>
      <c r="F356" s="65"/>
      <c r="G356" s="65"/>
      <c r="H356" s="65"/>
      <c r="I356" s="65"/>
      <c r="J356" s="65"/>
      <c r="K356" s="65"/>
      <c r="L356" s="65"/>
      <c r="M356" s="13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  <c r="AE356" s="65"/>
      <c r="AF356" s="65"/>
      <c r="AG356" s="65"/>
      <c r="AH356" s="65"/>
      <c r="AI356" s="65"/>
      <c r="AJ356" s="65"/>
      <c r="AK356" s="65"/>
      <c r="AL356" s="65"/>
      <c r="AM356" s="65"/>
      <c r="AN356" s="65"/>
      <c r="AO356" s="65"/>
      <c r="AP356" s="65"/>
      <c r="AQ356" s="65"/>
      <c r="AR356" s="65"/>
      <c r="AS356" s="65"/>
      <c r="AT356" s="65"/>
      <c r="AU356" s="65"/>
      <c r="AV356" s="65"/>
      <c r="AW356" s="65"/>
      <c r="AX356" s="65"/>
      <c r="AY356" s="65"/>
      <c r="AZ356" s="65"/>
      <c r="BA356" s="65"/>
      <c r="BB356" s="65"/>
      <c r="BC356" s="65"/>
      <c r="BD356" s="65"/>
      <c r="BE356" s="65"/>
      <c r="BF356" s="65"/>
      <c r="BG356" s="65"/>
      <c r="BH356" s="135"/>
      <c r="BI356" s="65"/>
      <c r="BJ356" s="65"/>
      <c r="BK356" s="65"/>
      <c r="BL356" s="65"/>
      <c r="BM356" s="65"/>
      <c r="BN356" s="65"/>
      <c r="BO356" s="65"/>
      <c r="BP356" s="65"/>
      <c r="BQ356" s="65"/>
      <c r="BR356" s="65"/>
      <c r="BS356" s="65"/>
      <c r="BT356" s="65"/>
      <c r="BU356" s="65"/>
      <c r="BV356" s="65"/>
      <c r="BW356" s="65"/>
      <c r="BX356" s="65"/>
      <c r="BY356" s="65"/>
      <c r="BZ356" s="65"/>
      <c r="CA356" s="65"/>
      <c r="CB356" s="65"/>
      <c r="CC356" s="65"/>
      <c r="CD356" s="65"/>
      <c r="CE356" s="65"/>
      <c r="CF356" s="65"/>
      <c r="CG356" s="65"/>
      <c r="CH356" s="0"/>
      <c r="CP356" s="0"/>
      <c r="CQ356" s="0"/>
      <c r="CR356" s="0"/>
      <c r="CS356" s="0"/>
      <c r="CT356" s="0"/>
      <c r="CU356" s="110"/>
      <c r="CV356" s="138"/>
      <c r="CW356" s="210"/>
      <c r="CX356" s="210"/>
      <c r="CY356" s="174" t="n">
        <f aca="false">EOMONTH(CY355,0)+1</f>
        <v>47027</v>
      </c>
      <c r="CZ356" s="175" t="n">
        <f aca="false">IF(AI356=0,CZ344,AH356+AI356)</f>
        <v>1</v>
      </c>
      <c r="DA356" s="175" t="n">
        <f aca="false">IF(AI356=0,DA344,AI356)</f>
        <v>1.25</v>
      </c>
      <c r="DB356" s="175" t="n">
        <f aca="false">IF(AI356=0,DB344,AI356+AJ356)</f>
        <v>1.55</v>
      </c>
      <c r="DD356" s="154" t="n">
        <f aca="false">IF(Z356=0,DD344,Z356)</f>
        <v>0.0651800088356474</v>
      </c>
      <c r="DE356" s="154" t="n">
        <f aca="false">IF(AA356=0,DE344,AA356)</f>
        <v>0.130360017671295</v>
      </c>
      <c r="DF356" s="154" t="n">
        <f aca="false">IF(AB356=0,DF344,AB356)</f>
        <v>0.195540026506942</v>
      </c>
      <c r="DG356" s="210"/>
      <c r="DH356" s="174" t="n">
        <f aca="false">IF(BH356=0,EOMONTH(DH355,0)+1,BH356)</f>
        <v>47027</v>
      </c>
      <c r="DI356" s="207" t="n">
        <f aca="false">IF(BI356=0,DI344,BI356)</f>
        <v>0.9</v>
      </c>
    </row>
    <row r="357" customFormat="false" ht="14.25" hidden="false" customHeight="false" outlineLevel="0" collapsed="false">
      <c r="A357" s="209" t="n">
        <f aca="false">EDATE(A356,1)</f>
        <v>56401</v>
      </c>
      <c r="B357" s="128" t="n">
        <f aca="false">'Gas Curves'!C361</f>
        <v>0.070015565303015</v>
      </c>
      <c r="C357" s="128"/>
      <c r="D357" s="65"/>
      <c r="E357" s="65"/>
      <c r="F357" s="65"/>
      <c r="G357" s="65"/>
      <c r="H357" s="65"/>
      <c r="I357" s="65"/>
      <c r="J357" s="65"/>
      <c r="K357" s="65"/>
      <c r="L357" s="65"/>
      <c r="M357" s="13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  <c r="AE357" s="65"/>
      <c r="AF357" s="65"/>
      <c r="AG357" s="65"/>
      <c r="AH357" s="65"/>
      <c r="AI357" s="65"/>
      <c r="AJ357" s="65"/>
      <c r="AK357" s="65"/>
      <c r="AL357" s="65"/>
      <c r="AM357" s="65"/>
      <c r="AN357" s="65"/>
      <c r="AO357" s="65"/>
      <c r="AP357" s="65"/>
      <c r="AQ357" s="65"/>
      <c r="AR357" s="65"/>
      <c r="AS357" s="65"/>
      <c r="AT357" s="65"/>
      <c r="AU357" s="65"/>
      <c r="AV357" s="65"/>
      <c r="AW357" s="65"/>
      <c r="AX357" s="65"/>
      <c r="AY357" s="65"/>
      <c r="AZ357" s="65"/>
      <c r="BA357" s="65"/>
      <c r="BB357" s="65"/>
      <c r="BC357" s="65"/>
      <c r="BD357" s="65"/>
      <c r="BE357" s="65"/>
      <c r="BF357" s="65"/>
      <c r="BG357" s="65"/>
      <c r="BH357" s="135"/>
      <c r="BI357" s="65"/>
      <c r="BJ357" s="65"/>
      <c r="BK357" s="65"/>
      <c r="BL357" s="65"/>
      <c r="BM357" s="65"/>
      <c r="BN357" s="65"/>
      <c r="BO357" s="65"/>
      <c r="BP357" s="65"/>
      <c r="BQ357" s="65"/>
      <c r="BR357" s="65"/>
      <c r="BS357" s="65"/>
      <c r="BT357" s="65"/>
      <c r="BU357" s="65"/>
      <c r="BV357" s="65"/>
      <c r="BW357" s="65"/>
      <c r="BX357" s="65"/>
      <c r="BY357" s="65"/>
      <c r="BZ357" s="65"/>
      <c r="CA357" s="65"/>
      <c r="CB357" s="65"/>
      <c r="CC357" s="65"/>
      <c r="CD357" s="65"/>
      <c r="CE357" s="65"/>
      <c r="CF357" s="65"/>
      <c r="CG357" s="65"/>
      <c r="CH357" s="0"/>
      <c r="CP357" s="0"/>
      <c r="CQ357" s="0"/>
      <c r="CR357" s="0"/>
      <c r="CS357" s="0"/>
      <c r="CT357" s="0"/>
      <c r="CU357" s="110"/>
      <c r="CV357" s="138"/>
      <c r="CW357" s="210"/>
      <c r="CX357" s="210"/>
      <c r="CY357" s="174" t="n">
        <f aca="false">EOMONTH(CY356,0)+1</f>
        <v>47058</v>
      </c>
      <c r="CZ357" s="175" t="n">
        <f aca="false">IF(AI357=0,CZ345,AH357+AI357)</f>
        <v>1</v>
      </c>
      <c r="DA357" s="175" t="n">
        <f aca="false">IF(AI357=0,DA345,AI357)</f>
        <v>1.25</v>
      </c>
      <c r="DB357" s="175" t="n">
        <f aca="false">IF(AI357=0,DB345,AI357+AJ357)</f>
        <v>1.55</v>
      </c>
      <c r="DD357" s="154" t="n">
        <f aca="false">IF(Z357=0,DD345,Z357)</f>
        <v>0.0651800088356474</v>
      </c>
      <c r="DE357" s="154" t="n">
        <f aca="false">IF(AA357=0,DE345,AA357)</f>
        <v>0.130360017671295</v>
      </c>
      <c r="DF357" s="154" t="n">
        <f aca="false">IF(AB357=0,DF345,AB357)</f>
        <v>0.195540026506942</v>
      </c>
      <c r="DG357" s="210"/>
      <c r="DH357" s="174" t="n">
        <f aca="false">IF(BH357=0,EOMONTH(DH356,0)+1,BH357)</f>
        <v>47058</v>
      </c>
      <c r="DI357" s="207" t="n">
        <f aca="false">IF(BI357=0,DI345,BI357)</f>
        <v>0.9</v>
      </c>
    </row>
    <row r="358" customFormat="false" ht="14.25" hidden="false" customHeight="false" outlineLevel="0" collapsed="false">
      <c r="A358" s="209" t="n">
        <f aca="false">EDATE(A357,1)</f>
        <v>56431</v>
      </c>
      <c r="B358" s="128" t="n">
        <f aca="false">'Gas Curves'!C362</f>
        <v>0.070003324687807</v>
      </c>
      <c r="C358" s="128"/>
      <c r="D358" s="65"/>
      <c r="E358" s="65"/>
      <c r="F358" s="65"/>
      <c r="G358" s="65"/>
      <c r="H358" s="65"/>
      <c r="I358" s="65"/>
      <c r="J358" s="65"/>
      <c r="K358" s="65"/>
      <c r="L358" s="65"/>
      <c r="M358" s="13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  <c r="AF358" s="65"/>
      <c r="AG358" s="65"/>
      <c r="AH358" s="65"/>
      <c r="AI358" s="65"/>
      <c r="AJ358" s="65"/>
      <c r="AK358" s="65"/>
      <c r="AL358" s="65"/>
      <c r="AM358" s="65"/>
      <c r="AN358" s="65"/>
      <c r="AO358" s="65"/>
      <c r="AP358" s="65"/>
      <c r="AQ358" s="65"/>
      <c r="AR358" s="65"/>
      <c r="AS358" s="65"/>
      <c r="AT358" s="65"/>
      <c r="AU358" s="65"/>
      <c r="AV358" s="65"/>
      <c r="AW358" s="65"/>
      <c r="AX358" s="65"/>
      <c r="AY358" s="65"/>
      <c r="AZ358" s="65"/>
      <c r="BA358" s="65"/>
      <c r="BB358" s="65"/>
      <c r="BC358" s="65"/>
      <c r="BD358" s="65"/>
      <c r="BE358" s="65"/>
      <c r="BF358" s="65"/>
      <c r="BG358" s="65"/>
      <c r="BH358" s="135"/>
      <c r="BI358" s="65"/>
      <c r="BJ358" s="65"/>
      <c r="BK358" s="65"/>
      <c r="BL358" s="65"/>
      <c r="BM358" s="65"/>
      <c r="BN358" s="65"/>
      <c r="BO358" s="65"/>
      <c r="BP358" s="65"/>
      <c r="BQ358" s="65"/>
      <c r="BR358" s="65"/>
      <c r="BS358" s="65"/>
      <c r="BT358" s="65"/>
      <c r="BU358" s="65"/>
      <c r="BV358" s="65"/>
      <c r="BW358" s="65"/>
      <c r="BX358" s="65"/>
      <c r="BY358" s="65"/>
      <c r="BZ358" s="65"/>
      <c r="CA358" s="65"/>
      <c r="CB358" s="65"/>
      <c r="CC358" s="65"/>
      <c r="CD358" s="65"/>
      <c r="CE358" s="65"/>
      <c r="CF358" s="65"/>
      <c r="CG358" s="65"/>
      <c r="CH358" s="0"/>
      <c r="CP358" s="0"/>
      <c r="CQ358" s="0"/>
      <c r="CR358" s="0"/>
      <c r="CS358" s="0"/>
      <c r="CT358" s="0"/>
      <c r="CU358" s="110"/>
      <c r="CV358" s="138"/>
      <c r="CW358" s="210"/>
      <c r="CX358" s="210"/>
      <c r="CY358" s="174" t="n">
        <f aca="false">EOMONTH(CY357,0)+1</f>
        <v>47088</v>
      </c>
      <c r="CZ358" s="175" t="n">
        <f aca="false">IF(AI358=0,CZ346,AH358+AI358)</f>
        <v>1</v>
      </c>
      <c r="DA358" s="175" t="n">
        <f aca="false">IF(AI358=0,DA346,AI358)</f>
        <v>1.25</v>
      </c>
      <c r="DB358" s="175" t="n">
        <f aca="false">IF(AI358=0,DB346,AI358+AJ358)</f>
        <v>1.55</v>
      </c>
      <c r="DD358" s="154" t="n">
        <f aca="false">IF(Z358=0,DD346,Z358)</f>
        <v>0.0638788843714456</v>
      </c>
      <c r="DE358" s="154" t="n">
        <f aca="false">IF(AA358=0,DE346,AA358)</f>
        <v>0.127757768742891</v>
      </c>
      <c r="DF358" s="154" t="n">
        <f aca="false">IF(AB358=0,DF346,AB358)</f>
        <v>0.191636653114337</v>
      </c>
      <c r="DG358" s="210"/>
      <c r="DH358" s="174" t="n">
        <f aca="false">IF(BH358=0,EOMONTH(DH357,0)+1,BH358)</f>
        <v>47088</v>
      </c>
      <c r="DI358" s="207" t="n">
        <f aca="false">IF(BI358=0,DI346,BI358)</f>
        <v>0.9</v>
      </c>
    </row>
    <row r="359" customFormat="false" ht="14.25" hidden="false" customHeight="false" outlineLevel="0" collapsed="false">
      <c r="A359" s="209" t="n">
        <f aca="false">EDATE(A358,1)</f>
        <v>56462</v>
      </c>
      <c r="B359" s="128" t="n">
        <f aca="false">'Gas Curves'!C363</f>
        <v>0.069990676052143</v>
      </c>
      <c r="C359" s="128"/>
      <c r="D359" s="65"/>
      <c r="E359" s="65"/>
      <c r="F359" s="65"/>
      <c r="G359" s="65"/>
      <c r="H359" s="65"/>
      <c r="I359" s="65"/>
      <c r="J359" s="65"/>
      <c r="K359" s="65"/>
      <c r="L359" s="65"/>
      <c r="M359" s="13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  <c r="AF359" s="65"/>
      <c r="AG359" s="65"/>
      <c r="AH359" s="65"/>
      <c r="AI359" s="65"/>
      <c r="AJ359" s="65"/>
      <c r="AK359" s="65"/>
      <c r="AL359" s="65"/>
      <c r="AM359" s="65"/>
      <c r="AN359" s="65"/>
      <c r="AO359" s="65"/>
      <c r="AP359" s="65"/>
      <c r="AQ359" s="65"/>
      <c r="AR359" s="65"/>
      <c r="AS359" s="65"/>
      <c r="AT359" s="65"/>
      <c r="AU359" s="65"/>
      <c r="AV359" s="65"/>
      <c r="AW359" s="65"/>
      <c r="AX359" s="65"/>
      <c r="AY359" s="65"/>
      <c r="AZ359" s="65"/>
      <c r="BA359" s="65"/>
      <c r="BB359" s="65"/>
      <c r="BC359" s="65"/>
      <c r="BD359" s="65"/>
      <c r="BE359" s="65"/>
      <c r="BF359" s="65"/>
      <c r="BG359" s="65"/>
      <c r="BH359" s="135"/>
      <c r="BI359" s="65"/>
      <c r="BJ359" s="65"/>
      <c r="BK359" s="65"/>
      <c r="BL359" s="65"/>
      <c r="BM359" s="65"/>
      <c r="BN359" s="65"/>
      <c r="BO359" s="65"/>
      <c r="BP359" s="65"/>
      <c r="BQ359" s="65"/>
      <c r="BR359" s="65"/>
      <c r="BS359" s="65"/>
      <c r="BT359" s="65"/>
      <c r="BU359" s="65"/>
      <c r="BV359" s="65"/>
      <c r="BW359" s="65"/>
      <c r="BX359" s="65"/>
      <c r="BY359" s="65"/>
      <c r="BZ359" s="65"/>
      <c r="CA359" s="65"/>
      <c r="CB359" s="65"/>
      <c r="CC359" s="65"/>
      <c r="CD359" s="65"/>
      <c r="CE359" s="65"/>
      <c r="CF359" s="65"/>
      <c r="CG359" s="65"/>
      <c r="CH359" s="0"/>
      <c r="CP359" s="0"/>
      <c r="CQ359" s="0"/>
      <c r="CR359" s="0"/>
      <c r="CS359" s="0"/>
      <c r="CT359" s="0"/>
      <c r="CU359" s="110"/>
      <c r="CV359" s="138"/>
      <c r="CW359" s="210"/>
      <c r="CX359" s="210"/>
      <c r="CY359" s="174" t="n">
        <f aca="false">EOMONTH(CY358,0)+1</f>
        <v>47119</v>
      </c>
      <c r="CZ359" s="175" t="n">
        <f aca="false">IF(AI359=0,CZ347,AH359+AI359)</f>
        <v>1</v>
      </c>
      <c r="DA359" s="175" t="n">
        <f aca="false">IF(AI359=0,DA347,AI359)</f>
        <v>1.25</v>
      </c>
      <c r="DB359" s="175" t="n">
        <f aca="false">IF(AI359=0,DB347,AI359+AJ359)</f>
        <v>1.55</v>
      </c>
      <c r="DD359" s="154" t="n">
        <f aca="false">IF(Z359=0,DD347,Z359)</f>
        <v>0.0942652295751635</v>
      </c>
      <c r="DE359" s="154" t="n">
        <f aca="false">IF(AA359=0,DE347,AA359)</f>
        <v>0.188530459150327</v>
      </c>
      <c r="DF359" s="154" t="n">
        <f aca="false">IF(AB359=0,DF347,AB359)</f>
        <v>0.28279568872549</v>
      </c>
      <c r="DG359" s="210"/>
      <c r="DH359" s="174" t="n">
        <f aca="false">IF(BH359=0,EOMONTH(DH358,0)+1,BH359)</f>
        <v>47119</v>
      </c>
      <c r="DI359" s="207" t="n">
        <f aca="false">IF(BI359=0,DI347,BI359)</f>
        <v>0.9</v>
      </c>
    </row>
    <row r="360" customFormat="false" ht="14.25" hidden="false" customHeight="false" outlineLevel="0" collapsed="false">
      <c r="A360" s="209" t="n">
        <f aca="false">EDATE(A359,1)</f>
        <v>56493</v>
      </c>
      <c r="B360" s="128" t="n">
        <f aca="false">'Gas Curves'!C364</f>
        <v>0.069978027416533</v>
      </c>
      <c r="C360" s="128"/>
      <c r="D360" s="65"/>
      <c r="E360" s="65"/>
      <c r="F360" s="65"/>
      <c r="G360" s="65"/>
      <c r="H360" s="65"/>
      <c r="I360" s="65"/>
      <c r="J360" s="65"/>
      <c r="K360" s="65"/>
      <c r="L360" s="65"/>
      <c r="M360" s="13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  <c r="AF360" s="65"/>
      <c r="AG360" s="65"/>
      <c r="AH360" s="65"/>
      <c r="AI360" s="65"/>
      <c r="AJ360" s="65"/>
      <c r="AK360" s="65"/>
      <c r="AL360" s="65"/>
      <c r="AM360" s="65"/>
      <c r="AN360" s="65"/>
      <c r="AO360" s="65"/>
      <c r="AP360" s="65"/>
      <c r="AQ360" s="65"/>
      <c r="AR360" s="65"/>
      <c r="AS360" s="65"/>
      <c r="AT360" s="65"/>
      <c r="AU360" s="65"/>
      <c r="AV360" s="65"/>
      <c r="AW360" s="65"/>
      <c r="AX360" s="65"/>
      <c r="AY360" s="65"/>
      <c r="AZ360" s="65"/>
      <c r="BA360" s="65"/>
      <c r="BB360" s="65"/>
      <c r="BC360" s="65"/>
      <c r="BD360" s="65"/>
      <c r="BE360" s="65"/>
      <c r="BF360" s="65"/>
      <c r="BG360" s="65"/>
      <c r="BH360" s="135"/>
      <c r="BI360" s="65"/>
      <c r="BJ360" s="65"/>
      <c r="BK360" s="65"/>
      <c r="BL360" s="65"/>
      <c r="BM360" s="65"/>
      <c r="BN360" s="65"/>
      <c r="BO360" s="65"/>
      <c r="BP360" s="65"/>
      <c r="BQ360" s="65"/>
      <c r="BR360" s="65"/>
      <c r="BS360" s="65"/>
      <c r="BT360" s="65"/>
      <c r="BU360" s="65"/>
      <c r="BV360" s="65"/>
      <c r="BW360" s="65"/>
      <c r="BX360" s="65"/>
      <c r="BY360" s="65"/>
      <c r="BZ360" s="65"/>
      <c r="CA360" s="65"/>
      <c r="CB360" s="65"/>
      <c r="CC360" s="65"/>
      <c r="CD360" s="65"/>
      <c r="CE360" s="65"/>
      <c r="CF360" s="65"/>
      <c r="CG360" s="65"/>
      <c r="CH360" s="0"/>
      <c r="CP360" s="0"/>
      <c r="CQ360" s="0"/>
      <c r="CR360" s="0"/>
      <c r="CS360" s="0"/>
      <c r="CT360" s="0"/>
      <c r="CU360" s="110"/>
      <c r="CV360" s="138"/>
      <c r="CW360" s="210"/>
      <c r="CX360" s="210"/>
      <c r="CY360" s="174" t="n">
        <f aca="false">EOMONTH(CY359,0)+1</f>
        <v>47150</v>
      </c>
      <c r="CZ360" s="175" t="n">
        <f aca="false">IF(AI360=0,CZ348,AH360+AI360)</f>
        <v>1</v>
      </c>
      <c r="DA360" s="175" t="n">
        <f aca="false">IF(AI360=0,DA348,AI360)</f>
        <v>1.25</v>
      </c>
      <c r="DB360" s="175" t="n">
        <f aca="false">IF(AI360=0,DB348,AI360+AJ360)</f>
        <v>1.55</v>
      </c>
      <c r="DD360" s="154" t="n">
        <f aca="false">IF(Z360=0,DD348,Z360)</f>
        <v>0.0910666090107368</v>
      </c>
      <c r="DE360" s="154" t="n">
        <f aca="false">IF(AA360=0,DE348,AA360)</f>
        <v>0.182133218021474</v>
      </c>
      <c r="DF360" s="154" t="n">
        <f aca="false">IF(AB360=0,DF348,AB360)</f>
        <v>0.27319982703221</v>
      </c>
      <c r="DG360" s="210"/>
      <c r="DH360" s="174" t="n">
        <f aca="false">IF(BH360=0,EOMONTH(DH359,0)+1,BH360)</f>
        <v>47150</v>
      </c>
      <c r="DI360" s="207" t="n">
        <f aca="false">IF(BI360=0,DI348,BI360)</f>
        <v>0.9</v>
      </c>
    </row>
    <row r="361" customFormat="false" ht="14.25" hidden="false" customHeight="false" outlineLevel="0" collapsed="false">
      <c r="A361" s="209" t="n">
        <f aca="false">EDATE(A360,1)</f>
        <v>56523</v>
      </c>
      <c r="B361" s="128" t="n">
        <f aca="false">'Gas Curves'!C365</f>
        <v>0.069965786801477</v>
      </c>
      <c r="C361" s="128"/>
      <c r="D361" s="65"/>
      <c r="E361" s="65"/>
      <c r="F361" s="65"/>
      <c r="G361" s="65"/>
      <c r="H361" s="65"/>
      <c r="I361" s="65"/>
      <c r="J361" s="65"/>
      <c r="K361" s="65"/>
      <c r="L361" s="65"/>
      <c r="M361" s="13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  <c r="AE361" s="65"/>
      <c r="AF361" s="65"/>
      <c r="AG361" s="65"/>
      <c r="AH361" s="65"/>
      <c r="AI361" s="65"/>
      <c r="AJ361" s="65"/>
      <c r="AK361" s="65"/>
      <c r="AL361" s="65"/>
      <c r="AM361" s="65"/>
      <c r="AN361" s="65"/>
      <c r="AO361" s="65"/>
      <c r="AP361" s="65"/>
      <c r="AQ361" s="65"/>
      <c r="AR361" s="65"/>
      <c r="AS361" s="65"/>
      <c r="AT361" s="65"/>
      <c r="AU361" s="65"/>
      <c r="AV361" s="65"/>
      <c r="AW361" s="65"/>
      <c r="AX361" s="65"/>
      <c r="AY361" s="65"/>
      <c r="AZ361" s="65"/>
      <c r="BA361" s="65"/>
      <c r="BB361" s="65"/>
      <c r="BC361" s="65"/>
      <c r="BD361" s="65"/>
      <c r="BE361" s="65"/>
      <c r="BF361" s="65"/>
      <c r="BG361" s="65"/>
      <c r="BH361" s="135"/>
      <c r="BI361" s="65"/>
      <c r="BJ361" s="65"/>
      <c r="BK361" s="65"/>
      <c r="BL361" s="65"/>
      <c r="BM361" s="65"/>
      <c r="BN361" s="65"/>
      <c r="BO361" s="65"/>
      <c r="BP361" s="65"/>
      <c r="BQ361" s="65"/>
      <c r="BR361" s="65"/>
      <c r="BS361" s="65"/>
      <c r="BT361" s="65"/>
      <c r="BU361" s="65"/>
      <c r="BV361" s="65"/>
      <c r="BW361" s="65"/>
      <c r="BX361" s="65"/>
      <c r="BY361" s="65"/>
      <c r="BZ361" s="65"/>
      <c r="CA361" s="65"/>
      <c r="CB361" s="65"/>
      <c r="CC361" s="65"/>
      <c r="CD361" s="65"/>
      <c r="CE361" s="65"/>
      <c r="CF361" s="65"/>
      <c r="CG361" s="65"/>
      <c r="CH361" s="0"/>
      <c r="CP361" s="0"/>
      <c r="CQ361" s="0"/>
      <c r="CR361" s="0"/>
      <c r="CS361" s="0"/>
      <c r="CT361" s="0"/>
      <c r="CU361" s="110"/>
      <c r="CV361" s="138"/>
      <c r="CW361" s="210"/>
      <c r="CX361" s="210"/>
      <c r="CY361" s="174" t="n">
        <f aca="false">EOMONTH(CY360,0)+1</f>
        <v>47178</v>
      </c>
      <c r="CZ361" s="175" t="n">
        <f aca="false">IF(AI361=0,CZ349,AH361+AI361)</f>
        <v>1</v>
      </c>
      <c r="DA361" s="175" t="n">
        <f aca="false">IF(AI361=0,DA349,AI361)</f>
        <v>1.25</v>
      </c>
      <c r="DB361" s="175" t="n">
        <f aca="false">IF(AI361=0,DB349,AI361+AJ361)</f>
        <v>1.55</v>
      </c>
      <c r="DD361" s="154" t="n">
        <f aca="false">IF(Z361=0,DD349,Z361)</f>
        <v>0.0721937023797812</v>
      </c>
      <c r="DE361" s="154" t="n">
        <f aca="false">IF(AA361=0,DE349,AA361)</f>
        <v>0.144387404759562</v>
      </c>
      <c r="DF361" s="154" t="n">
        <f aca="false">IF(AB361=0,DF349,AB361)</f>
        <v>0.216581107139343</v>
      </c>
      <c r="DG361" s="210"/>
      <c r="DH361" s="174" t="n">
        <f aca="false">IF(BH361=0,EOMONTH(DH360,0)+1,BH361)</f>
        <v>47178</v>
      </c>
      <c r="DI361" s="207" t="n">
        <f aca="false">IF(BI361=0,DI349,BI361)</f>
        <v>0.9</v>
      </c>
    </row>
    <row r="362" customFormat="false" ht="14.25" hidden="false" customHeight="false" outlineLevel="0" collapsed="false">
      <c r="A362" s="209" t="n">
        <f aca="false">EDATE(A361,1)</f>
        <v>56554</v>
      </c>
      <c r="B362" s="128" t="n">
        <f aca="false">'Gas Curves'!C366</f>
        <v>0.069953138165971</v>
      </c>
      <c r="C362" s="128"/>
      <c r="D362" s="65"/>
      <c r="E362" s="65"/>
      <c r="F362" s="65"/>
      <c r="G362" s="65"/>
      <c r="H362" s="65"/>
      <c r="I362" s="65"/>
      <c r="J362" s="65"/>
      <c r="K362" s="65"/>
      <c r="L362" s="65"/>
      <c r="M362" s="13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  <c r="AF362" s="65"/>
      <c r="AG362" s="65"/>
      <c r="AH362" s="65"/>
      <c r="AI362" s="65"/>
      <c r="AJ362" s="65"/>
      <c r="AK362" s="65"/>
      <c r="AL362" s="65"/>
      <c r="AM362" s="65"/>
      <c r="AN362" s="65"/>
      <c r="AO362" s="65"/>
      <c r="AP362" s="65"/>
      <c r="AQ362" s="65"/>
      <c r="AR362" s="65"/>
      <c r="AS362" s="65"/>
      <c r="AT362" s="65"/>
      <c r="AU362" s="65"/>
      <c r="AV362" s="65"/>
      <c r="AW362" s="65"/>
      <c r="AX362" s="65"/>
      <c r="AY362" s="65"/>
      <c r="AZ362" s="65"/>
      <c r="BA362" s="65"/>
      <c r="BB362" s="65"/>
      <c r="BC362" s="65"/>
      <c r="BD362" s="65"/>
      <c r="BE362" s="65"/>
      <c r="BF362" s="65"/>
      <c r="BG362" s="65"/>
      <c r="BH362" s="135"/>
      <c r="BI362" s="65"/>
      <c r="BJ362" s="65"/>
      <c r="BK362" s="65"/>
      <c r="BL362" s="65"/>
      <c r="BM362" s="65"/>
      <c r="BN362" s="65"/>
      <c r="BO362" s="65"/>
      <c r="BP362" s="65"/>
      <c r="BQ362" s="65"/>
      <c r="BR362" s="65"/>
      <c r="BS362" s="65"/>
      <c r="BT362" s="65"/>
      <c r="BU362" s="65"/>
      <c r="BV362" s="65"/>
      <c r="BW362" s="65"/>
      <c r="BX362" s="65"/>
      <c r="BY362" s="65"/>
      <c r="BZ362" s="65"/>
      <c r="CA362" s="65"/>
      <c r="CB362" s="65"/>
      <c r="CC362" s="65"/>
      <c r="CD362" s="65"/>
      <c r="CE362" s="65"/>
      <c r="CF362" s="65"/>
      <c r="CG362" s="65"/>
      <c r="CH362" s="0"/>
      <c r="CP362" s="0"/>
      <c r="CQ362" s="0"/>
      <c r="CR362" s="0"/>
      <c r="CS362" s="0"/>
      <c r="CT362" s="0"/>
      <c r="CU362" s="110"/>
      <c r="CV362" s="138"/>
      <c r="CW362" s="210"/>
      <c r="CX362" s="210"/>
      <c r="CY362" s="174" t="n">
        <f aca="false">EOMONTH(CY361,0)+1</f>
        <v>47209</v>
      </c>
      <c r="CZ362" s="175" t="n">
        <f aca="false">IF(AI362=0,CZ350,AH362+AI362)</f>
        <v>0</v>
      </c>
      <c r="DA362" s="175" t="n">
        <f aca="false">IF(AI362=0,DA350,AI362)</f>
        <v>0</v>
      </c>
      <c r="DB362" s="175" t="n">
        <f aca="false">IF(AI362=0,DB350,AI362+AJ362)</f>
        <v>0</v>
      </c>
      <c r="DD362" s="154" t="n">
        <f aca="false">IF(Z362=0,DD350,Z362)</f>
        <v>0</v>
      </c>
      <c r="DE362" s="154" t="n">
        <f aca="false">IF(AA362=0,DE350,AA362)</f>
        <v>0</v>
      </c>
      <c r="DF362" s="154" t="n">
        <f aca="false">IF(AB362=0,DF350,AB362)</f>
        <v>0</v>
      </c>
      <c r="DG362" s="210"/>
      <c r="DH362" s="174" t="n">
        <f aca="false">IF(BH362=0,EOMONTH(DH361,0)+1,BH362)</f>
        <v>47209</v>
      </c>
      <c r="DI362" s="207" t="n">
        <f aca="false">IF(BI362=0,DI350,BI362)</f>
        <v>0</v>
      </c>
    </row>
    <row r="363" customFormat="false" ht="14.25" hidden="false" customHeight="false" outlineLevel="0" collapsed="false">
      <c r="A363" s="209" t="n">
        <f aca="false">EDATE(A362,1)</f>
        <v>56584</v>
      </c>
      <c r="B363" s="128" t="n">
        <f aca="false">'Gas Curves'!C367</f>
        <v>0.069940897551016</v>
      </c>
      <c r="C363" s="128"/>
      <c r="D363" s="65"/>
      <c r="E363" s="65"/>
      <c r="F363" s="65"/>
      <c r="G363" s="65"/>
      <c r="H363" s="65"/>
      <c r="I363" s="65"/>
      <c r="J363" s="65"/>
      <c r="K363" s="65"/>
      <c r="L363" s="65"/>
      <c r="M363" s="13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  <c r="AF363" s="65"/>
      <c r="AG363" s="65"/>
      <c r="AH363" s="65"/>
      <c r="AI363" s="65"/>
      <c r="AJ363" s="65"/>
      <c r="AK363" s="65"/>
      <c r="AL363" s="65"/>
      <c r="AM363" s="65"/>
      <c r="AN363" s="65"/>
      <c r="AO363" s="65"/>
      <c r="AP363" s="65"/>
      <c r="AQ363" s="65"/>
      <c r="AR363" s="65"/>
      <c r="AS363" s="65"/>
      <c r="AT363" s="65"/>
      <c r="AU363" s="65"/>
      <c r="AV363" s="65"/>
      <c r="AW363" s="65"/>
      <c r="AX363" s="65"/>
      <c r="AY363" s="65"/>
      <c r="AZ363" s="65"/>
      <c r="BA363" s="65"/>
      <c r="BB363" s="65"/>
      <c r="BC363" s="65"/>
      <c r="BD363" s="65"/>
      <c r="BE363" s="65"/>
      <c r="BF363" s="65"/>
      <c r="BG363" s="65"/>
      <c r="BH363" s="135"/>
      <c r="BI363" s="65"/>
      <c r="BJ363" s="65"/>
      <c r="BK363" s="65"/>
      <c r="BL363" s="65"/>
      <c r="BM363" s="65"/>
      <c r="BN363" s="65"/>
      <c r="BO363" s="65"/>
      <c r="BP363" s="65"/>
      <c r="BQ363" s="65"/>
      <c r="BR363" s="65"/>
      <c r="BS363" s="65"/>
      <c r="BT363" s="65"/>
      <c r="BU363" s="65"/>
      <c r="BV363" s="65"/>
      <c r="BW363" s="65"/>
      <c r="BX363" s="65"/>
      <c r="BY363" s="65"/>
      <c r="BZ363" s="65"/>
      <c r="CA363" s="65"/>
      <c r="CB363" s="65"/>
      <c r="CC363" s="65"/>
      <c r="CD363" s="65"/>
      <c r="CE363" s="65"/>
      <c r="CF363" s="65"/>
      <c r="CG363" s="65"/>
      <c r="CH363" s="0"/>
      <c r="CP363" s="0"/>
      <c r="CQ363" s="0"/>
      <c r="CR363" s="0"/>
      <c r="CS363" s="0"/>
      <c r="CT363" s="0"/>
      <c r="CU363" s="110"/>
      <c r="CV363" s="138"/>
      <c r="CW363" s="210"/>
      <c r="CX363" s="210"/>
      <c r="CY363" s="174" t="n">
        <f aca="false">EOMONTH(CY362,0)+1</f>
        <v>47239</v>
      </c>
      <c r="CZ363" s="175" t="n">
        <f aca="false">IF(AI363=0,CZ351,AH363+AI363)</f>
        <v>1</v>
      </c>
      <c r="DA363" s="175" t="n">
        <f aca="false">IF(AI363=0,DA351,AI363)</f>
        <v>1.25</v>
      </c>
      <c r="DB363" s="175" t="n">
        <f aca="false">IF(AI363=0,DB351,AI363+AJ363)</f>
        <v>1.55</v>
      </c>
      <c r="DD363" s="154" t="n">
        <f aca="false">IF(Z363=0,DD351,Z363)</f>
        <v>0.079836777060087</v>
      </c>
      <c r="DE363" s="154" t="n">
        <f aca="false">IF(AA363=0,DE351,AA363)</f>
        <v>0.159673554120174</v>
      </c>
      <c r="DF363" s="154" t="n">
        <f aca="false">IF(AB363=0,DF351,AB363)</f>
        <v>0.239510331180261</v>
      </c>
      <c r="DG363" s="210"/>
      <c r="DH363" s="174" t="n">
        <f aca="false">IF(BH363=0,EOMONTH(DH362,0)+1,BH363)</f>
        <v>47239</v>
      </c>
      <c r="DI363" s="207" t="n">
        <f aca="false">IF(BI363=0,DI351,BI363)</f>
        <v>0.9</v>
      </c>
    </row>
    <row r="364" customFormat="false" ht="14.25" hidden="false" customHeight="false" outlineLevel="0" collapsed="false">
      <c r="A364" s="209" t="n">
        <f aca="false">EDATE(A363,1)</f>
        <v>56615</v>
      </c>
      <c r="B364" s="128" t="n">
        <f aca="false">'Gas Curves'!C368</f>
        <v>0.069928248915614</v>
      </c>
      <c r="C364" s="128"/>
      <c r="D364" s="65"/>
      <c r="E364" s="65"/>
      <c r="F364" s="65"/>
      <c r="G364" s="65"/>
      <c r="H364" s="65"/>
      <c r="I364" s="65"/>
      <c r="J364" s="65"/>
      <c r="K364" s="65"/>
      <c r="L364" s="65"/>
      <c r="M364" s="13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  <c r="AJ364" s="65"/>
      <c r="AK364" s="65"/>
      <c r="AL364" s="65"/>
      <c r="AM364" s="65"/>
      <c r="AN364" s="65"/>
      <c r="AO364" s="65"/>
      <c r="AP364" s="65"/>
      <c r="AQ364" s="65"/>
      <c r="AR364" s="65"/>
      <c r="AS364" s="65"/>
      <c r="AT364" s="65"/>
      <c r="AU364" s="65"/>
      <c r="AV364" s="65"/>
      <c r="AW364" s="65"/>
      <c r="AX364" s="65"/>
      <c r="AY364" s="65"/>
      <c r="AZ364" s="65"/>
      <c r="BA364" s="65"/>
      <c r="BB364" s="65"/>
      <c r="BC364" s="65"/>
      <c r="BD364" s="65"/>
      <c r="BE364" s="65"/>
      <c r="BF364" s="65"/>
      <c r="BG364" s="65"/>
      <c r="BH364" s="135"/>
      <c r="BI364" s="65"/>
      <c r="BJ364" s="65"/>
      <c r="BK364" s="65"/>
      <c r="BL364" s="65"/>
      <c r="BM364" s="65"/>
      <c r="BN364" s="65"/>
      <c r="BO364" s="65"/>
      <c r="BP364" s="65"/>
      <c r="BQ364" s="65"/>
      <c r="BR364" s="65"/>
      <c r="BS364" s="65"/>
      <c r="BT364" s="65"/>
      <c r="BU364" s="65"/>
      <c r="BV364" s="65"/>
      <c r="BW364" s="65"/>
      <c r="BX364" s="65"/>
      <c r="BY364" s="65"/>
      <c r="BZ364" s="65"/>
      <c r="CA364" s="65"/>
      <c r="CB364" s="65"/>
      <c r="CC364" s="65"/>
      <c r="CD364" s="65"/>
      <c r="CE364" s="65"/>
      <c r="CF364" s="65"/>
      <c r="CG364" s="65"/>
      <c r="CH364" s="0"/>
      <c r="CP364" s="0"/>
      <c r="CQ364" s="0"/>
      <c r="CR364" s="0"/>
      <c r="CS364" s="0"/>
      <c r="CT364" s="0"/>
      <c r="CU364" s="110"/>
      <c r="CV364" s="138"/>
      <c r="CW364" s="210"/>
      <c r="CX364" s="210"/>
      <c r="CY364" s="174" t="n">
        <f aca="false">EOMONTH(CY363,0)+1</f>
        <v>47270</v>
      </c>
      <c r="CZ364" s="175" t="n">
        <f aca="false">IF(AI364=0,CZ352,AH364+AI364)</f>
        <v>1</v>
      </c>
      <c r="DA364" s="175" t="n">
        <f aca="false">IF(AI364=0,DA352,AI364)</f>
        <v>1.25</v>
      </c>
      <c r="DB364" s="175" t="n">
        <f aca="false">IF(AI364=0,DB352,AI364+AJ364)</f>
        <v>1.55</v>
      </c>
      <c r="DD364" s="154" t="n">
        <f aca="false">IF(Z364=0,DD352,Z364)</f>
        <v>0.085380172451756</v>
      </c>
      <c r="DE364" s="154" t="n">
        <f aca="false">IF(AA364=0,DE352,AA364)</f>
        <v>0.170760344903512</v>
      </c>
      <c r="DF364" s="154" t="n">
        <f aca="false">IF(AB364=0,DF352,AB364)</f>
        <v>0.256140517355268</v>
      </c>
      <c r="DG364" s="210"/>
      <c r="DH364" s="174" t="n">
        <f aca="false">IF(BH364=0,EOMONTH(DH363,0)+1,BH364)</f>
        <v>47270</v>
      </c>
      <c r="DI364" s="207" t="n">
        <f aca="false">IF(BI364=0,DI352,BI364)</f>
        <v>0.9</v>
      </c>
    </row>
    <row r="365" customFormat="false" ht="14.25" hidden="false" customHeight="false" outlineLevel="0" collapsed="false">
      <c r="A365" s="209" t="n">
        <f aca="false">EDATE(A364,1)</f>
        <v>56646</v>
      </c>
      <c r="B365" s="128" t="n">
        <f aca="false">'Gas Curves'!C369</f>
        <v>0.069915600280264</v>
      </c>
      <c r="C365" s="128"/>
      <c r="D365" s="65"/>
      <c r="E365" s="65"/>
      <c r="F365" s="65"/>
      <c r="G365" s="65"/>
      <c r="H365" s="65"/>
      <c r="I365" s="65"/>
      <c r="J365" s="65"/>
      <c r="K365" s="65"/>
      <c r="L365" s="65"/>
      <c r="M365" s="13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  <c r="AE365" s="65"/>
      <c r="AF365" s="65"/>
      <c r="AG365" s="65"/>
      <c r="AH365" s="65"/>
      <c r="AI365" s="65"/>
      <c r="AJ365" s="65"/>
      <c r="AK365" s="65"/>
      <c r="AL365" s="65"/>
      <c r="AM365" s="65"/>
      <c r="AN365" s="65"/>
      <c r="AO365" s="65"/>
      <c r="AP365" s="65"/>
      <c r="AQ365" s="65"/>
      <c r="AR365" s="65"/>
      <c r="AS365" s="65"/>
      <c r="AT365" s="65"/>
      <c r="AU365" s="65"/>
      <c r="AV365" s="65"/>
      <c r="AW365" s="65"/>
      <c r="AX365" s="65"/>
      <c r="AY365" s="65"/>
      <c r="AZ365" s="65"/>
      <c r="BA365" s="65"/>
      <c r="BB365" s="65"/>
      <c r="BC365" s="65"/>
      <c r="BD365" s="65"/>
      <c r="BE365" s="65"/>
      <c r="BF365" s="65"/>
      <c r="BG365" s="65"/>
      <c r="BH365" s="135"/>
      <c r="BI365" s="65"/>
      <c r="BJ365" s="65"/>
      <c r="BK365" s="65"/>
      <c r="BL365" s="65"/>
      <c r="BM365" s="65"/>
      <c r="BN365" s="65"/>
      <c r="BO365" s="65"/>
      <c r="BP365" s="65"/>
      <c r="BQ365" s="65"/>
      <c r="BR365" s="65"/>
      <c r="BS365" s="65"/>
      <c r="BT365" s="65"/>
      <c r="BU365" s="65"/>
      <c r="BV365" s="65"/>
      <c r="BW365" s="65"/>
      <c r="BX365" s="65"/>
      <c r="BY365" s="65"/>
      <c r="BZ365" s="65"/>
      <c r="CA365" s="65"/>
      <c r="CB365" s="65"/>
      <c r="CC365" s="65"/>
      <c r="CD365" s="65"/>
      <c r="CE365" s="65"/>
      <c r="CF365" s="65"/>
      <c r="CG365" s="65"/>
      <c r="CH365" s="0"/>
      <c r="CP365" s="0"/>
      <c r="CQ365" s="0"/>
      <c r="CR365" s="0"/>
      <c r="CS365" s="0"/>
      <c r="CT365" s="0"/>
      <c r="CU365" s="110"/>
      <c r="CV365" s="138"/>
      <c r="CW365" s="210"/>
      <c r="CX365" s="210"/>
      <c r="CY365" s="174" t="n">
        <f aca="false">EOMONTH(CY364,0)+1</f>
        <v>47300</v>
      </c>
      <c r="CZ365" s="175" t="n">
        <f aca="false">IF(AI365=0,CZ353,AH365+AI365)</f>
        <v>1</v>
      </c>
      <c r="DA365" s="175" t="n">
        <f aca="false">IF(AI365=0,DA353,AI365)</f>
        <v>1.25</v>
      </c>
      <c r="DB365" s="175" t="n">
        <f aca="false">IF(AI365=0,DB353,AI365+AJ365)</f>
        <v>1.55</v>
      </c>
      <c r="DD365" s="154" t="n">
        <f aca="false">IF(Z365=0,DD353,Z365)</f>
        <v>0.101692367108662</v>
      </c>
      <c r="DE365" s="154" t="n">
        <f aca="false">IF(AA365=0,DE353,AA365)</f>
        <v>0.203384734217324</v>
      </c>
      <c r="DF365" s="154" t="n">
        <f aca="false">IF(AB365=0,DF353,AB365)</f>
        <v>0.305077101325986</v>
      </c>
      <c r="DG365" s="210"/>
      <c r="DH365" s="174" t="n">
        <f aca="false">IF(BH365=0,EOMONTH(DH364,0)+1,BH365)</f>
        <v>47300</v>
      </c>
      <c r="DI365" s="207" t="n">
        <f aca="false">IF(BI365=0,DI353,BI365)</f>
        <v>0.9</v>
      </c>
    </row>
    <row r="366" customFormat="false" ht="14.25" hidden="false" customHeight="false" outlineLevel="0" collapsed="false">
      <c r="A366" s="209" t="n">
        <f aca="false">EDATE(A365,1)</f>
        <v>56674</v>
      </c>
      <c r="B366" s="128" t="n">
        <f aca="false">'Gas Curves'!C370</f>
        <v>0.069904175706446</v>
      </c>
      <c r="C366" s="128"/>
      <c r="D366" s="65"/>
      <c r="E366" s="65"/>
      <c r="F366" s="65"/>
      <c r="G366" s="65"/>
      <c r="H366" s="65"/>
      <c r="I366" s="65"/>
      <c r="J366" s="65"/>
      <c r="K366" s="65"/>
      <c r="L366" s="65"/>
      <c r="M366" s="13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  <c r="AD366" s="65"/>
      <c r="AE366" s="65"/>
      <c r="AF366" s="65"/>
      <c r="AG366" s="65"/>
      <c r="AH366" s="65"/>
      <c r="AI366" s="65"/>
      <c r="AJ366" s="65"/>
      <c r="AK366" s="65"/>
      <c r="AL366" s="65"/>
      <c r="AM366" s="65"/>
      <c r="AN366" s="65"/>
      <c r="AO366" s="65"/>
      <c r="AP366" s="65"/>
      <c r="AQ366" s="65"/>
      <c r="AR366" s="65"/>
      <c r="AS366" s="65"/>
      <c r="AT366" s="65"/>
      <c r="AU366" s="65"/>
      <c r="AV366" s="65"/>
      <c r="AW366" s="65"/>
      <c r="AX366" s="65"/>
      <c r="AY366" s="65"/>
      <c r="AZ366" s="65"/>
      <c r="BA366" s="65"/>
      <c r="BB366" s="65"/>
      <c r="BC366" s="65"/>
      <c r="BD366" s="65"/>
      <c r="BE366" s="65"/>
      <c r="BF366" s="65"/>
      <c r="BG366" s="65"/>
      <c r="BH366" s="135"/>
      <c r="BI366" s="65"/>
      <c r="BJ366" s="65"/>
      <c r="BK366" s="65"/>
      <c r="BL366" s="65"/>
      <c r="BM366" s="65"/>
      <c r="BN366" s="65"/>
      <c r="BO366" s="65"/>
      <c r="BP366" s="65"/>
      <c r="BQ366" s="65"/>
      <c r="BR366" s="65"/>
      <c r="BS366" s="65"/>
      <c r="BT366" s="65"/>
      <c r="BU366" s="65"/>
      <c r="BV366" s="65"/>
      <c r="BW366" s="65"/>
      <c r="BX366" s="65"/>
      <c r="BY366" s="65"/>
      <c r="BZ366" s="65"/>
      <c r="CA366" s="65"/>
      <c r="CB366" s="65"/>
      <c r="CC366" s="65"/>
      <c r="CD366" s="65"/>
      <c r="CE366" s="65"/>
      <c r="CF366" s="65"/>
      <c r="CG366" s="65"/>
      <c r="CH366" s="0"/>
      <c r="CP366" s="0"/>
      <c r="CQ366" s="0"/>
      <c r="CR366" s="0"/>
      <c r="CS366" s="0"/>
      <c r="CT366" s="0"/>
      <c r="CU366" s="110"/>
      <c r="CV366" s="138"/>
      <c r="CW366" s="210"/>
      <c r="CX366" s="210"/>
      <c r="CY366" s="174" t="n">
        <f aca="false">EOMONTH(CY365,0)+1</f>
        <v>47331</v>
      </c>
      <c r="CZ366" s="175" t="n">
        <f aca="false">IF(AI366=0,CZ354,AH366+AI366)</f>
        <v>1</v>
      </c>
      <c r="DA366" s="175" t="n">
        <f aca="false">IF(AI366=0,DA354,AI366)</f>
        <v>1.25</v>
      </c>
      <c r="DB366" s="175" t="n">
        <f aca="false">IF(AI366=0,DB354,AI366+AJ366)</f>
        <v>1.55</v>
      </c>
      <c r="DD366" s="154" t="n">
        <f aca="false">IF(Z366=0,DD354,Z366)</f>
        <v>0.0994642258486125</v>
      </c>
      <c r="DE366" s="154" t="n">
        <f aca="false">IF(AA366=0,DE354,AA366)</f>
        <v>0.198928451697225</v>
      </c>
      <c r="DF366" s="154" t="n">
        <f aca="false">IF(AB366=0,DF354,AB366)</f>
        <v>0.298392677545837</v>
      </c>
      <c r="DG366" s="210"/>
      <c r="DH366" s="174" t="n">
        <f aca="false">IF(BH366=0,EOMONTH(DH365,0)+1,BH366)</f>
        <v>47331</v>
      </c>
      <c r="DI366" s="207" t="n">
        <f aca="false">IF(BI366=0,DI354,BI366)</f>
        <v>0.9</v>
      </c>
    </row>
    <row r="367" customFormat="false" ht="14.25" hidden="false" customHeight="false" outlineLevel="0" collapsed="false">
      <c r="A367" s="209" t="n">
        <f aca="false">EDATE(A366,1)</f>
        <v>56705</v>
      </c>
      <c r="B367" s="128" t="n">
        <f aca="false">'Gas Curves'!C371</f>
        <v>0.069891527071198</v>
      </c>
      <c r="C367" s="128"/>
      <c r="D367" s="65"/>
      <c r="E367" s="65"/>
      <c r="F367" s="65"/>
      <c r="G367" s="65"/>
      <c r="H367" s="65"/>
      <c r="I367" s="65"/>
      <c r="J367" s="65"/>
      <c r="K367" s="65"/>
      <c r="L367" s="65"/>
      <c r="M367" s="13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  <c r="AD367" s="65"/>
      <c r="AE367" s="65"/>
      <c r="AF367" s="65"/>
      <c r="AG367" s="65"/>
      <c r="AH367" s="65"/>
      <c r="AI367" s="65"/>
      <c r="AJ367" s="65"/>
      <c r="AK367" s="65"/>
      <c r="AL367" s="65"/>
      <c r="AM367" s="65"/>
      <c r="AN367" s="65"/>
      <c r="AO367" s="65"/>
      <c r="AP367" s="65"/>
      <c r="AQ367" s="65"/>
      <c r="AR367" s="65"/>
      <c r="AS367" s="65"/>
      <c r="AT367" s="65"/>
      <c r="AU367" s="65"/>
      <c r="AV367" s="65"/>
      <c r="AW367" s="65"/>
      <c r="AX367" s="65"/>
      <c r="AY367" s="65"/>
      <c r="AZ367" s="65"/>
      <c r="BA367" s="65"/>
      <c r="BB367" s="65"/>
      <c r="BC367" s="65"/>
      <c r="BD367" s="65"/>
      <c r="BE367" s="65"/>
      <c r="BF367" s="65"/>
      <c r="BG367" s="65"/>
      <c r="BH367" s="135"/>
      <c r="BI367" s="65"/>
      <c r="BJ367" s="65"/>
      <c r="BK367" s="65"/>
      <c r="BL367" s="65"/>
      <c r="BM367" s="65"/>
      <c r="BN367" s="65"/>
      <c r="BO367" s="65"/>
      <c r="BP367" s="65"/>
      <c r="BQ367" s="65"/>
      <c r="BR367" s="65"/>
      <c r="BS367" s="65"/>
      <c r="BT367" s="65"/>
      <c r="BU367" s="65"/>
      <c r="BV367" s="65"/>
      <c r="BW367" s="65"/>
      <c r="BX367" s="65"/>
      <c r="BY367" s="65"/>
      <c r="BZ367" s="65"/>
      <c r="CA367" s="65"/>
      <c r="CB367" s="65"/>
      <c r="CC367" s="65"/>
      <c r="CD367" s="65"/>
      <c r="CE367" s="65"/>
      <c r="CF367" s="65"/>
      <c r="CG367" s="65"/>
      <c r="CH367" s="0"/>
      <c r="CP367" s="0"/>
      <c r="CQ367" s="0"/>
      <c r="CR367" s="0"/>
      <c r="CS367" s="0"/>
      <c r="CT367" s="0"/>
      <c r="CU367" s="110"/>
      <c r="CV367" s="138"/>
      <c r="CW367" s="210"/>
      <c r="CX367" s="210"/>
      <c r="CY367" s="174" t="n">
        <f aca="false">EOMONTH(CY366,0)+1</f>
        <v>47362</v>
      </c>
      <c r="CZ367" s="175" t="n">
        <f aca="false">IF(AI367=0,CZ355,AH367+AI367)</f>
        <v>1</v>
      </c>
      <c r="DA367" s="175" t="n">
        <f aca="false">IF(AI367=0,DA355,AI367)</f>
        <v>1.25</v>
      </c>
      <c r="DB367" s="175" t="n">
        <f aca="false">IF(AI367=0,DB355,AI367+AJ367)</f>
        <v>1.55</v>
      </c>
      <c r="DD367" s="154" t="n">
        <f aca="false">IF(Z367=0,DD355,Z367)</f>
        <v>0.0753606888398985</v>
      </c>
      <c r="DE367" s="154" t="n">
        <f aca="false">IF(AA367=0,DE355,AA367)</f>
        <v>0.150721377679797</v>
      </c>
      <c r="DF367" s="154" t="n">
        <f aca="false">IF(AB367=0,DF355,AB367)</f>
        <v>0.226082066519696</v>
      </c>
      <c r="DG367" s="210"/>
      <c r="DH367" s="174" t="n">
        <f aca="false">IF(BH367=0,EOMONTH(DH366,0)+1,BH367)</f>
        <v>47362</v>
      </c>
      <c r="DI367" s="207" t="n">
        <f aca="false">IF(BI367=0,DI355,BI367)</f>
        <v>0.9</v>
      </c>
    </row>
    <row r="368" customFormat="false" ht="14.25" hidden="false" customHeight="false" outlineLevel="0" collapsed="false">
      <c r="A368" s="209" t="n">
        <f aca="false">EDATE(A367,1)</f>
        <v>56735</v>
      </c>
      <c r="B368" s="128" t="n">
        <f aca="false">'Gas Curves'!C372</f>
        <v>0.069879286456492</v>
      </c>
      <c r="C368" s="128"/>
      <c r="D368" s="65"/>
      <c r="E368" s="65"/>
      <c r="F368" s="65"/>
      <c r="G368" s="65"/>
      <c r="H368" s="65"/>
      <c r="I368" s="65"/>
      <c r="J368" s="65"/>
      <c r="K368" s="65"/>
      <c r="L368" s="65"/>
      <c r="M368" s="13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  <c r="AE368" s="65"/>
      <c r="AF368" s="65"/>
      <c r="AG368" s="65"/>
      <c r="AH368" s="65"/>
      <c r="AI368" s="65"/>
      <c r="AJ368" s="65"/>
      <c r="AK368" s="65"/>
      <c r="AL368" s="65"/>
      <c r="AM368" s="65"/>
      <c r="AN368" s="65"/>
      <c r="AO368" s="65"/>
      <c r="AP368" s="65"/>
      <c r="AQ368" s="65"/>
      <c r="AR368" s="65"/>
      <c r="AS368" s="65"/>
      <c r="AT368" s="65"/>
      <c r="AU368" s="65"/>
      <c r="AV368" s="65"/>
      <c r="AW368" s="65"/>
      <c r="AX368" s="65"/>
      <c r="AY368" s="65"/>
      <c r="AZ368" s="65"/>
      <c r="BA368" s="65"/>
      <c r="BB368" s="65"/>
      <c r="BC368" s="65"/>
      <c r="BD368" s="65"/>
      <c r="BE368" s="65"/>
      <c r="BF368" s="65"/>
      <c r="BG368" s="65"/>
      <c r="BH368" s="135"/>
      <c r="BI368" s="65"/>
      <c r="BJ368" s="65"/>
      <c r="BK368" s="65"/>
      <c r="BL368" s="65"/>
      <c r="BM368" s="65"/>
      <c r="BN368" s="65"/>
      <c r="BO368" s="65"/>
      <c r="BP368" s="65"/>
      <c r="BQ368" s="65"/>
      <c r="BR368" s="65"/>
      <c r="BS368" s="65"/>
      <c r="BT368" s="65"/>
      <c r="BU368" s="65"/>
      <c r="BV368" s="65"/>
      <c r="BW368" s="65"/>
      <c r="BX368" s="65"/>
      <c r="BY368" s="65"/>
      <c r="BZ368" s="65"/>
      <c r="CA368" s="65"/>
      <c r="CB368" s="65"/>
      <c r="CC368" s="65"/>
      <c r="CD368" s="65"/>
      <c r="CE368" s="65"/>
      <c r="CF368" s="65"/>
      <c r="CG368" s="65"/>
      <c r="CH368" s="0"/>
      <c r="CP368" s="0"/>
      <c r="CQ368" s="0"/>
      <c r="CR368" s="0"/>
      <c r="CS368" s="0"/>
      <c r="CT368" s="0"/>
      <c r="CU368" s="110"/>
      <c r="CV368" s="138"/>
      <c r="CW368" s="210"/>
      <c r="CX368" s="210"/>
      <c r="CY368" s="174" t="n">
        <f aca="false">EOMONTH(CY367,0)+1</f>
        <v>47392</v>
      </c>
      <c r="CZ368" s="175" t="n">
        <f aca="false">IF(AI368=0,CZ356,AH368+AI368)</f>
        <v>1</v>
      </c>
      <c r="DA368" s="175" t="n">
        <f aca="false">IF(AI368=0,DA356,AI368)</f>
        <v>1.25</v>
      </c>
      <c r="DB368" s="175" t="n">
        <f aca="false">IF(AI368=0,DB356,AI368+AJ368)</f>
        <v>1.55</v>
      </c>
      <c r="DD368" s="154" t="n">
        <f aca="false">IF(Z368=0,DD356,Z368)</f>
        <v>0.0651800088356474</v>
      </c>
      <c r="DE368" s="154" t="n">
        <f aca="false">IF(AA368=0,DE356,AA368)</f>
        <v>0.130360017671295</v>
      </c>
      <c r="DF368" s="154" t="n">
        <f aca="false">IF(AB368=0,DF356,AB368)</f>
        <v>0.195540026506942</v>
      </c>
      <c r="DG368" s="210"/>
      <c r="DH368" s="174" t="n">
        <f aca="false">IF(BH368=0,EOMONTH(DH367,0)+1,BH368)</f>
        <v>47392</v>
      </c>
      <c r="DI368" s="207" t="n">
        <f aca="false">IF(BI368=0,DI356,BI368)</f>
        <v>0.9</v>
      </c>
    </row>
    <row r="369" customFormat="false" ht="14.25" hidden="false" customHeight="false" outlineLevel="0" collapsed="false">
      <c r="A369" s="209" t="n">
        <f aca="false">EDATE(A368,1)</f>
        <v>56766</v>
      </c>
      <c r="B369" s="128" t="n">
        <f aca="false">'Gas Curves'!C373</f>
        <v>0.069866637821347</v>
      </c>
      <c r="C369" s="128"/>
      <c r="D369" s="65"/>
      <c r="E369" s="65"/>
      <c r="F369" s="65"/>
      <c r="G369" s="65"/>
      <c r="H369" s="65"/>
      <c r="I369" s="65"/>
      <c r="J369" s="65"/>
      <c r="K369" s="65"/>
      <c r="L369" s="65"/>
      <c r="M369" s="13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  <c r="AD369" s="65"/>
      <c r="AE369" s="65"/>
      <c r="AF369" s="65"/>
      <c r="AG369" s="65"/>
      <c r="AH369" s="65"/>
      <c r="AI369" s="65"/>
      <c r="AJ369" s="65"/>
      <c r="AK369" s="65"/>
      <c r="AL369" s="65"/>
      <c r="AM369" s="65"/>
      <c r="AN369" s="65"/>
      <c r="AO369" s="65"/>
      <c r="AP369" s="65"/>
      <c r="AQ369" s="65"/>
      <c r="AR369" s="65"/>
      <c r="AS369" s="65"/>
      <c r="AT369" s="65"/>
      <c r="AU369" s="65"/>
      <c r="AV369" s="65"/>
      <c r="AW369" s="65"/>
      <c r="AX369" s="65"/>
      <c r="AY369" s="65"/>
      <c r="AZ369" s="65"/>
      <c r="BA369" s="65"/>
      <c r="BB369" s="65"/>
      <c r="BC369" s="65"/>
      <c r="BD369" s="65"/>
      <c r="BE369" s="65"/>
      <c r="BF369" s="65"/>
      <c r="BG369" s="65"/>
      <c r="BH369" s="135"/>
      <c r="BI369" s="65"/>
      <c r="BJ369" s="65"/>
      <c r="BK369" s="65"/>
      <c r="BL369" s="65"/>
      <c r="BM369" s="65"/>
      <c r="BN369" s="65"/>
      <c r="BO369" s="65"/>
      <c r="BP369" s="65"/>
      <c r="BQ369" s="65"/>
      <c r="BR369" s="65"/>
      <c r="BS369" s="65"/>
      <c r="BT369" s="65"/>
      <c r="BU369" s="65"/>
      <c r="BV369" s="65"/>
      <c r="BW369" s="65"/>
      <c r="BX369" s="65"/>
      <c r="BY369" s="65"/>
      <c r="BZ369" s="65"/>
      <c r="CA369" s="65"/>
      <c r="CB369" s="65"/>
      <c r="CC369" s="65"/>
      <c r="CD369" s="65"/>
      <c r="CE369" s="65"/>
      <c r="CF369" s="65"/>
      <c r="CG369" s="65"/>
      <c r="CH369" s="0"/>
      <c r="CP369" s="0"/>
      <c r="CQ369" s="0"/>
      <c r="CR369" s="0"/>
      <c r="CS369" s="0"/>
      <c r="CT369" s="0"/>
      <c r="CU369" s="110"/>
      <c r="CV369" s="138"/>
      <c r="CW369" s="210"/>
      <c r="CX369" s="210"/>
      <c r="CY369" s="174" t="n">
        <f aca="false">EOMONTH(CY368,0)+1</f>
        <v>47423</v>
      </c>
      <c r="CZ369" s="175" t="n">
        <f aca="false">IF(AI369=0,CZ357,AH369+AI369)</f>
        <v>1</v>
      </c>
      <c r="DA369" s="175" t="n">
        <f aca="false">IF(AI369=0,DA357,AI369)</f>
        <v>1.25</v>
      </c>
      <c r="DB369" s="175" t="n">
        <f aca="false">IF(AI369=0,DB357,AI369+AJ369)</f>
        <v>1.55</v>
      </c>
      <c r="DD369" s="154" t="n">
        <f aca="false">IF(Z369=0,DD357,Z369)</f>
        <v>0.0651800088356474</v>
      </c>
      <c r="DE369" s="154" t="n">
        <f aca="false">IF(AA369=0,DE357,AA369)</f>
        <v>0.130360017671295</v>
      </c>
      <c r="DF369" s="154" t="n">
        <f aca="false">IF(AB369=0,DF357,AB369)</f>
        <v>0.195540026506942</v>
      </c>
      <c r="DG369" s="210"/>
      <c r="DH369" s="174" t="n">
        <f aca="false">IF(BH369=0,EOMONTH(DH368,0)+1,BH369)</f>
        <v>47423</v>
      </c>
      <c r="DI369" s="207" t="n">
        <f aca="false">IF(BI369=0,DI357,BI369)</f>
        <v>0.9</v>
      </c>
    </row>
    <row r="370" customFormat="false" ht="14.25" hidden="false" customHeight="false" outlineLevel="0" collapsed="false">
      <c r="A370" s="209" t="n">
        <f aca="false">EDATE(A369,1)</f>
        <v>56796</v>
      </c>
      <c r="B370" s="128" t="n">
        <f aca="false">'Gas Curves'!C374</f>
        <v>0.069854397206742</v>
      </c>
      <c r="C370" s="128"/>
      <c r="D370" s="65"/>
      <c r="E370" s="65"/>
      <c r="F370" s="65"/>
      <c r="G370" s="65"/>
      <c r="H370" s="65"/>
      <c r="I370" s="65"/>
      <c r="J370" s="65"/>
      <c r="K370" s="65"/>
      <c r="L370" s="65"/>
      <c r="M370" s="13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  <c r="AD370" s="65"/>
      <c r="AE370" s="65"/>
      <c r="AF370" s="65"/>
      <c r="AG370" s="65"/>
      <c r="AH370" s="65"/>
      <c r="AI370" s="65"/>
      <c r="AJ370" s="65"/>
      <c r="AK370" s="65"/>
      <c r="AL370" s="65"/>
      <c r="AM370" s="65"/>
      <c r="AN370" s="65"/>
      <c r="AO370" s="65"/>
      <c r="AP370" s="65"/>
      <c r="AQ370" s="65"/>
      <c r="AR370" s="65"/>
      <c r="AS370" s="65"/>
      <c r="AT370" s="65"/>
      <c r="AU370" s="65"/>
      <c r="AV370" s="65"/>
      <c r="AW370" s="65"/>
      <c r="AX370" s="65"/>
      <c r="AY370" s="65"/>
      <c r="AZ370" s="65"/>
      <c r="BA370" s="65"/>
      <c r="BB370" s="65"/>
      <c r="BC370" s="65"/>
      <c r="BD370" s="65"/>
      <c r="BE370" s="65"/>
      <c r="BF370" s="65"/>
      <c r="BG370" s="65"/>
      <c r="BH370" s="135"/>
      <c r="BI370" s="65"/>
      <c r="BJ370" s="65"/>
      <c r="BK370" s="65"/>
      <c r="BL370" s="65"/>
      <c r="BM370" s="65"/>
      <c r="BN370" s="65"/>
      <c r="BO370" s="65"/>
      <c r="BP370" s="65"/>
      <c r="BQ370" s="65"/>
      <c r="BR370" s="65"/>
      <c r="BS370" s="65"/>
      <c r="BT370" s="65"/>
      <c r="BU370" s="65"/>
      <c r="BV370" s="65"/>
      <c r="BW370" s="65"/>
      <c r="BX370" s="65"/>
      <c r="BY370" s="65"/>
      <c r="BZ370" s="65"/>
      <c r="CA370" s="65"/>
      <c r="CB370" s="65"/>
      <c r="CC370" s="65"/>
      <c r="CD370" s="65"/>
      <c r="CE370" s="65"/>
      <c r="CF370" s="65"/>
      <c r="CG370" s="65"/>
      <c r="CH370" s="0"/>
      <c r="CP370" s="0"/>
      <c r="CQ370" s="0"/>
      <c r="CR370" s="0"/>
      <c r="CS370" s="0"/>
      <c r="CT370" s="0"/>
      <c r="CU370" s="110"/>
      <c r="CV370" s="138"/>
      <c r="CW370" s="210"/>
      <c r="CX370" s="210"/>
      <c r="CY370" s="174" t="n">
        <f aca="false">EOMONTH(CY369,0)+1</f>
        <v>47453</v>
      </c>
      <c r="CZ370" s="175" t="n">
        <f aca="false">IF(AI370=0,CZ358,AH370+AI370)</f>
        <v>1</v>
      </c>
      <c r="DA370" s="175" t="n">
        <f aca="false">IF(AI370=0,DA358,AI370)</f>
        <v>1.25</v>
      </c>
      <c r="DB370" s="175" t="n">
        <f aca="false">IF(AI370=0,DB358,AI370+AJ370)</f>
        <v>1.55</v>
      </c>
      <c r="DD370" s="154" t="n">
        <f aca="false">IF(Z370=0,DD358,Z370)</f>
        <v>0.0638788843714456</v>
      </c>
      <c r="DE370" s="154" t="n">
        <f aca="false">IF(AA370=0,DE358,AA370)</f>
        <v>0.127757768742891</v>
      </c>
      <c r="DF370" s="154" t="n">
        <f aca="false">IF(AB370=0,DF358,AB370)</f>
        <v>0.191636653114337</v>
      </c>
      <c r="DG370" s="210"/>
      <c r="DH370" s="174" t="n">
        <f aca="false">IF(BH370=0,EOMONTH(DH369,0)+1,BH370)</f>
        <v>47453</v>
      </c>
      <c r="DI370" s="207" t="n">
        <f aca="false">IF(BI370=0,DI358,BI370)</f>
        <v>0.9</v>
      </c>
    </row>
    <row r="371" customFormat="false" ht="14.25" hidden="false" customHeight="false" outlineLevel="0" collapsed="false">
      <c r="A371" s="209" t="n">
        <f aca="false">EDATE(A370,1)</f>
        <v>56827</v>
      </c>
      <c r="B371" s="128" t="n">
        <f aca="false">'Gas Curves'!C375</f>
        <v>0.069841748571702</v>
      </c>
      <c r="C371" s="128"/>
      <c r="D371" s="65"/>
      <c r="E371" s="65"/>
      <c r="F371" s="65"/>
      <c r="G371" s="65"/>
      <c r="H371" s="65"/>
      <c r="I371" s="65"/>
      <c r="J371" s="65"/>
      <c r="K371" s="65"/>
      <c r="L371" s="65"/>
      <c r="M371" s="13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  <c r="AE371" s="65"/>
      <c r="AF371" s="65"/>
      <c r="AG371" s="65"/>
      <c r="AH371" s="65"/>
      <c r="AI371" s="65"/>
      <c r="AJ371" s="65"/>
      <c r="AK371" s="65"/>
      <c r="AL371" s="65"/>
      <c r="AM371" s="65"/>
      <c r="AN371" s="65"/>
      <c r="AO371" s="65"/>
      <c r="AP371" s="65"/>
      <c r="AQ371" s="65"/>
      <c r="AR371" s="65"/>
      <c r="AS371" s="65"/>
      <c r="AT371" s="65"/>
      <c r="AU371" s="65"/>
      <c r="AV371" s="65"/>
      <c r="AW371" s="65"/>
      <c r="AX371" s="65"/>
      <c r="AY371" s="65"/>
      <c r="AZ371" s="65"/>
      <c r="BA371" s="65"/>
      <c r="BB371" s="65"/>
      <c r="BC371" s="65"/>
      <c r="BD371" s="65"/>
      <c r="BE371" s="65"/>
      <c r="BF371" s="65"/>
      <c r="BG371" s="65"/>
      <c r="BH371" s="135"/>
      <c r="BI371" s="65"/>
      <c r="BJ371" s="65"/>
      <c r="BK371" s="65"/>
      <c r="BL371" s="65"/>
      <c r="BM371" s="65"/>
      <c r="BN371" s="65"/>
      <c r="BO371" s="65"/>
      <c r="BP371" s="65"/>
      <c r="BQ371" s="65"/>
      <c r="BR371" s="65"/>
      <c r="BS371" s="65"/>
      <c r="BT371" s="65"/>
      <c r="BU371" s="65"/>
      <c r="BV371" s="65"/>
      <c r="BW371" s="65"/>
      <c r="BX371" s="65"/>
      <c r="BY371" s="65"/>
      <c r="BZ371" s="65"/>
      <c r="CA371" s="65"/>
      <c r="CB371" s="65"/>
      <c r="CC371" s="65"/>
      <c r="CD371" s="65"/>
      <c r="CE371" s="65"/>
      <c r="CF371" s="65"/>
      <c r="CG371" s="65"/>
      <c r="CH371" s="0"/>
      <c r="CP371" s="0"/>
      <c r="CQ371" s="0"/>
      <c r="CR371" s="0"/>
      <c r="CS371" s="0"/>
      <c r="CT371" s="0"/>
      <c r="CU371" s="110"/>
      <c r="CV371" s="138"/>
      <c r="CW371" s="210"/>
      <c r="CX371" s="210"/>
      <c r="CY371" s="174" t="n">
        <f aca="false">EOMONTH(CY370,0)+1</f>
        <v>47484</v>
      </c>
      <c r="CZ371" s="175" t="n">
        <f aca="false">IF(AI371=0,CZ359,AH371+AI371)</f>
        <v>1</v>
      </c>
      <c r="DA371" s="175" t="n">
        <f aca="false">IF(AI371=0,DA359,AI371)</f>
        <v>1.25</v>
      </c>
      <c r="DB371" s="175" t="n">
        <f aca="false">IF(AI371=0,DB359,AI371+AJ371)</f>
        <v>1.55</v>
      </c>
      <c r="DD371" s="154" t="n">
        <f aca="false">IF(Z371=0,DD359,Z371)</f>
        <v>0.0942652295751635</v>
      </c>
      <c r="DE371" s="154" t="n">
        <f aca="false">IF(AA371=0,DE359,AA371)</f>
        <v>0.188530459150327</v>
      </c>
      <c r="DF371" s="154" t="n">
        <f aca="false">IF(AB371=0,DF359,AB371)</f>
        <v>0.28279568872549</v>
      </c>
      <c r="DG371" s="210"/>
      <c r="DH371" s="174" t="n">
        <f aca="false">IF(BH371=0,EOMONTH(DH370,0)+1,BH371)</f>
        <v>47484</v>
      </c>
      <c r="DI371" s="207" t="n">
        <f aca="false">IF(BI371=0,DI359,BI371)</f>
        <v>0.9</v>
      </c>
    </row>
    <row r="372" customFormat="false" ht="14.25" hidden="false" customHeight="false" outlineLevel="0" collapsed="false">
      <c r="A372" s="209" t="n">
        <f aca="false">EDATE(A371,1)</f>
        <v>56858</v>
      </c>
      <c r="B372" s="128" t="n">
        <f aca="false">'Gas Curves'!C376</f>
        <v>0.069829099936715</v>
      </c>
      <c r="C372" s="128"/>
      <c r="D372" s="65"/>
      <c r="E372" s="65"/>
      <c r="F372" s="65"/>
      <c r="G372" s="65"/>
      <c r="H372" s="65"/>
      <c r="I372" s="65"/>
      <c r="J372" s="65"/>
      <c r="K372" s="65"/>
      <c r="L372" s="65"/>
      <c r="M372" s="13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  <c r="AD372" s="65"/>
      <c r="AE372" s="65"/>
      <c r="AF372" s="65"/>
      <c r="AG372" s="65"/>
      <c r="AH372" s="65"/>
      <c r="AI372" s="65"/>
      <c r="AJ372" s="65"/>
      <c r="AK372" s="65"/>
      <c r="AL372" s="65"/>
      <c r="AM372" s="65"/>
      <c r="AN372" s="65"/>
      <c r="AO372" s="65"/>
      <c r="AP372" s="65"/>
      <c r="AQ372" s="65"/>
      <c r="AR372" s="65"/>
      <c r="AS372" s="65"/>
      <c r="AT372" s="65"/>
      <c r="AU372" s="65"/>
      <c r="AV372" s="65"/>
      <c r="AW372" s="65"/>
      <c r="AX372" s="65"/>
      <c r="AY372" s="65"/>
      <c r="AZ372" s="65"/>
      <c r="BA372" s="65"/>
      <c r="BB372" s="65"/>
      <c r="BC372" s="65"/>
      <c r="BD372" s="65"/>
      <c r="BE372" s="65"/>
      <c r="BF372" s="65"/>
      <c r="BG372" s="65"/>
      <c r="BH372" s="135"/>
      <c r="BI372" s="65"/>
      <c r="BJ372" s="65"/>
      <c r="BK372" s="65"/>
      <c r="BL372" s="65"/>
      <c r="BM372" s="65"/>
      <c r="BN372" s="65"/>
      <c r="BO372" s="65"/>
      <c r="BP372" s="65"/>
      <c r="BQ372" s="65"/>
      <c r="BR372" s="65"/>
      <c r="BS372" s="65"/>
      <c r="BT372" s="65"/>
      <c r="BU372" s="65"/>
      <c r="BV372" s="65"/>
      <c r="BW372" s="65"/>
      <c r="BX372" s="65"/>
      <c r="BY372" s="65"/>
      <c r="BZ372" s="65"/>
      <c r="CA372" s="65"/>
      <c r="CB372" s="65"/>
      <c r="CC372" s="65"/>
      <c r="CD372" s="65"/>
      <c r="CE372" s="65"/>
      <c r="CF372" s="65"/>
      <c r="CG372" s="65"/>
      <c r="CH372" s="0"/>
      <c r="CP372" s="0"/>
      <c r="CQ372" s="0"/>
      <c r="CR372" s="0"/>
      <c r="CS372" s="0"/>
      <c r="CT372" s="0"/>
      <c r="CU372" s="110"/>
      <c r="CV372" s="138"/>
      <c r="CW372" s="210"/>
      <c r="CX372" s="210"/>
      <c r="CY372" s="174" t="n">
        <f aca="false">EOMONTH(CY371,0)+1</f>
        <v>47515</v>
      </c>
      <c r="CZ372" s="175" t="n">
        <f aca="false">IF(AI372=0,CZ360,AH372+AI372)</f>
        <v>1</v>
      </c>
      <c r="DA372" s="175" t="n">
        <f aca="false">IF(AI372=0,DA360,AI372)</f>
        <v>1.25</v>
      </c>
      <c r="DB372" s="175" t="n">
        <f aca="false">IF(AI372=0,DB360,AI372+AJ372)</f>
        <v>1.55</v>
      </c>
      <c r="DD372" s="154" t="n">
        <f aca="false">IF(Z372=0,DD360,Z372)</f>
        <v>0.0910666090107368</v>
      </c>
      <c r="DE372" s="154" t="n">
        <f aca="false">IF(AA372=0,DE360,AA372)</f>
        <v>0.182133218021474</v>
      </c>
      <c r="DF372" s="154" t="n">
        <f aca="false">IF(AB372=0,DF360,AB372)</f>
        <v>0.27319982703221</v>
      </c>
      <c r="DG372" s="210"/>
      <c r="DH372" s="174" t="n">
        <f aca="false">IF(BH372=0,EOMONTH(DH371,0)+1,BH372)</f>
        <v>47515</v>
      </c>
      <c r="DI372" s="207" t="n">
        <f aca="false">IF(BI372=0,DI360,BI372)</f>
        <v>0.9</v>
      </c>
    </row>
    <row r="373" customFormat="false" ht="12.75" hidden="false" customHeight="false" outlineLevel="0" collapsed="false">
      <c r="B373" s="128"/>
      <c r="C373" s="124"/>
      <c r="D373" s="65"/>
      <c r="E373" s="65"/>
      <c r="F373" s="65"/>
      <c r="G373" s="65"/>
      <c r="H373" s="65"/>
      <c r="I373" s="65"/>
      <c r="J373" s="65"/>
      <c r="K373" s="65"/>
      <c r="L373" s="65"/>
      <c r="M373" s="13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  <c r="AD373" s="65"/>
      <c r="AE373" s="65"/>
      <c r="AF373" s="65"/>
      <c r="AG373" s="65"/>
      <c r="AH373" s="65"/>
      <c r="AI373" s="65"/>
      <c r="AJ373" s="65"/>
      <c r="AK373" s="65"/>
      <c r="AL373" s="65"/>
      <c r="AM373" s="65"/>
      <c r="AN373" s="65"/>
      <c r="AO373" s="65"/>
      <c r="AP373" s="65"/>
      <c r="AQ373" s="65"/>
      <c r="AR373" s="65"/>
      <c r="AS373" s="65"/>
      <c r="AT373" s="65"/>
      <c r="AU373" s="65"/>
      <c r="AV373" s="65"/>
      <c r="AW373" s="65"/>
      <c r="AX373" s="65"/>
      <c r="AY373" s="65"/>
      <c r="AZ373" s="65"/>
      <c r="BA373" s="65"/>
      <c r="BB373" s="65"/>
      <c r="BC373" s="65"/>
      <c r="BD373" s="65"/>
      <c r="BE373" s="65"/>
      <c r="BF373" s="65"/>
      <c r="BG373" s="65"/>
      <c r="BH373" s="135"/>
      <c r="BI373" s="65"/>
      <c r="BJ373" s="65"/>
      <c r="BK373" s="65"/>
      <c r="BL373" s="65"/>
      <c r="BM373" s="65"/>
      <c r="BN373" s="65"/>
      <c r="BO373" s="65"/>
      <c r="BP373" s="65"/>
      <c r="BQ373" s="65"/>
      <c r="BR373" s="65"/>
      <c r="BS373" s="65"/>
      <c r="BT373" s="65"/>
      <c r="BU373" s="65"/>
      <c r="BV373" s="65"/>
      <c r="BW373" s="65"/>
      <c r="BX373" s="65"/>
      <c r="BY373" s="65"/>
      <c r="BZ373" s="65"/>
      <c r="CA373" s="65"/>
      <c r="CB373" s="65"/>
      <c r="CC373" s="65"/>
      <c r="CD373" s="65"/>
      <c r="CE373" s="65"/>
      <c r="CF373" s="65"/>
      <c r="CG373" s="65"/>
      <c r="CH373" s="0"/>
      <c r="CP373" s="0"/>
      <c r="CQ373" s="0"/>
      <c r="CR373" s="0"/>
      <c r="CS373" s="0"/>
      <c r="CT373" s="0"/>
      <c r="CU373" s="110"/>
      <c r="CV373" s="138"/>
      <c r="CW373" s="210"/>
      <c r="CX373" s="210"/>
      <c r="CY373" s="174" t="n">
        <f aca="false">EOMONTH(CY372,0)+1</f>
        <v>47543</v>
      </c>
      <c r="CZ373" s="175" t="n">
        <f aca="false">IF(AI373=0,CZ361,AH373+AI373)</f>
        <v>1</v>
      </c>
      <c r="DA373" s="175" t="n">
        <f aca="false">IF(AI373=0,DA361,AI373)</f>
        <v>1.25</v>
      </c>
      <c r="DB373" s="175" t="n">
        <f aca="false">IF(AI373=0,DB361,AI373+AJ373)</f>
        <v>1.55</v>
      </c>
      <c r="DD373" s="154" t="n">
        <f aca="false">IF(Z373=0,DD361,Z373)</f>
        <v>0.0721937023797812</v>
      </c>
      <c r="DE373" s="154" t="n">
        <f aca="false">IF(AA373=0,DE361,AA373)</f>
        <v>0.144387404759562</v>
      </c>
      <c r="DF373" s="154" t="n">
        <f aca="false">IF(AB373=0,DF361,AB373)</f>
        <v>0.216581107139343</v>
      </c>
      <c r="DG373" s="210"/>
      <c r="DH373" s="174" t="n">
        <f aca="false">IF(BH373=0,EOMONTH(DH372,0)+1,BH373)</f>
        <v>47543</v>
      </c>
      <c r="DI373" s="207" t="n">
        <f aca="false">IF(BI373=0,DI361,BI373)</f>
        <v>0.9</v>
      </c>
    </row>
    <row r="374" customFormat="false" ht="12.75" hidden="false" customHeight="false" outlineLevel="0" collapsed="false">
      <c r="B374" s="128"/>
      <c r="C374" s="124"/>
      <c r="D374" s="65"/>
      <c r="E374" s="65"/>
      <c r="F374" s="65"/>
      <c r="G374" s="65"/>
      <c r="H374" s="65"/>
      <c r="I374" s="65"/>
      <c r="J374" s="65"/>
      <c r="K374" s="65"/>
      <c r="L374" s="65"/>
      <c r="M374" s="13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  <c r="AE374" s="65"/>
      <c r="AF374" s="65"/>
      <c r="AG374" s="65"/>
      <c r="AH374" s="65"/>
      <c r="AI374" s="65"/>
      <c r="AJ374" s="65"/>
      <c r="AK374" s="65"/>
      <c r="AL374" s="65"/>
      <c r="AM374" s="65"/>
      <c r="AN374" s="65"/>
      <c r="AO374" s="65"/>
      <c r="AP374" s="65"/>
      <c r="AQ374" s="65"/>
      <c r="AR374" s="65"/>
      <c r="AS374" s="65"/>
      <c r="AT374" s="65"/>
      <c r="AU374" s="65"/>
      <c r="AV374" s="65"/>
      <c r="AW374" s="65"/>
      <c r="AX374" s="65"/>
      <c r="AY374" s="65"/>
      <c r="AZ374" s="65"/>
      <c r="BA374" s="65"/>
      <c r="BB374" s="65"/>
      <c r="BC374" s="65"/>
      <c r="BD374" s="65"/>
      <c r="BE374" s="65"/>
      <c r="BF374" s="65"/>
      <c r="BG374" s="65"/>
      <c r="BH374" s="135"/>
      <c r="BI374" s="65"/>
      <c r="BJ374" s="65"/>
      <c r="BK374" s="65"/>
      <c r="BL374" s="65"/>
      <c r="BM374" s="65"/>
      <c r="BN374" s="65"/>
      <c r="BO374" s="65"/>
      <c r="BP374" s="65"/>
      <c r="BQ374" s="65"/>
      <c r="BR374" s="65"/>
      <c r="BS374" s="65"/>
      <c r="BT374" s="65"/>
      <c r="BU374" s="65"/>
      <c r="BV374" s="65"/>
      <c r="BW374" s="65"/>
      <c r="BX374" s="65"/>
      <c r="BY374" s="65"/>
      <c r="BZ374" s="65"/>
      <c r="CA374" s="65"/>
      <c r="CB374" s="65"/>
      <c r="CC374" s="65"/>
      <c r="CD374" s="65"/>
      <c r="CE374" s="65"/>
      <c r="CF374" s="65"/>
      <c r="CG374" s="65"/>
      <c r="CH374" s="0"/>
      <c r="CP374" s="0"/>
      <c r="CQ374" s="0"/>
      <c r="CR374" s="0"/>
      <c r="CS374" s="0"/>
      <c r="CT374" s="0"/>
      <c r="CU374" s="110"/>
      <c r="CV374" s="138"/>
      <c r="CW374" s="210"/>
      <c r="CX374" s="210"/>
      <c r="CY374" s="174" t="n">
        <f aca="false">EOMONTH(CY373,0)+1</f>
        <v>47574</v>
      </c>
      <c r="CZ374" s="175" t="n">
        <f aca="false">IF(AI374=0,CZ362,AH374+AI374)</f>
        <v>0</v>
      </c>
      <c r="DA374" s="175" t="n">
        <f aca="false">IF(AI374=0,DA362,AI374)</f>
        <v>0</v>
      </c>
      <c r="DB374" s="175" t="n">
        <f aca="false">IF(AI374=0,DB362,AI374+AJ374)</f>
        <v>0</v>
      </c>
      <c r="DD374" s="154" t="n">
        <f aca="false">IF(Z374=0,DD362,Z374)</f>
        <v>0</v>
      </c>
      <c r="DE374" s="154" t="n">
        <f aca="false">IF(AA374=0,DE362,AA374)</f>
        <v>0</v>
      </c>
      <c r="DF374" s="154" t="n">
        <f aca="false">IF(AB374=0,DF362,AB374)</f>
        <v>0</v>
      </c>
      <c r="DG374" s="210"/>
      <c r="DH374" s="174" t="n">
        <f aca="false">IF(BH374=0,EOMONTH(DH373,0)+1,BH374)</f>
        <v>47574</v>
      </c>
      <c r="DI374" s="207" t="n">
        <f aca="false">IF(BI374=0,DI362,BI374)</f>
        <v>0</v>
      </c>
    </row>
    <row r="375" customFormat="false" ht="12.75" hidden="false" customHeight="false" outlineLevel="0" collapsed="false">
      <c r="B375" s="128"/>
      <c r="C375" s="124"/>
      <c r="D375" s="65"/>
      <c r="E375" s="65"/>
      <c r="F375" s="65"/>
      <c r="G375" s="65"/>
      <c r="H375" s="65"/>
      <c r="I375" s="65"/>
      <c r="J375" s="65"/>
      <c r="K375" s="65"/>
      <c r="L375" s="65"/>
      <c r="M375" s="13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  <c r="AD375" s="65"/>
      <c r="AE375" s="65"/>
      <c r="AF375" s="65"/>
      <c r="AG375" s="65"/>
      <c r="AH375" s="65"/>
      <c r="AI375" s="65"/>
      <c r="AJ375" s="65"/>
      <c r="AK375" s="65"/>
      <c r="AL375" s="65"/>
      <c r="AM375" s="65"/>
      <c r="AN375" s="65"/>
      <c r="AO375" s="65"/>
      <c r="AP375" s="65"/>
      <c r="AQ375" s="65"/>
      <c r="AR375" s="65"/>
      <c r="AS375" s="65"/>
      <c r="AT375" s="65"/>
      <c r="AU375" s="65"/>
      <c r="AV375" s="65"/>
      <c r="AW375" s="65"/>
      <c r="AX375" s="65"/>
      <c r="AY375" s="65"/>
      <c r="AZ375" s="65"/>
      <c r="BA375" s="65"/>
      <c r="BB375" s="65"/>
      <c r="BC375" s="65"/>
      <c r="BD375" s="65"/>
      <c r="BE375" s="65"/>
      <c r="BF375" s="65"/>
      <c r="BG375" s="65"/>
      <c r="BH375" s="135"/>
      <c r="BI375" s="65"/>
      <c r="BJ375" s="65"/>
      <c r="BK375" s="65"/>
      <c r="BL375" s="65"/>
      <c r="BM375" s="65"/>
      <c r="BN375" s="65"/>
      <c r="BO375" s="65"/>
      <c r="BP375" s="65"/>
      <c r="BQ375" s="65"/>
      <c r="BR375" s="65"/>
      <c r="BS375" s="65"/>
      <c r="BT375" s="65"/>
      <c r="BU375" s="65"/>
      <c r="BV375" s="65"/>
      <c r="BW375" s="65"/>
      <c r="BX375" s="65"/>
      <c r="BY375" s="65"/>
      <c r="BZ375" s="65"/>
      <c r="CA375" s="65"/>
      <c r="CB375" s="65"/>
      <c r="CC375" s="65"/>
      <c r="CD375" s="65"/>
      <c r="CE375" s="65"/>
      <c r="CF375" s="65"/>
      <c r="CG375" s="65"/>
      <c r="CH375" s="0"/>
      <c r="CP375" s="0"/>
      <c r="CQ375" s="0"/>
      <c r="CR375" s="0"/>
      <c r="CS375" s="0"/>
      <c r="CT375" s="0"/>
      <c r="CU375" s="110"/>
      <c r="CV375" s="138"/>
      <c r="CW375" s="210"/>
      <c r="CX375" s="210"/>
      <c r="CY375" s="174" t="n">
        <f aca="false">EOMONTH(CY374,0)+1</f>
        <v>47604</v>
      </c>
      <c r="CZ375" s="175" t="n">
        <f aca="false">IF(AI375=0,CZ363,AH375+AI375)</f>
        <v>1</v>
      </c>
      <c r="DA375" s="175" t="n">
        <f aca="false">IF(AI375=0,DA363,AI375)</f>
        <v>1.25</v>
      </c>
      <c r="DB375" s="175" t="n">
        <f aca="false">IF(AI375=0,DB363,AI375+AJ375)</f>
        <v>1.55</v>
      </c>
      <c r="DD375" s="154" t="n">
        <f aca="false">IF(Z375=0,DD363,Z375)</f>
        <v>0.079836777060087</v>
      </c>
      <c r="DE375" s="154" t="n">
        <f aca="false">IF(AA375=0,DE363,AA375)</f>
        <v>0.159673554120174</v>
      </c>
      <c r="DF375" s="154" t="n">
        <f aca="false">IF(AB375=0,DF363,AB375)</f>
        <v>0.239510331180261</v>
      </c>
      <c r="DG375" s="210"/>
      <c r="DH375" s="174" t="n">
        <f aca="false">IF(BH375=0,EOMONTH(DH374,0)+1,BH375)</f>
        <v>47604</v>
      </c>
      <c r="DI375" s="207" t="n">
        <f aca="false">IF(BI375=0,DI363,BI375)</f>
        <v>0.9</v>
      </c>
    </row>
    <row r="376" customFormat="false" ht="12.75" hidden="false" customHeight="false" outlineLevel="0" collapsed="false">
      <c r="B376" s="128"/>
      <c r="C376" s="124"/>
      <c r="D376" s="65"/>
      <c r="E376" s="65"/>
      <c r="F376" s="65"/>
      <c r="G376" s="65"/>
      <c r="H376" s="65"/>
      <c r="I376" s="65"/>
      <c r="J376" s="65"/>
      <c r="K376" s="65"/>
      <c r="L376" s="65"/>
      <c r="M376" s="13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65"/>
      <c r="AF376" s="65"/>
      <c r="AG376" s="65"/>
      <c r="AH376" s="65"/>
      <c r="AI376" s="65"/>
      <c r="AJ376" s="65"/>
      <c r="AK376" s="65"/>
      <c r="AL376" s="65"/>
      <c r="AM376" s="65"/>
      <c r="AN376" s="65"/>
      <c r="AO376" s="65"/>
      <c r="AP376" s="65"/>
      <c r="AQ376" s="65"/>
      <c r="AR376" s="65"/>
      <c r="AS376" s="65"/>
      <c r="AT376" s="65"/>
      <c r="AU376" s="65"/>
      <c r="AV376" s="65"/>
      <c r="AW376" s="65"/>
      <c r="AX376" s="65"/>
      <c r="AY376" s="65"/>
      <c r="AZ376" s="65"/>
      <c r="BA376" s="65"/>
      <c r="BB376" s="65"/>
      <c r="BC376" s="65"/>
      <c r="BD376" s="65"/>
      <c r="BE376" s="65"/>
      <c r="BF376" s="65"/>
      <c r="BG376" s="65"/>
      <c r="BH376" s="135"/>
      <c r="BI376" s="65"/>
      <c r="BJ376" s="65"/>
      <c r="BK376" s="65"/>
      <c r="BL376" s="65"/>
      <c r="BM376" s="65"/>
      <c r="BN376" s="65"/>
      <c r="BO376" s="65"/>
      <c r="BP376" s="65"/>
      <c r="BQ376" s="65"/>
      <c r="BR376" s="65"/>
      <c r="BS376" s="65"/>
      <c r="BT376" s="65"/>
      <c r="BU376" s="65"/>
      <c r="BV376" s="65"/>
      <c r="BW376" s="65"/>
      <c r="BX376" s="65"/>
      <c r="BY376" s="65"/>
      <c r="BZ376" s="65"/>
      <c r="CA376" s="65"/>
      <c r="CB376" s="65"/>
      <c r="CC376" s="65"/>
      <c r="CD376" s="65"/>
      <c r="CE376" s="65"/>
      <c r="CF376" s="65"/>
      <c r="CG376" s="65"/>
      <c r="CH376" s="0"/>
      <c r="CP376" s="0"/>
      <c r="CQ376" s="0"/>
      <c r="CR376" s="0"/>
      <c r="CS376" s="0"/>
      <c r="CT376" s="0"/>
      <c r="CU376" s="110"/>
      <c r="CV376" s="138"/>
      <c r="CW376" s="210"/>
      <c r="CX376" s="210"/>
      <c r="CY376" s="174" t="n">
        <f aca="false">EOMONTH(CY375,0)+1</f>
        <v>47635</v>
      </c>
      <c r="CZ376" s="175" t="n">
        <f aca="false">IF(AI376=0,CZ364,AH376+AI376)</f>
        <v>1</v>
      </c>
      <c r="DA376" s="175" t="n">
        <f aca="false">IF(AI376=0,DA364,AI376)</f>
        <v>1.25</v>
      </c>
      <c r="DB376" s="175" t="n">
        <f aca="false">IF(AI376=0,DB364,AI376+AJ376)</f>
        <v>1.55</v>
      </c>
      <c r="DD376" s="154" t="n">
        <f aca="false">IF(Z376=0,DD364,Z376)</f>
        <v>0.085380172451756</v>
      </c>
      <c r="DE376" s="154" t="n">
        <f aca="false">IF(AA376=0,DE364,AA376)</f>
        <v>0.170760344903512</v>
      </c>
      <c r="DF376" s="154" t="n">
        <f aca="false">IF(AB376=0,DF364,AB376)</f>
        <v>0.256140517355268</v>
      </c>
      <c r="DG376" s="210"/>
      <c r="DH376" s="174" t="n">
        <f aca="false">IF(BH376=0,EOMONTH(DH375,0)+1,BH376)</f>
        <v>47635</v>
      </c>
      <c r="DI376" s="207" t="n">
        <f aca="false">IF(BI376=0,DI364,BI376)</f>
        <v>0.9</v>
      </c>
    </row>
    <row r="377" customFormat="false" ht="12.75" hidden="false" customHeight="false" outlineLevel="0" collapsed="false">
      <c r="B377" s="128"/>
      <c r="C377" s="124"/>
      <c r="D377" s="65"/>
      <c r="E377" s="65"/>
      <c r="F377" s="65"/>
      <c r="G377" s="65"/>
      <c r="H377" s="65"/>
      <c r="I377" s="65"/>
      <c r="J377" s="65"/>
      <c r="K377" s="65"/>
      <c r="L377" s="65"/>
      <c r="M377" s="13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  <c r="AJ377" s="65"/>
      <c r="AK377" s="65"/>
      <c r="AL377" s="65"/>
      <c r="AM377" s="65"/>
      <c r="AN377" s="65"/>
      <c r="AO377" s="65"/>
      <c r="AP377" s="65"/>
      <c r="AQ377" s="65"/>
      <c r="AR377" s="65"/>
      <c r="AS377" s="65"/>
      <c r="AT377" s="65"/>
      <c r="AU377" s="65"/>
      <c r="AV377" s="65"/>
      <c r="AW377" s="65"/>
      <c r="AX377" s="65"/>
      <c r="AY377" s="65"/>
      <c r="AZ377" s="65"/>
      <c r="BA377" s="65"/>
      <c r="BB377" s="65"/>
      <c r="BC377" s="65"/>
      <c r="BD377" s="65"/>
      <c r="BE377" s="65"/>
      <c r="BF377" s="65"/>
      <c r="BG377" s="65"/>
      <c r="BH377" s="135"/>
      <c r="BI377" s="65"/>
      <c r="BJ377" s="65"/>
      <c r="BK377" s="65"/>
      <c r="BL377" s="65"/>
      <c r="BM377" s="65"/>
      <c r="BN377" s="65"/>
      <c r="BO377" s="65"/>
      <c r="BP377" s="65"/>
      <c r="BQ377" s="65"/>
      <c r="BR377" s="65"/>
      <c r="BS377" s="65"/>
      <c r="BT377" s="65"/>
      <c r="BU377" s="65"/>
      <c r="BV377" s="65"/>
      <c r="BW377" s="65"/>
      <c r="BX377" s="65"/>
      <c r="BY377" s="65"/>
      <c r="BZ377" s="65"/>
      <c r="CA377" s="65"/>
      <c r="CB377" s="65"/>
      <c r="CC377" s="65"/>
      <c r="CD377" s="65"/>
      <c r="CE377" s="65"/>
      <c r="CF377" s="65"/>
      <c r="CG377" s="65"/>
      <c r="CH377" s="0"/>
      <c r="CP377" s="0"/>
      <c r="CQ377" s="0"/>
      <c r="CR377" s="0"/>
      <c r="CS377" s="0"/>
      <c r="CT377" s="0"/>
      <c r="CU377" s="110"/>
      <c r="CV377" s="138"/>
      <c r="CW377" s="210"/>
      <c r="CX377" s="210"/>
      <c r="CY377" s="174" t="n">
        <f aca="false">EOMONTH(CY376,0)+1</f>
        <v>47665</v>
      </c>
      <c r="CZ377" s="175" t="n">
        <f aca="false">IF(AI377=0,CZ365,AH377+AI377)</f>
        <v>1</v>
      </c>
      <c r="DA377" s="175" t="n">
        <f aca="false">IF(AI377=0,DA365,AI377)</f>
        <v>1.25</v>
      </c>
      <c r="DB377" s="175" t="n">
        <f aca="false">IF(AI377=0,DB365,AI377+AJ377)</f>
        <v>1.55</v>
      </c>
      <c r="DD377" s="154" t="n">
        <f aca="false">IF(Z377=0,DD365,Z377)</f>
        <v>0.101692367108662</v>
      </c>
      <c r="DE377" s="154" t="n">
        <f aca="false">IF(AA377=0,DE365,AA377)</f>
        <v>0.203384734217324</v>
      </c>
      <c r="DF377" s="154" t="n">
        <f aca="false">IF(AB377=0,DF365,AB377)</f>
        <v>0.305077101325986</v>
      </c>
      <c r="DG377" s="210"/>
      <c r="DH377" s="174" t="n">
        <f aca="false">IF(BH377=0,EOMONTH(DH376,0)+1,BH377)</f>
        <v>47665</v>
      </c>
      <c r="DI377" s="207" t="n">
        <f aca="false">IF(BI377=0,DI365,BI377)</f>
        <v>0.9</v>
      </c>
    </row>
    <row r="378" customFormat="false" ht="12.75" hidden="false" customHeight="false" outlineLevel="0" collapsed="false">
      <c r="B378" s="128"/>
      <c r="C378" s="124"/>
      <c r="D378" s="65"/>
      <c r="E378" s="65"/>
      <c r="F378" s="65"/>
      <c r="G378" s="65"/>
      <c r="H378" s="65"/>
      <c r="I378" s="65"/>
      <c r="J378" s="65"/>
      <c r="K378" s="65"/>
      <c r="L378" s="65"/>
      <c r="M378" s="13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  <c r="AF378" s="65"/>
      <c r="AG378" s="65"/>
      <c r="AH378" s="65"/>
      <c r="AI378" s="65"/>
      <c r="AJ378" s="65"/>
      <c r="AK378" s="65"/>
      <c r="AL378" s="65"/>
      <c r="AM378" s="65"/>
      <c r="AN378" s="65"/>
      <c r="AO378" s="65"/>
      <c r="AP378" s="65"/>
      <c r="AQ378" s="65"/>
      <c r="AR378" s="65"/>
      <c r="AS378" s="65"/>
      <c r="AT378" s="65"/>
      <c r="AU378" s="65"/>
      <c r="AV378" s="65"/>
      <c r="AW378" s="65"/>
      <c r="AX378" s="65"/>
      <c r="AY378" s="65"/>
      <c r="AZ378" s="65"/>
      <c r="BA378" s="65"/>
      <c r="BB378" s="65"/>
      <c r="BC378" s="65"/>
      <c r="BD378" s="65"/>
      <c r="BE378" s="65"/>
      <c r="BF378" s="65"/>
      <c r="BG378" s="65"/>
      <c r="BH378" s="135"/>
      <c r="BI378" s="65"/>
      <c r="BJ378" s="65"/>
      <c r="BK378" s="65"/>
      <c r="BL378" s="65"/>
      <c r="BM378" s="65"/>
      <c r="BN378" s="65"/>
      <c r="BO378" s="65"/>
      <c r="BP378" s="65"/>
      <c r="BQ378" s="65"/>
      <c r="BR378" s="65"/>
      <c r="BS378" s="65"/>
      <c r="BT378" s="65"/>
      <c r="BU378" s="65"/>
      <c r="BV378" s="65"/>
      <c r="BW378" s="65"/>
      <c r="BX378" s="65"/>
      <c r="BY378" s="65"/>
      <c r="BZ378" s="65"/>
      <c r="CA378" s="65"/>
      <c r="CB378" s="65"/>
      <c r="CC378" s="65"/>
      <c r="CD378" s="65"/>
      <c r="CE378" s="65"/>
      <c r="CF378" s="65"/>
      <c r="CG378" s="65"/>
      <c r="CH378" s="0"/>
      <c r="CP378" s="0"/>
      <c r="CQ378" s="0"/>
      <c r="CR378" s="0"/>
      <c r="CS378" s="0"/>
      <c r="CT378" s="0"/>
      <c r="CU378" s="110"/>
      <c r="CV378" s="138"/>
      <c r="CW378" s="210"/>
      <c r="CX378" s="210"/>
      <c r="CY378" s="174" t="n">
        <f aca="false">EOMONTH(CY377,0)+1</f>
        <v>47696</v>
      </c>
      <c r="CZ378" s="175" t="n">
        <f aca="false">IF(AI378=0,CZ366,AH378+AI378)</f>
        <v>1</v>
      </c>
      <c r="DA378" s="175" t="n">
        <f aca="false">IF(AI378=0,DA366,AI378)</f>
        <v>1.25</v>
      </c>
      <c r="DB378" s="175" t="n">
        <f aca="false">IF(AI378=0,DB366,AI378+AJ378)</f>
        <v>1.55</v>
      </c>
      <c r="DD378" s="154" t="n">
        <f aca="false">IF(Z378=0,DD366,Z378)</f>
        <v>0.0994642258486125</v>
      </c>
      <c r="DE378" s="154" t="n">
        <f aca="false">IF(AA378=0,DE366,AA378)</f>
        <v>0.198928451697225</v>
      </c>
      <c r="DF378" s="154" t="n">
        <f aca="false">IF(AB378=0,DF366,AB378)</f>
        <v>0.298392677545837</v>
      </c>
      <c r="DG378" s="210"/>
      <c r="DH378" s="174" t="n">
        <f aca="false">IF(BH378=0,EOMONTH(DH377,0)+1,BH378)</f>
        <v>47696</v>
      </c>
      <c r="DI378" s="207" t="n">
        <f aca="false">IF(BI378=0,DI366,BI378)</f>
        <v>0.9</v>
      </c>
    </row>
    <row r="379" customFormat="false" ht="12.75" hidden="false" customHeight="false" outlineLevel="0" collapsed="false">
      <c r="B379" s="128"/>
      <c r="C379" s="124"/>
      <c r="D379" s="65"/>
      <c r="E379" s="65"/>
      <c r="F379" s="65"/>
      <c r="G379" s="65"/>
      <c r="H379" s="65"/>
      <c r="I379" s="65"/>
      <c r="J379" s="65"/>
      <c r="K379" s="65"/>
      <c r="L379" s="65"/>
      <c r="M379" s="13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5"/>
      <c r="AG379" s="65"/>
      <c r="AH379" s="65"/>
      <c r="AI379" s="65"/>
      <c r="AJ379" s="65"/>
      <c r="AK379" s="65"/>
      <c r="AL379" s="65"/>
      <c r="AM379" s="65"/>
      <c r="AN379" s="65"/>
      <c r="AO379" s="65"/>
      <c r="AP379" s="65"/>
      <c r="AQ379" s="65"/>
      <c r="AR379" s="65"/>
      <c r="AS379" s="65"/>
      <c r="AT379" s="65"/>
      <c r="AU379" s="65"/>
      <c r="AV379" s="65"/>
      <c r="AW379" s="65"/>
      <c r="AX379" s="65"/>
      <c r="AY379" s="65"/>
      <c r="AZ379" s="65"/>
      <c r="BA379" s="65"/>
      <c r="BB379" s="65"/>
      <c r="BC379" s="65"/>
      <c r="BD379" s="65"/>
      <c r="BE379" s="65"/>
      <c r="BF379" s="65"/>
      <c r="BG379" s="65"/>
      <c r="BH379" s="135"/>
      <c r="BI379" s="65"/>
      <c r="BJ379" s="65"/>
      <c r="BK379" s="65"/>
      <c r="BL379" s="65"/>
      <c r="BM379" s="65"/>
      <c r="BN379" s="65"/>
      <c r="BO379" s="65"/>
      <c r="BP379" s="65"/>
      <c r="BQ379" s="65"/>
      <c r="BR379" s="65"/>
      <c r="BS379" s="65"/>
      <c r="BT379" s="65"/>
      <c r="BU379" s="65"/>
      <c r="BV379" s="65"/>
      <c r="BW379" s="65"/>
      <c r="BX379" s="65"/>
      <c r="BY379" s="65"/>
      <c r="BZ379" s="65"/>
      <c r="CA379" s="65"/>
      <c r="CB379" s="65"/>
      <c r="CC379" s="65"/>
      <c r="CD379" s="65"/>
      <c r="CE379" s="65"/>
      <c r="CF379" s="65"/>
      <c r="CG379" s="65"/>
      <c r="CH379" s="0"/>
      <c r="CP379" s="0"/>
      <c r="CQ379" s="0"/>
      <c r="CR379" s="0"/>
      <c r="CS379" s="0"/>
      <c r="CT379" s="0"/>
      <c r="CU379" s="110"/>
      <c r="CV379" s="138"/>
      <c r="CW379" s="210"/>
      <c r="CX379" s="210"/>
      <c r="CY379" s="174" t="n">
        <f aca="false">EOMONTH(CY378,0)+1</f>
        <v>47727</v>
      </c>
      <c r="CZ379" s="175" t="n">
        <f aca="false">IF(AI379=0,CZ367,AH379+AI379)</f>
        <v>1</v>
      </c>
      <c r="DA379" s="175" t="n">
        <f aca="false">IF(AI379=0,DA367,AI379)</f>
        <v>1.25</v>
      </c>
      <c r="DB379" s="175" t="n">
        <f aca="false">IF(AI379=0,DB367,AI379+AJ379)</f>
        <v>1.55</v>
      </c>
      <c r="DD379" s="154" t="n">
        <f aca="false">IF(Z379=0,DD367,Z379)</f>
        <v>0.0753606888398985</v>
      </c>
      <c r="DE379" s="154" t="n">
        <f aca="false">IF(AA379=0,DE367,AA379)</f>
        <v>0.150721377679797</v>
      </c>
      <c r="DF379" s="154" t="n">
        <f aca="false">IF(AB379=0,DF367,AB379)</f>
        <v>0.226082066519696</v>
      </c>
      <c r="DG379" s="210"/>
      <c r="DH379" s="174" t="n">
        <f aca="false">IF(BH379=0,EOMONTH(DH378,0)+1,BH379)</f>
        <v>47727</v>
      </c>
      <c r="DI379" s="207" t="n">
        <f aca="false">IF(BI379=0,DI367,BI379)</f>
        <v>0.9</v>
      </c>
    </row>
    <row r="380" customFormat="false" ht="12.75" hidden="false" customHeight="false" outlineLevel="0" collapsed="false">
      <c r="B380" s="128"/>
      <c r="C380" s="124"/>
      <c r="D380" s="65"/>
      <c r="E380" s="65"/>
      <c r="F380" s="65"/>
      <c r="G380" s="65"/>
      <c r="H380" s="65"/>
      <c r="I380" s="65"/>
      <c r="J380" s="65"/>
      <c r="K380" s="65"/>
      <c r="L380" s="65"/>
      <c r="M380" s="13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  <c r="AF380" s="65"/>
      <c r="AG380" s="65"/>
      <c r="AH380" s="65"/>
      <c r="AI380" s="65"/>
      <c r="AJ380" s="65"/>
      <c r="AK380" s="65"/>
      <c r="AL380" s="65"/>
      <c r="AM380" s="65"/>
      <c r="AN380" s="65"/>
      <c r="AO380" s="65"/>
      <c r="AP380" s="65"/>
      <c r="AQ380" s="65"/>
      <c r="AR380" s="65"/>
      <c r="AS380" s="65"/>
      <c r="AT380" s="65"/>
      <c r="AU380" s="65"/>
      <c r="AV380" s="65"/>
      <c r="AW380" s="65"/>
      <c r="AX380" s="65"/>
      <c r="AY380" s="65"/>
      <c r="AZ380" s="65"/>
      <c r="BA380" s="65"/>
      <c r="BB380" s="65"/>
      <c r="BC380" s="65"/>
      <c r="BD380" s="65"/>
      <c r="BE380" s="65"/>
      <c r="BF380" s="65"/>
      <c r="BG380" s="65"/>
      <c r="BH380" s="135"/>
      <c r="BI380" s="65"/>
      <c r="BJ380" s="65"/>
      <c r="BK380" s="65"/>
      <c r="BL380" s="65"/>
      <c r="BM380" s="65"/>
      <c r="BN380" s="65"/>
      <c r="BO380" s="65"/>
      <c r="BP380" s="65"/>
      <c r="BQ380" s="65"/>
      <c r="BR380" s="65"/>
      <c r="BS380" s="65"/>
      <c r="BT380" s="65"/>
      <c r="BU380" s="65"/>
      <c r="BV380" s="65"/>
      <c r="BW380" s="65"/>
      <c r="BX380" s="65"/>
      <c r="BY380" s="65"/>
      <c r="BZ380" s="65"/>
      <c r="CA380" s="65"/>
      <c r="CB380" s="65"/>
      <c r="CC380" s="65"/>
      <c r="CD380" s="65"/>
      <c r="CE380" s="65"/>
      <c r="CF380" s="65"/>
      <c r="CG380" s="65"/>
      <c r="CH380" s="0"/>
      <c r="CP380" s="0"/>
      <c r="CQ380" s="0"/>
      <c r="CR380" s="0"/>
      <c r="CS380" s="0"/>
      <c r="CT380" s="0"/>
      <c r="CU380" s="110"/>
      <c r="CV380" s="138"/>
      <c r="CW380" s="210"/>
      <c r="CX380" s="210"/>
      <c r="CY380" s="174" t="n">
        <f aca="false">EOMONTH(CY379,0)+1</f>
        <v>47757</v>
      </c>
      <c r="CZ380" s="175" t="n">
        <f aca="false">IF(AI380=0,CZ368,AH380+AI380)</f>
        <v>1</v>
      </c>
      <c r="DA380" s="175" t="n">
        <f aca="false">IF(AI380=0,DA368,AI380)</f>
        <v>1.25</v>
      </c>
      <c r="DB380" s="175" t="n">
        <f aca="false">IF(AI380=0,DB368,AI380+AJ380)</f>
        <v>1.55</v>
      </c>
      <c r="DD380" s="154" t="n">
        <f aca="false">IF(Z380=0,DD368,Z380)</f>
        <v>0.0651800088356474</v>
      </c>
      <c r="DE380" s="154" t="n">
        <f aca="false">IF(AA380=0,DE368,AA380)</f>
        <v>0.130360017671295</v>
      </c>
      <c r="DF380" s="154" t="n">
        <f aca="false">IF(AB380=0,DF368,AB380)</f>
        <v>0.195540026506942</v>
      </c>
      <c r="DG380" s="210"/>
      <c r="DH380" s="174" t="n">
        <f aca="false">IF(BH380=0,EOMONTH(DH379,0)+1,BH380)</f>
        <v>47757</v>
      </c>
      <c r="DI380" s="207" t="n">
        <f aca="false">IF(BI380=0,DI368,BI380)</f>
        <v>0.9</v>
      </c>
    </row>
    <row r="381" customFormat="false" ht="12.75" hidden="false" customHeight="false" outlineLevel="0" collapsed="false">
      <c r="B381" s="128"/>
      <c r="C381" s="124"/>
      <c r="D381" s="65"/>
      <c r="E381" s="65"/>
      <c r="F381" s="65"/>
      <c r="G381" s="65"/>
      <c r="H381" s="65"/>
      <c r="I381" s="65"/>
      <c r="J381" s="65"/>
      <c r="K381" s="65"/>
      <c r="L381" s="65"/>
      <c r="M381" s="13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  <c r="AJ381" s="65"/>
      <c r="AK381" s="65"/>
      <c r="AL381" s="65"/>
      <c r="AM381" s="65"/>
      <c r="AN381" s="65"/>
      <c r="AO381" s="65"/>
      <c r="AP381" s="65"/>
      <c r="AQ381" s="65"/>
      <c r="AR381" s="65"/>
      <c r="AS381" s="65"/>
      <c r="AT381" s="65"/>
      <c r="AU381" s="65"/>
      <c r="AV381" s="65"/>
      <c r="AW381" s="65"/>
      <c r="AX381" s="65"/>
      <c r="AY381" s="65"/>
      <c r="AZ381" s="65"/>
      <c r="BA381" s="65"/>
      <c r="BB381" s="65"/>
      <c r="BC381" s="65"/>
      <c r="BD381" s="65"/>
      <c r="BE381" s="65"/>
      <c r="BF381" s="65"/>
      <c r="BG381" s="65"/>
      <c r="BH381" s="135"/>
      <c r="BI381" s="65"/>
      <c r="BJ381" s="65"/>
      <c r="BK381" s="65"/>
      <c r="BL381" s="65"/>
      <c r="BM381" s="65"/>
      <c r="BN381" s="65"/>
      <c r="BO381" s="65"/>
      <c r="BP381" s="65"/>
      <c r="BQ381" s="65"/>
      <c r="BR381" s="65"/>
      <c r="BS381" s="65"/>
      <c r="BT381" s="65"/>
      <c r="BU381" s="65"/>
      <c r="BV381" s="65"/>
      <c r="BW381" s="65"/>
      <c r="BX381" s="65"/>
      <c r="BY381" s="65"/>
      <c r="BZ381" s="65"/>
      <c r="CA381" s="65"/>
      <c r="CB381" s="65"/>
      <c r="CC381" s="65"/>
      <c r="CD381" s="65"/>
      <c r="CE381" s="65"/>
      <c r="CF381" s="65"/>
      <c r="CG381" s="65"/>
      <c r="CH381" s="0"/>
      <c r="CP381" s="0"/>
      <c r="CQ381" s="0"/>
      <c r="CR381" s="0"/>
      <c r="CS381" s="0"/>
      <c r="CT381" s="0"/>
      <c r="CU381" s="110"/>
      <c r="CV381" s="138"/>
      <c r="CW381" s="210"/>
      <c r="CX381" s="210"/>
      <c r="CY381" s="174" t="n">
        <f aca="false">EOMONTH(CY380,0)+1</f>
        <v>47788</v>
      </c>
      <c r="CZ381" s="175" t="n">
        <f aca="false">IF(AI381=0,CZ369,AH381+AI381)</f>
        <v>1</v>
      </c>
      <c r="DA381" s="175" t="n">
        <f aca="false">IF(AI381=0,DA369,AI381)</f>
        <v>1.25</v>
      </c>
      <c r="DB381" s="175" t="n">
        <f aca="false">IF(AI381=0,DB369,AI381+AJ381)</f>
        <v>1.55</v>
      </c>
      <c r="DD381" s="154" t="n">
        <f aca="false">IF(Z381=0,DD369,Z381)</f>
        <v>0.0651800088356474</v>
      </c>
      <c r="DE381" s="154" t="n">
        <f aca="false">IF(AA381=0,DE369,AA381)</f>
        <v>0.130360017671295</v>
      </c>
      <c r="DF381" s="154" t="n">
        <f aca="false">IF(AB381=0,DF369,AB381)</f>
        <v>0.195540026506942</v>
      </c>
      <c r="DG381" s="210"/>
      <c r="DH381" s="174" t="n">
        <f aca="false">IF(BH381=0,EOMONTH(DH380,0)+1,BH381)</f>
        <v>47788</v>
      </c>
      <c r="DI381" s="207" t="n">
        <f aca="false">IF(BI381=0,DI369,BI381)</f>
        <v>0.9</v>
      </c>
    </row>
    <row r="382" customFormat="false" ht="12.75" hidden="false" customHeight="false" outlineLevel="0" collapsed="false">
      <c r="B382" s="128"/>
      <c r="C382" s="124"/>
      <c r="D382" s="65"/>
      <c r="E382" s="65"/>
      <c r="F382" s="65"/>
      <c r="G382" s="65"/>
      <c r="H382" s="65"/>
      <c r="I382" s="65"/>
      <c r="J382" s="65"/>
      <c r="K382" s="65"/>
      <c r="L382" s="65"/>
      <c r="M382" s="13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  <c r="AF382" s="65"/>
      <c r="AG382" s="65"/>
      <c r="AH382" s="65"/>
      <c r="AI382" s="65"/>
      <c r="AJ382" s="65"/>
      <c r="AK382" s="65"/>
      <c r="AL382" s="65"/>
      <c r="AM382" s="65"/>
      <c r="AN382" s="65"/>
      <c r="AO382" s="65"/>
      <c r="AP382" s="65"/>
      <c r="AQ382" s="65"/>
      <c r="AR382" s="65"/>
      <c r="AS382" s="65"/>
      <c r="AT382" s="65"/>
      <c r="AU382" s="65"/>
      <c r="AV382" s="65"/>
      <c r="AW382" s="65"/>
      <c r="AX382" s="65"/>
      <c r="AY382" s="65"/>
      <c r="AZ382" s="65"/>
      <c r="BA382" s="65"/>
      <c r="BB382" s="65"/>
      <c r="BC382" s="65"/>
      <c r="BD382" s="65"/>
      <c r="BE382" s="65"/>
      <c r="BF382" s="65"/>
      <c r="BG382" s="65"/>
      <c r="BH382" s="135"/>
      <c r="BI382" s="65"/>
      <c r="BJ382" s="65"/>
      <c r="BK382" s="65"/>
      <c r="BL382" s="65"/>
      <c r="BM382" s="65"/>
      <c r="BN382" s="65"/>
      <c r="BO382" s="65"/>
      <c r="BP382" s="65"/>
      <c r="BQ382" s="65"/>
      <c r="BR382" s="65"/>
      <c r="BS382" s="65"/>
      <c r="BT382" s="65"/>
      <c r="BU382" s="65"/>
      <c r="BV382" s="65"/>
      <c r="BW382" s="65"/>
      <c r="BX382" s="65"/>
      <c r="BY382" s="65"/>
      <c r="BZ382" s="65"/>
      <c r="CA382" s="65"/>
      <c r="CB382" s="65"/>
      <c r="CC382" s="65"/>
      <c r="CD382" s="65"/>
      <c r="CE382" s="65"/>
      <c r="CF382" s="65"/>
      <c r="CG382" s="65"/>
      <c r="CH382" s="0"/>
      <c r="CP382" s="0"/>
      <c r="CQ382" s="0"/>
      <c r="CR382" s="0"/>
      <c r="CS382" s="0"/>
      <c r="CT382" s="0"/>
      <c r="CU382" s="110"/>
      <c r="CV382" s="138"/>
      <c r="CW382" s="210"/>
      <c r="CX382" s="210"/>
      <c r="CY382" s="174" t="n">
        <f aca="false">EOMONTH(CY381,0)+1</f>
        <v>47818</v>
      </c>
      <c r="CZ382" s="175" t="n">
        <f aca="false">IF(AI382=0,CZ370,AH382+AI382)</f>
        <v>1</v>
      </c>
      <c r="DA382" s="175" t="n">
        <f aca="false">IF(AI382=0,DA370,AI382)</f>
        <v>1.25</v>
      </c>
      <c r="DB382" s="175" t="n">
        <f aca="false">IF(AI382=0,DB370,AI382+AJ382)</f>
        <v>1.55</v>
      </c>
      <c r="DD382" s="154" t="n">
        <f aca="false">IF(Z382=0,DD370,Z382)</f>
        <v>0.0638788843714456</v>
      </c>
      <c r="DE382" s="154" t="n">
        <f aca="false">IF(AA382=0,DE370,AA382)</f>
        <v>0.127757768742891</v>
      </c>
      <c r="DF382" s="154" t="n">
        <f aca="false">IF(AB382=0,DF370,AB382)</f>
        <v>0.191636653114337</v>
      </c>
      <c r="DG382" s="210"/>
      <c r="DH382" s="174" t="n">
        <f aca="false">IF(BH382=0,EOMONTH(DH381,0)+1,BH382)</f>
        <v>47818</v>
      </c>
      <c r="DI382" s="207" t="n">
        <f aca="false">IF(BI382=0,DI370,BI382)</f>
        <v>0.9</v>
      </c>
    </row>
    <row r="383" customFormat="false" ht="12.75" hidden="false" customHeight="false" outlineLevel="0" collapsed="false">
      <c r="B383" s="128"/>
      <c r="C383" s="124"/>
      <c r="D383" s="65"/>
      <c r="E383" s="65"/>
      <c r="F383" s="65"/>
      <c r="G383" s="65"/>
      <c r="H383" s="65"/>
      <c r="I383" s="65"/>
      <c r="J383" s="65"/>
      <c r="K383" s="65"/>
      <c r="L383" s="65"/>
      <c r="M383" s="13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5"/>
      <c r="AG383" s="65"/>
      <c r="AH383" s="65"/>
      <c r="AI383" s="65"/>
      <c r="AJ383" s="65"/>
      <c r="AK383" s="65"/>
      <c r="AL383" s="65"/>
      <c r="AM383" s="65"/>
      <c r="AN383" s="65"/>
      <c r="AO383" s="65"/>
      <c r="AP383" s="65"/>
      <c r="AQ383" s="65"/>
      <c r="AR383" s="65"/>
      <c r="AS383" s="65"/>
      <c r="AT383" s="65"/>
      <c r="AU383" s="65"/>
      <c r="AV383" s="65"/>
      <c r="AW383" s="65"/>
      <c r="AX383" s="65"/>
      <c r="AY383" s="65"/>
      <c r="AZ383" s="65"/>
      <c r="BA383" s="65"/>
      <c r="BB383" s="65"/>
      <c r="BC383" s="65"/>
      <c r="BD383" s="65"/>
      <c r="BE383" s="65"/>
      <c r="BF383" s="65"/>
      <c r="BG383" s="65"/>
      <c r="BH383" s="135"/>
      <c r="BI383" s="65"/>
      <c r="BJ383" s="65"/>
      <c r="BK383" s="65"/>
      <c r="BL383" s="65"/>
      <c r="BM383" s="65"/>
      <c r="BN383" s="65"/>
      <c r="BO383" s="65"/>
      <c r="BP383" s="65"/>
      <c r="BQ383" s="65"/>
      <c r="BR383" s="65"/>
      <c r="BS383" s="65"/>
      <c r="BT383" s="65"/>
      <c r="BU383" s="65"/>
      <c r="BV383" s="65"/>
      <c r="BW383" s="65"/>
      <c r="BX383" s="65"/>
      <c r="BY383" s="65"/>
      <c r="BZ383" s="65"/>
      <c r="CA383" s="65"/>
      <c r="CB383" s="65"/>
      <c r="CC383" s="65"/>
      <c r="CD383" s="65"/>
      <c r="CE383" s="65"/>
      <c r="CF383" s="65"/>
      <c r="CG383" s="65"/>
      <c r="CH383" s="0"/>
      <c r="CP383" s="0"/>
      <c r="CQ383" s="0"/>
      <c r="CR383" s="0"/>
      <c r="CS383" s="0"/>
      <c r="CT383" s="0"/>
      <c r="CU383" s="110"/>
      <c r="CV383" s="138"/>
      <c r="CW383" s="210"/>
      <c r="CX383" s="210"/>
      <c r="CY383" s="174" t="n">
        <f aca="false">EOMONTH(CY382,0)+1</f>
        <v>47849</v>
      </c>
      <c r="CZ383" s="175" t="n">
        <f aca="false">IF(AI383=0,CZ371,AH383+AI383)</f>
        <v>1</v>
      </c>
      <c r="DA383" s="175" t="n">
        <f aca="false">IF(AI383=0,DA371,AI383)</f>
        <v>1.25</v>
      </c>
      <c r="DB383" s="175" t="n">
        <f aca="false">IF(AI383=0,DB371,AI383+AJ383)</f>
        <v>1.55</v>
      </c>
      <c r="DD383" s="154" t="n">
        <f aca="false">IF(Z383=0,DD371,Z383)</f>
        <v>0.0942652295751635</v>
      </c>
      <c r="DE383" s="154" t="n">
        <f aca="false">IF(AA383=0,DE371,AA383)</f>
        <v>0.188530459150327</v>
      </c>
      <c r="DF383" s="154" t="n">
        <f aca="false">IF(AB383=0,DF371,AB383)</f>
        <v>0.28279568872549</v>
      </c>
      <c r="DG383" s="210"/>
      <c r="DH383" s="174" t="n">
        <f aca="false">IF(BH383=0,EOMONTH(DH382,0)+1,BH383)</f>
        <v>47849</v>
      </c>
      <c r="DI383" s="207" t="n">
        <f aca="false">IF(BI383=0,DI371,BI383)</f>
        <v>0.9</v>
      </c>
    </row>
    <row r="384" customFormat="false" ht="12.75" hidden="false" customHeight="false" outlineLevel="0" collapsed="false">
      <c r="B384" s="128"/>
      <c r="C384" s="124"/>
      <c r="D384" s="65"/>
      <c r="E384" s="65"/>
      <c r="F384" s="65"/>
      <c r="G384" s="65"/>
      <c r="H384" s="65"/>
      <c r="I384" s="65"/>
      <c r="J384" s="65"/>
      <c r="K384" s="65"/>
      <c r="L384" s="65"/>
      <c r="M384" s="13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  <c r="AF384" s="65"/>
      <c r="AG384" s="65"/>
      <c r="AH384" s="65"/>
      <c r="AI384" s="65"/>
      <c r="AJ384" s="65"/>
      <c r="AK384" s="65"/>
      <c r="AL384" s="65"/>
      <c r="AM384" s="65"/>
      <c r="AN384" s="65"/>
      <c r="AO384" s="65"/>
      <c r="AP384" s="65"/>
      <c r="AQ384" s="65"/>
      <c r="AR384" s="65"/>
      <c r="AS384" s="65"/>
      <c r="AT384" s="65"/>
      <c r="AU384" s="65"/>
      <c r="AV384" s="65"/>
      <c r="AW384" s="65"/>
      <c r="AX384" s="65"/>
      <c r="AY384" s="65"/>
      <c r="AZ384" s="65"/>
      <c r="BA384" s="65"/>
      <c r="BB384" s="65"/>
      <c r="BC384" s="65"/>
      <c r="BD384" s="65"/>
      <c r="BE384" s="65"/>
      <c r="BF384" s="65"/>
      <c r="BG384" s="65"/>
      <c r="BH384" s="135"/>
      <c r="BI384" s="65"/>
      <c r="BJ384" s="65"/>
      <c r="BK384" s="65"/>
      <c r="BL384" s="65"/>
      <c r="BM384" s="65"/>
      <c r="BN384" s="65"/>
      <c r="BO384" s="65"/>
      <c r="BP384" s="65"/>
      <c r="BQ384" s="65"/>
      <c r="BR384" s="65"/>
      <c r="BS384" s="65"/>
      <c r="BT384" s="65"/>
      <c r="BU384" s="65"/>
      <c r="BV384" s="65"/>
      <c r="BW384" s="65"/>
      <c r="BX384" s="65"/>
      <c r="BY384" s="65"/>
      <c r="BZ384" s="65"/>
      <c r="CA384" s="65"/>
      <c r="CB384" s="65"/>
      <c r="CC384" s="65"/>
      <c r="CD384" s="65"/>
      <c r="CE384" s="65"/>
      <c r="CF384" s="65"/>
      <c r="CG384" s="65"/>
      <c r="CH384" s="0"/>
      <c r="CP384" s="0"/>
      <c r="CQ384" s="0"/>
      <c r="CR384" s="0"/>
      <c r="CS384" s="0"/>
      <c r="CT384" s="0"/>
      <c r="CU384" s="110"/>
      <c r="CV384" s="138"/>
      <c r="CW384" s="210"/>
      <c r="CX384" s="210"/>
      <c r="CY384" s="174" t="n">
        <f aca="false">EOMONTH(CY383,0)+1</f>
        <v>47880</v>
      </c>
      <c r="CZ384" s="175" t="n">
        <f aca="false">IF(AI384=0,CZ372,AH384+AI384)</f>
        <v>1</v>
      </c>
      <c r="DA384" s="175" t="n">
        <f aca="false">IF(AI384=0,DA372,AI384)</f>
        <v>1.25</v>
      </c>
      <c r="DB384" s="175" t="n">
        <f aca="false">IF(AI384=0,DB372,AI384+AJ384)</f>
        <v>1.55</v>
      </c>
      <c r="DD384" s="154" t="n">
        <f aca="false">IF(Z384=0,DD372,Z384)</f>
        <v>0.0910666090107368</v>
      </c>
      <c r="DE384" s="154" t="n">
        <f aca="false">IF(AA384=0,DE372,AA384)</f>
        <v>0.182133218021474</v>
      </c>
      <c r="DF384" s="154" t="n">
        <f aca="false">IF(AB384=0,DF372,AB384)</f>
        <v>0.27319982703221</v>
      </c>
      <c r="DG384" s="210"/>
      <c r="DH384" s="174" t="n">
        <f aca="false">IF(BH384=0,EOMONTH(DH383,0)+1,BH384)</f>
        <v>47880</v>
      </c>
      <c r="DI384" s="207" t="n">
        <f aca="false">IF(BI384=0,DI372,BI384)</f>
        <v>0.9</v>
      </c>
    </row>
    <row r="385" customFormat="false" ht="12.75" hidden="false" customHeight="false" outlineLevel="0" collapsed="false">
      <c r="B385" s="128"/>
      <c r="C385" s="124"/>
      <c r="D385" s="65"/>
      <c r="E385" s="65"/>
      <c r="F385" s="65"/>
      <c r="G385" s="65"/>
      <c r="H385" s="65"/>
      <c r="I385" s="65"/>
      <c r="J385" s="65"/>
      <c r="K385" s="65"/>
      <c r="L385" s="65"/>
      <c r="M385" s="13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5"/>
      <c r="AG385" s="65"/>
      <c r="AH385" s="65"/>
      <c r="AI385" s="65"/>
      <c r="AJ385" s="65"/>
      <c r="AK385" s="65"/>
      <c r="AL385" s="65"/>
      <c r="AM385" s="65"/>
      <c r="AN385" s="65"/>
      <c r="AO385" s="65"/>
      <c r="AP385" s="65"/>
      <c r="AQ385" s="65"/>
      <c r="AR385" s="65"/>
      <c r="AS385" s="65"/>
      <c r="AT385" s="65"/>
      <c r="AU385" s="65"/>
      <c r="AV385" s="65"/>
      <c r="AW385" s="65"/>
      <c r="AX385" s="65"/>
      <c r="AY385" s="65"/>
      <c r="AZ385" s="65"/>
      <c r="BA385" s="65"/>
      <c r="BB385" s="65"/>
      <c r="BC385" s="65"/>
      <c r="BD385" s="65"/>
      <c r="BE385" s="65"/>
      <c r="BF385" s="65"/>
      <c r="BG385" s="65"/>
      <c r="BH385" s="135"/>
      <c r="BI385" s="65"/>
      <c r="BJ385" s="65"/>
      <c r="BK385" s="65"/>
      <c r="BL385" s="65"/>
      <c r="BM385" s="65"/>
      <c r="BN385" s="65"/>
      <c r="BO385" s="65"/>
      <c r="BP385" s="65"/>
      <c r="BQ385" s="65"/>
      <c r="BR385" s="65"/>
      <c r="BS385" s="65"/>
      <c r="BT385" s="65"/>
      <c r="BU385" s="65"/>
      <c r="BV385" s="65"/>
      <c r="BW385" s="65"/>
      <c r="BX385" s="65"/>
      <c r="BY385" s="65"/>
      <c r="BZ385" s="65"/>
      <c r="CA385" s="65"/>
      <c r="CB385" s="65"/>
      <c r="CC385" s="65"/>
      <c r="CD385" s="65"/>
      <c r="CE385" s="65"/>
      <c r="CF385" s="65"/>
      <c r="CG385" s="65"/>
      <c r="CH385" s="0"/>
      <c r="CP385" s="0"/>
      <c r="CQ385" s="0"/>
      <c r="CR385" s="0"/>
      <c r="CS385" s="0"/>
      <c r="CT385" s="0"/>
      <c r="CU385" s="110"/>
      <c r="CV385" s="138"/>
      <c r="CW385" s="210"/>
      <c r="CX385" s="210"/>
      <c r="CY385" s="174" t="n">
        <f aca="false">EOMONTH(CY384,0)+1</f>
        <v>47908</v>
      </c>
      <c r="CZ385" s="175" t="n">
        <f aca="false">IF(AI385=0,CZ373,AH385+AI385)</f>
        <v>1</v>
      </c>
      <c r="DA385" s="175" t="n">
        <f aca="false">IF(AI385=0,DA373,AI385)</f>
        <v>1.25</v>
      </c>
      <c r="DB385" s="175" t="n">
        <f aca="false">IF(AI385=0,DB373,AI385+AJ385)</f>
        <v>1.55</v>
      </c>
      <c r="DD385" s="154" t="n">
        <f aca="false">IF(Z385=0,DD373,Z385)</f>
        <v>0.0721937023797812</v>
      </c>
      <c r="DE385" s="154" t="n">
        <f aca="false">IF(AA385=0,DE373,AA385)</f>
        <v>0.144387404759562</v>
      </c>
      <c r="DF385" s="154" t="n">
        <f aca="false">IF(AB385=0,DF373,AB385)</f>
        <v>0.216581107139343</v>
      </c>
      <c r="DG385" s="210"/>
      <c r="DH385" s="174" t="n">
        <f aca="false">IF(BH385=0,EOMONTH(DH384,0)+1,BH385)</f>
        <v>47908</v>
      </c>
      <c r="DI385" s="207" t="n">
        <f aca="false">IF(BI385=0,DI373,BI385)</f>
        <v>0.9</v>
      </c>
    </row>
    <row r="386" customFormat="false" ht="12.75" hidden="false" customHeight="false" outlineLevel="0" collapsed="false">
      <c r="B386" s="128"/>
      <c r="C386" s="124"/>
      <c r="D386" s="65"/>
      <c r="E386" s="65"/>
      <c r="F386" s="65"/>
      <c r="G386" s="65"/>
      <c r="H386" s="65"/>
      <c r="I386" s="65"/>
      <c r="J386" s="65"/>
      <c r="K386" s="65"/>
      <c r="L386" s="65"/>
      <c r="M386" s="13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5"/>
      <c r="AG386" s="65"/>
      <c r="AH386" s="65"/>
      <c r="AI386" s="65"/>
      <c r="AJ386" s="65"/>
      <c r="AK386" s="65"/>
      <c r="AL386" s="65"/>
      <c r="AM386" s="65"/>
      <c r="AN386" s="65"/>
      <c r="AO386" s="65"/>
      <c r="AP386" s="65"/>
      <c r="AQ386" s="65"/>
      <c r="AR386" s="65"/>
      <c r="AS386" s="65"/>
      <c r="AT386" s="65"/>
      <c r="AU386" s="65"/>
      <c r="AV386" s="65"/>
      <c r="AW386" s="65"/>
      <c r="AX386" s="65"/>
      <c r="AY386" s="65"/>
      <c r="AZ386" s="65"/>
      <c r="BA386" s="65"/>
      <c r="BB386" s="65"/>
      <c r="BC386" s="65"/>
      <c r="BD386" s="65"/>
      <c r="BE386" s="65"/>
      <c r="BF386" s="65"/>
      <c r="BG386" s="65"/>
      <c r="BH386" s="135"/>
      <c r="BI386" s="65"/>
      <c r="BJ386" s="65"/>
      <c r="BK386" s="65"/>
      <c r="BL386" s="65"/>
      <c r="BM386" s="65"/>
      <c r="BN386" s="65"/>
      <c r="BO386" s="65"/>
      <c r="BP386" s="65"/>
      <c r="BQ386" s="65"/>
      <c r="BR386" s="65"/>
      <c r="BS386" s="65"/>
      <c r="BT386" s="65"/>
      <c r="BU386" s="65"/>
      <c r="BV386" s="65"/>
      <c r="BW386" s="65"/>
      <c r="BX386" s="65"/>
      <c r="BY386" s="65"/>
      <c r="BZ386" s="65"/>
      <c r="CA386" s="65"/>
      <c r="CB386" s="65"/>
      <c r="CC386" s="65"/>
      <c r="CD386" s="65"/>
      <c r="CE386" s="65"/>
      <c r="CF386" s="65"/>
      <c r="CG386" s="65"/>
      <c r="CH386" s="0"/>
      <c r="CP386" s="0"/>
      <c r="CQ386" s="0"/>
      <c r="CR386" s="0"/>
      <c r="CS386" s="0"/>
      <c r="CT386" s="0"/>
      <c r="CU386" s="110"/>
      <c r="CV386" s="138"/>
      <c r="CW386" s="210"/>
      <c r="CX386" s="210"/>
      <c r="CY386" s="174" t="n">
        <f aca="false">EOMONTH(CY385,0)+1</f>
        <v>47939</v>
      </c>
      <c r="CZ386" s="175" t="n">
        <f aca="false">IF(AI386=0,CZ374,AH386+AI386)</f>
        <v>0</v>
      </c>
      <c r="DA386" s="175" t="n">
        <f aca="false">IF(AI386=0,DA374,AI386)</f>
        <v>0</v>
      </c>
      <c r="DB386" s="175" t="n">
        <f aca="false">IF(AI386=0,DB374,AI386+AJ386)</f>
        <v>0</v>
      </c>
      <c r="DD386" s="154" t="n">
        <f aca="false">IF(Z386=0,DD374,Z386)</f>
        <v>0</v>
      </c>
      <c r="DE386" s="154" t="n">
        <f aca="false">IF(AA386=0,DE374,AA386)</f>
        <v>0</v>
      </c>
      <c r="DF386" s="154" t="n">
        <f aca="false">IF(AB386=0,DF374,AB386)</f>
        <v>0</v>
      </c>
      <c r="DG386" s="210"/>
      <c r="DH386" s="174" t="n">
        <f aca="false">IF(BH386=0,EOMONTH(DH385,0)+1,BH386)</f>
        <v>47939</v>
      </c>
      <c r="DI386" s="207" t="n">
        <f aca="false">IF(BI386=0,DI374,BI386)</f>
        <v>0</v>
      </c>
    </row>
    <row r="387" customFormat="false" ht="12.75" hidden="false" customHeight="false" outlineLevel="0" collapsed="false">
      <c r="B387" s="128"/>
      <c r="C387" s="124"/>
      <c r="D387" s="65"/>
      <c r="E387" s="65"/>
      <c r="F387" s="65"/>
      <c r="G387" s="65"/>
      <c r="H387" s="65"/>
      <c r="I387" s="65"/>
      <c r="J387" s="65"/>
      <c r="K387" s="65"/>
      <c r="L387" s="65"/>
      <c r="M387" s="13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5"/>
      <c r="AG387" s="65"/>
      <c r="AH387" s="65"/>
      <c r="AI387" s="65"/>
      <c r="AJ387" s="65"/>
      <c r="AK387" s="65"/>
      <c r="AL387" s="65"/>
      <c r="AM387" s="65"/>
      <c r="AN387" s="65"/>
      <c r="AO387" s="65"/>
      <c r="AP387" s="65"/>
      <c r="AQ387" s="65"/>
      <c r="AR387" s="65"/>
      <c r="AS387" s="65"/>
      <c r="AT387" s="65"/>
      <c r="AU387" s="65"/>
      <c r="AV387" s="65"/>
      <c r="AW387" s="65"/>
      <c r="AX387" s="65"/>
      <c r="AY387" s="65"/>
      <c r="AZ387" s="65"/>
      <c r="BA387" s="65"/>
      <c r="BB387" s="65"/>
      <c r="BC387" s="65"/>
      <c r="BD387" s="65"/>
      <c r="BE387" s="65"/>
      <c r="BF387" s="65"/>
      <c r="BG387" s="65"/>
      <c r="BH387" s="135"/>
      <c r="BI387" s="65"/>
      <c r="BJ387" s="65"/>
      <c r="BK387" s="65"/>
      <c r="BL387" s="65"/>
      <c r="BM387" s="65"/>
      <c r="BN387" s="65"/>
      <c r="BO387" s="65"/>
      <c r="BP387" s="65"/>
      <c r="BQ387" s="65"/>
      <c r="BR387" s="65"/>
      <c r="BS387" s="65"/>
      <c r="BT387" s="65"/>
      <c r="BU387" s="65"/>
      <c r="BV387" s="65"/>
      <c r="BW387" s="65"/>
      <c r="BX387" s="65"/>
      <c r="BY387" s="65"/>
      <c r="BZ387" s="65"/>
      <c r="CA387" s="65"/>
      <c r="CB387" s="65"/>
      <c r="CC387" s="65"/>
      <c r="CD387" s="65"/>
      <c r="CE387" s="65"/>
      <c r="CF387" s="65"/>
      <c r="CG387" s="65"/>
      <c r="CH387" s="0"/>
      <c r="CP387" s="0"/>
      <c r="CQ387" s="0"/>
      <c r="CR387" s="0"/>
      <c r="CS387" s="0"/>
      <c r="CT387" s="0"/>
      <c r="CU387" s="110"/>
      <c r="CV387" s="138"/>
      <c r="CW387" s="210"/>
      <c r="CX387" s="210"/>
      <c r="CY387" s="174" t="n">
        <f aca="false">EOMONTH(CY386,0)+1</f>
        <v>47969</v>
      </c>
      <c r="CZ387" s="175" t="n">
        <f aca="false">IF(AI387=0,CZ375,AH387+AI387)</f>
        <v>1</v>
      </c>
      <c r="DA387" s="175" t="n">
        <f aca="false">IF(AI387=0,DA375,AI387)</f>
        <v>1.25</v>
      </c>
      <c r="DB387" s="175" t="n">
        <f aca="false">IF(AI387=0,DB375,AI387+AJ387)</f>
        <v>1.55</v>
      </c>
      <c r="DD387" s="154" t="n">
        <f aca="false">IF(Z387=0,DD375,Z387)</f>
        <v>0.079836777060087</v>
      </c>
      <c r="DE387" s="154" t="n">
        <f aca="false">IF(AA387=0,DE375,AA387)</f>
        <v>0.159673554120174</v>
      </c>
      <c r="DF387" s="154" t="n">
        <f aca="false">IF(AB387=0,DF375,AB387)</f>
        <v>0.239510331180261</v>
      </c>
      <c r="DG387" s="210"/>
      <c r="DH387" s="174" t="n">
        <f aca="false">IF(BH387=0,EOMONTH(DH386,0)+1,BH387)</f>
        <v>47969</v>
      </c>
      <c r="DI387" s="207" t="n">
        <f aca="false">IF(BI387=0,DI375,BI387)</f>
        <v>0.9</v>
      </c>
    </row>
    <row r="388" customFormat="false" ht="12.75" hidden="false" customHeight="false" outlineLevel="0" collapsed="false">
      <c r="B388" s="128"/>
      <c r="C388" s="124"/>
      <c r="D388" s="65"/>
      <c r="E388" s="65"/>
      <c r="F388" s="65"/>
      <c r="G388" s="65"/>
      <c r="H388" s="65"/>
      <c r="I388" s="65"/>
      <c r="J388" s="65"/>
      <c r="K388" s="65"/>
      <c r="L388" s="65"/>
      <c r="M388" s="13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  <c r="AF388" s="65"/>
      <c r="AG388" s="65"/>
      <c r="AH388" s="65"/>
      <c r="AI388" s="65"/>
      <c r="AJ388" s="65"/>
      <c r="AK388" s="65"/>
      <c r="AL388" s="65"/>
      <c r="AM388" s="65"/>
      <c r="AN388" s="65"/>
      <c r="AO388" s="65"/>
      <c r="AP388" s="65"/>
      <c r="AQ388" s="65"/>
      <c r="AR388" s="65"/>
      <c r="AS388" s="65"/>
      <c r="AT388" s="65"/>
      <c r="AU388" s="65"/>
      <c r="AV388" s="65"/>
      <c r="AW388" s="65"/>
      <c r="AX388" s="65"/>
      <c r="AY388" s="65"/>
      <c r="AZ388" s="65"/>
      <c r="BA388" s="65"/>
      <c r="BB388" s="65"/>
      <c r="BC388" s="65"/>
      <c r="BD388" s="65"/>
      <c r="BE388" s="65"/>
      <c r="BF388" s="65"/>
      <c r="BG388" s="65"/>
      <c r="BH388" s="135"/>
      <c r="BI388" s="65"/>
      <c r="BJ388" s="65"/>
      <c r="BK388" s="65"/>
      <c r="BL388" s="65"/>
      <c r="BM388" s="65"/>
      <c r="BN388" s="65"/>
      <c r="BO388" s="65"/>
      <c r="BP388" s="65"/>
      <c r="BQ388" s="65"/>
      <c r="BR388" s="65"/>
      <c r="BS388" s="65"/>
      <c r="BT388" s="65"/>
      <c r="BU388" s="65"/>
      <c r="BV388" s="65"/>
      <c r="BW388" s="65"/>
      <c r="BX388" s="65"/>
      <c r="BY388" s="65"/>
      <c r="BZ388" s="65"/>
      <c r="CA388" s="65"/>
      <c r="CB388" s="65"/>
      <c r="CC388" s="65"/>
      <c r="CD388" s="65"/>
      <c r="CE388" s="65"/>
      <c r="CF388" s="65"/>
      <c r="CG388" s="65"/>
      <c r="CH388" s="0"/>
      <c r="CP388" s="0"/>
      <c r="CQ388" s="0"/>
      <c r="CR388" s="0"/>
      <c r="CS388" s="0"/>
      <c r="CT388" s="0"/>
      <c r="CU388" s="110"/>
      <c r="CV388" s="138"/>
      <c r="CW388" s="210"/>
      <c r="CX388" s="210"/>
      <c r="CY388" s="174" t="n">
        <f aca="false">EOMONTH(CY387,0)+1</f>
        <v>48000</v>
      </c>
      <c r="CZ388" s="175" t="n">
        <f aca="false">IF(AI388=0,CZ376,AH388+AI388)</f>
        <v>1</v>
      </c>
      <c r="DA388" s="175" t="n">
        <f aca="false">IF(AI388=0,DA376,AI388)</f>
        <v>1.25</v>
      </c>
      <c r="DB388" s="175" t="n">
        <f aca="false">IF(AI388=0,DB376,AI388+AJ388)</f>
        <v>1.55</v>
      </c>
      <c r="DD388" s="154" t="n">
        <f aca="false">IF(Z388=0,DD376,Z388)</f>
        <v>0.085380172451756</v>
      </c>
      <c r="DE388" s="154" t="n">
        <f aca="false">IF(AA388=0,DE376,AA388)</f>
        <v>0.170760344903512</v>
      </c>
      <c r="DF388" s="154" t="n">
        <f aca="false">IF(AB388=0,DF376,AB388)</f>
        <v>0.256140517355268</v>
      </c>
      <c r="DG388" s="210"/>
      <c r="DH388" s="174" t="n">
        <f aca="false">IF(BH388=0,EOMONTH(DH387,0)+1,BH388)</f>
        <v>48000</v>
      </c>
      <c r="DI388" s="207" t="n">
        <f aca="false">IF(BI388=0,DI376,BI388)</f>
        <v>0.9</v>
      </c>
    </row>
    <row r="389" customFormat="false" ht="12.75" hidden="false" customHeight="false" outlineLevel="0" collapsed="false">
      <c r="B389" s="128"/>
      <c r="C389" s="124"/>
      <c r="D389" s="65"/>
      <c r="E389" s="65"/>
      <c r="F389" s="65"/>
      <c r="G389" s="65"/>
      <c r="H389" s="65"/>
      <c r="I389" s="65"/>
      <c r="J389" s="65"/>
      <c r="K389" s="65"/>
      <c r="L389" s="65"/>
      <c r="M389" s="13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  <c r="AH389" s="65"/>
      <c r="AI389" s="65"/>
      <c r="AJ389" s="65"/>
      <c r="AK389" s="65"/>
      <c r="AL389" s="65"/>
      <c r="AM389" s="65"/>
      <c r="AN389" s="65"/>
      <c r="AO389" s="65"/>
      <c r="AP389" s="65"/>
      <c r="AQ389" s="65"/>
      <c r="AR389" s="65"/>
      <c r="AS389" s="65"/>
      <c r="AT389" s="65"/>
      <c r="AU389" s="65"/>
      <c r="AV389" s="65"/>
      <c r="AW389" s="65"/>
      <c r="AX389" s="65"/>
      <c r="AY389" s="65"/>
      <c r="AZ389" s="65"/>
      <c r="BA389" s="65"/>
      <c r="BB389" s="65"/>
      <c r="BC389" s="65"/>
      <c r="BD389" s="65"/>
      <c r="BE389" s="65"/>
      <c r="BF389" s="65"/>
      <c r="BG389" s="65"/>
      <c r="BH389" s="135"/>
      <c r="BI389" s="65"/>
      <c r="BJ389" s="65"/>
      <c r="BK389" s="65"/>
      <c r="BL389" s="65"/>
      <c r="BM389" s="65"/>
      <c r="BN389" s="65"/>
      <c r="BO389" s="65"/>
      <c r="BP389" s="65"/>
      <c r="BQ389" s="65"/>
      <c r="BR389" s="65"/>
      <c r="BS389" s="65"/>
      <c r="BT389" s="65"/>
      <c r="BU389" s="65"/>
      <c r="BV389" s="65"/>
      <c r="BW389" s="65"/>
      <c r="BX389" s="65"/>
      <c r="BY389" s="65"/>
      <c r="BZ389" s="65"/>
      <c r="CA389" s="65"/>
      <c r="CB389" s="65"/>
      <c r="CC389" s="65"/>
      <c r="CD389" s="65"/>
      <c r="CE389" s="65"/>
      <c r="CF389" s="65"/>
      <c r="CG389" s="65"/>
      <c r="CH389" s="0"/>
      <c r="CP389" s="0"/>
      <c r="CQ389" s="0"/>
      <c r="CR389" s="0"/>
      <c r="CS389" s="0"/>
      <c r="CT389" s="0"/>
      <c r="CU389" s="110"/>
      <c r="CV389" s="138"/>
      <c r="CW389" s="210"/>
      <c r="CX389" s="210"/>
      <c r="CY389" s="174" t="n">
        <f aca="false">EOMONTH(CY388,0)+1</f>
        <v>48030</v>
      </c>
      <c r="CZ389" s="175" t="n">
        <f aca="false">IF(AI389=0,CZ377,AH389+AI389)</f>
        <v>1</v>
      </c>
      <c r="DA389" s="175" t="n">
        <f aca="false">IF(AI389=0,DA377,AI389)</f>
        <v>1.25</v>
      </c>
      <c r="DB389" s="175" t="n">
        <f aca="false">IF(AI389=0,DB377,AI389+AJ389)</f>
        <v>1.55</v>
      </c>
      <c r="DD389" s="154" t="n">
        <f aca="false">IF(Z389=0,DD377,Z389)</f>
        <v>0.101692367108662</v>
      </c>
      <c r="DE389" s="154" t="n">
        <f aca="false">IF(AA389=0,DE377,AA389)</f>
        <v>0.203384734217324</v>
      </c>
      <c r="DF389" s="154" t="n">
        <f aca="false">IF(AB389=0,DF377,AB389)</f>
        <v>0.305077101325986</v>
      </c>
      <c r="DG389" s="210"/>
      <c r="DH389" s="174" t="n">
        <f aca="false">IF(BH389=0,EOMONTH(DH388,0)+1,BH389)</f>
        <v>48030</v>
      </c>
      <c r="DI389" s="207" t="n">
        <f aca="false">IF(BI389=0,DI377,BI389)</f>
        <v>0.9</v>
      </c>
    </row>
    <row r="390" customFormat="false" ht="12.75" hidden="false" customHeight="false" outlineLevel="0" collapsed="false">
      <c r="B390" s="128"/>
      <c r="C390" s="124"/>
      <c r="D390" s="65"/>
      <c r="E390" s="65"/>
      <c r="F390" s="65"/>
      <c r="G390" s="65"/>
      <c r="H390" s="65"/>
      <c r="I390" s="65"/>
      <c r="J390" s="65"/>
      <c r="K390" s="65"/>
      <c r="L390" s="65"/>
      <c r="M390" s="13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  <c r="AF390" s="65"/>
      <c r="AG390" s="65"/>
      <c r="AH390" s="65"/>
      <c r="AI390" s="65"/>
      <c r="AJ390" s="65"/>
      <c r="AK390" s="65"/>
      <c r="AL390" s="65"/>
      <c r="AM390" s="65"/>
      <c r="AN390" s="65"/>
      <c r="AO390" s="65"/>
      <c r="AP390" s="65"/>
      <c r="AQ390" s="65"/>
      <c r="AR390" s="65"/>
      <c r="AS390" s="65"/>
      <c r="AT390" s="65"/>
      <c r="AU390" s="65"/>
      <c r="AV390" s="65"/>
      <c r="AW390" s="65"/>
      <c r="AX390" s="65"/>
      <c r="AY390" s="65"/>
      <c r="AZ390" s="65"/>
      <c r="BA390" s="65"/>
      <c r="BB390" s="65"/>
      <c r="BC390" s="65"/>
      <c r="BD390" s="65"/>
      <c r="BE390" s="65"/>
      <c r="BF390" s="65"/>
      <c r="BG390" s="65"/>
      <c r="BH390" s="135"/>
      <c r="BI390" s="65"/>
      <c r="BJ390" s="65"/>
      <c r="BK390" s="65"/>
      <c r="BL390" s="65"/>
      <c r="BM390" s="65"/>
      <c r="BN390" s="65"/>
      <c r="BO390" s="65"/>
      <c r="BP390" s="65"/>
      <c r="BQ390" s="65"/>
      <c r="BR390" s="65"/>
      <c r="BS390" s="65"/>
      <c r="BT390" s="65"/>
      <c r="BU390" s="65"/>
      <c r="BV390" s="65"/>
      <c r="BW390" s="65"/>
      <c r="BX390" s="65"/>
      <c r="BY390" s="65"/>
      <c r="BZ390" s="65"/>
      <c r="CA390" s="65"/>
      <c r="CB390" s="65"/>
      <c r="CC390" s="65"/>
      <c r="CD390" s="65"/>
      <c r="CE390" s="65"/>
      <c r="CF390" s="65"/>
      <c r="CG390" s="65"/>
      <c r="CH390" s="0"/>
      <c r="CP390" s="0"/>
      <c r="CQ390" s="0"/>
      <c r="CR390" s="0"/>
      <c r="CS390" s="0"/>
      <c r="CT390" s="0"/>
      <c r="CU390" s="110"/>
      <c r="CV390" s="138"/>
      <c r="CW390" s="210"/>
      <c r="CX390" s="210"/>
      <c r="CY390" s="174" t="n">
        <f aca="false">EOMONTH(CY389,0)+1</f>
        <v>48061</v>
      </c>
      <c r="CZ390" s="175" t="n">
        <f aca="false">IF(AI390=0,CZ378,AH390+AI390)</f>
        <v>1</v>
      </c>
      <c r="DA390" s="175" t="n">
        <f aca="false">IF(AI390=0,DA378,AI390)</f>
        <v>1.25</v>
      </c>
      <c r="DB390" s="175" t="n">
        <f aca="false">IF(AI390=0,DB378,AI390+AJ390)</f>
        <v>1.55</v>
      </c>
      <c r="DD390" s="154" t="n">
        <f aca="false">IF(Z390=0,DD378,Z390)</f>
        <v>0.0994642258486125</v>
      </c>
      <c r="DE390" s="154" t="n">
        <f aca="false">IF(AA390=0,DE378,AA390)</f>
        <v>0.198928451697225</v>
      </c>
      <c r="DF390" s="154" t="n">
        <f aca="false">IF(AB390=0,DF378,AB390)</f>
        <v>0.298392677545837</v>
      </c>
      <c r="DG390" s="210"/>
      <c r="DH390" s="174" t="n">
        <f aca="false">IF(BH390=0,EOMONTH(DH389,0)+1,BH390)</f>
        <v>48061</v>
      </c>
      <c r="DI390" s="207" t="n">
        <f aca="false">IF(BI390=0,DI378,BI390)</f>
        <v>0.9</v>
      </c>
    </row>
    <row r="391" customFormat="false" ht="12.75" hidden="false" customHeight="false" outlineLevel="0" collapsed="false">
      <c r="B391" s="128"/>
      <c r="C391" s="124"/>
      <c r="D391" s="65"/>
      <c r="E391" s="65"/>
      <c r="F391" s="65"/>
      <c r="G391" s="65"/>
      <c r="H391" s="65"/>
      <c r="I391" s="65"/>
      <c r="J391" s="65"/>
      <c r="K391" s="65"/>
      <c r="L391" s="65"/>
      <c r="M391" s="13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5"/>
      <c r="AG391" s="65"/>
      <c r="AH391" s="65"/>
      <c r="AI391" s="65"/>
      <c r="AJ391" s="65"/>
      <c r="AK391" s="65"/>
      <c r="AL391" s="65"/>
      <c r="AM391" s="65"/>
      <c r="AN391" s="65"/>
      <c r="AO391" s="65"/>
      <c r="AP391" s="65"/>
      <c r="AQ391" s="65"/>
      <c r="AR391" s="65"/>
      <c r="AS391" s="65"/>
      <c r="AT391" s="65"/>
      <c r="AU391" s="65"/>
      <c r="AV391" s="65"/>
      <c r="AW391" s="65"/>
      <c r="AX391" s="65"/>
      <c r="AY391" s="65"/>
      <c r="AZ391" s="65"/>
      <c r="BA391" s="65"/>
      <c r="BB391" s="65"/>
      <c r="BC391" s="65"/>
      <c r="BD391" s="65"/>
      <c r="BE391" s="65"/>
      <c r="BF391" s="65"/>
      <c r="BG391" s="65"/>
      <c r="BH391" s="135"/>
      <c r="BI391" s="65"/>
      <c r="BJ391" s="65"/>
      <c r="BK391" s="65"/>
      <c r="BL391" s="65"/>
      <c r="BM391" s="65"/>
      <c r="BN391" s="65"/>
      <c r="BO391" s="65"/>
      <c r="BP391" s="65"/>
      <c r="BQ391" s="65"/>
      <c r="BR391" s="65"/>
      <c r="BS391" s="65"/>
      <c r="BT391" s="65"/>
      <c r="BU391" s="65"/>
      <c r="BV391" s="65"/>
      <c r="BW391" s="65"/>
      <c r="BX391" s="65"/>
      <c r="BY391" s="65"/>
      <c r="BZ391" s="65"/>
      <c r="CA391" s="65"/>
      <c r="CB391" s="65"/>
      <c r="CC391" s="65"/>
      <c r="CD391" s="65"/>
      <c r="CE391" s="65"/>
      <c r="CF391" s="65"/>
      <c r="CG391" s="65"/>
      <c r="CH391" s="0"/>
      <c r="CP391" s="0"/>
      <c r="CQ391" s="0"/>
      <c r="CR391" s="0"/>
      <c r="CS391" s="0"/>
      <c r="CT391" s="0"/>
      <c r="CU391" s="110"/>
      <c r="CV391" s="138"/>
      <c r="CW391" s="210"/>
      <c r="CX391" s="210"/>
      <c r="CY391" s="174" t="n">
        <f aca="false">EOMONTH(CY390,0)+1</f>
        <v>48092</v>
      </c>
      <c r="CZ391" s="175" t="n">
        <f aca="false">IF(AI391=0,CZ379,AH391+AI391)</f>
        <v>1</v>
      </c>
      <c r="DA391" s="175" t="n">
        <f aca="false">IF(AI391=0,DA379,AI391)</f>
        <v>1.25</v>
      </c>
      <c r="DB391" s="175" t="n">
        <f aca="false">IF(AI391=0,DB379,AI391+AJ391)</f>
        <v>1.55</v>
      </c>
      <c r="DD391" s="154" t="n">
        <f aca="false">IF(Z391=0,DD379,Z391)</f>
        <v>0.0753606888398985</v>
      </c>
      <c r="DE391" s="154" t="n">
        <f aca="false">IF(AA391=0,DE379,AA391)</f>
        <v>0.150721377679797</v>
      </c>
      <c r="DF391" s="154" t="n">
        <f aca="false">IF(AB391=0,DF379,AB391)</f>
        <v>0.226082066519696</v>
      </c>
      <c r="DG391" s="210"/>
      <c r="DH391" s="174" t="n">
        <f aca="false">IF(BH391=0,EOMONTH(DH390,0)+1,BH391)</f>
        <v>48092</v>
      </c>
      <c r="DI391" s="207" t="n">
        <f aca="false">IF(BI391=0,DI379,BI391)</f>
        <v>0.9</v>
      </c>
    </row>
    <row r="392" customFormat="false" ht="12.75" hidden="false" customHeight="false" outlineLevel="0" collapsed="false">
      <c r="B392" s="128"/>
      <c r="C392" s="124"/>
      <c r="D392" s="65"/>
      <c r="E392" s="65"/>
      <c r="F392" s="65"/>
      <c r="G392" s="65"/>
      <c r="H392" s="65"/>
      <c r="I392" s="65"/>
      <c r="J392" s="65"/>
      <c r="K392" s="65"/>
      <c r="L392" s="65"/>
      <c r="M392" s="13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  <c r="AF392" s="65"/>
      <c r="AG392" s="65"/>
      <c r="AH392" s="65"/>
      <c r="AI392" s="65"/>
      <c r="AJ392" s="65"/>
      <c r="AK392" s="65"/>
      <c r="AL392" s="65"/>
      <c r="AM392" s="65"/>
      <c r="AN392" s="65"/>
      <c r="AO392" s="65"/>
      <c r="AP392" s="65"/>
      <c r="AQ392" s="65"/>
      <c r="AR392" s="65"/>
      <c r="AS392" s="65"/>
      <c r="AT392" s="65"/>
      <c r="AU392" s="65"/>
      <c r="AV392" s="65"/>
      <c r="AW392" s="65"/>
      <c r="AX392" s="65"/>
      <c r="AY392" s="65"/>
      <c r="AZ392" s="65"/>
      <c r="BA392" s="65"/>
      <c r="BB392" s="65"/>
      <c r="BC392" s="65"/>
      <c r="BD392" s="65"/>
      <c r="BE392" s="65"/>
      <c r="BF392" s="65"/>
      <c r="BG392" s="65"/>
      <c r="BH392" s="135"/>
      <c r="BI392" s="65"/>
      <c r="BJ392" s="65"/>
      <c r="BK392" s="65"/>
      <c r="BL392" s="65"/>
      <c r="BM392" s="65"/>
      <c r="BN392" s="65"/>
      <c r="BO392" s="65"/>
      <c r="BP392" s="65"/>
      <c r="BQ392" s="65"/>
      <c r="BR392" s="65"/>
      <c r="BS392" s="65"/>
      <c r="BT392" s="65"/>
      <c r="BU392" s="65"/>
      <c r="BV392" s="65"/>
      <c r="BW392" s="65"/>
      <c r="BX392" s="65"/>
      <c r="BY392" s="65"/>
      <c r="BZ392" s="65"/>
      <c r="CA392" s="65"/>
      <c r="CB392" s="65"/>
      <c r="CC392" s="65"/>
      <c r="CD392" s="65"/>
      <c r="CE392" s="65"/>
      <c r="CF392" s="65"/>
      <c r="CG392" s="65"/>
      <c r="CH392" s="0"/>
      <c r="CP392" s="0"/>
      <c r="CQ392" s="0"/>
      <c r="CR392" s="0"/>
      <c r="CS392" s="0"/>
      <c r="CT392" s="0"/>
      <c r="CU392" s="110"/>
      <c r="CV392" s="138"/>
      <c r="CW392" s="210"/>
      <c r="CX392" s="210"/>
      <c r="CY392" s="174" t="n">
        <f aca="false">EOMONTH(CY391,0)+1</f>
        <v>48122</v>
      </c>
      <c r="CZ392" s="175" t="n">
        <f aca="false">IF(AI392=0,CZ380,AH392+AI392)</f>
        <v>1</v>
      </c>
      <c r="DA392" s="175" t="n">
        <f aca="false">IF(AI392=0,DA380,AI392)</f>
        <v>1.25</v>
      </c>
      <c r="DB392" s="175" t="n">
        <f aca="false">IF(AI392=0,DB380,AI392+AJ392)</f>
        <v>1.55</v>
      </c>
      <c r="DD392" s="154" t="n">
        <f aca="false">IF(Z392=0,DD380,Z392)</f>
        <v>0.0651800088356474</v>
      </c>
      <c r="DE392" s="154" t="n">
        <f aca="false">IF(AA392=0,DE380,AA392)</f>
        <v>0.130360017671295</v>
      </c>
      <c r="DF392" s="154" t="n">
        <f aca="false">IF(AB392=0,DF380,AB392)</f>
        <v>0.195540026506942</v>
      </c>
      <c r="DG392" s="210"/>
      <c r="DH392" s="174" t="n">
        <f aca="false">IF(BH392=0,EOMONTH(DH391,0)+1,BH392)</f>
        <v>48122</v>
      </c>
      <c r="DI392" s="207" t="n">
        <f aca="false">IF(BI392=0,DI380,BI392)</f>
        <v>0.9</v>
      </c>
    </row>
    <row r="393" customFormat="false" ht="12.75" hidden="false" customHeight="false" outlineLevel="0" collapsed="false">
      <c r="B393" s="128"/>
      <c r="C393" s="124"/>
      <c r="D393" s="65"/>
      <c r="E393" s="65"/>
      <c r="F393" s="65"/>
      <c r="G393" s="65"/>
      <c r="H393" s="65"/>
      <c r="I393" s="65"/>
      <c r="J393" s="65"/>
      <c r="K393" s="65"/>
      <c r="L393" s="65"/>
      <c r="M393" s="13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  <c r="AF393" s="65"/>
      <c r="AG393" s="65"/>
      <c r="AH393" s="65"/>
      <c r="AI393" s="65"/>
      <c r="AJ393" s="65"/>
      <c r="AK393" s="65"/>
      <c r="AL393" s="65"/>
      <c r="AM393" s="65"/>
      <c r="AN393" s="65"/>
      <c r="AO393" s="65"/>
      <c r="AP393" s="65"/>
      <c r="AQ393" s="65"/>
      <c r="AR393" s="65"/>
      <c r="AS393" s="65"/>
      <c r="AT393" s="65"/>
      <c r="AU393" s="65"/>
      <c r="AV393" s="65"/>
      <c r="AW393" s="65"/>
      <c r="AX393" s="65"/>
      <c r="AY393" s="65"/>
      <c r="AZ393" s="65"/>
      <c r="BA393" s="65"/>
      <c r="BB393" s="65"/>
      <c r="BC393" s="65"/>
      <c r="BD393" s="65"/>
      <c r="BE393" s="65"/>
      <c r="BF393" s="65"/>
      <c r="BG393" s="65"/>
      <c r="BH393" s="135"/>
      <c r="BI393" s="65"/>
      <c r="BJ393" s="65"/>
      <c r="BK393" s="65"/>
      <c r="BL393" s="65"/>
      <c r="BM393" s="65"/>
      <c r="BN393" s="65"/>
      <c r="BO393" s="65"/>
      <c r="BP393" s="65"/>
      <c r="BQ393" s="65"/>
      <c r="BR393" s="65"/>
      <c r="BS393" s="65"/>
      <c r="BT393" s="65"/>
      <c r="BU393" s="65"/>
      <c r="BV393" s="65"/>
      <c r="BW393" s="65"/>
      <c r="BX393" s="65"/>
      <c r="BY393" s="65"/>
      <c r="BZ393" s="65"/>
      <c r="CA393" s="65"/>
      <c r="CB393" s="65"/>
      <c r="CC393" s="65"/>
      <c r="CD393" s="65"/>
      <c r="CE393" s="65"/>
      <c r="CF393" s="65"/>
      <c r="CG393" s="65"/>
      <c r="CH393" s="0"/>
      <c r="CP393" s="0"/>
      <c r="CQ393" s="0"/>
      <c r="CR393" s="0"/>
      <c r="CS393" s="0"/>
      <c r="CT393" s="0"/>
      <c r="CU393" s="110"/>
      <c r="CV393" s="138"/>
      <c r="CW393" s="210"/>
      <c r="CX393" s="210"/>
      <c r="CY393" s="174" t="n">
        <f aca="false">EOMONTH(CY392,0)+1</f>
        <v>48153</v>
      </c>
      <c r="CZ393" s="175" t="n">
        <f aca="false">IF(AI393=0,CZ381,AH393+AI393)</f>
        <v>1</v>
      </c>
      <c r="DA393" s="175" t="n">
        <f aca="false">IF(AI393=0,DA381,AI393)</f>
        <v>1.25</v>
      </c>
      <c r="DB393" s="175" t="n">
        <f aca="false">IF(AI393=0,DB381,AI393+AJ393)</f>
        <v>1.55</v>
      </c>
      <c r="DD393" s="154" t="n">
        <f aca="false">IF(Z393=0,DD381,Z393)</f>
        <v>0.0651800088356474</v>
      </c>
      <c r="DE393" s="154" t="n">
        <f aca="false">IF(AA393=0,DE381,AA393)</f>
        <v>0.130360017671295</v>
      </c>
      <c r="DF393" s="154" t="n">
        <f aca="false">IF(AB393=0,DF381,AB393)</f>
        <v>0.195540026506942</v>
      </c>
      <c r="DG393" s="210"/>
      <c r="DH393" s="174" t="n">
        <f aca="false">IF(BH393=0,EOMONTH(DH392,0)+1,BH393)</f>
        <v>48153</v>
      </c>
      <c r="DI393" s="207" t="n">
        <f aca="false">IF(BI393=0,DI381,BI393)</f>
        <v>0.9</v>
      </c>
    </row>
    <row r="394" customFormat="false" ht="12.75" hidden="false" customHeight="false" outlineLevel="0" collapsed="false">
      <c r="B394" s="128"/>
      <c r="C394" s="124"/>
      <c r="D394" s="65"/>
      <c r="E394" s="65"/>
      <c r="F394" s="65"/>
      <c r="G394" s="65"/>
      <c r="H394" s="65"/>
      <c r="I394" s="65"/>
      <c r="J394" s="65"/>
      <c r="K394" s="65"/>
      <c r="L394" s="65"/>
      <c r="M394" s="13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5"/>
      <c r="AG394" s="65"/>
      <c r="AH394" s="65"/>
      <c r="AI394" s="65"/>
      <c r="AJ394" s="65"/>
      <c r="AK394" s="65"/>
      <c r="AL394" s="65"/>
      <c r="AM394" s="65"/>
      <c r="AN394" s="65"/>
      <c r="AO394" s="65"/>
      <c r="AP394" s="65"/>
      <c r="AQ394" s="65"/>
      <c r="AR394" s="65"/>
      <c r="AS394" s="65"/>
      <c r="AT394" s="65"/>
      <c r="AU394" s="65"/>
      <c r="AV394" s="65"/>
      <c r="AW394" s="65"/>
      <c r="AX394" s="65"/>
      <c r="AY394" s="65"/>
      <c r="AZ394" s="65"/>
      <c r="BA394" s="65"/>
      <c r="BB394" s="65"/>
      <c r="BC394" s="65"/>
      <c r="BD394" s="65"/>
      <c r="BE394" s="65"/>
      <c r="BF394" s="65"/>
      <c r="BG394" s="65"/>
      <c r="BH394" s="135"/>
      <c r="BI394" s="65"/>
      <c r="BJ394" s="65"/>
      <c r="BK394" s="65"/>
      <c r="BL394" s="65"/>
      <c r="BM394" s="65"/>
      <c r="BN394" s="65"/>
      <c r="BO394" s="65"/>
      <c r="BP394" s="65"/>
      <c r="BQ394" s="65"/>
      <c r="BR394" s="65"/>
      <c r="BS394" s="65"/>
      <c r="BT394" s="65"/>
      <c r="BU394" s="65"/>
      <c r="BV394" s="65"/>
      <c r="BW394" s="65"/>
      <c r="BX394" s="65"/>
      <c r="BY394" s="65"/>
      <c r="BZ394" s="65"/>
      <c r="CA394" s="65"/>
      <c r="CB394" s="65"/>
      <c r="CC394" s="65"/>
      <c r="CD394" s="65"/>
      <c r="CE394" s="65"/>
      <c r="CF394" s="65"/>
      <c r="CG394" s="65"/>
      <c r="CH394" s="0"/>
      <c r="CP394" s="0"/>
      <c r="CQ394" s="0"/>
      <c r="CR394" s="0"/>
      <c r="CS394" s="0"/>
      <c r="CT394" s="0"/>
      <c r="CU394" s="110"/>
      <c r="CV394" s="138"/>
      <c r="CW394" s="210"/>
      <c r="CX394" s="210"/>
      <c r="CY394" s="174" t="n">
        <f aca="false">EOMONTH(CY393,0)+1</f>
        <v>48183</v>
      </c>
      <c r="CZ394" s="175" t="n">
        <f aca="false">IF(AI394=0,CZ382,AH394+AI394)</f>
        <v>1</v>
      </c>
      <c r="DA394" s="175" t="n">
        <f aca="false">IF(AI394=0,DA382,AI394)</f>
        <v>1.25</v>
      </c>
      <c r="DB394" s="175" t="n">
        <f aca="false">IF(AI394=0,DB382,AI394+AJ394)</f>
        <v>1.55</v>
      </c>
      <c r="DD394" s="154" t="n">
        <f aca="false">IF(Z394=0,DD382,Z394)</f>
        <v>0.0638788843714456</v>
      </c>
      <c r="DE394" s="154" t="n">
        <f aca="false">IF(AA394=0,DE382,AA394)</f>
        <v>0.127757768742891</v>
      </c>
      <c r="DF394" s="154" t="n">
        <f aca="false">IF(AB394=0,DF382,AB394)</f>
        <v>0.191636653114337</v>
      </c>
      <c r="DG394" s="210"/>
      <c r="DH394" s="174" t="n">
        <f aca="false">IF(BH394=0,EOMONTH(DH393,0)+1,BH394)</f>
        <v>48183</v>
      </c>
      <c r="DI394" s="207" t="n">
        <f aca="false">IF(BI394=0,DI382,BI394)</f>
        <v>0.9</v>
      </c>
    </row>
    <row r="395" customFormat="false" ht="12.75" hidden="false" customHeight="false" outlineLevel="0" collapsed="false">
      <c r="B395" s="128"/>
      <c r="C395" s="124"/>
      <c r="D395" s="65"/>
      <c r="E395" s="65"/>
      <c r="F395" s="65"/>
      <c r="G395" s="65"/>
      <c r="H395" s="65"/>
      <c r="I395" s="65"/>
      <c r="J395" s="65"/>
      <c r="K395" s="65"/>
      <c r="L395" s="65"/>
      <c r="M395" s="13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  <c r="AF395" s="65"/>
      <c r="AG395" s="65"/>
      <c r="AH395" s="65"/>
      <c r="AI395" s="65"/>
      <c r="AJ395" s="65"/>
      <c r="AK395" s="65"/>
      <c r="AL395" s="65"/>
      <c r="AM395" s="65"/>
      <c r="AN395" s="65"/>
      <c r="AO395" s="65"/>
      <c r="AP395" s="65"/>
      <c r="AQ395" s="65"/>
      <c r="AR395" s="65"/>
      <c r="AS395" s="65"/>
      <c r="AT395" s="65"/>
      <c r="AU395" s="65"/>
      <c r="AV395" s="65"/>
      <c r="AW395" s="65"/>
      <c r="AX395" s="65"/>
      <c r="AY395" s="65"/>
      <c r="AZ395" s="65"/>
      <c r="BA395" s="65"/>
      <c r="BB395" s="65"/>
      <c r="BC395" s="65"/>
      <c r="BD395" s="65"/>
      <c r="BE395" s="65"/>
      <c r="BF395" s="65"/>
      <c r="BG395" s="65"/>
      <c r="BH395" s="135"/>
      <c r="BI395" s="65"/>
      <c r="BJ395" s="65"/>
      <c r="BK395" s="65"/>
      <c r="BL395" s="65"/>
      <c r="BM395" s="65"/>
      <c r="BN395" s="65"/>
      <c r="BO395" s="65"/>
      <c r="BP395" s="65"/>
      <c r="BQ395" s="65"/>
      <c r="BR395" s="65"/>
      <c r="BS395" s="65"/>
      <c r="BT395" s="65"/>
      <c r="BU395" s="65"/>
      <c r="BV395" s="65"/>
      <c r="BW395" s="65"/>
      <c r="BX395" s="65"/>
      <c r="BY395" s="65"/>
      <c r="BZ395" s="65"/>
      <c r="CA395" s="65"/>
      <c r="CB395" s="65"/>
      <c r="CC395" s="65"/>
      <c r="CD395" s="65"/>
      <c r="CE395" s="65"/>
      <c r="CF395" s="65"/>
      <c r="CG395" s="65"/>
      <c r="CH395" s="0"/>
      <c r="CP395" s="0"/>
      <c r="CQ395" s="0"/>
      <c r="CR395" s="0"/>
      <c r="CS395" s="0"/>
      <c r="CT395" s="0"/>
      <c r="CU395" s="110"/>
      <c r="CV395" s="138"/>
      <c r="CW395" s="210"/>
      <c r="CX395" s="210"/>
      <c r="CY395" s="174" t="n">
        <f aca="false">EOMONTH(CY394,0)+1</f>
        <v>48214</v>
      </c>
      <c r="CZ395" s="175" t="n">
        <f aca="false">IF(AI395=0,CZ383,AH395+AI395)</f>
        <v>1</v>
      </c>
      <c r="DA395" s="175" t="n">
        <f aca="false">IF(AI395=0,DA383,AI395)</f>
        <v>1.25</v>
      </c>
      <c r="DB395" s="175" t="n">
        <f aca="false">IF(AI395=0,DB383,AI395+AJ395)</f>
        <v>1.55</v>
      </c>
      <c r="DD395" s="154" t="n">
        <f aca="false">IF(Z395=0,DD383,Z395)</f>
        <v>0.0942652295751635</v>
      </c>
      <c r="DE395" s="154" t="n">
        <f aca="false">IF(AA395=0,DE383,AA395)</f>
        <v>0.188530459150327</v>
      </c>
      <c r="DF395" s="154" t="n">
        <f aca="false">IF(AB395=0,DF383,AB395)</f>
        <v>0.28279568872549</v>
      </c>
      <c r="DG395" s="210"/>
      <c r="DH395" s="174" t="n">
        <f aca="false">IF(BH395=0,EOMONTH(DH394,0)+1,BH395)</f>
        <v>48214</v>
      </c>
      <c r="DI395" s="207" t="n">
        <f aca="false">IF(BI395=0,DI383,BI395)</f>
        <v>0.9</v>
      </c>
    </row>
    <row r="396" customFormat="false" ht="12.75" hidden="false" customHeight="false" outlineLevel="0" collapsed="false">
      <c r="B396" s="128"/>
      <c r="C396" s="124"/>
      <c r="D396" s="65"/>
      <c r="E396" s="65"/>
      <c r="F396" s="65"/>
      <c r="G396" s="65"/>
      <c r="H396" s="65"/>
      <c r="I396" s="65"/>
      <c r="J396" s="65"/>
      <c r="K396" s="65"/>
      <c r="L396" s="65"/>
      <c r="M396" s="13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  <c r="AF396" s="65"/>
      <c r="AG396" s="65"/>
      <c r="AH396" s="65"/>
      <c r="AI396" s="65"/>
      <c r="AJ396" s="65"/>
      <c r="AK396" s="65"/>
      <c r="AL396" s="65"/>
      <c r="AM396" s="65"/>
      <c r="AN396" s="65"/>
      <c r="AO396" s="65"/>
      <c r="AP396" s="65"/>
      <c r="AQ396" s="65"/>
      <c r="AR396" s="65"/>
      <c r="AS396" s="65"/>
      <c r="AT396" s="65"/>
      <c r="AU396" s="65"/>
      <c r="AV396" s="65"/>
      <c r="AW396" s="65"/>
      <c r="AX396" s="65"/>
      <c r="AY396" s="65"/>
      <c r="AZ396" s="65"/>
      <c r="BA396" s="65"/>
      <c r="BB396" s="65"/>
      <c r="BC396" s="65"/>
      <c r="BD396" s="65"/>
      <c r="BE396" s="65"/>
      <c r="BF396" s="65"/>
      <c r="BG396" s="65"/>
      <c r="BH396" s="135"/>
      <c r="BI396" s="65"/>
      <c r="BJ396" s="65"/>
      <c r="BK396" s="65"/>
      <c r="BL396" s="65"/>
      <c r="BM396" s="65"/>
      <c r="BN396" s="65"/>
      <c r="BO396" s="65"/>
      <c r="BP396" s="65"/>
      <c r="BQ396" s="65"/>
      <c r="BR396" s="65"/>
      <c r="BS396" s="65"/>
      <c r="BT396" s="65"/>
      <c r="BU396" s="65"/>
      <c r="BV396" s="65"/>
      <c r="BW396" s="65"/>
      <c r="BX396" s="65"/>
      <c r="BY396" s="65"/>
      <c r="BZ396" s="65"/>
      <c r="CA396" s="65"/>
      <c r="CB396" s="65"/>
      <c r="CC396" s="65"/>
      <c r="CD396" s="65"/>
      <c r="CE396" s="65"/>
      <c r="CF396" s="65"/>
      <c r="CG396" s="65"/>
      <c r="CH396" s="0"/>
      <c r="CP396" s="0"/>
      <c r="CQ396" s="0"/>
      <c r="CR396" s="0"/>
      <c r="CS396" s="0"/>
      <c r="CT396" s="0"/>
      <c r="CU396" s="110"/>
      <c r="CV396" s="138"/>
      <c r="CW396" s="210"/>
      <c r="CX396" s="210"/>
      <c r="CY396" s="174" t="n">
        <f aca="false">EOMONTH(CY395,0)+1</f>
        <v>48245</v>
      </c>
      <c r="CZ396" s="175" t="n">
        <f aca="false">IF(AI396=0,CZ384,AH396+AI396)</f>
        <v>1</v>
      </c>
      <c r="DA396" s="175" t="n">
        <f aca="false">IF(AI396=0,DA384,AI396)</f>
        <v>1.25</v>
      </c>
      <c r="DB396" s="175" t="n">
        <f aca="false">IF(AI396=0,DB384,AI396+AJ396)</f>
        <v>1.55</v>
      </c>
      <c r="DD396" s="154" t="n">
        <f aca="false">IF(Z396=0,DD384,Z396)</f>
        <v>0.0910666090107368</v>
      </c>
      <c r="DE396" s="154" t="n">
        <f aca="false">IF(AA396=0,DE384,AA396)</f>
        <v>0.182133218021474</v>
      </c>
      <c r="DF396" s="154" t="n">
        <f aca="false">IF(AB396=0,DF384,AB396)</f>
        <v>0.27319982703221</v>
      </c>
      <c r="DG396" s="210"/>
      <c r="DH396" s="174" t="n">
        <f aca="false">IF(BH396=0,EOMONTH(DH395,0)+1,BH396)</f>
        <v>48245</v>
      </c>
      <c r="DI396" s="207" t="n">
        <f aca="false">IF(BI396=0,DI384,BI396)</f>
        <v>0.9</v>
      </c>
    </row>
    <row r="397" customFormat="false" ht="12.75" hidden="false" customHeight="false" outlineLevel="0" collapsed="false">
      <c r="B397" s="128"/>
      <c r="C397" s="124"/>
      <c r="D397" s="65"/>
      <c r="E397" s="65"/>
      <c r="F397" s="65"/>
      <c r="G397" s="65"/>
      <c r="H397" s="65"/>
      <c r="I397" s="65"/>
      <c r="J397" s="65"/>
      <c r="K397" s="65"/>
      <c r="L397" s="65"/>
      <c r="M397" s="13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  <c r="AJ397" s="65"/>
      <c r="AK397" s="65"/>
      <c r="AL397" s="65"/>
      <c r="AM397" s="65"/>
      <c r="AN397" s="65"/>
      <c r="AO397" s="65"/>
      <c r="AP397" s="65"/>
      <c r="AQ397" s="65"/>
      <c r="AR397" s="65"/>
      <c r="AS397" s="65"/>
      <c r="AT397" s="65"/>
      <c r="AU397" s="65"/>
      <c r="AV397" s="65"/>
      <c r="AW397" s="65"/>
      <c r="AX397" s="65"/>
      <c r="AY397" s="65"/>
      <c r="AZ397" s="65"/>
      <c r="BA397" s="65"/>
      <c r="BB397" s="65"/>
      <c r="BC397" s="65"/>
      <c r="BD397" s="65"/>
      <c r="BE397" s="65"/>
      <c r="BF397" s="65"/>
      <c r="BG397" s="65"/>
      <c r="BH397" s="135"/>
      <c r="BI397" s="65"/>
      <c r="BJ397" s="65"/>
      <c r="BK397" s="65"/>
      <c r="BL397" s="65"/>
      <c r="BM397" s="65"/>
      <c r="BN397" s="65"/>
      <c r="BO397" s="65"/>
      <c r="BP397" s="65"/>
      <c r="BQ397" s="65"/>
      <c r="BR397" s="65"/>
      <c r="BS397" s="65"/>
      <c r="BT397" s="65"/>
      <c r="BU397" s="65"/>
      <c r="BV397" s="65"/>
      <c r="BW397" s="65"/>
      <c r="BX397" s="65"/>
      <c r="BY397" s="65"/>
      <c r="BZ397" s="65"/>
      <c r="CA397" s="65"/>
      <c r="CB397" s="65"/>
      <c r="CC397" s="65"/>
      <c r="CD397" s="65"/>
      <c r="CE397" s="65"/>
      <c r="CF397" s="65"/>
      <c r="CG397" s="65"/>
      <c r="CH397" s="0"/>
      <c r="CP397" s="0"/>
      <c r="CQ397" s="0"/>
      <c r="CR397" s="0"/>
      <c r="CS397" s="0"/>
      <c r="CT397" s="0"/>
      <c r="CU397" s="110"/>
      <c r="CV397" s="138"/>
      <c r="CW397" s="210"/>
      <c r="CX397" s="210"/>
      <c r="CY397" s="174" t="n">
        <f aca="false">EOMONTH(CY396,0)+1</f>
        <v>48274</v>
      </c>
      <c r="CZ397" s="175" t="n">
        <f aca="false">IF(AI397=0,CZ385,AH397+AI397)</f>
        <v>1</v>
      </c>
      <c r="DA397" s="175" t="n">
        <f aca="false">IF(AI397=0,DA385,AI397)</f>
        <v>1.25</v>
      </c>
      <c r="DB397" s="175" t="n">
        <f aca="false">IF(AI397=0,DB385,AI397+AJ397)</f>
        <v>1.55</v>
      </c>
      <c r="DD397" s="154" t="n">
        <f aca="false">IF(Z397=0,DD385,Z397)</f>
        <v>0.0721937023797812</v>
      </c>
      <c r="DE397" s="154" t="n">
        <f aca="false">IF(AA397=0,DE385,AA397)</f>
        <v>0.144387404759562</v>
      </c>
      <c r="DF397" s="154" t="n">
        <f aca="false">IF(AB397=0,DF385,AB397)</f>
        <v>0.216581107139343</v>
      </c>
      <c r="DG397" s="210"/>
      <c r="DH397" s="174" t="n">
        <f aca="false">IF(BH397=0,EOMONTH(DH396,0)+1,BH397)</f>
        <v>48274</v>
      </c>
      <c r="DI397" s="207" t="n">
        <f aca="false">IF(BI397=0,DI385,BI397)</f>
        <v>0.9</v>
      </c>
    </row>
    <row r="398" customFormat="false" ht="12.75" hidden="false" customHeight="false" outlineLevel="0" collapsed="false">
      <c r="B398" s="128"/>
      <c r="C398" s="124"/>
      <c r="D398" s="65"/>
      <c r="E398" s="65"/>
      <c r="F398" s="65"/>
      <c r="G398" s="65"/>
      <c r="H398" s="65"/>
      <c r="I398" s="65"/>
      <c r="J398" s="65"/>
      <c r="K398" s="65"/>
      <c r="L398" s="65"/>
      <c r="M398" s="13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  <c r="AF398" s="65"/>
      <c r="AG398" s="65"/>
      <c r="AH398" s="65"/>
      <c r="AI398" s="65"/>
      <c r="AJ398" s="65"/>
      <c r="AK398" s="65"/>
      <c r="AL398" s="65"/>
      <c r="AM398" s="65"/>
      <c r="AN398" s="65"/>
      <c r="AO398" s="65"/>
      <c r="AP398" s="65"/>
      <c r="AQ398" s="65"/>
      <c r="AR398" s="65"/>
      <c r="AS398" s="65"/>
      <c r="AT398" s="65"/>
      <c r="AU398" s="65"/>
      <c r="AV398" s="65"/>
      <c r="AW398" s="65"/>
      <c r="AX398" s="65"/>
      <c r="AY398" s="65"/>
      <c r="AZ398" s="65"/>
      <c r="BA398" s="65"/>
      <c r="BB398" s="65"/>
      <c r="BC398" s="65"/>
      <c r="BD398" s="65"/>
      <c r="BE398" s="65"/>
      <c r="BF398" s="65"/>
      <c r="BG398" s="65"/>
      <c r="BH398" s="135"/>
      <c r="BI398" s="65"/>
      <c r="BJ398" s="65"/>
      <c r="BK398" s="65"/>
      <c r="BL398" s="65"/>
      <c r="BM398" s="65"/>
      <c r="BN398" s="65"/>
      <c r="BO398" s="65"/>
      <c r="BP398" s="65"/>
      <c r="BQ398" s="65"/>
      <c r="BR398" s="65"/>
      <c r="BS398" s="65"/>
      <c r="BT398" s="65"/>
      <c r="BU398" s="65"/>
      <c r="BV398" s="65"/>
      <c r="BW398" s="65"/>
      <c r="BX398" s="65"/>
      <c r="BY398" s="65"/>
      <c r="BZ398" s="65"/>
      <c r="CA398" s="65"/>
      <c r="CB398" s="65"/>
      <c r="CC398" s="65"/>
      <c r="CD398" s="65"/>
      <c r="CE398" s="65"/>
      <c r="CF398" s="65"/>
      <c r="CG398" s="65"/>
      <c r="CH398" s="0"/>
      <c r="CP398" s="0"/>
      <c r="CQ398" s="0"/>
      <c r="CR398" s="0"/>
      <c r="CS398" s="0"/>
      <c r="CT398" s="0"/>
      <c r="CU398" s="110"/>
      <c r="CV398" s="138"/>
      <c r="CW398" s="210"/>
      <c r="CX398" s="210"/>
      <c r="CY398" s="174" t="n">
        <f aca="false">EOMONTH(CY397,0)+1</f>
        <v>48305</v>
      </c>
      <c r="CZ398" s="175" t="n">
        <f aca="false">IF(AI398=0,CZ386,AH398+AI398)</f>
        <v>0</v>
      </c>
      <c r="DA398" s="175" t="n">
        <f aca="false">IF(AI398=0,DA386,AI398)</f>
        <v>0</v>
      </c>
      <c r="DB398" s="175" t="n">
        <f aca="false">IF(AI398=0,DB386,AI398+AJ398)</f>
        <v>0</v>
      </c>
      <c r="DD398" s="154" t="n">
        <f aca="false">IF(Z398=0,DD386,Z398)</f>
        <v>0</v>
      </c>
      <c r="DE398" s="154" t="n">
        <f aca="false">IF(AA398=0,DE386,AA398)</f>
        <v>0</v>
      </c>
      <c r="DF398" s="154" t="n">
        <f aca="false">IF(AB398=0,DF386,AB398)</f>
        <v>0</v>
      </c>
      <c r="DG398" s="210"/>
      <c r="DH398" s="174" t="n">
        <f aca="false">IF(BH398=0,EOMONTH(DH397,0)+1,BH398)</f>
        <v>48305</v>
      </c>
      <c r="DI398" s="207" t="n">
        <f aca="false">IF(BI398=0,DI386,BI398)</f>
        <v>0</v>
      </c>
    </row>
    <row r="399" customFormat="false" ht="12.75" hidden="false" customHeight="false" outlineLevel="0" collapsed="false">
      <c r="B399" s="128"/>
      <c r="C399" s="124"/>
      <c r="D399" s="65"/>
      <c r="E399" s="65"/>
      <c r="F399" s="65"/>
      <c r="G399" s="65"/>
      <c r="H399" s="65"/>
      <c r="I399" s="65"/>
      <c r="J399" s="65"/>
      <c r="K399" s="65"/>
      <c r="L399" s="65"/>
      <c r="M399" s="13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  <c r="AF399" s="65"/>
      <c r="AG399" s="65"/>
      <c r="AH399" s="65"/>
      <c r="AI399" s="65"/>
      <c r="AJ399" s="65"/>
      <c r="AK399" s="65"/>
      <c r="AL399" s="65"/>
      <c r="AM399" s="65"/>
      <c r="AN399" s="65"/>
      <c r="AO399" s="65"/>
      <c r="AP399" s="65"/>
      <c r="AQ399" s="65"/>
      <c r="AR399" s="65"/>
      <c r="AS399" s="65"/>
      <c r="AT399" s="65"/>
      <c r="AU399" s="65"/>
      <c r="AV399" s="65"/>
      <c r="AW399" s="65"/>
      <c r="AX399" s="65"/>
      <c r="AY399" s="65"/>
      <c r="AZ399" s="65"/>
      <c r="BA399" s="65"/>
      <c r="BB399" s="65"/>
      <c r="BC399" s="65"/>
      <c r="BD399" s="65"/>
      <c r="BE399" s="65"/>
      <c r="BF399" s="65"/>
      <c r="BG399" s="65"/>
      <c r="BH399" s="135"/>
      <c r="BI399" s="65"/>
      <c r="BJ399" s="65"/>
      <c r="BK399" s="65"/>
      <c r="BL399" s="65"/>
      <c r="BM399" s="65"/>
      <c r="BN399" s="65"/>
      <c r="BO399" s="65"/>
      <c r="BP399" s="65"/>
      <c r="BQ399" s="65"/>
      <c r="BR399" s="65"/>
      <c r="BS399" s="65"/>
      <c r="BT399" s="65"/>
      <c r="BU399" s="65"/>
      <c r="BV399" s="65"/>
      <c r="BW399" s="65"/>
      <c r="BX399" s="65"/>
      <c r="BY399" s="65"/>
      <c r="BZ399" s="65"/>
      <c r="CA399" s="65"/>
      <c r="CB399" s="65"/>
      <c r="CC399" s="65"/>
      <c r="CD399" s="65"/>
      <c r="CE399" s="65"/>
      <c r="CF399" s="65"/>
      <c r="CG399" s="65"/>
      <c r="CH399" s="0"/>
      <c r="CP399" s="0"/>
      <c r="CQ399" s="0"/>
      <c r="CR399" s="0"/>
      <c r="CS399" s="0"/>
      <c r="CT399" s="0"/>
      <c r="CU399" s="110"/>
      <c r="CV399" s="138"/>
      <c r="CW399" s="210"/>
      <c r="CX399" s="210"/>
      <c r="CY399" s="174" t="n">
        <f aca="false">EOMONTH(CY398,0)+1</f>
        <v>48335</v>
      </c>
      <c r="CZ399" s="175" t="n">
        <f aca="false">IF(AI399=0,CZ387,AH399+AI399)</f>
        <v>1</v>
      </c>
      <c r="DA399" s="175" t="n">
        <f aca="false">IF(AI399=0,DA387,AI399)</f>
        <v>1.25</v>
      </c>
      <c r="DB399" s="175" t="n">
        <f aca="false">IF(AI399=0,DB387,AI399+AJ399)</f>
        <v>1.55</v>
      </c>
      <c r="DD399" s="154" t="n">
        <f aca="false">IF(Z399=0,DD387,Z399)</f>
        <v>0.079836777060087</v>
      </c>
      <c r="DE399" s="154" t="n">
        <f aca="false">IF(AA399=0,DE387,AA399)</f>
        <v>0.159673554120174</v>
      </c>
      <c r="DF399" s="154" t="n">
        <f aca="false">IF(AB399=0,DF387,AB399)</f>
        <v>0.239510331180261</v>
      </c>
      <c r="DG399" s="210"/>
      <c r="DH399" s="174" t="n">
        <f aca="false">IF(BH399=0,EOMONTH(DH398,0)+1,BH399)</f>
        <v>48335</v>
      </c>
      <c r="DI399" s="207" t="n">
        <f aca="false">IF(BI399=0,DI387,BI399)</f>
        <v>0.9</v>
      </c>
    </row>
    <row r="400" customFormat="false" ht="12.75" hidden="false" customHeight="false" outlineLevel="0" collapsed="false">
      <c r="B400" s="128"/>
      <c r="C400" s="124"/>
      <c r="D400" s="65"/>
      <c r="E400" s="65"/>
      <c r="F400" s="65"/>
      <c r="G400" s="65"/>
      <c r="H400" s="65"/>
      <c r="I400" s="65"/>
      <c r="J400" s="65"/>
      <c r="K400" s="65"/>
      <c r="L400" s="65"/>
      <c r="M400" s="13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  <c r="AH400" s="65"/>
      <c r="AI400" s="65"/>
      <c r="AJ400" s="65"/>
      <c r="AK400" s="65"/>
      <c r="AL400" s="65"/>
      <c r="AM400" s="65"/>
      <c r="AN400" s="65"/>
      <c r="AO400" s="65"/>
      <c r="AP400" s="65"/>
      <c r="AQ400" s="65"/>
      <c r="AR400" s="65"/>
      <c r="AS400" s="65"/>
      <c r="AT400" s="65"/>
      <c r="AU400" s="65"/>
      <c r="AV400" s="65"/>
      <c r="AW400" s="65"/>
      <c r="AX400" s="65"/>
      <c r="AY400" s="65"/>
      <c r="AZ400" s="65"/>
      <c r="BA400" s="65"/>
      <c r="BB400" s="65"/>
      <c r="BC400" s="65"/>
      <c r="BD400" s="65"/>
      <c r="BE400" s="65"/>
      <c r="BF400" s="65"/>
      <c r="BG400" s="65"/>
      <c r="BH400" s="135"/>
      <c r="BI400" s="65"/>
      <c r="BJ400" s="65"/>
      <c r="BK400" s="65"/>
      <c r="BL400" s="65"/>
      <c r="BM400" s="65"/>
      <c r="BN400" s="65"/>
      <c r="BO400" s="65"/>
      <c r="BP400" s="65"/>
      <c r="BQ400" s="65"/>
      <c r="BR400" s="65"/>
      <c r="BS400" s="65"/>
      <c r="BT400" s="65"/>
      <c r="BU400" s="65"/>
      <c r="BV400" s="65"/>
      <c r="BW400" s="65"/>
      <c r="BX400" s="65"/>
      <c r="BY400" s="65"/>
      <c r="BZ400" s="65"/>
      <c r="CA400" s="65"/>
      <c r="CB400" s="65"/>
      <c r="CC400" s="65"/>
      <c r="CD400" s="65"/>
      <c r="CE400" s="65"/>
      <c r="CF400" s="65"/>
      <c r="CG400" s="65"/>
      <c r="CH400" s="0"/>
      <c r="CP400" s="0"/>
      <c r="CQ400" s="0"/>
      <c r="CR400" s="0"/>
      <c r="CS400" s="0"/>
      <c r="CT400" s="0"/>
      <c r="CU400" s="110"/>
      <c r="CV400" s="138"/>
      <c r="CW400" s="210"/>
      <c r="CX400" s="210"/>
      <c r="CY400" s="174" t="n">
        <f aca="false">EOMONTH(CY399,0)+1</f>
        <v>48366</v>
      </c>
      <c r="CZ400" s="175" t="n">
        <f aca="false">IF(AI400=0,CZ388,AH400+AI400)</f>
        <v>1</v>
      </c>
      <c r="DA400" s="175" t="n">
        <f aca="false">IF(AI400=0,DA388,AI400)</f>
        <v>1.25</v>
      </c>
      <c r="DB400" s="175" t="n">
        <f aca="false">IF(AI400=0,DB388,AI400+AJ400)</f>
        <v>1.55</v>
      </c>
      <c r="DD400" s="154" t="n">
        <f aca="false">IF(Z400=0,DD388,Z400)</f>
        <v>0.085380172451756</v>
      </c>
      <c r="DE400" s="154" t="n">
        <f aca="false">IF(AA400=0,DE388,AA400)</f>
        <v>0.170760344903512</v>
      </c>
      <c r="DF400" s="154" t="n">
        <f aca="false">IF(AB400=0,DF388,AB400)</f>
        <v>0.256140517355268</v>
      </c>
      <c r="DG400" s="210"/>
      <c r="DH400" s="174" t="n">
        <f aca="false">IF(BH400=0,EOMONTH(DH399,0)+1,BH400)</f>
        <v>48366</v>
      </c>
      <c r="DI400" s="207" t="n">
        <f aca="false">IF(BI400=0,DI388,BI400)</f>
        <v>0.9</v>
      </c>
    </row>
    <row r="401" customFormat="false" ht="12.75" hidden="false" customHeight="false" outlineLevel="0" collapsed="false">
      <c r="B401" s="128"/>
      <c r="C401" s="124"/>
      <c r="D401" s="65"/>
      <c r="E401" s="65"/>
      <c r="F401" s="65"/>
      <c r="G401" s="65"/>
      <c r="H401" s="65"/>
      <c r="I401" s="65"/>
      <c r="J401" s="65"/>
      <c r="K401" s="65"/>
      <c r="L401" s="65"/>
      <c r="M401" s="13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  <c r="AF401" s="65"/>
      <c r="AG401" s="65"/>
      <c r="AH401" s="65"/>
      <c r="AI401" s="65"/>
      <c r="AJ401" s="65"/>
      <c r="AK401" s="65"/>
      <c r="AL401" s="65"/>
      <c r="AM401" s="65"/>
      <c r="AN401" s="65"/>
      <c r="AO401" s="65"/>
      <c r="AP401" s="65"/>
      <c r="AQ401" s="65"/>
      <c r="AR401" s="65"/>
      <c r="AS401" s="65"/>
      <c r="AT401" s="65"/>
      <c r="AU401" s="65"/>
      <c r="AV401" s="65"/>
      <c r="AW401" s="65"/>
      <c r="AX401" s="65"/>
      <c r="AY401" s="65"/>
      <c r="AZ401" s="65"/>
      <c r="BA401" s="65"/>
      <c r="BB401" s="65"/>
      <c r="BC401" s="65"/>
      <c r="BD401" s="65"/>
      <c r="BE401" s="65"/>
      <c r="BF401" s="65"/>
      <c r="BG401" s="65"/>
      <c r="BH401" s="135"/>
      <c r="BI401" s="65"/>
      <c r="BJ401" s="65"/>
      <c r="BK401" s="65"/>
      <c r="BL401" s="65"/>
      <c r="BM401" s="65"/>
      <c r="BN401" s="65"/>
      <c r="BO401" s="65"/>
      <c r="BP401" s="65"/>
      <c r="BQ401" s="65"/>
      <c r="BR401" s="65"/>
      <c r="BS401" s="65"/>
      <c r="BT401" s="65"/>
      <c r="BU401" s="65"/>
      <c r="BV401" s="65"/>
      <c r="BW401" s="65"/>
      <c r="BX401" s="65"/>
      <c r="BY401" s="65"/>
      <c r="BZ401" s="65"/>
      <c r="CA401" s="65"/>
      <c r="CB401" s="65"/>
      <c r="CC401" s="65"/>
      <c r="CD401" s="65"/>
      <c r="CE401" s="65"/>
      <c r="CF401" s="65"/>
      <c r="CG401" s="65"/>
      <c r="CH401" s="0"/>
      <c r="CP401" s="0"/>
      <c r="CQ401" s="0"/>
      <c r="CR401" s="0"/>
      <c r="CS401" s="0"/>
      <c r="CT401" s="0"/>
      <c r="CU401" s="110"/>
      <c r="CV401" s="138"/>
      <c r="CW401" s="210"/>
      <c r="CX401" s="210"/>
      <c r="CY401" s="174" t="n">
        <f aca="false">EOMONTH(CY400,0)+1</f>
        <v>48396</v>
      </c>
      <c r="CZ401" s="175" t="n">
        <f aca="false">IF(AI401=0,CZ389,AH401+AI401)</f>
        <v>1</v>
      </c>
      <c r="DA401" s="175" t="n">
        <f aca="false">IF(AI401=0,DA389,AI401)</f>
        <v>1.25</v>
      </c>
      <c r="DB401" s="175" t="n">
        <f aca="false">IF(AI401=0,DB389,AI401+AJ401)</f>
        <v>1.55</v>
      </c>
      <c r="DD401" s="154" t="n">
        <f aca="false">IF(Z401=0,DD389,Z401)</f>
        <v>0.101692367108662</v>
      </c>
      <c r="DE401" s="154" t="n">
        <f aca="false">IF(AA401=0,DE389,AA401)</f>
        <v>0.203384734217324</v>
      </c>
      <c r="DF401" s="154" t="n">
        <f aca="false">IF(AB401=0,DF389,AB401)</f>
        <v>0.305077101325986</v>
      </c>
      <c r="DG401" s="210"/>
      <c r="DH401" s="174" t="n">
        <f aca="false">IF(BH401=0,EOMONTH(DH400,0)+1,BH401)</f>
        <v>48396</v>
      </c>
      <c r="DI401" s="207" t="n">
        <f aca="false">IF(BI401=0,DI389,BI401)</f>
        <v>0.9</v>
      </c>
    </row>
    <row r="402" customFormat="false" ht="12.75" hidden="false" customHeight="false" outlineLevel="0" collapsed="false">
      <c r="B402" s="128"/>
      <c r="C402" s="124"/>
      <c r="D402" s="65"/>
      <c r="E402" s="65"/>
      <c r="F402" s="65"/>
      <c r="G402" s="65"/>
      <c r="H402" s="65"/>
      <c r="I402" s="65"/>
      <c r="J402" s="65"/>
      <c r="K402" s="65"/>
      <c r="L402" s="65"/>
      <c r="M402" s="13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  <c r="AF402" s="65"/>
      <c r="AG402" s="65"/>
      <c r="AH402" s="65"/>
      <c r="AI402" s="65"/>
      <c r="AJ402" s="65"/>
      <c r="AK402" s="65"/>
      <c r="AL402" s="65"/>
      <c r="AM402" s="65"/>
      <c r="AN402" s="65"/>
      <c r="AO402" s="65"/>
      <c r="AP402" s="65"/>
      <c r="AQ402" s="65"/>
      <c r="AR402" s="65"/>
      <c r="AS402" s="65"/>
      <c r="AT402" s="65"/>
      <c r="AU402" s="65"/>
      <c r="AV402" s="65"/>
      <c r="AW402" s="65"/>
      <c r="AX402" s="65"/>
      <c r="AY402" s="65"/>
      <c r="AZ402" s="65"/>
      <c r="BA402" s="65"/>
      <c r="BB402" s="65"/>
      <c r="BC402" s="65"/>
      <c r="BD402" s="65"/>
      <c r="BE402" s="65"/>
      <c r="BF402" s="65"/>
      <c r="BG402" s="65"/>
      <c r="BH402" s="135"/>
      <c r="BI402" s="65"/>
      <c r="BJ402" s="65"/>
      <c r="BK402" s="65"/>
      <c r="BL402" s="65"/>
      <c r="BM402" s="65"/>
      <c r="BN402" s="65"/>
      <c r="BO402" s="65"/>
      <c r="BP402" s="65"/>
      <c r="BQ402" s="65"/>
      <c r="BR402" s="65"/>
      <c r="BS402" s="65"/>
      <c r="BT402" s="65"/>
      <c r="BU402" s="65"/>
      <c r="BV402" s="65"/>
      <c r="BW402" s="65"/>
      <c r="BX402" s="65"/>
      <c r="BY402" s="65"/>
      <c r="BZ402" s="65"/>
      <c r="CA402" s="65"/>
      <c r="CB402" s="65"/>
      <c r="CC402" s="65"/>
      <c r="CD402" s="65"/>
      <c r="CE402" s="65"/>
      <c r="CF402" s="65"/>
      <c r="CG402" s="65"/>
      <c r="CH402" s="0"/>
      <c r="CP402" s="0"/>
      <c r="CQ402" s="0"/>
      <c r="CR402" s="0"/>
      <c r="CS402" s="0"/>
      <c r="CT402" s="0"/>
      <c r="CU402" s="110"/>
      <c r="CV402" s="138"/>
      <c r="CW402" s="210"/>
      <c r="CX402" s="210"/>
      <c r="CY402" s="174" t="n">
        <f aca="false">EOMONTH(CY401,0)+1</f>
        <v>48427</v>
      </c>
      <c r="CZ402" s="175" t="n">
        <f aca="false">IF(AI402=0,CZ390,AH402+AI402)</f>
        <v>1</v>
      </c>
      <c r="DA402" s="175" t="n">
        <f aca="false">IF(AI402=0,DA390,AI402)</f>
        <v>1.25</v>
      </c>
      <c r="DB402" s="175" t="n">
        <f aca="false">IF(AI402=0,DB390,AI402+AJ402)</f>
        <v>1.55</v>
      </c>
      <c r="DD402" s="154" t="n">
        <f aca="false">IF(Z402=0,DD390,Z402)</f>
        <v>0.0994642258486125</v>
      </c>
      <c r="DE402" s="154" t="n">
        <f aca="false">IF(AA402=0,DE390,AA402)</f>
        <v>0.198928451697225</v>
      </c>
      <c r="DF402" s="154" t="n">
        <f aca="false">IF(AB402=0,DF390,AB402)</f>
        <v>0.298392677545837</v>
      </c>
      <c r="DG402" s="210"/>
      <c r="DH402" s="174" t="n">
        <f aca="false">IF(BH402=0,EOMONTH(DH401,0)+1,BH402)</f>
        <v>48427</v>
      </c>
      <c r="DI402" s="207" t="n">
        <f aca="false">IF(BI402=0,DI390,BI402)</f>
        <v>0.9</v>
      </c>
    </row>
    <row r="403" customFormat="false" ht="12.75" hidden="false" customHeight="false" outlineLevel="0" collapsed="false">
      <c r="B403" s="128"/>
      <c r="C403" s="124"/>
      <c r="D403" s="65"/>
      <c r="E403" s="65"/>
      <c r="F403" s="65"/>
      <c r="G403" s="65"/>
      <c r="H403" s="65"/>
      <c r="I403" s="65"/>
      <c r="J403" s="65"/>
      <c r="K403" s="65"/>
      <c r="L403" s="65"/>
      <c r="M403" s="13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  <c r="AF403" s="65"/>
      <c r="AG403" s="65"/>
      <c r="AH403" s="65"/>
      <c r="AI403" s="65"/>
      <c r="AJ403" s="65"/>
      <c r="AK403" s="65"/>
      <c r="AL403" s="65"/>
      <c r="AM403" s="65"/>
      <c r="AN403" s="65"/>
      <c r="AO403" s="65"/>
      <c r="AP403" s="65"/>
      <c r="AQ403" s="65"/>
      <c r="AR403" s="65"/>
      <c r="AS403" s="65"/>
      <c r="AT403" s="65"/>
      <c r="AU403" s="65"/>
      <c r="AV403" s="65"/>
      <c r="AW403" s="65"/>
      <c r="AX403" s="65"/>
      <c r="AY403" s="65"/>
      <c r="AZ403" s="65"/>
      <c r="BA403" s="65"/>
      <c r="BB403" s="65"/>
      <c r="BC403" s="65"/>
      <c r="BD403" s="65"/>
      <c r="BE403" s="65"/>
      <c r="BF403" s="65"/>
      <c r="BG403" s="65"/>
      <c r="BH403" s="135"/>
      <c r="BI403" s="65"/>
      <c r="BJ403" s="65"/>
      <c r="BK403" s="65"/>
      <c r="BL403" s="65"/>
      <c r="BM403" s="65"/>
      <c r="BN403" s="65"/>
      <c r="BO403" s="65"/>
      <c r="BP403" s="65"/>
      <c r="BQ403" s="65"/>
      <c r="BR403" s="65"/>
      <c r="BS403" s="65"/>
      <c r="BT403" s="65"/>
      <c r="BU403" s="65"/>
      <c r="BV403" s="65"/>
      <c r="BW403" s="65"/>
      <c r="BX403" s="65"/>
      <c r="BY403" s="65"/>
      <c r="BZ403" s="65"/>
      <c r="CA403" s="65"/>
      <c r="CB403" s="65"/>
      <c r="CC403" s="65"/>
      <c r="CD403" s="65"/>
      <c r="CE403" s="65"/>
      <c r="CF403" s="65"/>
      <c r="CG403" s="65"/>
      <c r="CH403" s="0"/>
      <c r="CP403" s="0"/>
      <c r="CQ403" s="0"/>
      <c r="CR403" s="0"/>
      <c r="CS403" s="0"/>
      <c r="CT403" s="0"/>
      <c r="CU403" s="110"/>
      <c r="CV403" s="138"/>
      <c r="CW403" s="210"/>
      <c r="CX403" s="210"/>
      <c r="CY403" s="210"/>
      <c r="CZ403" s="128"/>
      <c r="DA403" s="128"/>
      <c r="DB403" s="128"/>
      <c r="DD403" s="128"/>
      <c r="DF403" s="212"/>
      <c r="DG403" s="210"/>
      <c r="DH403" s="213"/>
      <c r="DI403" s="128"/>
    </row>
    <row r="404" customFormat="false" ht="12.75" hidden="false" customHeight="false" outlineLevel="0" collapsed="false">
      <c r="B404" s="128"/>
      <c r="C404" s="124"/>
      <c r="D404" s="65"/>
      <c r="E404" s="65"/>
      <c r="F404" s="65"/>
      <c r="G404" s="65"/>
      <c r="H404" s="65"/>
      <c r="I404" s="65"/>
      <c r="J404" s="65"/>
      <c r="K404" s="65"/>
      <c r="L404" s="65"/>
      <c r="M404" s="13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5"/>
      <c r="AG404" s="65"/>
      <c r="AH404" s="65"/>
      <c r="AI404" s="65"/>
      <c r="AJ404" s="65"/>
      <c r="AK404" s="65"/>
      <c r="AL404" s="65"/>
      <c r="AM404" s="65"/>
      <c r="AN404" s="65"/>
      <c r="AO404" s="65"/>
      <c r="AP404" s="65"/>
      <c r="AQ404" s="65"/>
      <c r="AR404" s="65"/>
      <c r="AS404" s="65"/>
      <c r="AT404" s="65"/>
      <c r="AU404" s="65"/>
      <c r="AV404" s="65"/>
      <c r="AW404" s="65"/>
      <c r="AX404" s="65"/>
      <c r="AY404" s="65"/>
      <c r="AZ404" s="65"/>
      <c r="BA404" s="65"/>
      <c r="BB404" s="65"/>
      <c r="BC404" s="65"/>
      <c r="BD404" s="65"/>
      <c r="BE404" s="65"/>
      <c r="BF404" s="65"/>
      <c r="BG404" s="65"/>
      <c r="BH404" s="135"/>
      <c r="BI404" s="65"/>
      <c r="BJ404" s="65"/>
      <c r="BK404" s="65"/>
      <c r="BL404" s="65"/>
      <c r="BM404" s="65"/>
      <c r="BN404" s="65"/>
      <c r="BO404" s="65"/>
      <c r="BP404" s="65"/>
      <c r="BQ404" s="65"/>
      <c r="BR404" s="65"/>
      <c r="BS404" s="65"/>
      <c r="BT404" s="65"/>
      <c r="BU404" s="65"/>
      <c r="BV404" s="65"/>
      <c r="BW404" s="65"/>
      <c r="BX404" s="65"/>
      <c r="BY404" s="65"/>
      <c r="BZ404" s="65"/>
      <c r="CA404" s="65"/>
      <c r="CB404" s="65"/>
      <c r="CC404" s="65"/>
      <c r="CD404" s="65"/>
      <c r="CE404" s="65"/>
      <c r="CF404" s="65"/>
      <c r="CG404" s="65"/>
      <c r="CH404" s="0"/>
      <c r="CP404" s="0"/>
      <c r="CQ404" s="0"/>
      <c r="CR404" s="0"/>
      <c r="CS404" s="0"/>
      <c r="CT404" s="0"/>
      <c r="CU404" s="110"/>
      <c r="CV404" s="138"/>
      <c r="CW404" s="210"/>
      <c r="CX404" s="210"/>
      <c r="CY404" s="210"/>
      <c r="CZ404" s="128"/>
      <c r="DA404" s="128"/>
      <c r="DB404" s="128"/>
      <c r="DD404" s="128"/>
      <c r="DF404" s="212"/>
      <c r="DG404" s="210"/>
      <c r="DH404" s="213"/>
      <c r="DI404" s="128"/>
    </row>
    <row r="405" customFormat="false" ht="12.75" hidden="false" customHeight="false" outlineLevel="0" collapsed="false">
      <c r="B405" s="128"/>
      <c r="C405" s="124"/>
      <c r="D405" s="65"/>
      <c r="E405" s="65"/>
      <c r="F405" s="65"/>
      <c r="G405" s="65"/>
      <c r="H405" s="65"/>
      <c r="I405" s="65"/>
      <c r="J405" s="65"/>
      <c r="K405" s="65"/>
      <c r="L405" s="65"/>
      <c r="M405" s="13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  <c r="AF405" s="65"/>
      <c r="AG405" s="65"/>
      <c r="AH405" s="65"/>
      <c r="AI405" s="65"/>
      <c r="AJ405" s="65"/>
      <c r="AK405" s="65"/>
      <c r="AL405" s="65"/>
      <c r="AM405" s="65"/>
      <c r="AN405" s="65"/>
      <c r="AO405" s="65"/>
      <c r="AP405" s="65"/>
      <c r="AQ405" s="65"/>
      <c r="AR405" s="65"/>
      <c r="AS405" s="65"/>
      <c r="AT405" s="65"/>
      <c r="AU405" s="65"/>
      <c r="AV405" s="65"/>
      <c r="AW405" s="65"/>
      <c r="AX405" s="65"/>
      <c r="AY405" s="65"/>
      <c r="AZ405" s="65"/>
      <c r="BA405" s="65"/>
      <c r="BB405" s="65"/>
      <c r="BC405" s="65"/>
      <c r="BD405" s="65"/>
      <c r="BE405" s="65"/>
      <c r="BF405" s="65"/>
      <c r="BG405" s="65"/>
      <c r="BH405" s="135"/>
      <c r="BI405" s="65"/>
      <c r="BJ405" s="65"/>
      <c r="BK405" s="65"/>
      <c r="BL405" s="65"/>
      <c r="BM405" s="65"/>
      <c r="BN405" s="65"/>
      <c r="BO405" s="65"/>
      <c r="BP405" s="65"/>
      <c r="BQ405" s="65"/>
      <c r="BR405" s="65"/>
      <c r="BS405" s="65"/>
      <c r="BT405" s="65"/>
      <c r="BU405" s="65"/>
      <c r="BV405" s="65"/>
      <c r="BW405" s="65"/>
      <c r="BX405" s="65"/>
      <c r="BY405" s="65"/>
      <c r="BZ405" s="65"/>
      <c r="CA405" s="65"/>
      <c r="CB405" s="65"/>
      <c r="CC405" s="65"/>
      <c r="CD405" s="65"/>
      <c r="CE405" s="65"/>
      <c r="CF405" s="65"/>
      <c r="CG405" s="65"/>
      <c r="CH405" s="0"/>
      <c r="CP405" s="0"/>
      <c r="CQ405" s="0"/>
      <c r="CR405" s="0"/>
      <c r="CS405" s="0"/>
      <c r="CT405" s="0"/>
      <c r="CU405" s="110"/>
      <c r="CV405" s="138"/>
      <c r="CW405" s="210"/>
      <c r="CX405" s="210"/>
      <c r="CY405" s="210"/>
      <c r="CZ405" s="128"/>
      <c r="DA405" s="128"/>
      <c r="DB405" s="128"/>
      <c r="DD405" s="128"/>
      <c r="DF405" s="212"/>
      <c r="DG405" s="210"/>
      <c r="DH405" s="213"/>
      <c r="DI405" s="128"/>
    </row>
    <row r="406" customFormat="false" ht="12.75" hidden="false" customHeight="false" outlineLevel="0" collapsed="false">
      <c r="B406" s="128"/>
      <c r="C406" s="124"/>
      <c r="D406" s="65"/>
      <c r="E406" s="65"/>
      <c r="F406" s="65"/>
      <c r="G406" s="65"/>
      <c r="H406" s="65"/>
      <c r="I406" s="65"/>
      <c r="J406" s="65"/>
      <c r="K406" s="65"/>
      <c r="L406" s="65"/>
      <c r="M406" s="13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  <c r="AE406" s="65"/>
      <c r="AF406" s="65"/>
      <c r="AG406" s="65"/>
      <c r="AH406" s="65"/>
      <c r="AI406" s="65"/>
      <c r="AJ406" s="65"/>
      <c r="AK406" s="65"/>
      <c r="AL406" s="65"/>
      <c r="AM406" s="65"/>
      <c r="AN406" s="65"/>
      <c r="AO406" s="65"/>
      <c r="AP406" s="65"/>
      <c r="AQ406" s="65"/>
      <c r="AR406" s="65"/>
      <c r="AS406" s="65"/>
      <c r="AT406" s="65"/>
      <c r="AU406" s="65"/>
      <c r="AV406" s="65"/>
      <c r="AW406" s="65"/>
      <c r="AX406" s="65"/>
      <c r="AY406" s="65"/>
      <c r="AZ406" s="65"/>
      <c r="BA406" s="65"/>
      <c r="BB406" s="65"/>
      <c r="BC406" s="65"/>
      <c r="BD406" s="65"/>
      <c r="BE406" s="65"/>
      <c r="BF406" s="65"/>
      <c r="BG406" s="65"/>
      <c r="BH406" s="135"/>
      <c r="BI406" s="65"/>
      <c r="BJ406" s="65"/>
      <c r="BK406" s="65"/>
      <c r="BL406" s="65"/>
      <c r="BM406" s="65"/>
      <c r="BN406" s="65"/>
      <c r="BO406" s="65"/>
      <c r="BP406" s="65"/>
      <c r="BQ406" s="65"/>
      <c r="BR406" s="65"/>
      <c r="BS406" s="65"/>
      <c r="BT406" s="65"/>
      <c r="BU406" s="65"/>
      <c r="BV406" s="65"/>
      <c r="BW406" s="65"/>
      <c r="BX406" s="65"/>
      <c r="BY406" s="65"/>
      <c r="BZ406" s="65"/>
      <c r="CA406" s="65"/>
      <c r="CB406" s="65"/>
      <c r="CC406" s="65"/>
      <c r="CD406" s="65"/>
      <c r="CE406" s="65"/>
      <c r="CF406" s="65"/>
      <c r="CG406" s="65"/>
      <c r="CH406" s="0"/>
      <c r="CP406" s="0"/>
      <c r="CQ406" s="0"/>
      <c r="CR406" s="0"/>
      <c r="CS406" s="0"/>
      <c r="CT406" s="0"/>
      <c r="CU406" s="110"/>
      <c r="CV406" s="138"/>
      <c r="CW406" s="210"/>
      <c r="CX406" s="210"/>
      <c r="CY406" s="210"/>
      <c r="CZ406" s="128"/>
      <c r="DA406" s="128"/>
      <c r="DB406" s="128"/>
      <c r="DD406" s="128"/>
      <c r="DF406" s="212"/>
      <c r="DG406" s="210"/>
      <c r="DH406" s="213"/>
      <c r="DI406" s="128"/>
    </row>
    <row r="407" customFormat="false" ht="12.75" hidden="false" customHeight="false" outlineLevel="0" collapsed="false">
      <c r="B407" s="128"/>
      <c r="C407" s="124"/>
      <c r="D407" s="65"/>
      <c r="E407" s="65"/>
      <c r="F407" s="65"/>
      <c r="G407" s="65"/>
      <c r="H407" s="65"/>
      <c r="I407" s="65"/>
      <c r="J407" s="65"/>
      <c r="K407" s="65"/>
      <c r="L407" s="65"/>
      <c r="M407" s="13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  <c r="AF407" s="65"/>
      <c r="AG407" s="65"/>
      <c r="AH407" s="65"/>
      <c r="AI407" s="65"/>
      <c r="AJ407" s="65"/>
      <c r="AK407" s="65"/>
      <c r="AL407" s="65"/>
      <c r="AM407" s="65"/>
      <c r="AN407" s="65"/>
      <c r="AO407" s="65"/>
      <c r="AP407" s="65"/>
      <c r="AQ407" s="65"/>
      <c r="AR407" s="65"/>
      <c r="AS407" s="65"/>
      <c r="AT407" s="65"/>
      <c r="AU407" s="65"/>
      <c r="AV407" s="65"/>
      <c r="AW407" s="65"/>
      <c r="AX407" s="65"/>
      <c r="AY407" s="65"/>
      <c r="AZ407" s="65"/>
      <c r="BA407" s="65"/>
      <c r="BB407" s="65"/>
      <c r="BC407" s="65"/>
      <c r="BD407" s="65"/>
      <c r="BE407" s="65"/>
      <c r="BF407" s="65"/>
      <c r="BG407" s="65"/>
      <c r="BH407" s="135"/>
      <c r="BI407" s="65"/>
      <c r="BJ407" s="65"/>
      <c r="BK407" s="65"/>
      <c r="BL407" s="65"/>
      <c r="BM407" s="65"/>
      <c r="BN407" s="65"/>
      <c r="BO407" s="65"/>
      <c r="BP407" s="65"/>
      <c r="BQ407" s="65"/>
      <c r="BR407" s="65"/>
      <c r="BS407" s="65"/>
      <c r="BT407" s="65"/>
      <c r="BU407" s="65"/>
      <c r="BV407" s="65"/>
      <c r="BW407" s="65"/>
      <c r="BX407" s="65"/>
      <c r="BY407" s="65"/>
      <c r="BZ407" s="65"/>
      <c r="CA407" s="65"/>
      <c r="CB407" s="65"/>
      <c r="CC407" s="65"/>
      <c r="CD407" s="65"/>
      <c r="CE407" s="65"/>
      <c r="CF407" s="65"/>
      <c r="CG407" s="65"/>
      <c r="CH407" s="0"/>
      <c r="CP407" s="0"/>
      <c r="CQ407" s="0"/>
      <c r="CR407" s="0"/>
      <c r="CS407" s="0"/>
      <c r="CT407" s="0"/>
      <c r="CU407" s="110"/>
      <c r="CV407" s="138"/>
      <c r="CW407" s="210"/>
      <c r="CX407" s="210"/>
      <c r="CY407" s="210"/>
      <c r="CZ407" s="128"/>
      <c r="DA407" s="128"/>
      <c r="DB407" s="128"/>
      <c r="DD407" s="128"/>
      <c r="DF407" s="212"/>
      <c r="DG407" s="210"/>
      <c r="DH407" s="213"/>
      <c r="DI407" s="128"/>
    </row>
    <row r="408" customFormat="false" ht="12.75" hidden="false" customHeight="false" outlineLevel="0" collapsed="false">
      <c r="B408" s="128"/>
      <c r="C408" s="124"/>
      <c r="D408" s="65"/>
      <c r="E408" s="65"/>
      <c r="F408" s="65"/>
      <c r="G408" s="65"/>
      <c r="H408" s="65"/>
      <c r="I408" s="65"/>
      <c r="J408" s="65"/>
      <c r="K408" s="65"/>
      <c r="L408" s="65"/>
      <c r="M408" s="13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  <c r="AF408" s="65"/>
      <c r="AG408" s="65"/>
      <c r="AH408" s="65"/>
      <c r="AI408" s="65"/>
      <c r="AJ408" s="65"/>
      <c r="AK408" s="65"/>
      <c r="AL408" s="65"/>
      <c r="AM408" s="65"/>
      <c r="AN408" s="65"/>
      <c r="AO408" s="65"/>
      <c r="AP408" s="65"/>
      <c r="AQ408" s="65"/>
      <c r="AR408" s="65"/>
      <c r="AS408" s="65"/>
      <c r="AT408" s="65"/>
      <c r="AU408" s="65"/>
      <c r="AV408" s="65"/>
      <c r="AW408" s="65"/>
      <c r="AX408" s="65"/>
      <c r="AY408" s="65"/>
      <c r="AZ408" s="65"/>
      <c r="BA408" s="65"/>
      <c r="BB408" s="65"/>
      <c r="BC408" s="65"/>
      <c r="BD408" s="65"/>
      <c r="BE408" s="65"/>
      <c r="BF408" s="65"/>
      <c r="BG408" s="65"/>
      <c r="BH408" s="135"/>
      <c r="BI408" s="65"/>
      <c r="BJ408" s="65"/>
      <c r="BK408" s="65"/>
      <c r="BL408" s="65"/>
      <c r="BM408" s="65"/>
      <c r="BN408" s="65"/>
      <c r="BO408" s="65"/>
      <c r="BP408" s="65"/>
      <c r="BQ408" s="65"/>
      <c r="BR408" s="65"/>
      <c r="BS408" s="65"/>
      <c r="BT408" s="65"/>
      <c r="BU408" s="65"/>
      <c r="BV408" s="65"/>
      <c r="BW408" s="65"/>
      <c r="BX408" s="65"/>
      <c r="BY408" s="65"/>
      <c r="BZ408" s="65"/>
      <c r="CA408" s="65"/>
      <c r="CB408" s="65"/>
      <c r="CC408" s="65"/>
      <c r="CD408" s="65"/>
      <c r="CE408" s="65"/>
      <c r="CF408" s="65"/>
      <c r="CG408" s="65"/>
      <c r="CH408" s="0"/>
      <c r="CP408" s="0"/>
      <c r="CQ408" s="0"/>
      <c r="CR408" s="0"/>
      <c r="CS408" s="0"/>
      <c r="CT408" s="0"/>
      <c r="CU408" s="110"/>
      <c r="CV408" s="138"/>
      <c r="CW408" s="210"/>
      <c r="CX408" s="210"/>
      <c r="CY408" s="210"/>
      <c r="CZ408" s="128"/>
      <c r="DA408" s="128"/>
      <c r="DB408" s="128"/>
      <c r="DD408" s="128"/>
      <c r="DF408" s="212"/>
      <c r="DG408" s="210"/>
      <c r="DH408" s="213"/>
      <c r="DI408" s="128"/>
    </row>
    <row r="409" customFormat="false" ht="12.75" hidden="false" customHeight="false" outlineLevel="0" collapsed="false">
      <c r="B409" s="128"/>
      <c r="C409" s="124"/>
      <c r="D409" s="65"/>
      <c r="E409" s="65"/>
      <c r="F409" s="65"/>
      <c r="G409" s="65"/>
      <c r="H409" s="65"/>
      <c r="I409" s="65"/>
      <c r="J409" s="65"/>
      <c r="K409" s="65"/>
      <c r="L409" s="65"/>
      <c r="M409" s="13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  <c r="AH409" s="65"/>
      <c r="AI409" s="65"/>
      <c r="AJ409" s="65"/>
      <c r="AK409" s="65"/>
      <c r="AL409" s="65"/>
      <c r="AM409" s="65"/>
      <c r="AN409" s="65"/>
      <c r="AO409" s="65"/>
      <c r="AP409" s="65"/>
      <c r="AQ409" s="65"/>
      <c r="AR409" s="65"/>
      <c r="AS409" s="65"/>
      <c r="AT409" s="65"/>
      <c r="AU409" s="65"/>
      <c r="AV409" s="65"/>
      <c r="AW409" s="65"/>
      <c r="AX409" s="65"/>
      <c r="AY409" s="65"/>
      <c r="AZ409" s="65"/>
      <c r="BA409" s="65"/>
      <c r="BB409" s="65"/>
      <c r="BC409" s="65"/>
      <c r="BD409" s="65"/>
      <c r="BE409" s="65"/>
      <c r="BF409" s="65"/>
      <c r="BG409" s="65"/>
      <c r="BH409" s="135"/>
      <c r="BI409" s="65"/>
      <c r="BJ409" s="65"/>
      <c r="BK409" s="65"/>
      <c r="BL409" s="65"/>
      <c r="BM409" s="65"/>
      <c r="BN409" s="65"/>
      <c r="BO409" s="65"/>
      <c r="BP409" s="65"/>
      <c r="BQ409" s="65"/>
      <c r="BR409" s="65"/>
      <c r="BS409" s="65"/>
      <c r="BT409" s="65"/>
      <c r="BU409" s="65"/>
      <c r="BV409" s="65"/>
      <c r="BW409" s="65"/>
      <c r="BX409" s="65"/>
      <c r="BY409" s="65"/>
      <c r="BZ409" s="65"/>
      <c r="CA409" s="65"/>
      <c r="CB409" s="65"/>
      <c r="CC409" s="65"/>
      <c r="CD409" s="65"/>
      <c r="CE409" s="65"/>
      <c r="CF409" s="65"/>
      <c r="CG409" s="65"/>
      <c r="CH409" s="0"/>
      <c r="CP409" s="0"/>
      <c r="CQ409" s="0"/>
      <c r="CR409" s="0"/>
      <c r="CS409" s="0"/>
      <c r="CT409" s="0"/>
      <c r="CU409" s="110"/>
      <c r="CV409" s="138"/>
      <c r="CW409" s="210"/>
      <c r="CX409" s="210"/>
      <c r="CY409" s="210"/>
      <c r="CZ409" s="128"/>
      <c r="DA409" s="128"/>
      <c r="DB409" s="128"/>
      <c r="DD409" s="128"/>
      <c r="DF409" s="212"/>
      <c r="DG409" s="210"/>
      <c r="DH409" s="213"/>
      <c r="DI409" s="128"/>
    </row>
    <row r="410" customFormat="false" ht="12.75" hidden="false" customHeight="false" outlineLevel="0" collapsed="false">
      <c r="B410" s="128"/>
      <c r="C410" s="124"/>
      <c r="D410" s="65"/>
      <c r="E410" s="65"/>
      <c r="F410" s="65"/>
      <c r="G410" s="65"/>
      <c r="H410" s="65"/>
      <c r="I410" s="65"/>
      <c r="J410" s="65"/>
      <c r="K410" s="65"/>
      <c r="L410" s="65"/>
      <c r="M410" s="13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  <c r="AH410" s="65"/>
      <c r="AI410" s="65"/>
      <c r="AJ410" s="65"/>
      <c r="AK410" s="65"/>
      <c r="AL410" s="65"/>
      <c r="AM410" s="65"/>
      <c r="AN410" s="65"/>
      <c r="AO410" s="65"/>
      <c r="AP410" s="65"/>
      <c r="AQ410" s="65"/>
      <c r="AR410" s="65"/>
      <c r="AS410" s="65"/>
      <c r="AT410" s="65"/>
      <c r="AU410" s="65"/>
      <c r="AV410" s="65"/>
      <c r="AW410" s="65"/>
      <c r="AX410" s="65"/>
      <c r="AY410" s="65"/>
      <c r="AZ410" s="65"/>
      <c r="BA410" s="65"/>
      <c r="BB410" s="65"/>
      <c r="BC410" s="65"/>
      <c r="BD410" s="65"/>
      <c r="BE410" s="65"/>
      <c r="BF410" s="65"/>
      <c r="BG410" s="65"/>
      <c r="BH410" s="135"/>
      <c r="BI410" s="65"/>
      <c r="BJ410" s="65"/>
      <c r="BK410" s="65"/>
      <c r="BL410" s="65"/>
      <c r="BM410" s="65"/>
      <c r="BN410" s="65"/>
      <c r="BO410" s="65"/>
      <c r="BP410" s="65"/>
      <c r="BQ410" s="65"/>
      <c r="BR410" s="65"/>
      <c r="BS410" s="65"/>
      <c r="BT410" s="65"/>
      <c r="BU410" s="65"/>
      <c r="BV410" s="65"/>
      <c r="BW410" s="65"/>
      <c r="BX410" s="65"/>
      <c r="BY410" s="65"/>
      <c r="BZ410" s="65"/>
      <c r="CA410" s="65"/>
      <c r="CB410" s="65"/>
      <c r="CC410" s="65"/>
      <c r="CD410" s="65"/>
      <c r="CE410" s="65"/>
      <c r="CF410" s="65"/>
      <c r="CG410" s="65"/>
      <c r="CH410" s="0"/>
      <c r="CP410" s="0"/>
      <c r="CQ410" s="0"/>
      <c r="CR410" s="0"/>
      <c r="CS410" s="0"/>
      <c r="CT410" s="0"/>
      <c r="CU410" s="110"/>
      <c r="CV410" s="138"/>
      <c r="CW410" s="210"/>
      <c r="CX410" s="210"/>
      <c r="CY410" s="210"/>
      <c r="CZ410" s="128"/>
      <c r="DA410" s="128"/>
      <c r="DB410" s="128"/>
      <c r="DD410" s="128"/>
      <c r="DF410" s="212"/>
      <c r="DG410" s="210"/>
      <c r="DH410" s="213"/>
      <c r="DI410" s="128"/>
    </row>
    <row r="411" customFormat="false" ht="12.75" hidden="false" customHeight="false" outlineLevel="0" collapsed="false">
      <c r="B411" s="128"/>
      <c r="D411" s="65"/>
      <c r="E411" s="65"/>
      <c r="F411" s="65"/>
      <c r="G411" s="65"/>
      <c r="H411" s="65"/>
      <c r="I411" s="65"/>
      <c r="J411" s="65"/>
      <c r="K411" s="65"/>
      <c r="L411" s="65"/>
      <c r="M411" s="13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  <c r="AF411" s="65"/>
      <c r="AG411" s="65"/>
      <c r="AH411" s="65"/>
      <c r="AI411" s="65"/>
      <c r="AJ411" s="65"/>
      <c r="AK411" s="65"/>
      <c r="AL411" s="65"/>
      <c r="AM411" s="65"/>
      <c r="AN411" s="65"/>
      <c r="AO411" s="65"/>
      <c r="AP411" s="65"/>
      <c r="AQ411" s="65"/>
      <c r="AR411" s="65"/>
      <c r="AS411" s="65"/>
      <c r="AT411" s="65"/>
      <c r="AU411" s="65"/>
      <c r="AV411" s="65"/>
      <c r="AW411" s="65"/>
      <c r="AX411" s="65"/>
      <c r="AY411" s="65"/>
      <c r="AZ411" s="65"/>
      <c r="BA411" s="65"/>
      <c r="BB411" s="65"/>
      <c r="BC411" s="65"/>
      <c r="BD411" s="65"/>
      <c r="BE411" s="65"/>
      <c r="BF411" s="65"/>
      <c r="BG411" s="65"/>
      <c r="BH411" s="135"/>
      <c r="BI411" s="65"/>
      <c r="BJ411" s="65"/>
      <c r="BK411" s="65"/>
      <c r="BL411" s="65"/>
      <c r="BM411" s="65"/>
      <c r="BN411" s="65"/>
      <c r="BO411" s="65"/>
      <c r="BP411" s="65"/>
      <c r="BQ411" s="65"/>
      <c r="BR411" s="65"/>
      <c r="BS411" s="65"/>
      <c r="BT411" s="65"/>
      <c r="BU411" s="65"/>
      <c r="BV411" s="65"/>
      <c r="BW411" s="65"/>
      <c r="BX411" s="65"/>
      <c r="BY411" s="65"/>
      <c r="BZ411" s="65"/>
      <c r="CA411" s="65"/>
      <c r="CB411" s="65"/>
      <c r="CC411" s="65"/>
      <c r="CD411" s="65"/>
      <c r="CE411" s="65"/>
      <c r="CF411" s="65"/>
      <c r="CG411" s="65"/>
      <c r="CH411" s="0"/>
      <c r="CP411" s="0"/>
      <c r="CQ411" s="0"/>
      <c r="CR411" s="0"/>
      <c r="CS411" s="0"/>
      <c r="CT411" s="0"/>
      <c r="CU411" s="110"/>
      <c r="CV411" s="138"/>
      <c r="CW411" s="210"/>
      <c r="CX411" s="210"/>
      <c r="CY411" s="210"/>
      <c r="CZ411" s="128"/>
      <c r="DA411" s="128"/>
      <c r="DB411" s="128"/>
      <c r="DD411" s="128"/>
      <c r="DF411" s="212"/>
      <c r="DG411" s="210"/>
      <c r="DH411" s="213"/>
      <c r="DI411" s="128"/>
    </row>
    <row r="412" customFormat="false" ht="12.75" hidden="false" customHeight="false" outlineLevel="0" collapsed="false">
      <c r="B412" s="128"/>
      <c r="D412" s="65"/>
      <c r="E412" s="65"/>
      <c r="F412" s="65"/>
      <c r="G412" s="65"/>
      <c r="H412" s="65"/>
      <c r="I412" s="65"/>
      <c r="J412" s="65"/>
      <c r="K412" s="65"/>
      <c r="L412" s="65"/>
      <c r="M412" s="13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  <c r="AF412" s="65"/>
      <c r="AG412" s="65"/>
      <c r="AH412" s="65"/>
      <c r="AI412" s="65"/>
      <c r="AJ412" s="65"/>
      <c r="AK412" s="65"/>
      <c r="AL412" s="65"/>
      <c r="AM412" s="65"/>
      <c r="AN412" s="65"/>
      <c r="AO412" s="65"/>
      <c r="AP412" s="65"/>
      <c r="AQ412" s="65"/>
      <c r="AR412" s="65"/>
      <c r="AS412" s="65"/>
      <c r="AT412" s="65"/>
      <c r="AU412" s="65"/>
      <c r="AV412" s="65"/>
      <c r="AW412" s="65"/>
      <c r="AX412" s="65"/>
      <c r="AY412" s="65"/>
      <c r="AZ412" s="65"/>
      <c r="BA412" s="65"/>
      <c r="BB412" s="65"/>
      <c r="BC412" s="65"/>
      <c r="BD412" s="65"/>
      <c r="BE412" s="65"/>
      <c r="BF412" s="65"/>
      <c r="BG412" s="65"/>
      <c r="BH412" s="135"/>
      <c r="BI412" s="65"/>
      <c r="BJ412" s="65"/>
      <c r="BK412" s="65"/>
      <c r="BL412" s="65"/>
      <c r="BM412" s="65"/>
      <c r="BN412" s="65"/>
      <c r="BO412" s="65"/>
      <c r="BP412" s="65"/>
      <c r="BQ412" s="65"/>
      <c r="BR412" s="65"/>
      <c r="BS412" s="65"/>
      <c r="BT412" s="65"/>
      <c r="BU412" s="65"/>
      <c r="BV412" s="65"/>
      <c r="BW412" s="65"/>
      <c r="BX412" s="65"/>
      <c r="BY412" s="65"/>
      <c r="BZ412" s="65"/>
      <c r="CA412" s="65"/>
      <c r="CB412" s="65"/>
      <c r="CC412" s="65"/>
      <c r="CD412" s="65"/>
      <c r="CE412" s="65"/>
      <c r="CF412" s="65"/>
      <c r="CG412" s="65"/>
      <c r="CH412" s="0"/>
      <c r="CP412" s="0"/>
      <c r="CQ412" s="0"/>
      <c r="CR412" s="0"/>
      <c r="CS412" s="0"/>
      <c r="CT412" s="0"/>
      <c r="CU412" s="110"/>
      <c r="CV412" s="138"/>
      <c r="CW412" s="210"/>
      <c r="CX412" s="210"/>
      <c r="CY412" s="210"/>
      <c r="CZ412" s="128"/>
      <c r="DA412" s="128"/>
      <c r="DB412" s="128"/>
      <c r="DD412" s="128"/>
      <c r="DF412" s="212"/>
      <c r="DG412" s="210"/>
      <c r="DH412" s="213"/>
      <c r="DI412" s="128"/>
    </row>
    <row r="413" customFormat="false" ht="12.75" hidden="false" customHeight="false" outlineLevel="0" collapsed="false">
      <c r="B413" s="128"/>
      <c r="CP413" s="0"/>
      <c r="CQ413" s="0"/>
      <c r="CR413" s="0"/>
      <c r="CS413" s="0"/>
      <c r="CT413" s="0"/>
      <c r="CU413" s="110"/>
      <c r="CV413" s="138"/>
      <c r="CW413" s="210"/>
      <c r="CX413" s="210"/>
      <c r="CY413" s="210"/>
      <c r="CZ413" s="128"/>
      <c r="DA413" s="128"/>
      <c r="DB413" s="128"/>
      <c r="DD413" s="128"/>
      <c r="DF413" s="212"/>
      <c r="DG413" s="210"/>
      <c r="DH413" s="213"/>
      <c r="DI413" s="128"/>
    </row>
    <row r="414" customFormat="false" ht="12.75" hidden="false" customHeight="false" outlineLevel="0" collapsed="false">
      <c r="B414" s="128"/>
      <c r="CP414" s="110"/>
      <c r="CQ414" s="110"/>
      <c r="CR414" s="110"/>
      <c r="CS414" s="110"/>
      <c r="CT414" s="110"/>
      <c r="CU414" s="110"/>
      <c r="CV414" s="138"/>
      <c r="CW414" s="210"/>
      <c r="CX414" s="210"/>
      <c r="CY414" s="210"/>
      <c r="CZ414" s="128"/>
      <c r="DA414" s="128"/>
      <c r="DB414" s="128"/>
      <c r="DD414" s="128"/>
      <c r="DF414" s="212"/>
      <c r="DG414" s="210"/>
      <c r="DH414" s="213"/>
      <c r="DI414" s="128"/>
    </row>
    <row r="415" customFormat="false" ht="12.75" hidden="false" customHeight="false" outlineLevel="0" collapsed="false">
      <c r="B415" s="128"/>
      <c r="CP415" s="110"/>
      <c r="CQ415" s="110"/>
      <c r="CR415" s="110"/>
      <c r="CS415" s="110"/>
      <c r="CT415" s="110"/>
      <c r="CU415" s="110"/>
      <c r="CV415" s="138"/>
      <c r="CW415" s="210"/>
      <c r="CX415" s="210"/>
      <c r="CY415" s="210"/>
      <c r="CZ415" s="128"/>
      <c r="DA415" s="128"/>
      <c r="DB415" s="128"/>
      <c r="DD415" s="128"/>
      <c r="DF415" s="212"/>
      <c r="DG415" s="210"/>
      <c r="DH415" s="213"/>
      <c r="DI415" s="128"/>
    </row>
    <row r="416" customFormat="false" ht="12.75" hidden="false" customHeight="false" outlineLevel="0" collapsed="false">
      <c r="B416" s="128"/>
      <c r="CP416" s="110"/>
      <c r="CQ416" s="110"/>
      <c r="CR416" s="110"/>
      <c r="CS416" s="110"/>
      <c r="CT416" s="110"/>
      <c r="CU416" s="110"/>
      <c r="CV416" s="138"/>
      <c r="CW416" s="210"/>
      <c r="CX416" s="210"/>
      <c r="CY416" s="210"/>
      <c r="CZ416" s="128"/>
      <c r="DA416" s="128"/>
      <c r="DB416" s="128"/>
      <c r="DD416" s="128"/>
      <c r="DF416" s="212"/>
      <c r="DG416" s="210"/>
      <c r="DH416" s="213"/>
      <c r="DI416" s="128"/>
    </row>
    <row r="417" customFormat="false" ht="12.75" hidden="false" customHeight="false" outlineLevel="0" collapsed="false">
      <c r="B417" s="128"/>
      <c r="CP417" s="110"/>
      <c r="CQ417" s="110"/>
      <c r="CR417" s="110"/>
      <c r="CS417" s="110"/>
      <c r="CT417" s="110"/>
      <c r="CU417" s="110"/>
      <c r="CV417" s="138"/>
      <c r="CW417" s="210"/>
      <c r="CX417" s="210"/>
      <c r="CY417" s="210"/>
      <c r="CZ417" s="128"/>
      <c r="DA417" s="128"/>
      <c r="DB417" s="128"/>
      <c r="DD417" s="128"/>
      <c r="DF417" s="212"/>
      <c r="DG417" s="210"/>
      <c r="DH417" s="213"/>
      <c r="DI417" s="128"/>
    </row>
    <row r="418" customFormat="false" ht="12.75" hidden="false" customHeight="false" outlineLevel="0" collapsed="false">
      <c r="B418" s="128"/>
      <c r="CP418" s="110"/>
      <c r="CQ418" s="110"/>
      <c r="CR418" s="110"/>
      <c r="CS418" s="110"/>
      <c r="CT418" s="110"/>
      <c r="CU418" s="110"/>
      <c r="CV418" s="138"/>
      <c r="CW418" s="210"/>
      <c r="CX418" s="210"/>
      <c r="CY418" s="210"/>
      <c r="CZ418" s="128"/>
      <c r="DA418" s="128"/>
      <c r="DB418" s="128"/>
      <c r="DD418" s="128"/>
      <c r="DF418" s="212"/>
      <c r="DG418" s="210"/>
      <c r="DH418" s="213"/>
      <c r="DI418" s="128"/>
    </row>
    <row r="419" customFormat="false" ht="12.75" hidden="false" customHeight="false" outlineLevel="0" collapsed="false">
      <c r="A419" s="0"/>
      <c r="B419" s="128"/>
      <c r="CP419" s="110"/>
      <c r="CQ419" s="110"/>
      <c r="CR419" s="110"/>
      <c r="CS419" s="110"/>
      <c r="CT419" s="110"/>
      <c r="CU419" s="110"/>
      <c r="CV419" s="138"/>
      <c r="CW419" s="210"/>
      <c r="CX419" s="210"/>
      <c r="CY419" s="210"/>
      <c r="CZ419" s="128"/>
      <c r="DA419" s="128"/>
      <c r="DB419" s="128"/>
      <c r="DD419" s="128"/>
      <c r="DF419" s="212"/>
      <c r="DG419" s="210"/>
      <c r="DH419" s="213"/>
      <c r="DI419" s="128"/>
    </row>
    <row r="420" customFormat="false" ht="12.75" hidden="false" customHeight="false" outlineLevel="0" collapsed="false">
      <c r="A420" s="0"/>
      <c r="B420" s="128"/>
      <c r="CP420" s="110"/>
      <c r="CQ420" s="110"/>
      <c r="CR420" s="110"/>
      <c r="CS420" s="110"/>
      <c r="CT420" s="110"/>
      <c r="CU420" s="110"/>
      <c r="CV420" s="138"/>
      <c r="CW420" s="210"/>
      <c r="CX420" s="210"/>
      <c r="CY420" s="210"/>
      <c r="CZ420" s="128"/>
      <c r="DA420" s="128"/>
      <c r="DB420" s="128"/>
      <c r="DD420" s="128"/>
      <c r="DF420" s="212"/>
      <c r="DG420" s="210"/>
      <c r="DH420" s="213"/>
      <c r="DI420" s="128"/>
    </row>
    <row r="421" customFormat="false" ht="12.75" hidden="false" customHeight="false" outlineLevel="0" collapsed="false">
      <c r="A421" s="0"/>
      <c r="B421" s="128"/>
      <c r="CP421" s="110"/>
      <c r="CQ421" s="110"/>
      <c r="CR421" s="110"/>
      <c r="CS421" s="110"/>
      <c r="CT421" s="110"/>
      <c r="CU421" s="110"/>
      <c r="CV421" s="138"/>
      <c r="CW421" s="210"/>
      <c r="CX421" s="210"/>
      <c r="CY421" s="210"/>
      <c r="CZ421" s="128"/>
      <c r="DA421" s="128"/>
      <c r="DB421" s="128"/>
      <c r="DD421" s="128"/>
      <c r="DF421" s="212"/>
      <c r="DG421" s="210"/>
      <c r="DH421" s="213"/>
      <c r="DI421" s="128"/>
    </row>
    <row r="422" customFormat="false" ht="12.75" hidden="false" customHeight="false" outlineLevel="0" collapsed="false">
      <c r="A422" s="0"/>
      <c r="B422" s="128"/>
      <c r="CP422" s="110"/>
      <c r="CQ422" s="110"/>
      <c r="CR422" s="110"/>
      <c r="CS422" s="110"/>
      <c r="CT422" s="110"/>
      <c r="CU422" s="110"/>
      <c r="CV422" s="138"/>
      <c r="CW422" s="210"/>
      <c r="CX422" s="210"/>
      <c r="CY422" s="210"/>
      <c r="CZ422" s="128"/>
      <c r="DA422" s="128"/>
      <c r="DB422" s="128"/>
      <c r="DD422" s="128"/>
      <c r="DF422" s="212"/>
      <c r="DG422" s="210"/>
      <c r="DH422" s="213"/>
      <c r="DI422" s="128"/>
    </row>
    <row r="423" customFormat="false" ht="12.75" hidden="false" customHeight="false" outlineLevel="0" collapsed="false">
      <c r="A423" s="0"/>
      <c r="B423" s="128"/>
      <c r="CP423" s="110"/>
      <c r="CQ423" s="110"/>
      <c r="CR423" s="110"/>
      <c r="CS423" s="110"/>
      <c r="CT423" s="110"/>
      <c r="CU423" s="110"/>
      <c r="CV423" s="138"/>
      <c r="CW423" s="210"/>
      <c r="CX423" s="210"/>
      <c r="CY423" s="210"/>
      <c r="CZ423" s="128"/>
      <c r="DA423" s="128"/>
      <c r="DB423" s="128"/>
      <c r="DD423" s="128"/>
      <c r="DF423" s="212"/>
      <c r="DG423" s="210"/>
      <c r="DH423" s="213"/>
      <c r="DI423" s="128"/>
    </row>
    <row r="424" customFormat="false" ht="12.75" hidden="false" customHeight="false" outlineLevel="0" collapsed="false">
      <c r="A424" s="0"/>
      <c r="B424" s="128"/>
      <c r="CP424" s="110"/>
      <c r="CQ424" s="110"/>
      <c r="CR424" s="110"/>
      <c r="CS424" s="110"/>
      <c r="CT424" s="110"/>
      <c r="CU424" s="110"/>
      <c r="CV424" s="138"/>
      <c r="CW424" s="210"/>
      <c r="CX424" s="210"/>
      <c r="CY424" s="210"/>
      <c r="CZ424" s="128"/>
      <c r="DA424" s="128"/>
      <c r="DB424" s="128"/>
      <c r="DD424" s="128"/>
      <c r="DF424" s="212"/>
      <c r="DG424" s="210"/>
      <c r="DH424" s="213"/>
      <c r="DI424" s="128"/>
    </row>
    <row r="425" customFormat="false" ht="12.75" hidden="false" customHeight="false" outlineLevel="0" collapsed="false">
      <c r="A425" s="0"/>
      <c r="B425" s="128"/>
      <c r="CP425" s="110"/>
      <c r="CQ425" s="110"/>
      <c r="CR425" s="110"/>
      <c r="CS425" s="110"/>
      <c r="CT425" s="110"/>
      <c r="CU425" s="110"/>
      <c r="CV425" s="138"/>
      <c r="CW425" s="210"/>
      <c r="CX425" s="210"/>
      <c r="CY425" s="210"/>
      <c r="CZ425" s="128"/>
      <c r="DA425" s="128"/>
      <c r="DB425" s="128"/>
      <c r="DD425" s="128"/>
      <c r="DF425" s="212"/>
      <c r="DG425" s="210"/>
      <c r="DH425" s="213"/>
      <c r="DI425" s="128"/>
    </row>
    <row r="426" customFormat="false" ht="12.75" hidden="false" customHeight="false" outlineLevel="0" collapsed="false">
      <c r="B426" s="128"/>
      <c r="CP426" s="110"/>
      <c r="CQ426" s="110"/>
      <c r="CR426" s="110"/>
      <c r="CS426" s="110"/>
      <c r="CT426" s="110"/>
      <c r="CU426" s="110"/>
      <c r="CV426" s="138"/>
      <c r="CW426" s="210"/>
      <c r="CX426" s="210"/>
      <c r="CY426" s="210"/>
      <c r="CZ426" s="128"/>
      <c r="DA426" s="128"/>
      <c r="DB426" s="128"/>
      <c r="DD426" s="128"/>
      <c r="DF426" s="212"/>
      <c r="DG426" s="210"/>
      <c r="DH426" s="213"/>
      <c r="DI426" s="128"/>
    </row>
    <row r="427" customFormat="false" ht="12.75" hidden="false" customHeight="false" outlineLevel="0" collapsed="false">
      <c r="B427" s="128"/>
      <c r="CP427" s="110"/>
      <c r="CQ427" s="110"/>
      <c r="CR427" s="110"/>
      <c r="CS427" s="110"/>
      <c r="CT427" s="110"/>
      <c r="CU427" s="110"/>
      <c r="CV427" s="138"/>
      <c r="CW427" s="210"/>
      <c r="CX427" s="210"/>
      <c r="CY427" s="210"/>
      <c r="CZ427" s="128"/>
      <c r="DA427" s="128"/>
      <c r="DB427" s="128"/>
      <c r="DD427" s="128"/>
      <c r="DF427" s="212"/>
      <c r="DG427" s="210"/>
      <c r="DH427" s="213"/>
      <c r="DI427" s="128"/>
    </row>
    <row r="428" customFormat="false" ht="12.75" hidden="false" customHeight="false" outlineLevel="0" collapsed="false">
      <c r="B428" s="128"/>
      <c r="CP428" s="110"/>
      <c r="CQ428" s="110"/>
      <c r="CR428" s="110"/>
      <c r="CS428" s="110"/>
      <c r="CT428" s="110"/>
      <c r="CU428" s="110"/>
      <c r="CV428" s="138"/>
      <c r="CW428" s="210"/>
      <c r="CX428" s="210"/>
      <c r="CY428" s="210"/>
      <c r="CZ428" s="128"/>
      <c r="DA428" s="128"/>
      <c r="DB428" s="128"/>
      <c r="DD428" s="128"/>
      <c r="DF428" s="212"/>
      <c r="DG428" s="210"/>
      <c r="DH428" s="213"/>
      <c r="DI428" s="128"/>
    </row>
    <row r="429" customFormat="false" ht="12.75" hidden="false" customHeight="false" outlineLevel="0" collapsed="false">
      <c r="B429" s="128"/>
      <c r="CP429" s="110"/>
      <c r="CQ429" s="110"/>
      <c r="CR429" s="110"/>
      <c r="CS429" s="110"/>
      <c r="CT429" s="110"/>
      <c r="CU429" s="110"/>
      <c r="CV429" s="138"/>
      <c r="CW429" s="210"/>
      <c r="CX429" s="210"/>
      <c r="CY429" s="210"/>
      <c r="CZ429" s="128"/>
      <c r="DA429" s="128"/>
      <c r="DB429" s="128"/>
      <c r="DD429" s="128"/>
      <c r="DF429" s="212"/>
      <c r="DG429" s="210"/>
      <c r="DH429" s="213"/>
      <c r="DI429" s="128"/>
    </row>
    <row r="430" customFormat="false" ht="12.75" hidden="false" customHeight="false" outlineLevel="0" collapsed="false">
      <c r="B430" s="128"/>
      <c r="CP430" s="110"/>
      <c r="CQ430" s="110"/>
      <c r="CR430" s="110"/>
      <c r="CS430" s="110"/>
      <c r="CT430" s="110"/>
      <c r="CU430" s="110"/>
      <c r="CV430" s="138"/>
      <c r="CW430" s="210"/>
      <c r="CX430" s="210"/>
      <c r="CY430" s="210"/>
      <c r="CZ430" s="128"/>
      <c r="DA430" s="128"/>
      <c r="DB430" s="128"/>
      <c r="DD430" s="128"/>
      <c r="DF430" s="212"/>
      <c r="DG430" s="210"/>
      <c r="DH430" s="213"/>
      <c r="DI430" s="128"/>
    </row>
    <row r="431" customFormat="false" ht="12.75" hidden="false" customHeight="false" outlineLevel="0" collapsed="false">
      <c r="B431" s="128"/>
      <c r="CP431" s="110"/>
      <c r="CQ431" s="110"/>
      <c r="CR431" s="110"/>
      <c r="CS431" s="110"/>
      <c r="CT431" s="110"/>
      <c r="CU431" s="110"/>
      <c r="CV431" s="138"/>
      <c r="CW431" s="210"/>
      <c r="CX431" s="210"/>
      <c r="CY431" s="210"/>
      <c r="CZ431" s="128"/>
      <c r="DA431" s="128"/>
      <c r="DB431" s="128"/>
      <c r="DD431" s="128"/>
      <c r="DF431" s="212"/>
      <c r="DG431" s="210"/>
      <c r="DH431" s="213"/>
      <c r="DI431" s="128"/>
    </row>
    <row r="432" customFormat="false" ht="12.75" hidden="false" customHeight="false" outlineLevel="0" collapsed="false">
      <c r="B432" s="128"/>
      <c r="CP432" s="110"/>
      <c r="CQ432" s="110"/>
      <c r="CR432" s="110"/>
      <c r="CS432" s="110"/>
      <c r="CT432" s="110"/>
      <c r="CU432" s="110"/>
      <c r="CV432" s="138"/>
      <c r="CW432" s="210"/>
      <c r="CX432" s="210"/>
      <c r="CY432" s="210"/>
      <c r="CZ432" s="128"/>
      <c r="DA432" s="128"/>
      <c r="DB432" s="128"/>
      <c r="DD432" s="128"/>
      <c r="DF432" s="212"/>
      <c r="DG432" s="210"/>
      <c r="DH432" s="213"/>
      <c r="DI432" s="128"/>
    </row>
    <row r="433" customFormat="false" ht="12.75" hidden="false" customHeight="false" outlineLevel="0" collapsed="false">
      <c r="B433" s="128"/>
      <c r="CP433" s="110"/>
      <c r="CQ433" s="110"/>
      <c r="CR433" s="110"/>
      <c r="CS433" s="110"/>
      <c r="CT433" s="110"/>
      <c r="CU433" s="110"/>
      <c r="CV433" s="138"/>
      <c r="CW433" s="210"/>
      <c r="CX433" s="210"/>
      <c r="CY433" s="210"/>
      <c r="CZ433" s="128"/>
      <c r="DA433" s="128"/>
      <c r="DB433" s="128"/>
      <c r="DD433" s="128"/>
      <c r="DF433" s="212"/>
      <c r="DG433" s="210"/>
      <c r="DH433" s="213"/>
      <c r="DI433" s="128"/>
    </row>
    <row r="434" customFormat="false" ht="12.75" hidden="false" customHeight="false" outlineLevel="0" collapsed="false">
      <c r="B434" s="128"/>
      <c r="CP434" s="110"/>
      <c r="CQ434" s="110"/>
      <c r="CR434" s="110"/>
      <c r="CS434" s="110"/>
      <c r="CT434" s="110"/>
      <c r="CU434" s="110"/>
      <c r="CV434" s="138"/>
      <c r="CW434" s="210"/>
      <c r="CX434" s="210"/>
      <c r="CY434" s="210"/>
      <c r="CZ434" s="128"/>
      <c r="DA434" s="128"/>
      <c r="DB434" s="128"/>
      <c r="DD434" s="128"/>
      <c r="DF434" s="212"/>
      <c r="DG434" s="210"/>
      <c r="DH434" s="213"/>
      <c r="DI434" s="128"/>
    </row>
    <row r="435" customFormat="false" ht="12.75" hidden="false" customHeight="false" outlineLevel="0" collapsed="false">
      <c r="B435" s="128"/>
      <c r="CP435" s="110"/>
      <c r="CQ435" s="110"/>
      <c r="CR435" s="110"/>
      <c r="CS435" s="110"/>
      <c r="CT435" s="110"/>
      <c r="CU435" s="110"/>
      <c r="CV435" s="138"/>
      <c r="CW435" s="210"/>
      <c r="CX435" s="210"/>
      <c r="CY435" s="210"/>
      <c r="CZ435" s="128"/>
      <c r="DA435" s="128"/>
      <c r="DB435" s="128"/>
      <c r="DD435" s="128"/>
      <c r="DF435" s="212"/>
      <c r="DG435" s="210"/>
      <c r="DH435" s="213"/>
      <c r="DI435" s="128"/>
    </row>
    <row r="436" customFormat="false" ht="12.75" hidden="false" customHeight="false" outlineLevel="0" collapsed="false">
      <c r="B436" s="128"/>
      <c r="CP436" s="110"/>
      <c r="CQ436" s="110"/>
      <c r="CR436" s="110"/>
      <c r="CS436" s="110"/>
      <c r="CT436" s="110"/>
      <c r="CU436" s="110"/>
      <c r="CV436" s="138"/>
      <c r="CW436" s="210"/>
      <c r="CX436" s="210"/>
      <c r="CY436" s="210"/>
      <c r="CZ436" s="128"/>
      <c r="DA436" s="128"/>
      <c r="DB436" s="128"/>
      <c r="DD436" s="128"/>
      <c r="DF436" s="212"/>
      <c r="DG436" s="210"/>
      <c r="DH436" s="213"/>
      <c r="DI436" s="128"/>
    </row>
    <row r="437" customFormat="false" ht="12.75" hidden="false" customHeight="false" outlineLevel="0" collapsed="false">
      <c r="B437" s="128"/>
      <c r="CP437" s="110"/>
      <c r="CQ437" s="110"/>
      <c r="CR437" s="110"/>
      <c r="CS437" s="110"/>
      <c r="CT437" s="110"/>
      <c r="CU437" s="110"/>
      <c r="CV437" s="138"/>
      <c r="CW437" s="210"/>
      <c r="CX437" s="210"/>
      <c r="CY437" s="210"/>
      <c r="CZ437" s="128"/>
      <c r="DA437" s="128"/>
      <c r="DB437" s="128"/>
      <c r="DD437" s="128"/>
      <c r="DF437" s="212"/>
      <c r="DG437" s="210"/>
      <c r="DH437" s="213"/>
      <c r="DI437" s="128"/>
    </row>
    <row r="438" customFormat="false" ht="12.75" hidden="false" customHeight="false" outlineLevel="0" collapsed="false">
      <c r="B438" s="128"/>
      <c r="CP438" s="110"/>
      <c r="CQ438" s="110"/>
      <c r="CR438" s="110"/>
      <c r="CS438" s="110"/>
      <c r="CT438" s="110"/>
      <c r="CU438" s="110"/>
      <c r="CV438" s="138"/>
      <c r="CW438" s="210"/>
      <c r="CX438" s="210"/>
      <c r="CY438" s="210"/>
      <c r="CZ438" s="128"/>
      <c r="DA438" s="128"/>
      <c r="DB438" s="128"/>
      <c r="DD438" s="128"/>
      <c r="DF438" s="212"/>
      <c r="DG438" s="210"/>
      <c r="DH438" s="213"/>
      <c r="DI438" s="128"/>
    </row>
    <row r="439" customFormat="false" ht="12.75" hidden="false" customHeight="false" outlineLevel="0" collapsed="false">
      <c r="B439" s="128"/>
      <c r="CP439" s="110"/>
      <c r="CQ439" s="110"/>
      <c r="CR439" s="110"/>
      <c r="CS439" s="110"/>
      <c r="CT439" s="110"/>
      <c r="CU439" s="110"/>
      <c r="CV439" s="138"/>
      <c r="CW439" s="210"/>
      <c r="CX439" s="210"/>
      <c r="CY439" s="210"/>
      <c r="CZ439" s="128"/>
      <c r="DA439" s="128"/>
      <c r="DB439" s="128"/>
      <c r="DD439" s="128"/>
      <c r="DF439" s="212"/>
      <c r="DG439" s="210"/>
      <c r="DH439" s="213"/>
      <c r="DI439" s="128"/>
    </row>
    <row r="440" customFormat="false" ht="12.75" hidden="false" customHeight="false" outlineLevel="0" collapsed="false">
      <c r="B440" s="128"/>
      <c r="CP440" s="110"/>
      <c r="CQ440" s="110"/>
      <c r="CR440" s="110"/>
      <c r="CS440" s="110"/>
      <c r="CT440" s="110"/>
      <c r="CU440" s="110"/>
      <c r="CV440" s="138"/>
      <c r="CW440" s="210"/>
      <c r="CX440" s="210"/>
      <c r="CY440" s="210"/>
      <c r="CZ440" s="128"/>
      <c r="DA440" s="128"/>
      <c r="DB440" s="128"/>
      <c r="DD440" s="128"/>
      <c r="DF440" s="212"/>
      <c r="DG440" s="210"/>
      <c r="DH440" s="213"/>
      <c r="DI440" s="128"/>
    </row>
    <row r="441" customFormat="false" ht="12.75" hidden="false" customHeight="false" outlineLevel="0" collapsed="false">
      <c r="B441" s="128"/>
      <c r="CP441" s="110"/>
      <c r="CQ441" s="110"/>
      <c r="CR441" s="110"/>
      <c r="CS441" s="110"/>
      <c r="CT441" s="110"/>
      <c r="CU441" s="110"/>
      <c r="CV441" s="138"/>
      <c r="CW441" s="210"/>
      <c r="CX441" s="210"/>
      <c r="CY441" s="210"/>
      <c r="CZ441" s="128"/>
      <c r="DA441" s="128"/>
      <c r="DB441" s="128"/>
      <c r="DD441" s="128"/>
      <c r="DF441" s="212"/>
      <c r="DG441" s="210"/>
      <c r="DH441" s="213"/>
      <c r="DI441" s="128"/>
    </row>
    <row r="442" customFormat="false" ht="12.75" hidden="false" customHeight="false" outlineLevel="0" collapsed="false">
      <c r="B442" s="128"/>
      <c r="CP442" s="110"/>
      <c r="CQ442" s="110"/>
      <c r="CR442" s="110"/>
      <c r="CS442" s="110"/>
      <c r="CT442" s="110"/>
      <c r="CU442" s="110"/>
      <c r="CV442" s="138"/>
      <c r="CW442" s="210"/>
      <c r="CX442" s="210"/>
      <c r="CY442" s="210"/>
      <c r="CZ442" s="128"/>
      <c r="DA442" s="128"/>
      <c r="DB442" s="128"/>
      <c r="DD442" s="128"/>
      <c r="DF442" s="212"/>
      <c r="DG442" s="210"/>
      <c r="DH442" s="213"/>
      <c r="DI442" s="128"/>
    </row>
    <row r="443" customFormat="false" ht="12.75" hidden="false" customHeight="false" outlineLevel="0" collapsed="false">
      <c r="B443" s="128"/>
      <c r="CP443" s="110"/>
      <c r="CQ443" s="110"/>
      <c r="CR443" s="110"/>
      <c r="CS443" s="110"/>
      <c r="CT443" s="110"/>
      <c r="CU443" s="110"/>
      <c r="CV443" s="138"/>
      <c r="CW443" s="210"/>
      <c r="CX443" s="210"/>
      <c r="CY443" s="210"/>
      <c r="CZ443" s="128"/>
      <c r="DA443" s="128"/>
      <c r="DB443" s="128"/>
      <c r="DD443" s="128"/>
      <c r="DF443" s="212"/>
      <c r="DG443" s="210"/>
      <c r="DH443" s="213"/>
      <c r="DI443" s="128"/>
    </row>
    <row r="444" customFormat="false" ht="12.75" hidden="false" customHeight="false" outlineLevel="0" collapsed="false">
      <c r="B444" s="128"/>
      <c r="CP444" s="110"/>
      <c r="CQ444" s="110"/>
      <c r="CR444" s="110"/>
      <c r="CS444" s="110"/>
      <c r="CT444" s="110"/>
      <c r="CU444" s="110"/>
      <c r="CV444" s="138"/>
      <c r="CW444" s="210"/>
      <c r="CX444" s="210"/>
      <c r="CY444" s="210"/>
      <c r="CZ444" s="128"/>
      <c r="DA444" s="128"/>
      <c r="DB444" s="128"/>
      <c r="DD444" s="128"/>
      <c r="DF444" s="212"/>
      <c r="DG444" s="210"/>
      <c r="DH444" s="213"/>
      <c r="DI444" s="128"/>
    </row>
    <row r="445" customFormat="false" ht="12.75" hidden="false" customHeight="false" outlineLevel="0" collapsed="false">
      <c r="B445" s="128"/>
      <c r="CP445" s="110"/>
      <c r="CQ445" s="110"/>
      <c r="CR445" s="110"/>
      <c r="CS445" s="110"/>
      <c r="CT445" s="110"/>
      <c r="CU445" s="110"/>
      <c r="CV445" s="138"/>
      <c r="CW445" s="210"/>
      <c r="CX445" s="210"/>
      <c r="CY445" s="210"/>
      <c r="CZ445" s="128"/>
      <c r="DA445" s="128"/>
      <c r="DB445" s="128"/>
      <c r="DD445" s="128"/>
      <c r="DF445" s="212"/>
      <c r="DG445" s="210"/>
      <c r="DH445" s="213"/>
      <c r="DI445" s="128"/>
    </row>
    <row r="446" customFormat="false" ht="12.75" hidden="false" customHeight="false" outlineLevel="0" collapsed="false">
      <c r="B446" s="128"/>
      <c r="CP446" s="110"/>
      <c r="CQ446" s="110"/>
      <c r="CR446" s="110"/>
      <c r="CS446" s="110"/>
      <c r="CT446" s="110"/>
      <c r="CU446" s="110"/>
      <c r="CV446" s="138"/>
      <c r="CW446" s="210"/>
      <c r="CX446" s="210"/>
      <c r="CY446" s="210"/>
      <c r="CZ446" s="128"/>
      <c r="DA446" s="128"/>
      <c r="DB446" s="128"/>
      <c r="DD446" s="128"/>
      <c r="DF446" s="212"/>
      <c r="DG446" s="210"/>
      <c r="DH446" s="213"/>
      <c r="DI446" s="128"/>
    </row>
    <row r="447" customFormat="false" ht="12.75" hidden="false" customHeight="false" outlineLevel="0" collapsed="false">
      <c r="B447" s="128"/>
      <c r="CP447" s="110"/>
      <c r="CQ447" s="110"/>
      <c r="CR447" s="110"/>
      <c r="CS447" s="110"/>
      <c r="CT447" s="110"/>
      <c r="CU447" s="110"/>
      <c r="CV447" s="138"/>
      <c r="CW447" s="210"/>
      <c r="CX447" s="210"/>
      <c r="CY447" s="210"/>
      <c r="CZ447" s="128"/>
      <c r="DA447" s="128"/>
      <c r="DB447" s="128"/>
      <c r="DD447" s="128"/>
      <c r="DF447" s="212"/>
      <c r="DG447" s="210"/>
      <c r="DH447" s="213"/>
      <c r="DI447" s="128"/>
    </row>
    <row r="448" customFormat="false" ht="12.75" hidden="false" customHeight="false" outlineLevel="0" collapsed="false">
      <c r="B448" s="128"/>
      <c r="CP448" s="110"/>
      <c r="CQ448" s="110"/>
      <c r="CR448" s="110"/>
      <c r="CS448" s="110"/>
      <c r="CT448" s="110"/>
      <c r="CU448" s="110"/>
      <c r="CV448" s="138"/>
      <c r="CW448" s="210"/>
      <c r="CX448" s="210"/>
      <c r="CY448" s="210"/>
      <c r="CZ448" s="128"/>
      <c r="DA448" s="128"/>
      <c r="DB448" s="128"/>
      <c r="DD448" s="128"/>
      <c r="DF448" s="212"/>
      <c r="DG448" s="210"/>
      <c r="DH448" s="213"/>
      <c r="DI448" s="128"/>
    </row>
    <row r="449" customFormat="false" ht="12.75" hidden="false" customHeight="false" outlineLevel="0" collapsed="false">
      <c r="B449" s="128"/>
      <c r="CP449" s="110"/>
      <c r="CQ449" s="110"/>
      <c r="CR449" s="110"/>
      <c r="CS449" s="110"/>
      <c r="CT449" s="110"/>
      <c r="CU449" s="110"/>
      <c r="CV449" s="138"/>
      <c r="CW449" s="210"/>
      <c r="CX449" s="210"/>
      <c r="CY449" s="210"/>
      <c r="CZ449" s="128"/>
      <c r="DA449" s="128"/>
      <c r="DB449" s="128"/>
      <c r="DD449" s="128"/>
      <c r="DF449" s="212"/>
      <c r="DG449" s="210"/>
      <c r="DH449" s="213"/>
      <c r="DI449" s="128"/>
    </row>
    <row r="450" customFormat="false" ht="12.75" hidden="false" customHeight="false" outlineLevel="0" collapsed="false">
      <c r="B450" s="128"/>
      <c r="CP450" s="110"/>
      <c r="CQ450" s="110"/>
      <c r="CR450" s="110"/>
      <c r="CS450" s="110"/>
      <c r="CT450" s="110"/>
      <c r="CU450" s="110"/>
      <c r="CV450" s="138"/>
      <c r="CW450" s="210"/>
      <c r="CX450" s="210"/>
      <c r="CY450" s="210"/>
      <c r="CZ450" s="128"/>
      <c r="DA450" s="128"/>
      <c r="DB450" s="128"/>
      <c r="DD450" s="128"/>
      <c r="DF450" s="212"/>
      <c r="DG450" s="210"/>
      <c r="DH450" s="213"/>
      <c r="DI450" s="128"/>
    </row>
    <row r="451" customFormat="false" ht="12.75" hidden="false" customHeight="false" outlineLevel="0" collapsed="false">
      <c r="B451" s="128"/>
      <c r="CP451" s="110"/>
      <c r="CQ451" s="110"/>
      <c r="CR451" s="110"/>
      <c r="CS451" s="110"/>
      <c r="CT451" s="110"/>
      <c r="CU451" s="110"/>
      <c r="CV451" s="138"/>
      <c r="CW451" s="210"/>
      <c r="CX451" s="210"/>
      <c r="CY451" s="210"/>
      <c r="CZ451" s="128"/>
      <c r="DA451" s="128"/>
      <c r="DB451" s="128"/>
      <c r="DD451" s="128"/>
      <c r="DF451" s="212"/>
      <c r="DG451" s="210"/>
      <c r="DH451" s="213"/>
      <c r="DI451" s="128"/>
    </row>
    <row r="452" customFormat="false" ht="12.75" hidden="false" customHeight="false" outlineLevel="0" collapsed="false">
      <c r="B452" s="128"/>
      <c r="CP452" s="110"/>
      <c r="CQ452" s="110"/>
      <c r="CR452" s="110"/>
      <c r="CS452" s="110"/>
      <c r="CT452" s="110"/>
      <c r="CU452" s="110"/>
      <c r="CV452" s="138"/>
      <c r="CW452" s="210"/>
      <c r="CX452" s="210"/>
      <c r="CY452" s="210"/>
      <c r="CZ452" s="128"/>
      <c r="DA452" s="128"/>
      <c r="DB452" s="128"/>
      <c r="DD452" s="128"/>
      <c r="DF452" s="212"/>
      <c r="DG452" s="210"/>
      <c r="DH452" s="213"/>
      <c r="DI452" s="128"/>
    </row>
    <row r="453" customFormat="false" ht="12.75" hidden="false" customHeight="false" outlineLevel="0" collapsed="false">
      <c r="B453" s="128"/>
      <c r="CP453" s="110"/>
      <c r="CQ453" s="110"/>
      <c r="CR453" s="110"/>
      <c r="CS453" s="110"/>
      <c r="CT453" s="110"/>
      <c r="CU453" s="110"/>
      <c r="CV453" s="138"/>
      <c r="CW453" s="210"/>
      <c r="CX453" s="210"/>
      <c r="CY453" s="210"/>
      <c r="CZ453" s="128"/>
      <c r="DA453" s="128"/>
      <c r="DB453" s="128"/>
      <c r="DD453" s="128"/>
      <c r="DF453" s="212"/>
      <c r="DG453" s="210"/>
      <c r="DH453" s="213"/>
      <c r="DI453" s="128"/>
    </row>
    <row r="454" customFormat="false" ht="12.75" hidden="false" customHeight="false" outlineLevel="0" collapsed="false">
      <c r="B454" s="128"/>
      <c r="CP454" s="110"/>
      <c r="CQ454" s="110"/>
      <c r="CR454" s="110"/>
      <c r="CS454" s="110"/>
      <c r="CT454" s="110"/>
      <c r="CU454" s="110"/>
      <c r="CV454" s="138"/>
      <c r="CW454" s="210"/>
      <c r="CX454" s="210"/>
      <c r="CY454" s="210"/>
      <c r="CZ454" s="128"/>
      <c r="DA454" s="128"/>
      <c r="DB454" s="128"/>
      <c r="DD454" s="128"/>
      <c r="DF454" s="212"/>
      <c r="DG454" s="210"/>
      <c r="DH454" s="213"/>
      <c r="DI454" s="128"/>
    </row>
    <row r="455" customFormat="false" ht="12.75" hidden="false" customHeight="false" outlineLevel="0" collapsed="false">
      <c r="B455" s="128"/>
      <c r="CP455" s="110"/>
      <c r="CQ455" s="110"/>
      <c r="CR455" s="110"/>
      <c r="CS455" s="110"/>
      <c r="CT455" s="110"/>
      <c r="CU455" s="110"/>
      <c r="CV455" s="138"/>
      <c r="CW455" s="210"/>
      <c r="CX455" s="210"/>
      <c r="CY455" s="210"/>
      <c r="CZ455" s="128"/>
      <c r="DA455" s="128"/>
      <c r="DB455" s="128"/>
      <c r="DD455" s="128"/>
      <c r="DF455" s="212"/>
      <c r="DG455" s="210"/>
      <c r="DH455" s="213"/>
      <c r="DI455" s="128"/>
    </row>
    <row r="456" customFormat="false" ht="12.75" hidden="false" customHeight="false" outlineLevel="0" collapsed="false">
      <c r="B456" s="128"/>
      <c r="CP456" s="110"/>
      <c r="CQ456" s="110"/>
      <c r="CR456" s="110"/>
      <c r="CS456" s="110"/>
      <c r="CT456" s="110"/>
      <c r="CU456" s="110"/>
      <c r="CV456" s="138"/>
      <c r="CW456" s="210"/>
      <c r="CX456" s="210"/>
      <c r="CY456" s="210"/>
      <c r="CZ456" s="128"/>
      <c r="DA456" s="128"/>
      <c r="DB456" s="128"/>
      <c r="DD456" s="128"/>
      <c r="DF456" s="212"/>
      <c r="DG456" s="210"/>
      <c r="DH456" s="213"/>
      <c r="DI456" s="128"/>
    </row>
    <row r="457" customFormat="false" ht="12.75" hidden="false" customHeight="false" outlineLevel="0" collapsed="false">
      <c r="B457" s="128"/>
      <c r="CP457" s="110"/>
      <c r="CQ457" s="110"/>
      <c r="CR457" s="110"/>
      <c r="CS457" s="110"/>
      <c r="CT457" s="110"/>
      <c r="CU457" s="110"/>
      <c r="CV457" s="138"/>
      <c r="CW457" s="210"/>
      <c r="CX457" s="210"/>
      <c r="CY457" s="210"/>
      <c r="CZ457" s="128"/>
      <c r="DA457" s="128"/>
      <c r="DB457" s="128"/>
      <c r="DD457" s="128"/>
      <c r="DF457" s="212"/>
      <c r="DG457" s="210"/>
      <c r="DH457" s="213"/>
      <c r="DI457" s="128"/>
    </row>
    <row r="458" customFormat="false" ht="12.75" hidden="false" customHeight="false" outlineLevel="0" collapsed="false">
      <c r="B458" s="128"/>
      <c r="CP458" s="110"/>
      <c r="CQ458" s="110"/>
      <c r="CR458" s="110"/>
      <c r="CS458" s="110"/>
      <c r="CT458" s="110"/>
      <c r="CU458" s="110"/>
      <c r="CV458" s="138"/>
      <c r="CW458" s="210"/>
      <c r="CX458" s="210"/>
      <c r="CY458" s="210"/>
      <c r="CZ458" s="128"/>
      <c r="DA458" s="128"/>
      <c r="DB458" s="128"/>
      <c r="DD458" s="128"/>
      <c r="DF458" s="212"/>
      <c r="DG458" s="210"/>
      <c r="DH458" s="213"/>
      <c r="DI458" s="128"/>
    </row>
    <row r="459" customFormat="false" ht="12.75" hidden="false" customHeight="false" outlineLevel="0" collapsed="false">
      <c r="B459" s="128"/>
      <c r="CP459" s="110"/>
      <c r="CQ459" s="110"/>
      <c r="CR459" s="110"/>
      <c r="CS459" s="110"/>
      <c r="CT459" s="110"/>
      <c r="CU459" s="110"/>
      <c r="CV459" s="138"/>
      <c r="CW459" s="210"/>
      <c r="CX459" s="210"/>
      <c r="CY459" s="210"/>
      <c r="CZ459" s="128"/>
      <c r="DA459" s="128"/>
      <c r="DB459" s="128"/>
      <c r="DD459" s="128"/>
      <c r="DF459" s="212"/>
      <c r="DG459" s="210"/>
      <c r="DH459" s="213"/>
      <c r="DI459" s="128"/>
    </row>
    <row r="460" customFormat="false" ht="12.75" hidden="false" customHeight="false" outlineLevel="0" collapsed="false">
      <c r="B460" s="128"/>
      <c r="CP460" s="110"/>
      <c r="CQ460" s="110"/>
      <c r="CR460" s="110"/>
      <c r="CS460" s="110"/>
      <c r="CT460" s="110"/>
      <c r="CU460" s="110"/>
      <c r="CV460" s="138"/>
      <c r="CW460" s="210"/>
      <c r="CX460" s="210"/>
      <c r="CY460" s="210"/>
      <c r="CZ460" s="128"/>
      <c r="DA460" s="128"/>
      <c r="DB460" s="128"/>
      <c r="DD460" s="128"/>
      <c r="DF460" s="212"/>
      <c r="DG460" s="210"/>
      <c r="DH460" s="213"/>
      <c r="DI460" s="128"/>
    </row>
    <row r="461" customFormat="false" ht="12.75" hidden="false" customHeight="false" outlineLevel="0" collapsed="false">
      <c r="B461" s="128"/>
      <c r="CP461" s="110"/>
      <c r="CQ461" s="110"/>
      <c r="CR461" s="110"/>
      <c r="CS461" s="110"/>
      <c r="CT461" s="110"/>
      <c r="CU461" s="110"/>
      <c r="CV461" s="138"/>
      <c r="CW461" s="210"/>
      <c r="CX461" s="210"/>
      <c r="CY461" s="210"/>
      <c r="CZ461" s="128"/>
      <c r="DA461" s="128"/>
      <c r="DB461" s="128"/>
      <c r="DD461" s="128"/>
      <c r="DF461" s="212"/>
      <c r="DG461" s="210"/>
      <c r="DH461" s="213"/>
      <c r="DI461" s="128"/>
    </row>
    <row r="462" customFormat="false" ht="12.75" hidden="false" customHeight="false" outlineLevel="0" collapsed="false">
      <c r="B462" s="128"/>
      <c r="CP462" s="110"/>
      <c r="CQ462" s="110"/>
      <c r="CR462" s="110"/>
      <c r="CS462" s="110"/>
      <c r="CT462" s="110"/>
      <c r="CU462" s="110"/>
      <c r="CV462" s="138"/>
      <c r="CW462" s="210"/>
      <c r="CX462" s="210"/>
      <c r="CY462" s="210"/>
      <c r="CZ462" s="128"/>
      <c r="DA462" s="128"/>
      <c r="DB462" s="128"/>
      <c r="DD462" s="128"/>
      <c r="DF462" s="212"/>
      <c r="DG462" s="210"/>
      <c r="DH462" s="213"/>
      <c r="DI462" s="128"/>
    </row>
    <row r="463" customFormat="false" ht="12.75" hidden="false" customHeight="false" outlineLevel="0" collapsed="false">
      <c r="B463" s="128"/>
      <c r="CP463" s="110"/>
      <c r="CQ463" s="110"/>
      <c r="CR463" s="110"/>
      <c r="CS463" s="110"/>
      <c r="CT463" s="110"/>
      <c r="CU463" s="110"/>
      <c r="CV463" s="138"/>
      <c r="CW463" s="210"/>
      <c r="CX463" s="210"/>
      <c r="CY463" s="210"/>
      <c r="CZ463" s="128"/>
      <c r="DA463" s="128"/>
      <c r="DB463" s="128"/>
      <c r="DD463" s="128"/>
      <c r="DF463" s="212"/>
      <c r="DG463" s="210"/>
      <c r="DH463" s="213"/>
      <c r="DI463" s="128"/>
    </row>
    <row r="464" customFormat="false" ht="12.75" hidden="false" customHeight="false" outlineLevel="0" collapsed="false">
      <c r="B464" s="128"/>
      <c r="CP464" s="110"/>
      <c r="CQ464" s="110"/>
      <c r="CR464" s="110"/>
      <c r="CS464" s="110"/>
      <c r="CT464" s="110"/>
      <c r="CU464" s="110"/>
      <c r="CV464" s="138"/>
      <c r="CW464" s="210"/>
      <c r="CX464" s="210"/>
      <c r="CY464" s="210"/>
      <c r="CZ464" s="128"/>
      <c r="DA464" s="128"/>
      <c r="DB464" s="128"/>
      <c r="DD464" s="128"/>
      <c r="DF464" s="212"/>
      <c r="DG464" s="210"/>
      <c r="DH464" s="213"/>
      <c r="DI464" s="128"/>
    </row>
    <row r="465" customFormat="false" ht="12.75" hidden="false" customHeight="false" outlineLevel="0" collapsed="false">
      <c r="B465" s="128"/>
      <c r="CP465" s="110"/>
      <c r="CQ465" s="110"/>
      <c r="CR465" s="110"/>
      <c r="CS465" s="110"/>
      <c r="CT465" s="110"/>
      <c r="CU465" s="110"/>
      <c r="CV465" s="138"/>
      <c r="CW465" s="210"/>
      <c r="CX465" s="210"/>
      <c r="CY465" s="210"/>
      <c r="CZ465" s="128"/>
      <c r="DA465" s="128"/>
      <c r="DB465" s="128"/>
      <c r="DD465" s="128"/>
      <c r="DF465" s="212"/>
      <c r="DG465" s="210"/>
      <c r="DH465" s="213"/>
      <c r="DI465" s="128"/>
    </row>
    <row r="466" customFormat="false" ht="12.75" hidden="false" customHeight="false" outlineLevel="0" collapsed="false">
      <c r="B466" s="128"/>
      <c r="CP466" s="110"/>
      <c r="CQ466" s="110"/>
      <c r="CR466" s="110"/>
      <c r="CS466" s="110"/>
      <c r="CT466" s="110"/>
      <c r="CU466" s="110"/>
      <c r="CV466" s="138"/>
      <c r="CW466" s="210"/>
      <c r="CX466" s="210"/>
      <c r="CY466" s="210"/>
      <c r="CZ466" s="128"/>
      <c r="DA466" s="128"/>
      <c r="DB466" s="128"/>
      <c r="DD466" s="128"/>
      <c r="DF466" s="212"/>
      <c r="DG466" s="210"/>
      <c r="DH466" s="213"/>
      <c r="DI466" s="128"/>
    </row>
    <row r="467" customFormat="false" ht="12.75" hidden="false" customHeight="false" outlineLevel="0" collapsed="false">
      <c r="B467" s="128"/>
      <c r="CP467" s="110"/>
      <c r="CQ467" s="110"/>
      <c r="CR467" s="110"/>
      <c r="CS467" s="110"/>
      <c r="CT467" s="110"/>
      <c r="CU467" s="110"/>
      <c r="CV467" s="138"/>
      <c r="CW467" s="210"/>
      <c r="CX467" s="210"/>
      <c r="CY467" s="210"/>
      <c r="CZ467" s="128"/>
      <c r="DA467" s="128"/>
      <c r="DB467" s="128"/>
      <c r="DD467" s="128"/>
      <c r="DF467" s="212"/>
      <c r="DG467" s="210"/>
      <c r="DH467" s="213"/>
      <c r="DI467" s="128"/>
    </row>
    <row r="468" customFormat="false" ht="12.75" hidden="false" customHeight="false" outlineLevel="0" collapsed="false">
      <c r="B468" s="128"/>
      <c r="CP468" s="110"/>
      <c r="CQ468" s="110"/>
      <c r="CR468" s="110"/>
      <c r="CS468" s="110"/>
      <c r="CT468" s="110"/>
      <c r="CU468" s="110"/>
      <c r="CV468" s="138"/>
      <c r="CW468" s="210"/>
      <c r="CX468" s="210"/>
      <c r="CY468" s="210"/>
      <c r="CZ468" s="128"/>
      <c r="DA468" s="128"/>
      <c r="DB468" s="128"/>
      <c r="DD468" s="128"/>
      <c r="DF468" s="212"/>
      <c r="DG468" s="210"/>
      <c r="DH468" s="213"/>
      <c r="DI468" s="128"/>
    </row>
    <row r="469" customFormat="false" ht="12.75" hidden="false" customHeight="false" outlineLevel="0" collapsed="false">
      <c r="B469" s="128"/>
      <c r="CP469" s="110"/>
      <c r="CQ469" s="110"/>
      <c r="CR469" s="110"/>
      <c r="CS469" s="110"/>
      <c r="CT469" s="110"/>
      <c r="CU469" s="110"/>
      <c r="CV469" s="138"/>
      <c r="CW469" s="210"/>
      <c r="CX469" s="210"/>
      <c r="CY469" s="210"/>
      <c r="CZ469" s="128"/>
      <c r="DA469" s="128"/>
      <c r="DB469" s="128"/>
      <c r="DD469" s="128"/>
      <c r="DF469" s="212"/>
      <c r="DG469" s="210"/>
      <c r="DH469" s="213"/>
      <c r="DI469" s="128"/>
    </row>
    <row r="470" customFormat="false" ht="12.75" hidden="false" customHeight="false" outlineLevel="0" collapsed="false">
      <c r="B470" s="128"/>
      <c r="CP470" s="110"/>
      <c r="CQ470" s="110"/>
      <c r="CR470" s="110"/>
      <c r="CS470" s="110"/>
      <c r="CT470" s="110"/>
      <c r="CU470" s="110"/>
      <c r="CV470" s="138"/>
      <c r="CW470" s="210"/>
      <c r="CX470" s="210"/>
      <c r="CY470" s="210"/>
      <c r="CZ470" s="128"/>
      <c r="DA470" s="128"/>
      <c r="DB470" s="128"/>
      <c r="DD470" s="128"/>
      <c r="DF470" s="212"/>
      <c r="DG470" s="210"/>
      <c r="DH470" s="213"/>
      <c r="DI470" s="128"/>
    </row>
    <row r="471" customFormat="false" ht="12.75" hidden="false" customHeight="false" outlineLevel="0" collapsed="false">
      <c r="B471" s="128"/>
      <c r="CP471" s="110"/>
      <c r="CQ471" s="110"/>
      <c r="CR471" s="110"/>
      <c r="CS471" s="110"/>
      <c r="CT471" s="110"/>
      <c r="CU471" s="110"/>
      <c r="CV471" s="138"/>
      <c r="CW471" s="210"/>
      <c r="CX471" s="210"/>
      <c r="CY471" s="210"/>
      <c r="CZ471" s="128"/>
      <c r="DA471" s="128"/>
      <c r="DB471" s="128"/>
      <c r="DD471" s="128"/>
      <c r="DF471" s="212"/>
      <c r="DG471" s="210"/>
      <c r="DH471" s="213"/>
      <c r="DI471" s="128"/>
    </row>
    <row r="472" customFormat="false" ht="12.75" hidden="false" customHeight="false" outlineLevel="0" collapsed="false">
      <c r="B472" s="128"/>
      <c r="CP472" s="110"/>
      <c r="CQ472" s="110"/>
      <c r="CR472" s="110"/>
      <c r="CS472" s="110"/>
      <c r="CT472" s="110"/>
      <c r="CU472" s="110"/>
      <c r="CV472" s="138"/>
      <c r="CW472" s="210"/>
      <c r="CX472" s="210"/>
      <c r="CY472" s="210"/>
      <c r="CZ472" s="128"/>
      <c r="DA472" s="128"/>
      <c r="DB472" s="128"/>
      <c r="DD472" s="128"/>
      <c r="DF472" s="212"/>
      <c r="DG472" s="210"/>
      <c r="DH472" s="213"/>
      <c r="DI472" s="128"/>
    </row>
    <row r="473" customFormat="false" ht="12.75" hidden="false" customHeight="false" outlineLevel="0" collapsed="false">
      <c r="B473" s="128"/>
      <c r="CP473" s="110"/>
      <c r="CQ473" s="110"/>
      <c r="CR473" s="110"/>
      <c r="CS473" s="110"/>
      <c r="CT473" s="110"/>
      <c r="CU473" s="110"/>
      <c r="CV473" s="138"/>
      <c r="CW473" s="210"/>
      <c r="CX473" s="210"/>
      <c r="CY473" s="210"/>
      <c r="CZ473" s="128"/>
      <c r="DA473" s="128"/>
      <c r="DB473" s="128"/>
      <c r="DD473" s="128"/>
      <c r="DF473" s="212"/>
      <c r="DG473" s="210"/>
      <c r="DH473" s="213"/>
      <c r="DI473" s="128"/>
    </row>
    <row r="474" customFormat="false" ht="12.75" hidden="false" customHeight="false" outlineLevel="0" collapsed="false">
      <c r="B474" s="128"/>
      <c r="CP474" s="110"/>
      <c r="CQ474" s="110"/>
      <c r="CR474" s="110"/>
      <c r="CS474" s="110"/>
      <c r="CT474" s="110"/>
      <c r="CU474" s="110"/>
      <c r="CV474" s="138"/>
      <c r="CW474" s="210"/>
      <c r="CX474" s="210"/>
      <c r="CY474" s="210"/>
      <c r="CZ474" s="128"/>
      <c r="DA474" s="128"/>
      <c r="DB474" s="128"/>
      <c r="DD474" s="128"/>
      <c r="DF474" s="212"/>
      <c r="DG474" s="210"/>
      <c r="DH474" s="213"/>
      <c r="DI474" s="128"/>
    </row>
    <row r="475" customFormat="false" ht="12.75" hidden="false" customHeight="false" outlineLevel="0" collapsed="false">
      <c r="B475" s="128"/>
      <c r="CP475" s="110"/>
      <c r="CQ475" s="110"/>
      <c r="CR475" s="110"/>
      <c r="CS475" s="110"/>
      <c r="CT475" s="110"/>
      <c r="CU475" s="110"/>
      <c r="CV475" s="138"/>
      <c r="CW475" s="210"/>
      <c r="CX475" s="210"/>
      <c r="CY475" s="210"/>
      <c r="CZ475" s="128"/>
      <c r="DA475" s="128"/>
      <c r="DB475" s="128"/>
      <c r="DD475" s="128"/>
      <c r="DF475" s="212"/>
      <c r="DG475" s="210"/>
      <c r="DH475" s="213"/>
      <c r="DI475" s="128"/>
    </row>
    <row r="476" customFormat="false" ht="12.75" hidden="false" customHeight="false" outlineLevel="0" collapsed="false">
      <c r="B476" s="128"/>
      <c r="CP476" s="110"/>
      <c r="CQ476" s="110"/>
      <c r="CR476" s="110"/>
      <c r="CS476" s="110"/>
      <c r="CT476" s="110"/>
      <c r="CU476" s="110"/>
      <c r="CV476" s="138"/>
      <c r="CW476" s="210"/>
      <c r="CX476" s="210"/>
      <c r="CY476" s="210"/>
      <c r="CZ476" s="128"/>
      <c r="DA476" s="128"/>
      <c r="DB476" s="128"/>
      <c r="DD476" s="128"/>
      <c r="DF476" s="212"/>
      <c r="DG476" s="210"/>
      <c r="DH476" s="213"/>
      <c r="DI476" s="128"/>
    </row>
    <row r="477" customFormat="false" ht="12.75" hidden="false" customHeight="false" outlineLevel="0" collapsed="false">
      <c r="B477" s="128"/>
      <c r="CP477" s="110"/>
      <c r="CQ477" s="110"/>
      <c r="CR477" s="110"/>
      <c r="CS477" s="110"/>
      <c r="CT477" s="110"/>
      <c r="CU477" s="110"/>
      <c r="CV477" s="138"/>
      <c r="CW477" s="210"/>
      <c r="CX477" s="210"/>
      <c r="CY477" s="210"/>
      <c r="CZ477" s="128"/>
      <c r="DA477" s="128"/>
      <c r="DB477" s="128"/>
      <c r="DD477" s="128"/>
      <c r="DF477" s="212"/>
      <c r="DG477" s="210"/>
      <c r="DH477" s="213"/>
      <c r="DI477" s="128"/>
    </row>
    <row r="478" customFormat="false" ht="12.75" hidden="false" customHeight="false" outlineLevel="0" collapsed="false">
      <c r="B478" s="128"/>
      <c r="CP478" s="110"/>
      <c r="CQ478" s="110"/>
      <c r="CR478" s="110"/>
      <c r="CS478" s="110"/>
      <c r="CT478" s="110"/>
      <c r="CU478" s="110"/>
      <c r="CV478" s="138"/>
      <c r="CW478" s="210"/>
      <c r="CX478" s="210"/>
      <c r="CY478" s="210"/>
      <c r="CZ478" s="128"/>
      <c r="DA478" s="128"/>
      <c r="DB478" s="128"/>
      <c r="DD478" s="128"/>
      <c r="DF478" s="212"/>
      <c r="DG478" s="210"/>
      <c r="DH478" s="213"/>
      <c r="DI478" s="128"/>
    </row>
    <row r="479" customFormat="false" ht="12.75" hidden="false" customHeight="false" outlineLevel="0" collapsed="false">
      <c r="B479" s="128"/>
      <c r="CP479" s="110"/>
      <c r="CQ479" s="110"/>
      <c r="CR479" s="110"/>
      <c r="CS479" s="110"/>
      <c r="CT479" s="110"/>
      <c r="CU479" s="110"/>
      <c r="CV479" s="138"/>
      <c r="CW479" s="210"/>
      <c r="CX479" s="210"/>
      <c r="CY479" s="210"/>
      <c r="CZ479" s="128"/>
      <c r="DA479" s="128"/>
      <c r="DB479" s="128"/>
      <c r="DD479" s="128"/>
      <c r="DF479" s="212"/>
      <c r="DG479" s="210"/>
      <c r="DH479" s="213"/>
      <c r="DI479" s="128"/>
    </row>
    <row r="480" customFormat="false" ht="12.75" hidden="false" customHeight="false" outlineLevel="0" collapsed="false">
      <c r="B480" s="128"/>
      <c r="CP480" s="110"/>
      <c r="CQ480" s="110"/>
      <c r="CR480" s="110"/>
      <c r="CS480" s="110"/>
      <c r="CT480" s="110"/>
      <c r="CU480" s="110"/>
      <c r="CV480" s="138"/>
      <c r="CW480" s="210"/>
      <c r="CX480" s="210"/>
      <c r="CY480" s="210"/>
      <c r="CZ480" s="128"/>
      <c r="DA480" s="128"/>
      <c r="DB480" s="128"/>
      <c r="DD480" s="128"/>
      <c r="DF480" s="212"/>
      <c r="DG480" s="210"/>
      <c r="DH480" s="213"/>
      <c r="DI480" s="128"/>
    </row>
    <row r="481" customFormat="false" ht="12.75" hidden="false" customHeight="false" outlineLevel="0" collapsed="false">
      <c r="B481" s="128"/>
      <c r="CP481" s="110"/>
      <c r="CQ481" s="110"/>
      <c r="CR481" s="110"/>
      <c r="CS481" s="110"/>
      <c r="CT481" s="110"/>
      <c r="CU481" s="110"/>
      <c r="CV481" s="138"/>
      <c r="CW481" s="210"/>
      <c r="CX481" s="210"/>
      <c r="CY481" s="210"/>
      <c r="CZ481" s="128"/>
      <c r="DA481" s="128"/>
      <c r="DB481" s="128"/>
      <c r="DD481" s="128"/>
      <c r="DF481" s="212"/>
      <c r="DG481" s="210"/>
      <c r="DH481" s="213"/>
      <c r="DI481" s="128"/>
    </row>
    <row r="482" customFormat="false" ht="12.75" hidden="false" customHeight="false" outlineLevel="0" collapsed="false">
      <c r="B482" s="128"/>
      <c r="CP482" s="110"/>
      <c r="CQ482" s="110"/>
      <c r="CR482" s="110"/>
      <c r="CS482" s="110"/>
      <c r="CT482" s="110"/>
      <c r="CU482" s="110"/>
      <c r="CV482" s="138"/>
      <c r="CW482" s="210"/>
      <c r="CX482" s="210"/>
      <c r="CY482" s="210"/>
      <c r="CZ482" s="128"/>
      <c r="DA482" s="128"/>
      <c r="DB482" s="128"/>
      <c r="DD482" s="128"/>
      <c r="DF482" s="212"/>
      <c r="DG482" s="210"/>
      <c r="DH482" s="213"/>
      <c r="DI482" s="128"/>
    </row>
    <row r="483" customFormat="false" ht="12.75" hidden="false" customHeight="false" outlineLevel="0" collapsed="false">
      <c r="B483" s="128"/>
      <c r="CP483" s="110"/>
      <c r="CQ483" s="110"/>
      <c r="CR483" s="110"/>
      <c r="CS483" s="110"/>
      <c r="CT483" s="110"/>
      <c r="CU483" s="110"/>
      <c r="CV483" s="138"/>
      <c r="CW483" s="210"/>
      <c r="CX483" s="210"/>
      <c r="CY483" s="210"/>
      <c r="CZ483" s="128"/>
      <c r="DA483" s="128"/>
      <c r="DB483" s="128"/>
      <c r="DD483" s="128"/>
      <c r="DF483" s="212"/>
      <c r="DG483" s="210"/>
      <c r="DH483" s="213"/>
      <c r="DI483" s="128"/>
    </row>
    <row r="484" customFormat="false" ht="12.75" hidden="false" customHeight="false" outlineLevel="0" collapsed="false">
      <c r="B484" s="128"/>
      <c r="CP484" s="110"/>
      <c r="CQ484" s="110"/>
      <c r="CR484" s="110"/>
      <c r="CS484" s="110"/>
      <c r="CT484" s="110"/>
      <c r="CU484" s="110"/>
      <c r="CV484" s="138"/>
      <c r="CW484" s="210"/>
      <c r="CX484" s="210"/>
      <c r="CY484" s="210"/>
      <c r="CZ484" s="128"/>
      <c r="DA484" s="128"/>
      <c r="DB484" s="128"/>
      <c r="DD484" s="128"/>
      <c r="DF484" s="212"/>
      <c r="DG484" s="210"/>
      <c r="DH484" s="213"/>
      <c r="DI484" s="128"/>
    </row>
    <row r="485" customFormat="false" ht="12.75" hidden="false" customHeight="false" outlineLevel="0" collapsed="false">
      <c r="B485" s="128"/>
      <c r="CP485" s="110"/>
      <c r="CQ485" s="110"/>
      <c r="CR485" s="110"/>
      <c r="CS485" s="110"/>
      <c r="CT485" s="110"/>
      <c r="CU485" s="110"/>
      <c r="CV485" s="138"/>
      <c r="CW485" s="210"/>
      <c r="CX485" s="210"/>
      <c r="CY485" s="210"/>
      <c r="CZ485" s="128"/>
      <c r="DA485" s="128"/>
      <c r="DB485" s="128"/>
      <c r="DD485" s="128"/>
      <c r="DF485" s="212"/>
      <c r="DG485" s="210"/>
      <c r="DH485" s="213"/>
      <c r="DI485" s="128"/>
    </row>
    <row r="486" customFormat="false" ht="12.75" hidden="false" customHeight="false" outlineLevel="0" collapsed="false">
      <c r="B486" s="128"/>
      <c r="CP486" s="110"/>
      <c r="CQ486" s="110"/>
      <c r="CR486" s="110"/>
      <c r="CS486" s="110"/>
      <c r="CT486" s="110"/>
      <c r="CU486" s="110"/>
      <c r="CV486" s="138"/>
      <c r="CW486" s="210"/>
      <c r="CX486" s="210"/>
      <c r="CY486" s="210"/>
      <c r="CZ486" s="128"/>
      <c r="DA486" s="128"/>
      <c r="DB486" s="128"/>
      <c r="DD486" s="128"/>
      <c r="DF486" s="212"/>
      <c r="DG486" s="210"/>
      <c r="DH486" s="213"/>
      <c r="DI486" s="128"/>
    </row>
    <row r="487" customFormat="false" ht="12.75" hidden="false" customHeight="false" outlineLevel="0" collapsed="false">
      <c r="B487" s="128"/>
      <c r="CP487" s="110"/>
      <c r="CQ487" s="110"/>
      <c r="CR487" s="110"/>
      <c r="CS487" s="110"/>
      <c r="CT487" s="110"/>
      <c r="CU487" s="110"/>
      <c r="CV487" s="138"/>
      <c r="CW487" s="210"/>
      <c r="CX487" s="210"/>
      <c r="CY487" s="210"/>
      <c r="CZ487" s="128"/>
      <c r="DA487" s="128"/>
      <c r="DB487" s="128"/>
      <c r="DD487" s="128"/>
      <c r="DF487" s="212"/>
      <c r="DG487" s="210"/>
      <c r="DH487" s="213"/>
      <c r="DI487" s="128"/>
    </row>
    <row r="488" customFormat="false" ht="12.75" hidden="false" customHeight="false" outlineLevel="0" collapsed="false">
      <c r="B488" s="128"/>
      <c r="CP488" s="110"/>
      <c r="CQ488" s="110"/>
      <c r="CR488" s="110"/>
      <c r="CS488" s="110"/>
      <c r="CT488" s="110"/>
      <c r="CU488" s="110"/>
      <c r="CV488" s="138"/>
      <c r="CW488" s="210"/>
      <c r="CX488" s="210"/>
      <c r="CY488" s="210"/>
      <c r="CZ488" s="128"/>
      <c r="DA488" s="128"/>
      <c r="DB488" s="128"/>
      <c r="DD488" s="128"/>
      <c r="DF488" s="212"/>
      <c r="DG488" s="210"/>
      <c r="DH488" s="213"/>
      <c r="DI488" s="128"/>
    </row>
    <row r="489" customFormat="false" ht="12.75" hidden="false" customHeight="false" outlineLevel="0" collapsed="false">
      <c r="B489" s="128"/>
      <c r="CP489" s="110"/>
      <c r="CQ489" s="110"/>
      <c r="CR489" s="110"/>
      <c r="CS489" s="110"/>
      <c r="CT489" s="110"/>
      <c r="CU489" s="110"/>
      <c r="CV489" s="138"/>
      <c r="CW489" s="210"/>
      <c r="CX489" s="210"/>
      <c r="CY489" s="210"/>
      <c r="CZ489" s="128"/>
      <c r="DA489" s="128"/>
      <c r="DB489" s="128"/>
      <c r="DD489" s="128"/>
      <c r="DF489" s="212"/>
      <c r="DG489" s="210"/>
      <c r="DH489" s="213"/>
      <c r="DI489" s="128"/>
    </row>
    <row r="490" customFormat="false" ht="12.75" hidden="false" customHeight="false" outlineLevel="0" collapsed="false">
      <c r="B490" s="128"/>
      <c r="CP490" s="110"/>
      <c r="CQ490" s="110"/>
      <c r="CR490" s="110"/>
      <c r="CS490" s="110"/>
      <c r="CT490" s="110"/>
      <c r="CU490" s="110"/>
      <c r="CV490" s="138"/>
      <c r="CW490" s="210"/>
      <c r="CX490" s="210"/>
      <c r="CY490" s="210"/>
      <c r="CZ490" s="128"/>
      <c r="DA490" s="128"/>
      <c r="DB490" s="128"/>
      <c r="DD490" s="128"/>
      <c r="DF490" s="212"/>
      <c r="DG490" s="210"/>
      <c r="DH490" s="213"/>
      <c r="DI490" s="128"/>
    </row>
    <row r="491" customFormat="false" ht="12.75" hidden="false" customHeight="false" outlineLevel="0" collapsed="false">
      <c r="B491" s="128"/>
      <c r="CP491" s="110"/>
      <c r="CQ491" s="110"/>
      <c r="CR491" s="110"/>
      <c r="CS491" s="110"/>
      <c r="CT491" s="110"/>
      <c r="CU491" s="110"/>
      <c r="CV491" s="138"/>
      <c r="CW491" s="210"/>
      <c r="CX491" s="210"/>
      <c r="CY491" s="210"/>
      <c r="CZ491" s="128"/>
      <c r="DA491" s="128"/>
      <c r="DB491" s="128"/>
      <c r="DD491" s="128"/>
      <c r="DF491" s="212"/>
      <c r="DG491" s="210"/>
      <c r="DH491" s="213"/>
      <c r="DI491" s="128"/>
    </row>
    <row r="492" customFormat="false" ht="12.75" hidden="false" customHeight="false" outlineLevel="0" collapsed="false">
      <c r="B492" s="128"/>
      <c r="CP492" s="110"/>
      <c r="CQ492" s="110"/>
      <c r="CR492" s="110"/>
      <c r="CS492" s="110"/>
      <c r="CT492" s="110"/>
      <c r="CU492" s="110"/>
      <c r="CV492" s="138"/>
      <c r="CW492" s="210"/>
      <c r="CX492" s="210"/>
      <c r="CY492" s="210"/>
      <c r="CZ492" s="128"/>
      <c r="DA492" s="128"/>
      <c r="DB492" s="128"/>
      <c r="DD492" s="128"/>
      <c r="DF492" s="212"/>
      <c r="DG492" s="210"/>
      <c r="DH492" s="213"/>
      <c r="DI492" s="128"/>
    </row>
    <row r="493" customFormat="false" ht="12.75" hidden="false" customHeight="false" outlineLevel="0" collapsed="false">
      <c r="B493" s="128"/>
      <c r="CP493" s="110"/>
      <c r="CQ493" s="110"/>
      <c r="CR493" s="110"/>
      <c r="CS493" s="110"/>
      <c r="CT493" s="110"/>
      <c r="CU493" s="110"/>
      <c r="CV493" s="138"/>
      <c r="CW493" s="210"/>
      <c r="CX493" s="210"/>
      <c r="CY493" s="210"/>
      <c r="CZ493" s="128"/>
      <c r="DA493" s="128"/>
      <c r="DB493" s="128"/>
      <c r="DD493" s="128"/>
      <c r="DF493" s="212"/>
      <c r="DG493" s="210"/>
      <c r="DH493" s="213"/>
      <c r="DI493" s="128"/>
    </row>
    <row r="494" customFormat="false" ht="12.75" hidden="false" customHeight="false" outlineLevel="0" collapsed="false">
      <c r="B494" s="128"/>
      <c r="CP494" s="110"/>
      <c r="CQ494" s="110"/>
      <c r="CR494" s="110"/>
      <c r="CS494" s="110"/>
      <c r="CT494" s="110"/>
      <c r="CU494" s="110"/>
      <c r="CV494" s="138"/>
      <c r="CW494" s="210"/>
      <c r="CX494" s="210"/>
      <c r="CY494" s="210"/>
      <c r="CZ494" s="128"/>
      <c r="DA494" s="128"/>
      <c r="DB494" s="128"/>
      <c r="DD494" s="128"/>
      <c r="DF494" s="212"/>
      <c r="DG494" s="210"/>
      <c r="DH494" s="213"/>
      <c r="DI494" s="128"/>
    </row>
    <row r="495" customFormat="false" ht="12.75" hidden="false" customHeight="false" outlineLevel="0" collapsed="false">
      <c r="B495" s="128"/>
      <c r="CP495" s="110"/>
      <c r="CQ495" s="110"/>
      <c r="CR495" s="110"/>
      <c r="CS495" s="110"/>
      <c r="CT495" s="110"/>
      <c r="CU495" s="110"/>
      <c r="CV495" s="138"/>
      <c r="CW495" s="210"/>
      <c r="CX495" s="210"/>
      <c r="CY495" s="210"/>
      <c r="CZ495" s="128"/>
      <c r="DA495" s="128"/>
      <c r="DB495" s="128"/>
      <c r="DD495" s="128"/>
      <c r="DF495" s="212"/>
      <c r="DG495" s="210"/>
      <c r="DH495" s="213"/>
      <c r="DI495" s="128"/>
    </row>
    <row r="496" customFormat="false" ht="12.75" hidden="false" customHeight="false" outlineLevel="0" collapsed="false">
      <c r="B496" s="128"/>
      <c r="CP496" s="110"/>
      <c r="CQ496" s="110"/>
      <c r="CR496" s="110"/>
      <c r="CS496" s="110"/>
      <c r="CT496" s="110"/>
      <c r="CU496" s="110"/>
      <c r="CV496" s="138"/>
      <c r="CW496" s="210"/>
      <c r="CX496" s="210"/>
      <c r="CY496" s="210"/>
      <c r="CZ496" s="128"/>
      <c r="DA496" s="128"/>
      <c r="DB496" s="128"/>
      <c r="DD496" s="128"/>
      <c r="DF496" s="212"/>
      <c r="DG496" s="210"/>
      <c r="DH496" s="213"/>
      <c r="DI496" s="128"/>
    </row>
    <row r="497" customFormat="false" ht="12.75" hidden="false" customHeight="false" outlineLevel="0" collapsed="false">
      <c r="B497" s="128"/>
      <c r="CP497" s="110"/>
      <c r="CQ497" s="110"/>
      <c r="CR497" s="110"/>
      <c r="CS497" s="110"/>
      <c r="CT497" s="110"/>
      <c r="CU497" s="110"/>
      <c r="CV497" s="138"/>
      <c r="CW497" s="210"/>
      <c r="CX497" s="210"/>
      <c r="CY497" s="210"/>
      <c r="CZ497" s="128"/>
      <c r="DA497" s="128"/>
      <c r="DB497" s="128"/>
      <c r="DD497" s="128"/>
      <c r="DF497" s="212"/>
      <c r="DG497" s="210"/>
      <c r="DH497" s="213"/>
      <c r="DI497" s="128"/>
    </row>
    <row r="498" customFormat="false" ht="12.75" hidden="false" customHeight="false" outlineLevel="0" collapsed="false">
      <c r="B498" s="128"/>
      <c r="CP498" s="110"/>
      <c r="CQ498" s="110"/>
      <c r="CR498" s="110"/>
      <c r="CS498" s="110"/>
      <c r="CT498" s="110"/>
      <c r="CU498" s="110"/>
      <c r="CV498" s="138"/>
      <c r="CW498" s="210"/>
      <c r="CX498" s="210"/>
      <c r="CY498" s="210"/>
      <c r="CZ498" s="128"/>
      <c r="DA498" s="128"/>
      <c r="DB498" s="128"/>
      <c r="DD498" s="128"/>
      <c r="DF498" s="212"/>
      <c r="DG498" s="210"/>
      <c r="DH498" s="213"/>
      <c r="DI498" s="128"/>
    </row>
    <row r="499" customFormat="false" ht="12.75" hidden="false" customHeight="false" outlineLevel="0" collapsed="false">
      <c r="B499" s="128"/>
      <c r="CP499" s="110"/>
      <c r="CQ499" s="110"/>
      <c r="CR499" s="110"/>
      <c r="CS499" s="110"/>
      <c r="CT499" s="110"/>
      <c r="CU499" s="110"/>
      <c r="CV499" s="138"/>
      <c r="CW499" s="210"/>
      <c r="CX499" s="210"/>
      <c r="CY499" s="210"/>
      <c r="CZ499" s="128"/>
      <c r="DA499" s="128"/>
      <c r="DB499" s="128"/>
      <c r="DD499" s="128"/>
      <c r="DF499" s="212"/>
      <c r="DG499" s="210"/>
      <c r="DH499" s="213"/>
      <c r="DI499" s="128"/>
    </row>
    <row r="500" customFormat="false" ht="12.75" hidden="false" customHeight="false" outlineLevel="0" collapsed="false">
      <c r="B500" s="128"/>
      <c r="CP500" s="110"/>
      <c r="CQ500" s="110"/>
      <c r="CR500" s="110"/>
      <c r="CS500" s="110"/>
      <c r="CT500" s="110"/>
      <c r="CU500" s="110"/>
      <c r="CV500" s="138"/>
      <c r="CW500" s="210"/>
      <c r="CX500" s="210"/>
      <c r="CY500" s="210"/>
      <c r="CZ500" s="128"/>
      <c r="DA500" s="128"/>
      <c r="DB500" s="128"/>
      <c r="DD500" s="128"/>
      <c r="DF500" s="212"/>
      <c r="DG500" s="210"/>
      <c r="DH500" s="213"/>
      <c r="DI500" s="128"/>
    </row>
    <row r="501" customFormat="false" ht="12.75" hidden="false" customHeight="false" outlineLevel="0" collapsed="false">
      <c r="B501" s="128"/>
      <c r="CP501" s="110"/>
      <c r="CQ501" s="110"/>
      <c r="CR501" s="110"/>
      <c r="CS501" s="110"/>
      <c r="CT501" s="110"/>
      <c r="CU501" s="110"/>
      <c r="CV501" s="138"/>
      <c r="CW501" s="210"/>
      <c r="CX501" s="210"/>
      <c r="CY501" s="210"/>
      <c r="CZ501" s="128"/>
      <c r="DA501" s="128"/>
      <c r="DB501" s="128"/>
      <c r="DD501" s="128"/>
      <c r="DF501" s="212"/>
      <c r="DG501" s="210"/>
      <c r="DH501" s="213"/>
      <c r="DI501" s="128"/>
    </row>
    <row r="502" customFormat="false" ht="12.75" hidden="false" customHeight="false" outlineLevel="0" collapsed="false">
      <c r="B502" s="128"/>
      <c r="CP502" s="110"/>
      <c r="CQ502" s="110"/>
      <c r="CR502" s="110"/>
      <c r="CS502" s="110"/>
      <c r="CT502" s="110"/>
      <c r="CU502" s="110"/>
      <c r="CV502" s="138"/>
      <c r="CW502" s="210"/>
      <c r="CX502" s="210"/>
      <c r="CY502" s="210"/>
      <c r="CZ502" s="128"/>
      <c r="DA502" s="128"/>
      <c r="DB502" s="128"/>
      <c r="DD502" s="128"/>
      <c r="DF502" s="212"/>
      <c r="DG502" s="210"/>
      <c r="DH502" s="213"/>
      <c r="DI502" s="128"/>
    </row>
    <row r="503" customFormat="false" ht="12.75" hidden="false" customHeight="false" outlineLevel="0" collapsed="false">
      <c r="B503" s="128"/>
      <c r="CP503" s="110"/>
      <c r="CQ503" s="110"/>
      <c r="CR503" s="110"/>
      <c r="CS503" s="110"/>
      <c r="CT503" s="110"/>
      <c r="CU503" s="110"/>
      <c r="CV503" s="138"/>
      <c r="CW503" s="210"/>
      <c r="CX503" s="210"/>
      <c r="CY503" s="210"/>
      <c r="CZ503" s="128"/>
      <c r="DA503" s="128"/>
      <c r="DB503" s="128"/>
      <c r="DD503" s="128"/>
      <c r="DF503" s="212"/>
      <c r="DG503" s="210"/>
      <c r="DH503" s="213"/>
      <c r="DI503" s="128"/>
    </row>
    <row r="504" customFormat="false" ht="12.75" hidden="false" customHeight="false" outlineLevel="0" collapsed="false">
      <c r="B504" s="128"/>
      <c r="CP504" s="110"/>
      <c r="CQ504" s="110"/>
      <c r="CR504" s="110"/>
      <c r="CS504" s="110"/>
      <c r="CT504" s="110"/>
      <c r="CU504" s="110"/>
      <c r="CV504" s="138"/>
      <c r="CW504" s="210"/>
      <c r="CX504" s="210"/>
      <c r="CY504" s="210"/>
      <c r="CZ504" s="128"/>
      <c r="DA504" s="128"/>
      <c r="DB504" s="128"/>
      <c r="DD504" s="128"/>
      <c r="DF504" s="212"/>
      <c r="DG504" s="210"/>
      <c r="DH504" s="213"/>
      <c r="DI504" s="128"/>
    </row>
    <row r="505" customFormat="false" ht="12.75" hidden="false" customHeight="false" outlineLevel="0" collapsed="false">
      <c r="B505" s="128"/>
      <c r="CP505" s="110"/>
      <c r="CQ505" s="110"/>
      <c r="CR505" s="110"/>
      <c r="CS505" s="110"/>
      <c r="CT505" s="110"/>
      <c r="CU505" s="110"/>
      <c r="CV505" s="138"/>
      <c r="CW505" s="210"/>
      <c r="CX505" s="210"/>
      <c r="CY505" s="210"/>
      <c r="CZ505" s="128"/>
      <c r="DA505" s="128"/>
      <c r="DB505" s="128"/>
      <c r="DD505" s="128"/>
      <c r="DF505" s="212"/>
      <c r="DG505" s="210"/>
      <c r="DH505" s="213"/>
      <c r="DI505" s="128"/>
    </row>
    <row r="506" customFormat="false" ht="12.75" hidden="false" customHeight="false" outlineLevel="0" collapsed="false">
      <c r="B506" s="128"/>
      <c r="CP506" s="110"/>
      <c r="CQ506" s="110"/>
      <c r="CR506" s="110"/>
      <c r="CS506" s="110"/>
      <c r="CT506" s="110"/>
      <c r="CU506" s="110"/>
      <c r="CV506" s="138"/>
      <c r="CW506" s="210"/>
      <c r="CX506" s="210"/>
      <c r="CY506" s="210"/>
      <c r="CZ506" s="128"/>
      <c r="DA506" s="128"/>
      <c r="DB506" s="128"/>
      <c r="DD506" s="128"/>
      <c r="DF506" s="212"/>
      <c r="DG506" s="210"/>
      <c r="DH506" s="213"/>
      <c r="DI506" s="128"/>
    </row>
    <row r="507" customFormat="false" ht="12.75" hidden="false" customHeight="false" outlineLevel="0" collapsed="false">
      <c r="B507" s="128"/>
      <c r="CP507" s="110"/>
      <c r="CQ507" s="110"/>
      <c r="CR507" s="110"/>
      <c r="CS507" s="110"/>
      <c r="CT507" s="110"/>
      <c r="CU507" s="110"/>
      <c r="CV507" s="138"/>
      <c r="CW507" s="210"/>
      <c r="CX507" s="210"/>
      <c r="CY507" s="210"/>
      <c r="CZ507" s="128"/>
      <c r="DA507" s="128"/>
      <c r="DB507" s="128"/>
      <c r="DD507" s="128"/>
      <c r="DF507" s="212"/>
      <c r="DG507" s="210"/>
      <c r="DH507" s="213"/>
      <c r="DI507" s="128"/>
    </row>
    <row r="508" customFormat="false" ht="12.75" hidden="false" customHeight="false" outlineLevel="0" collapsed="false">
      <c r="B508" s="128"/>
      <c r="CP508" s="110"/>
      <c r="CQ508" s="110"/>
      <c r="CR508" s="110"/>
      <c r="CS508" s="110"/>
      <c r="CT508" s="110"/>
      <c r="CU508" s="110"/>
      <c r="CV508" s="138"/>
      <c r="CW508" s="210"/>
      <c r="CX508" s="210"/>
      <c r="CY508" s="210"/>
      <c r="CZ508" s="128"/>
      <c r="DA508" s="128"/>
      <c r="DB508" s="128"/>
      <c r="DD508" s="128"/>
      <c r="DF508" s="212"/>
      <c r="DG508" s="210"/>
      <c r="DH508" s="213"/>
      <c r="DI508" s="128"/>
    </row>
    <row r="509" customFormat="false" ht="12.75" hidden="false" customHeight="false" outlineLevel="0" collapsed="false">
      <c r="B509" s="128"/>
      <c r="CP509" s="110"/>
      <c r="CQ509" s="110"/>
      <c r="CR509" s="110"/>
      <c r="CS509" s="110"/>
      <c r="CT509" s="110"/>
      <c r="CU509" s="110"/>
      <c r="CV509" s="138"/>
      <c r="CW509" s="210"/>
      <c r="CX509" s="210"/>
      <c r="CY509" s="210"/>
      <c r="CZ509" s="128"/>
      <c r="DA509" s="128"/>
      <c r="DB509" s="128"/>
      <c r="DD509" s="128"/>
      <c r="DF509" s="212"/>
      <c r="DG509" s="210"/>
      <c r="DH509" s="213"/>
      <c r="DI509" s="128"/>
    </row>
    <row r="510" customFormat="false" ht="12.75" hidden="false" customHeight="false" outlineLevel="0" collapsed="false">
      <c r="B510" s="128"/>
      <c r="CP510" s="110"/>
      <c r="CQ510" s="110"/>
      <c r="CR510" s="110"/>
      <c r="CS510" s="110"/>
      <c r="CT510" s="110"/>
      <c r="CU510" s="110"/>
      <c r="CV510" s="138"/>
      <c r="CW510" s="210"/>
      <c r="CX510" s="210"/>
      <c r="CY510" s="210"/>
      <c r="CZ510" s="128"/>
      <c r="DA510" s="128"/>
      <c r="DB510" s="128"/>
      <c r="DD510" s="128"/>
      <c r="DF510" s="212"/>
      <c r="DG510" s="210"/>
      <c r="DH510" s="213"/>
      <c r="DI510" s="128"/>
    </row>
    <row r="511" customFormat="false" ht="12.75" hidden="false" customHeight="false" outlineLevel="0" collapsed="false">
      <c r="B511" s="128"/>
      <c r="CP511" s="110"/>
      <c r="CQ511" s="110"/>
      <c r="CR511" s="110"/>
      <c r="CS511" s="110"/>
      <c r="CT511" s="110"/>
      <c r="CU511" s="110"/>
      <c r="CV511" s="138"/>
      <c r="CW511" s="210"/>
      <c r="CX511" s="210"/>
      <c r="CY511" s="210"/>
      <c r="CZ511" s="128"/>
      <c r="DA511" s="128"/>
      <c r="DB511" s="128"/>
      <c r="DD511" s="128"/>
      <c r="DF511" s="212"/>
      <c r="DG511" s="210"/>
      <c r="DH511" s="213"/>
      <c r="DI511" s="128"/>
    </row>
    <row r="512" customFormat="false" ht="12.75" hidden="false" customHeight="false" outlineLevel="0" collapsed="false">
      <c r="B512" s="128"/>
      <c r="CP512" s="110"/>
      <c r="CQ512" s="110"/>
      <c r="CR512" s="110"/>
      <c r="CS512" s="110"/>
      <c r="CT512" s="110"/>
      <c r="CU512" s="110"/>
      <c r="CV512" s="138"/>
      <c r="CW512" s="210"/>
      <c r="CX512" s="210"/>
      <c r="CY512" s="210"/>
      <c r="CZ512" s="128"/>
      <c r="DA512" s="128"/>
      <c r="DB512" s="128"/>
      <c r="DD512" s="128"/>
      <c r="DF512" s="212"/>
      <c r="DG512" s="210"/>
      <c r="DH512" s="213"/>
      <c r="DI512" s="128"/>
    </row>
    <row r="513" customFormat="false" ht="12.75" hidden="false" customHeight="false" outlineLevel="0" collapsed="false">
      <c r="B513" s="128"/>
      <c r="CP513" s="110"/>
      <c r="CQ513" s="110"/>
      <c r="CR513" s="110"/>
      <c r="CS513" s="110"/>
      <c r="CT513" s="110"/>
      <c r="CU513" s="110"/>
      <c r="CV513" s="138"/>
      <c r="CW513" s="210"/>
      <c r="CX513" s="210"/>
      <c r="CY513" s="210"/>
      <c r="CZ513" s="128"/>
      <c r="DA513" s="128"/>
      <c r="DB513" s="128"/>
      <c r="DD513" s="128"/>
      <c r="DF513" s="212"/>
      <c r="DG513" s="210"/>
      <c r="DH513" s="213"/>
      <c r="DI513" s="128"/>
    </row>
    <row r="514" customFormat="false" ht="12.75" hidden="false" customHeight="false" outlineLevel="0" collapsed="false">
      <c r="B514" s="128"/>
      <c r="CP514" s="110"/>
      <c r="CQ514" s="110"/>
      <c r="CR514" s="110"/>
      <c r="CS514" s="110"/>
      <c r="CT514" s="110"/>
      <c r="CU514" s="110"/>
      <c r="CV514" s="138"/>
      <c r="CW514" s="210"/>
      <c r="CX514" s="210"/>
      <c r="CY514" s="210"/>
      <c r="CZ514" s="128"/>
      <c r="DA514" s="128"/>
      <c r="DB514" s="128"/>
      <c r="DD514" s="128"/>
      <c r="DF514" s="212"/>
      <c r="DG514" s="210"/>
      <c r="DH514" s="213"/>
      <c r="DI514" s="128"/>
    </row>
    <row r="515" customFormat="false" ht="12.75" hidden="false" customHeight="false" outlineLevel="0" collapsed="false">
      <c r="B515" s="128"/>
      <c r="CP515" s="110"/>
      <c r="CQ515" s="110"/>
      <c r="CR515" s="110"/>
      <c r="CS515" s="110"/>
      <c r="CT515" s="110"/>
      <c r="CU515" s="110"/>
      <c r="CV515" s="138"/>
      <c r="CW515" s="210"/>
      <c r="CX515" s="210"/>
      <c r="CY515" s="210"/>
      <c r="CZ515" s="128"/>
      <c r="DA515" s="128"/>
      <c r="DB515" s="128"/>
      <c r="DD515" s="128"/>
      <c r="DF515" s="212"/>
      <c r="DG515" s="210"/>
      <c r="DH515" s="213"/>
      <c r="DI515" s="128"/>
    </row>
    <row r="516" customFormat="false" ht="12.75" hidden="false" customHeight="false" outlineLevel="0" collapsed="false">
      <c r="B516" s="128"/>
      <c r="CP516" s="110"/>
      <c r="CQ516" s="110"/>
      <c r="CR516" s="110"/>
      <c r="CS516" s="110"/>
      <c r="CT516" s="110"/>
      <c r="CU516" s="110"/>
    </row>
    <row r="517" customFormat="false" ht="12.75" hidden="false" customHeight="false" outlineLevel="0" collapsed="false">
      <c r="B517" s="128"/>
    </row>
    <row r="518" customFormat="false" ht="12.75" hidden="false" customHeight="false" outlineLevel="0" collapsed="false">
      <c r="B518" s="128"/>
    </row>
    <row r="519" customFormat="false" ht="12.75" hidden="false" customHeight="false" outlineLevel="0" collapsed="false">
      <c r="B519" s="128"/>
    </row>
  </sheetData>
  <mergeCells count="3">
    <mergeCell ref="DU12:DV12"/>
    <mergeCell ref="CZ17:DB17"/>
    <mergeCell ref="AS18:BF1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J486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0" topLeftCell="C1" activePane="topRight" state="frozen"/>
      <selection pane="topLeft" activeCell="A1" activeCellId="0" sqref="A1"/>
      <selection pane="topRight" activeCell="M17" activeCellId="0" sqref="M1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14" width="8.14"/>
    <col collapsed="false" customWidth="true" hidden="false" outlineLevel="0" max="2" min="2" style="215" width="11.56"/>
    <col collapsed="false" customWidth="true" hidden="false" outlineLevel="0" max="3" min="3" style="215" width="12.7"/>
    <col collapsed="false" customWidth="true" hidden="false" outlineLevel="0" max="4" min="4" style="215" width="14.28"/>
    <col collapsed="false" customWidth="true" hidden="false" outlineLevel="0" max="5" min="5" style="215" width="12.85"/>
    <col collapsed="false" customWidth="true" hidden="false" outlineLevel="0" max="6" min="6" style="215" width="12.56"/>
    <col collapsed="false" customWidth="true" hidden="false" outlineLevel="0" max="7" min="7" style="215" width="13.56"/>
    <col collapsed="false" customWidth="true" hidden="false" outlineLevel="0" max="8" min="8" style="215" width="13.41"/>
    <col collapsed="false" customWidth="true" hidden="false" outlineLevel="0" max="9" min="9" style="215" width="12.85"/>
    <col collapsed="false" customWidth="true" hidden="false" outlineLevel="0" max="10" min="10" style="215" width="14.41"/>
    <col collapsed="false" customWidth="true" hidden="false" outlineLevel="0" max="11" min="11" style="215" width="13.99"/>
    <col collapsed="false" customWidth="true" hidden="false" outlineLevel="0" max="12" min="12" style="215" width="13.14"/>
    <col collapsed="false" customWidth="true" hidden="false" outlineLevel="0" max="13" min="13" style="215" width="11.56"/>
    <col collapsed="false" customWidth="true" hidden="false" outlineLevel="0" max="14" min="14" style="215" width="6.28"/>
    <col collapsed="false" customWidth="true" hidden="false" outlineLevel="0" max="15" min="15" style="215" width="9.7"/>
    <col collapsed="false" customWidth="true" hidden="false" outlineLevel="0" max="17" min="16" style="215" width="9.85"/>
    <col collapsed="false" customWidth="true" hidden="false" outlineLevel="0" max="18" min="18" style="215" width="8.14"/>
    <col collapsed="false" customWidth="true" hidden="false" outlineLevel="0" max="19" min="19" style="215" width="8.56"/>
    <col collapsed="false" customWidth="true" hidden="false" outlineLevel="0" max="21" min="20" style="215" width="8.14"/>
    <col collapsed="false" customWidth="true" hidden="false" outlineLevel="0" max="22" min="22" style="215" width="8.56"/>
    <col collapsed="false" customWidth="true" hidden="false" outlineLevel="0" max="23" min="23" style="216" width="8.14"/>
    <col collapsed="false" customWidth="true" hidden="false" outlineLevel="0" max="24" min="24" style="216" width="8.56"/>
    <col collapsed="false" customWidth="true" hidden="false" outlineLevel="0" max="25" min="25" style="216" width="8.14"/>
    <col collapsed="false" customWidth="true" hidden="false" outlineLevel="0" max="26" min="26" style="216" width="12.85"/>
    <col collapsed="false" customWidth="true" hidden="false" outlineLevel="0" max="27" min="27" style="216" width="10.28"/>
    <col collapsed="false" customWidth="true" hidden="false" outlineLevel="0" max="29" min="28" style="216" width="11.42"/>
    <col collapsed="false" customWidth="true" hidden="false" outlineLevel="0" max="30" min="30" style="216" width="12.56"/>
    <col collapsed="false" customWidth="true" hidden="false" outlineLevel="0" max="31" min="31" style="216" width="13.41"/>
    <col collapsed="false" customWidth="true" hidden="false" outlineLevel="0" max="32" min="32" style="216" width="12.14"/>
    <col collapsed="false" customWidth="true" hidden="false" outlineLevel="0" max="33" min="33" style="216" width="16.42"/>
    <col collapsed="false" customWidth="true" hidden="false" outlineLevel="0" max="34" min="34" style="216" width="11.13"/>
    <col collapsed="false" customWidth="true" hidden="false" outlineLevel="0" max="35" min="35" style="216" width="9.85"/>
    <col collapsed="false" customWidth="true" hidden="false" outlineLevel="0" max="36" min="36" style="216" width="11.42"/>
    <col collapsed="false" customWidth="true" hidden="false" outlineLevel="0" max="37" min="37" style="216" width="16.7"/>
    <col collapsed="false" customWidth="true" hidden="false" outlineLevel="0" max="38" min="38" style="216" width="6.99"/>
    <col collapsed="false" customWidth="true" hidden="false" outlineLevel="0" max="39" min="39" style="216" width="13.7"/>
    <col collapsed="false" customWidth="true" hidden="false" outlineLevel="0" max="40" min="40" style="216" width="11.99"/>
    <col collapsed="false" customWidth="true" hidden="false" outlineLevel="0" max="41" min="41" style="216" width="10.41"/>
    <col collapsed="false" customWidth="true" hidden="false" outlineLevel="0" max="42" min="42" style="216" width="9.56"/>
    <col collapsed="false" customWidth="true" hidden="false" outlineLevel="0" max="43" min="43" style="216" width="10.41"/>
    <col collapsed="false" customWidth="true" hidden="false" outlineLevel="0" max="44" min="44" style="216" width="9.7"/>
    <col collapsed="false" customWidth="true" hidden="false" outlineLevel="0" max="45" min="45" style="216" width="19.7"/>
    <col collapsed="false" customWidth="true" hidden="false" outlineLevel="0" max="46" min="46" style="216" width="6.99"/>
    <col collapsed="false" customWidth="false" hidden="false" outlineLevel="0" max="51" min="47" style="216" width="9.14"/>
    <col collapsed="false" customWidth="true" hidden="false" outlineLevel="0" max="52" min="52" style="216" width="18.85"/>
    <col collapsed="false" customWidth="false" hidden="false" outlineLevel="0" max="68" min="53" style="216" width="9.14"/>
    <col collapsed="false" customWidth="true" hidden="false" outlineLevel="0" max="69" min="69" style="216" width="20.13"/>
    <col collapsed="false" customWidth="true" hidden="false" outlineLevel="0" max="70" min="70" style="216" width="11.56"/>
    <col collapsed="false" customWidth="true" hidden="false" outlineLevel="0" max="71" min="71" style="216" width="11.99"/>
    <col collapsed="false" customWidth="false" hidden="false" outlineLevel="0" max="74" min="72" style="216" width="9.14"/>
    <col collapsed="false" customWidth="true" hidden="false" outlineLevel="0" max="75" min="75" style="216" width="25.13"/>
    <col collapsed="false" customWidth="false" hidden="false" outlineLevel="0" max="78" min="76" style="216" width="9.14"/>
    <col collapsed="false" customWidth="true" hidden="false" outlineLevel="0" max="79" min="79" style="216" width="19.14"/>
    <col collapsed="false" customWidth="true" hidden="false" outlineLevel="0" max="80" min="80" style="216" width="11.56"/>
    <col collapsed="false" customWidth="true" hidden="false" outlineLevel="0" max="81" min="81" style="216" width="11.99"/>
    <col collapsed="false" customWidth="false" hidden="false" outlineLevel="0" max="84" min="82" style="216" width="9.14"/>
    <col collapsed="false" customWidth="true" hidden="false" outlineLevel="0" max="85" min="85" style="216" width="23.28"/>
    <col collapsed="false" customWidth="false" hidden="false" outlineLevel="0" max="88" min="86" style="216" width="9.14"/>
    <col collapsed="false" customWidth="true" hidden="false" outlineLevel="0" max="89" min="89" style="216" width="17.42"/>
    <col collapsed="false" customWidth="true" hidden="false" outlineLevel="0" max="90" min="90" style="216" width="9.28"/>
    <col collapsed="false" customWidth="false" hidden="false" outlineLevel="0" max="257" min="91" style="216" width="9.14"/>
  </cols>
  <sheetData>
    <row r="1" customFormat="false" ht="13.5" hidden="false" customHeight="false" outlineLevel="0" collapsed="false">
      <c r="A1" s="216" t="s">
        <v>216</v>
      </c>
      <c r="B1" s="217" t="s">
        <v>217</v>
      </c>
      <c r="C1" s="218" t="s">
        <v>218</v>
      </c>
      <c r="J1" s="219"/>
      <c r="K1" s="220"/>
      <c r="L1" s="219"/>
      <c r="BP1" s="0"/>
      <c r="BQ1" s="221" t="s">
        <v>219</v>
      </c>
      <c r="BR1" s="222" t="s">
        <v>220</v>
      </c>
      <c r="BS1" s="221" t="s">
        <v>221</v>
      </c>
      <c r="BT1" s="223" t="s">
        <v>222</v>
      </c>
      <c r="BU1" s="223"/>
      <c r="BV1" s="154"/>
      <c r="BW1" s="224"/>
      <c r="BX1" s="225" t="n">
        <v>348</v>
      </c>
      <c r="BZ1" s="0"/>
      <c r="CA1" s="221" t="s">
        <v>219</v>
      </c>
      <c r="CB1" s="222" t="s">
        <v>220</v>
      </c>
      <c r="CC1" s="221" t="s">
        <v>221</v>
      </c>
      <c r="CD1" s="223" t="s">
        <v>222</v>
      </c>
      <c r="CE1" s="0"/>
      <c r="CF1" s="0"/>
      <c r="CG1" s="0"/>
      <c r="CH1" s="225" t="n">
        <v>408</v>
      </c>
      <c r="CJ1" s="0"/>
      <c r="CK1" s="0"/>
      <c r="CL1" s="0"/>
      <c r="CM1" s="0"/>
      <c r="CN1" s="0"/>
      <c r="CO1" s="0"/>
    </row>
    <row r="2" customFormat="false" ht="13.5" hidden="false" customHeight="false" outlineLevel="0" collapsed="false">
      <c r="A2" s="216" t="s">
        <v>223</v>
      </c>
      <c r="B2" s="217" t="s">
        <v>217</v>
      </c>
      <c r="C2" s="218" t="s">
        <v>224</v>
      </c>
      <c r="BP2" s="226" t="n">
        <f aca="false">BP1+BV2</f>
        <v>1</v>
      </c>
      <c r="BQ2" s="227" t="s">
        <v>225</v>
      </c>
      <c r="BR2" s="228" t="s">
        <v>226</v>
      </c>
      <c r="BS2" s="88" t="s">
        <v>227</v>
      </c>
      <c r="BT2" s="229" t="s">
        <v>228</v>
      </c>
      <c r="BU2" s="230"/>
      <c r="BV2" s="154" t="n">
        <v>1</v>
      </c>
      <c r="BW2" s="224" t="s">
        <v>229</v>
      </c>
      <c r="BX2" s="0"/>
      <c r="BZ2" s="226" t="n">
        <f aca="false">BZ1+CF2</f>
        <v>1</v>
      </c>
      <c r="CA2" s="84" t="s">
        <v>225</v>
      </c>
      <c r="CB2" s="228" t="s">
        <v>230</v>
      </c>
      <c r="CC2" s="88" t="s">
        <v>227</v>
      </c>
      <c r="CD2" s="229" t="s">
        <v>228</v>
      </c>
      <c r="CE2" s="230"/>
      <c r="CF2" s="154" t="n">
        <v>1</v>
      </c>
      <c r="CG2" s="224" t="s">
        <v>231</v>
      </c>
      <c r="CH2" s="0"/>
      <c r="CJ2" s="0"/>
      <c r="CK2" s="231" t="s">
        <v>232</v>
      </c>
      <c r="CL2" s="231" t="s">
        <v>233</v>
      </c>
      <c r="CM2" s="231"/>
      <c r="CN2" s="231"/>
      <c r="CO2" s="232" t="n">
        <v>6</v>
      </c>
    </row>
    <row r="3" customFormat="false" ht="12.75" hidden="false" customHeight="false" outlineLevel="0" collapsed="false">
      <c r="A3" s="216" t="s">
        <v>234</v>
      </c>
      <c r="B3" s="217" t="s">
        <v>235</v>
      </c>
      <c r="C3" s="218" t="s">
        <v>236</v>
      </c>
      <c r="BP3" s="226" t="n">
        <f aca="false">BP2+BV3</f>
        <v>2</v>
      </c>
      <c r="BQ3" s="227" t="s">
        <v>237</v>
      </c>
      <c r="BR3" s="228" t="s">
        <v>226</v>
      </c>
      <c r="BS3" s="233" t="s">
        <v>227</v>
      </c>
      <c r="BT3" s="229" t="s">
        <v>228</v>
      </c>
      <c r="BU3" s="230"/>
      <c r="BV3" s="154" t="n">
        <v>1</v>
      </c>
      <c r="BW3" s="224" t="s">
        <v>238</v>
      </c>
      <c r="BX3" s="0"/>
      <c r="BZ3" s="226" t="n">
        <f aca="false">BZ2+CF3</f>
        <v>2</v>
      </c>
      <c r="CA3" s="84" t="s">
        <v>239</v>
      </c>
      <c r="CB3" s="228" t="s">
        <v>230</v>
      </c>
      <c r="CC3" s="88" t="s">
        <v>227</v>
      </c>
      <c r="CD3" s="229" t="s">
        <v>228</v>
      </c>
      <c r="CE3" s="230"/>
      <c r="CF3" s="154" t="n">
        <v>1</v>
      </c>
      <c r="CG3" s="224" t="s">
        <v>240</v>
      </c>
      <c r="CH3" s="0"/>
      <c r="CJ3" s="0" t="n">
        <v>1</v>
      </c>
      <c r="CK3" s="234" t="s">
        <v>241</v>
      </c>
      <c r="CL3" s="235" t="s">
        <v>242</v>
      </c>
      <c r="CM3" s="236"/>
      <c r="CN3" s="237"/>
      <c r="CO3" s="238"/>
      <c r="HJ3" s="215"/>
    </row>
    <row r="4" customFormat="false" ht="12.75" hidden="false" customHeight="false" outlineLevel="0" collapsed="false">
      <c r="A4" s="216"/>
      <c r="B4" s="217"/>
      <c r="C4" s="218"/>
      <c r="J4" s="239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26" t="n">
        <f aca="false">BP3+BV4</f>
        <v>3</v>
      </c>
      <c r="BQ4" s="227" t="s">
        <v>243</v>
      </c>
      <c r="BR4" s="224" t="s">
        <v>226</v>
      </c>
      <c r="BS4" s="154" t="s">
        <v>227</v>
      </c>
      <c r="BT4" s="230" t="s">
        <v>228</v>
      </c>
      <c r="BU4" s="230"/>
      <c r="BV4" s="154" t="n">
        <v>1</v>
      </c>
      <c r="BW4" s="224" t="s">
        <v>244</v>
      </c>
      <c r="BX4" s="0"/>
      <c r="BY4" s="215"/>
      <c r="BZ4" s="226" t="n">
        <f aca="false">BZ3+CF4</f>
        <v>3</v>
      </c>
      <c r="CA4" s="84" t="s">
        <v>237</v>
      </c>
      <c r="CB4" s="228" t="s">
        <v>230</v>
      </c>
      <c r="CC4" s="88" t="s">
        <v>227</v>
      </c>
      <c r="CD4" s="229" t="s">
        <v>228</v>
      </c>
      <c r="CE4" s="230"/>
      <c r="CF4" s="154" t="n">
        <v>1</v>
      </c>
      <c r="CG4" s="224" t="s">
        <v>245</v>
      </c>
      <c r="CH4" s="0"/>
      <c r="CI4" s="215"/>
      <c r="CJ4" s="0" t="n">
        <v>2</v>
      </c>
      <c r="CK4" s="240" t="s">
        <v>246</v>
      </c>
      <c r="CL4" s="241" t="s">
        <v>247</v>
      </c>
      <c r="CM4" s="242"/>
      <c r="CN4" s="243"/>
      <c r="CO4" s="244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</row>
    <row r="5" customFormat="false" ht="12.75" hidden="false" customHeight="false" outlineLevel="0" collapsed="false">
      <c r="A5" s="218"/>
      <c r="G5" s="215" t="s">
        <v>248</v>
      </c>
      <c r="BP5" s="226" t="n">
        <f aca="false">BP4+BV5</f>
        <v>4</v>
      </c>
      <c r="BQ5" s="227" t="s">
        <v>249</v>
      </c>
      <c r="BR5" s="224" t="s">
        <v>226</v>
      </c>
      <c r="BS5" s="154" t="s">
        <v>227</v>
      </c>
      <c r="BT5" s="230" t="s">
        <v>228</v>
      </c>
      <c r="BU5" s="230"/>
      <c r="BV5" s="154" t="n">
        <v>1</v>
      </c>
      <c r="BW5" s="224" t="s">
        <v>250</v>
      </c>
      <c r="BX5" s="0"/>
      <c r="BZ5" s="226" t="n">
        <f aca="false">BZ4+CF5</f>
        <v>4</v>
      </c>
      <c r="CA5" s="84" t="s">
        <v>243</v>
      </c>
      <c r="CB5" s="224" t="s">
        <v>230</v>
      </c>
      <c r="CC5" s="154" t="s">
        <v>227</v>
      </c>
      <c r="CD5" s="230" t="s">
        <v>228</v>
      </c>
      <c r="CE5" s="230"/>
      <c r="CF5" s="154" t="n">
        <v>1</v>
      </c>
      <c r="CG5" s="224" t="s">
        <v>251</v>
      </c>
      <c r="CH5" s="0"/>
      <c r="CJ5" s="0" t="n">
        <v>3</v>
      </c>
      <c r="CK5" s="240" t="s">
        <v>252</v>
      </c>
      <c r="CL5" s="241" t="s">
        <v>253</v>
      </c>
      <c r="CM5" s="242"/>
      <c r="CN5" s="243"/>
      <c r="CO5" s="244"/>
    </row>
    <row r="6" customFormat="false" ht="12.75" hidden="false" customHeight="false" outlineLevel="0" collapsed="false">
      <c r="A6" s="245" t="n">
        <f aca="false">Inputs!D7</f>
        <v>45925</v>
      </c>
      <c r="C6" s="218"/>
      <c r="BP6" s="226" t="n">
        <f aca="false">BP5+BV6</f>
        <v>5</v>
      </c>
      <c r="BQ6" s="227" t="s">
        <v>254</v>
      </c>
      <c r="BR6" s="224" t="s">
        <v>226</v>
      </c>
      <c r="BS6" s="154" t="s">
        <v>227</v>
      </c>
      <c r="BT6" s="230" t="s">
        <v>228</v>
      </c>
      <c r="BU6" s="230"/>
      <c r="BV6" s="154" t="n">
        <v>1</v>
      </c>
      <c r="BW6" s="224" t="s">
        <v>255</v>
      </c>
      <c r="BX6" s="0"/>
      <c r="BZ6" s="226" t="n">
        <f aca="false">BZ5+CF6</f>
        <v>5</v>
      </c>
      <c r="CA6" s="84" t="s">
        <v>254</v>
      </c>
      <c r="CB6" s="224" t="s">
        <v>230</v>
      </c>
      <c r="CC6" s="154" t="s">
        <v>227</v>
      </c>
      <c r="CD6" s="230" t="s">
        <v>228</v>
      </c>
      <c r="CE6" s="230"/>
      <c r="CF6" s="154" t="n">
        <v>1</v>
      </c>
      <c r="CG6" s="224" t="s">
        <v>256</v>
      </c>
      <c r="CH6" s="0"/>
      <c r="CJ6" s="0" t="n">
        <v>4</v>
      </c>
      <c r="CK6" s="240" t="s">
        <v>257</v>
      </c>
      <c r="CL6" s="241" t="s">
        <v>258</v>
      </c>
      <c r="CM6" s="242"/>
      <c r="CN6" s="243"/>
      <c r="CO6" s="244"/>
    </row>
    <row r="7" customFormat="false" ht="12.75" hidden="false" customHeight="false" outlineLevel="0" collapsed="false">
      <c r="A7" s="216"/>
      <c r="B7" s="217"/>
      <c r="C7" s="246"/>
      <c r="L7" s="215" t="s">
        <v>4</v>
      </c>
      <c r="M7" s="215" t="s">
        <v>7</v>
      </c>
      <c r="BP7" s="226" t="n">
        <f aca="false">BP6+BV7</f>
        <v>6</v>
      </c>
      <c r="BQ7" s="227" t="s">
        <v>259</v>
      </c>
      <c r="BR7" s="224" t="s">
        <v>226</v>
      </c>
      <c r="BS7" s="154" t="s">
        <v>227</v>
      </c>
      <c r="BT7" s="230" t="s">
        <v>228</v>
      </c>
      <c r="BU7" s="230"/>
      <c r="BV7" s="154" t="n">
        <v>1</v>
      </c>
      <c r="BW7" s="224" t="s">
        <v>260</v>
      </c>
      <c r="BX7" s="0"/>
      <c r="BZ7" s="226" t="n">
        <f aca="false">BZ6+CF7</f>
        <v>6</v>
      </c>
      <c r="CA7" s="84" t="s">
        <v>261</v>
      </c>
      <c r="CB7" s="224" t="s">
        <v>230</v>
      </c>
      <c r="CC7" s="154" t="s">
        <v>227</v>
      </c>
      <c r="CD7" s="230" t="s">
        <v>228</v>
      </c>
      <c r="CE7" s="230"/>
      <c r="CF7" s="154" t="n">
        <v>1</v>
      </c>
      <c r="CG7" s="224" t="s">
        <v>262</v>
      </c>
      <c r="CH7" s="0"/>
      <c r="CJ7" s="0" t="n">
        <v>5</v>
      </c>
      <c r="CK7" s="240" t="s">
        <v>263</v>
      </c>
      <c r="CL7" s="241" t="s">
        <v>264</v>
      </c>
      <c r="CM7" s="242"/>
      <c r="CN7" s="243"/>
      <c r="CO7" s="244"/>
    </row>
    <row r="8" customFormat="false" ht="12.75" hidden="false" customHeight="false" outlineLevel="0" collapsed="false">
      <c r="A8" s="216"/>
      <c r="B8" s="214"/>
      <c r="C8" s="215" t="s">
        <v>265</v>
      </c>
      <c r="D8" s="215" t="s">
        <v>266</v>
      </c>
      <c r="E8" s="215" t="s">
        <v>267</v>
      </c>
      <c r="F8" s="215" t="s">
        <v>268</v>
      </c>
      <c r="G8" s="215" t="s">
        <v>269</v>
      </c>
      <c r="H8" s="215" t="s">
        <v>270</v>
      </c>
      <c r="I8" s="215" t="s">
        <v>271</v>
      </c>
      <c r="J8" s="215" t="s">
        <v>272</v>
      </c>
      <c r="K8" s="215" t="s">
        <v>273</v>
      </c>
      <c r="L8" s="215" t="s">
        <v>274</v>
      </c>
      <c r="M8" s="215" t="s">
        <v>274</v>
      </c>
      <c r="BP8" s="226" t="n">
        <f aca="false">BP7+BV8</f>
        <v>7</v>
      </c>
      <c r="BQ8" s="227" t="s">
        <v>275</v>
      </c>
      <c r="BR8" s="224" t="s">
        <v>226</v>
      </c>
      <c r="BS8" s="154" t="s">
        <v>227</v>
      </c>
      <c r="BT8" s="230" t="s">
        <v>228</v>
      </c>
      <c r="BU8" s="230"/>
      <c r="BV8" s="154" t="n">
        <v>1</v>
      </c>
      <c r="BW8" s="224" t="s">
        <v>276</v>
      </c>
      <c r="BX8" s="0"/>
      <c r="BZ8" s="226" t="n">
        <f aca="false">BZ7+CF8</f>
        <v>7</v>
      </c>
      <c r="CA8" s="84" t="s">
        <v>277</v>
      </c>
      <c r="CB8" s="224" t="s">
        <v>230</v>
      </c>
      <c r="CC8" s="154" t="s">
        <v>227</v>
      </c>
      <c r="CD8" s="230" t="s">
        <v>228</v>
      </c>
      <c r="CE8" s="230"/>
      <c r="CF8" s="154" t="n">
        <v>1</v>
      </c>
      <c r="CG8" s="224" t="s">
        <v>278</v>
      </c>
      <c r="CH8" s="0"/>
      <c r="CJ8" s="0" t="n">
        <v>6</v>
      </c>
      <c r="CK8" s="240" t="s">
        <v>279</v>
      </c>
      <c r="CL8" s="241" t="s">
        <v>280</v>
      </c>
      <c r="CM8" s="242"/>
      <c r="CN8" s="243"/>
      <c r="CO8" s="244"/>
    </row>
    <row r="9" customFormat="false" ht="12.75" hidden="false" customHeight="false" outlineLevel="0" collapsed="false">
      <c r="A9" s="216"/>
      <c r="B9" s="214"/>
      <c r="J9" s="239"/>
      <c r="K9" s="239"/>
      <c r="L9" s="239"/>
      <c r="BP9" s="226" t="n">
        <f aca="false">BP8+BV9</f>
        <v>8</v>
      </c>
      <c r="BQ9" s="227" t="s">
        <v>277</v>
      </c>
      <c r="BR9" s="224" t="s">
        <v>226</v>
      </c>
      <c r="BS9" s="154" t="s">
        <v>227</v>
      </c>
      <c r="BT9" s="230" t="s">
        <v>228</v>
      </c>
      <c r="BU9" s="230"/>
      <c r="BV9" s="154" t="n">
        <v>1</v>
      </c>
      <c r="BW9" s="224" t="s">
        <v>281</v>
      </c>
      <c r="BX9" s="0"/>
      <c r="BZ9" s="226" t="n">
        <f aca="false">BZ8+CF9</f>
        <v>8</v>
      </c>
      <c r="CA9" s="84" t="s">
        <v>282</v>
      </c>
      <c r="CB9" s="224" t="s">
        <v>230</v>
      </c>
      <c r="CC9" s="154" t="s">
        <v>227</v>
      </c>
      <c r="CD9" s="230" t="s">
        <v>228</v>
      </c>
      <c r="CE9" s="230"/>
      <c r="CF9" s="154" t="n">
        <v>1</v>
      </c>
      <c r="CG9" s="224" t="s">
        <v>283</v>
      </c>
      <c r="CH9" s="0"/>
      <c r="CJ9" s="0" t="n">
        <v>7</v>
      </c>
      <c r="CK9" s="240" t="s">
        <v>284</v>
      </c>
      <c r="CL9" s="241" t="s">
        <v>285</v>
      </c>
      <c r="CM9" s="242"/>
      <c r="CN9" s="243"/>
      <c r="CO9" s="244"/>
    </row>
    <row r="10" customFormat="false" ht="12.75" hidden="false" customHeight="false" outlineLevel="0" collapsed="false">
      <c r="A10" s="216"/>
      <c r="B10" s="215" t="n">
        <v>1</v>
      </c>
      <c r="C10" s="215" t="n">
        <v>2</v>
      </c>
      <c r="D10" s="215" t="n">
        <v>3</v>
      </c>
      <c r="E10" s="215" t="n">
        <v>4</v>
      </c>
      <c r="F10" s="215" t="n">
        <v>5</v>
      </c>
      <c r="G10" s="215" t="n">
        <v>6</v>
      </c>
      <c r="H10" s="215" t="n">
        <v>7</v>
      </c>
      <c r="I10" s="215" t="n">
        <v>8</v>
      </c>
      <c r="J10" s="215" t="n">
        <v>9</v>
      </c>
      <c r="K10" s="215" t="n">
        <v>10</v>
      </c>
      <c r="L10" s="215" t="n">
        <v>11</v>
      </c>
      <c r="M10" s="215" t="n">
        <v>12</v>
      </c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P10" s="226" t="n">
        <f aca="false">BP9+BV10</f>
        <v>9</v>
      </c>
      <c r="BQ10" s="227" t="s">
        <v>282</v>
      </c>
      <c r="BR10" s="224" t="s">
        <v>226</v>
      </c>
      <c r="BS10" s="154" t="s">
        <v>227</v>
      </c>
      <c r="BT10" s="230" t="s">
        <v>228</v>
      </c>
      <c r="BU10" s="230"/>
      <c r="BV10" s="154" t="n">
        <v>1</v>
      </c>
      <c r="BW10" s="224" t="s">
        <v>286</v>
      </c>
      <c r="BX10" s="0"/>
      <c r="BZ10" s="226" t="n">
        <f aca="false">BZ9+CF10</f>
        <v>9</v>
      </c>
      <c r="CA10" s="84" t="s">
        <v>287</v>
      </c>
      <c r="CB10" s="224" t="s">
        <v>230</v>
      </c>
      <c r="CC10" s="154" t="s">
        <v>227</v>
      </c>
      <c r="CD10" s="230" t="s">
        <v>228</v>
      </c>
      <c r="CE10" s="230"/>
      <c r="CF10" s="154" t="n">
        <v>1</v>
      </c>
      <c r="CG10" s="224" t="s">
        <v>288</v>
      </c>
      <c r="CH10" s="0"/>
      <c r="CJ10" s="0" t="n">
        <v>8</v>
      </c>
      <c r="CK10" s="240" t="s">
        <v>289</v>
      </c>
      <c r="CL10" s="241" t="s">
        <v>202</v>
      </c>
      <c r="CM10" s="242"/>
      <c r="CN10" s="243"/>
      <c r="CO10" s="244"/>
    </row>
    <row r="11" customFormat="false" ht="12.75" hidden="false" customHeight="false" outlineLevel="0" collapsed="false">
      <c r="A11" s="216"/>
      <c r="B11" s="247" t="s">
        <v>290</v>
      </c>
      <c r="C11" s="248" t="n">
        <f aca="false">Today</f>
        <v>45925</v>
      </c>
      <c r="D11" s="248" t="n">
        <f aca="false">Today</f>
        <v>45925</v>
      </c>
      <c r="E11" s="248" t="n">
        <f aca="false">Today</f>
        <v>45925</v>
      </c>
      <c r="F11" s="248" t="n">
        <f aca="false">Today</f>
        <v>45925</v>
      </c>
      <c r="G11" s="248" t="n">
        <f aca="false">Today</f>
        <v>45925</v>
      </c>
      <c r="H11" s="248" t="n">
        <f aca="false">Today</f>
        <v>45925</v>
      </c>
      <c r="I11" s="248" t="n">
        <f aca="false">Today</f>
        <v>45925</v>
      </c>
      <c r="J11" s="248" t="n">
        <f aca="false">Today</f>
        <v>45925</v>
      </c>
      <c r="K11" s="248" t="n">
        <f aca="false">Today</f>
        <v>45925</v>
      </c>
      <c r="L11" s="248" t="n">
        <f aca="false">Today</f>
        <v>45925</v>
      </c>
      <c r="M11" s="248" t="n">
        <f aca="false">Today</f>
        <v>45925</v>
      </c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P11" s="226" t="n">
        <f aca="false">BP10+BV11</f>
        <v>10</v>
      </c>
      <c r="BQ11" s="227" t="s">
        <v>287</v>
      </c>
      <c r="BR11" s="224" t="s">
        <v>226</v>
      </c>
      <c r="BS11" s="154" t="s">
        <v>227</v>
      </c>
      <c r="BT11" s="230" t="s">
        <v>228</v>
      </c>
      <c r="BU11" s="230"/>
      <c r="BV11" s="154" t="n">
        <v>1</v>
      </c>
      <c r="BW11" s="224" t="s">
        <v>291</v>
      </c>
      <c r="BX11" s="0"/>
      <c r="BZ11" s="226" t="n">
        <f aca="false">BZ10+CF11</f>
        <v>10</v>
      </c>
      <c r="CA11" s="84" t="s">
        <v>292</v>
      </c>
      <c r="CB11" s="224" t="s">
        <v>230</v>
      </c>
      <c r="CC11" s="154" t="s">
        <v>227</v>
      </c>
      <c r="CD11" s="230" t="s">
        <v>228</v>
      </c>
      <c r="CE11" s="230"/>
      <c r="CF11" s="154" t="n">
        <v>1</v>
      </c>
      <c r="CG11" s="224" t="s">
        <v>293</v>
      </c>
      <c r="CH11" s="0"/>
      <c r="CJ11" s="0" t="n">
        <v>9</v>
      </c>
      <c r="CK11" s="240" t="s">
        <v>294</v>
      </c>
      <c r="CL11" s="241" t="s">
        <v>295</v>
      </c>
      <c r="CM11" s="242"/>
      <c r="CN11" s="243"/>
      <c r="CO11" s="244"/>
    </row>
    <row r="12" customFormat="false" ht="12.75" hidden="false" customHeight="false" outlineLevel="0" collapsed="false">
      <c r="A12" s="216"/>
      <c r="B12" s="247" t="s">
        <v>296</v>
      </c>
      <c r="C12" s="217" t="e">
        <f aca="false">BeginningOfNextMonth(C11)</f>
        <v>#VALUE!</v>
      </c>
      <c r="D12" s="217" t="e">
        <f aca="false">BeginningOfNextMonth(D11)</f>
        <v>#VALUE!</v>
      </c>
      <c r="E12" s="217" t="e">
        <f aca="false">BeginningOfNextMonth(E11)</f>
        <v>#VALUE!</v>
      </c>
      <c r="F12" s="217" t="e">
        <f aca="false">BeginningOfNextMonth(F11)</f>
        <v>#VALUE!</v>
      </c>
      <c r="G12" s="217" t="e">
        <f aca="false">BeginningOfNextMonth(G11)</f>
        <v>#VALUE!</v>
      </c>
      <c r="H12" s="217" t="e">
        <f aca="false">BeginningOfNextMonth(H11)</f>
        <v>#VALUE!</v>
      </c>
      <c r="I12" s="217" t="e">
        <f aca="false">BeginningOfNextMonth(I11)</f>
        <v>#VALUE!</v>
      </c>
      <c r="J12" s="217" t="e">
        <f aca="false">BeginningOfNextMonth(J11)</f>
        <v>#VALUE!</v>
      </c>
      <c r="K12" s="217" t="e">
        <f aca="false">BeginningOfNextMonth(K11)</f>
        <v>#VALUE!</v>
      </c>
      <c r="L12" s="217" t="e">
        <f aca="false">BeginningOfNextMonth(L11)</f>
        <v>#VALUE!</v>
      </c>
      <c r="M12" s="217" t="e">
        <f aca="false">BeginningOfNextMonth(M11)</f>
        <v>#VALUE!</v>
      </c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P12" s="226" t="n">
        <f aca="false">BP11+BV12</f>
        <v>11</v>
      </c>
      <c r="BQ12" s="227" t="s">
        <v>292</v>
      </c>
      <c r="BR12" s="224" t="s">
        <v>226</v>
      </c>
      <c r="BS12" s="154" t="s">
        <v>227</v>
      </c>
      <c r="BT12" s="230" t="s">
        <v>228</v>
      </c>
      <c r="BU12" s="230"/>
      <c r="BV12" s="154" t="n">
        <v>1</v>
      </c>
      <c r="BW12" s="224" t="s">
        <v>297</v>
      </c>
      <c r="BX12" s="0"/>
      <c r="BZ12" s="226" t="n">
        <f aca="false">BZ11+CF12</f>
        <v>11</v>
      </c>
      <c r="CA12" s="84" t="s">
        <v>298</v>
      </c>
      <c r="CB12" s="224" t="s">
        <v>230</v>
      </c>
      <c r="CC12" s="154" t="s">
        <v>227</v>
      </c>
      <c r="CD12" s="230" t="s">
        <v>228</v>
      </c>
      <c r="CE12" s="230"/>
      <c r="CF12" s="154" t="n">
        <v>1</v>
      </c>
      <c r="CG12" s="224" t="s">
        <v>299</v>
      </c>
      <c r="CH12" s="0"/>
      <c r="CJ12" s="0" t="n">
        <v>10</v>
      </c>
      <c r="CK12" s="249" t="s">
        <v>300</v>
      </c>
      <c r="CL12" s="250" t="s">
        <v>301</v>
      </c>
      <c r="CM12" s="251"/>
      <c r="CN12" s="252"/>
      <c r="CO12" s="253"/>
    </row>
    <row r="13" customFormat="false" ht="12.75" hidden="false" customHeight="false" outlineLevel="0" collapsed="false">
      <c r="A13" s="216"/>
      <c r="B13" s="247" t="s">
        <v>302</v>
      </c>
      <c r="C13" s="254" t="s">
        <v>303</v>
      </c>
      <c r="D13" s="255" t="str">
        <f aca="false">VLOOKUP($CO$2,$CJ$3:$CK$14,2)</f>
        <v>NG_OMICRON_6</v>
      </c>
      <c r="E13" s="255" t="str">
        <f aca="false">VLOOKUP($CO$2,$CJ$3:$CK$14,2)</f>
        <v>NG_OMICRON_6</v>
      </c>
      <c r="F13" s="215" t="s">
        <v>304</v>
      </c>
      <c r="G13" s="215" t="s">
        <v>304</v>
      </c>
      <c r="H13" s="215" t="s">
        <v>304</v>
      </c>
      <c r="I13" s="215" t="s">
        <v>304</v>
      </c>
      <c r="J13" s="215" t="s">
        <v>304</v>
      </c>
      <c r="K13" s="215" t="s">
        <v>304</v>
      </c>
      <c r="L13" s="255" t="str">
        <f aca="false">VLOOKUP($BX$1,$BP$2:$BQ$409,2)</f>
        <v>IF-TRANSCO/Z6</v>
      </c>
      <c r="M13" s="255" t="str">
        <f aca="false">VLOOKUP($CH$1,$BP$2:$BQ$409,2)</f>
        <v>WAHA KCBT</v>
      </c>
      <c r="N13" s="255"/>
      <c r="O13" s="255"/>
      <c r="P13" s="255"/>
      <c r="Q13" s="255"/>
      <c r="R13" s="255"/>
      <c r="S13" s="255"/>
      <c r="T13" s="255" t="s">
        <v>4</v>
      </c>
      <c r="U13" s="255"/>
      <c r="V13" s="255"/>
      <c r="W13" s="255"/>
      <c r="X13" s="255" t="s">
        <v>7</v>
      </c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  <c r="BI13" s="255"/>
      <c r="BP13" s="226" t="n">
        <f aca="false">BP12+BV13</f>
        <v>12</v>
      </c>
      <c r="BQ13" s="227" t="s">
        <v>298</v>
      </c>
      <c r="BR13" s="224" t="s">
        <v>226</v>
      </c>
      <c r="BS13" s="154" t="s">
        <v>227</v>
      </c>
      <c r="BT13" s="230" t="s">
        <v>228</v>
      </c>
      <c r="BU13" s="230"/>
      <c r="BV13" s="154" t="n">
        <v>1</v>
      </c>
      <c r="BW13" s="224" t="s">
        <v>305</v>
      </c>
      <c r="BX13" s="0"/>
      <c r="BZ13" s="226" t="n">
        <f aca="false">BZ12+CF13</f>
        <v>12</v>
      </c>
      <c r="CA13" s="84" t="s">
        <v>306</v>
      </c>
      <c r="CB13" s="224" t="s">
        <v>230</v>
      </c>
      <c r="CC13" s="154" t="s">
        <v>227</v>
      </c>
      <c r="CD13" s="230" t="s">
        <v>228</v>
      </c>
      <c r="CE13" s="230"/>
      <c r="CF13" s="154" t="n">
        <v>1</v>
      </c>
      <c r="CG13" s="224" t="s">
        <v>307</v>
      </c>
      <c r="CH13" s="0"/>
      <c r="CJ13" s="0" t="n">
        <v>11</v>
      </c>
      <c r="CK13" s="249" t="s">
        <v>308</v>
      </c>
      <c r="CL13" s="250" t="s">
        <v>309</v>
      </c>
      <c r="CM13" s="251"/>
      <c r="CN13" s="252"/>
      <c r="CO13" s="253"/>
    </row>
    <row r="14" customFormat="false" ht="12.75" hidden="false" customHeight="false" outlineLevel="0" collapsed="false">
      <c r="A14" s="216"/>
      <c r="B14" s="247" t="s">
        <v>310</v>
      </c>
      <c r="C14" s="256" t="s">
        <v>311</v>
      </c>
      <c r="D14" s="215" t="s">
        <v>312</v>
      </c>
      <c r="E14" s="215" t="s">
        <v>312</v>
      </c>
      <c r="F14" s="215" t="s">
        <v>313</v>
      </c>
      <c r="G14" s="215" t="s">
        <v>312</v>
      </c>
      <c r="H14" s="215" t="s">
        <v>314</v>
      </c>
      <c r="I14" s="215" t="s">
        <v>315</v>
      </c>
      <c r="J14" s="215" t="s">
        <v>227</v>
      </c>
      <c r="K14" s="215" t="s">
        <v>316</v>
      </c>
      <c r="L14" s="215" t="s">
        <v>227</v>
      </c>
      <c r="M14" s="215" t="s">
        <v>227</v>
      </c>
      <c r="S14" s="215" t="s">
        <v>317</v>
      </c>
      <c r="T14" s="215" t="s">
        <v>318</v>
      </c>
      <c r="U14" s="215" t="s">
        <v>317</v>
      </c>
      <c r="W14" s="215" t="s">
        <v>317</v>
      </c>
      <c r="X14" s="215" t="s">
        <v>318</v>
      </c>
      <c r="Y14" s="215" t="s">
        <v>317</v>
      </c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P14" s="226" t="n">
        <f aca="false">BP13+BV14</f>
        <v>13</v>
      </c>
      <c r="BQ14" s="227" t="s">
        <v>319</v>
      </c>
      <c r="BR14" s="224" t="s">
        <v>226</v>
      </c>
      <c r="BS14" s="154" t="s">
        <v>227</v>
      </c>
      <c r="BT14" s="230" t="s">
        <v>228</v>
      </c>
      <c r="BU14" s="230"/>
      <c r="BV14" s="154" t="n">
        <v>1</v>
      </c>
      <c r="BW14" s="224" t="s">
        <v>320</v>
      </c>
      <c r="BX14" s="0"/>
      <c r="BZ14" s="226" t="n">
        <f aca="false">BZ13+CF14</f>
        <v>13</v>
      </c>
      <c r="CA14" s="84" t="s">
        <v>319</v>
      </c>
      <c r="CB14" s="224" t="s">
        <v>230</v>
      </c>
      <c r="CC14" s="154" t="s">
        <v>227</v>
      </c>
      <c r="CD14" s="230" t="s">
        <v>228</v>
      </c>
      <c r="CE14" s="230"/>
      <c r="CF14" s="154" t="n">
        <v>1</v>
      </c>
      <c r="CG14" s="224" t="s">
        <v>321</v>
      </c>
      <c r="CH14" s="0"/>
      <c r="CJ14" s="0" t="n">
        <v>12</v>
      </c>
      <c r="CK14" s="249" t="s">
        <v>322</v>
      </c>
      <c r="CL14" s="250" t="s">
        <v>323</v>
      </c>
      <c r="CM14" s="251"/>
      <c r="CN14" s="252"/>
      <c r="CO14" s="253"/>
    </row>
    <row r="15" customFormat="false" ht="12.75" hidden="false" customHeight="false" outlineLevel="0" collapsed="false">
      <c r="A15" s="216"/>
      <c r="B15" s="247" t="s">
        <v>324</v>
      </c>
      <c r="C15" s="256" t="s">
        <v>325</v>
      </c>
      <c r="D15" s="215" t="s">
        <v>326</v>
      </c>
      <c r="E15" s="215" t="s">
        <v>326</v>
      </c>
      <c r="F15" s="215" t="s">
        <v>326</v>
      </c>
      <c r="G15" s="215" t="s">
        <v>326</v>
      </c>
      <c r="H15" s="215" t="s">
        <v>326</v>
      </c>
      <c r="I15" s="215" t="s">
        <v>326</v>
      </c>
      <c r="J15" s="215" t="s">
        <v>326</v>
      </c>
      <c r="K15" s="215" t="s">
        <v>326</v>
      </c>
      <c r="L15" s="215" t="s">
        <v>226</v>
      </c>
      <c r="M15" s="215" t="s">
        <v>226</v>
      </c>
      <c r="S15" s="215" t="s">
        <v>327</v>
      </c>
      <c r="T15" s="215" t="s">
        <v>328</v>
      </c>
      <c r="U15" s="215" t="s">
        <v>329</v>
      </c>
      <c r="W15" s="215" t="s">
        <v>327</v>
      </c>
      <c r="X15" s="215" t="s">
        <v>328</v>
      </c>
      <c r="Y15" s="215" t="s">
        <v>329</v>
      </c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P15" s="226" t="n">
        <f aca="false">BP14+BV15</f>
        <v>14</v>
      </c>
      <c r="BQ15" s="227" t="s">
        <v>330</v>
      </c>
      <c r="BR15" s="224" t="s">
        <v>226</v>
      </c>
      <c r="BS15" s="154" t="s">
        <v>227</v>
      </c>
      <c r="BT15" s="230" t="s">
        <v>228</v>
      </c>
      <c r="BU15" s="230"/>
      <c r="BV15" s="154" t="n">
        <v>1</v>
      </c>
      <c r="BW15" s="224" t="s">
        <v>331</v>
      </c>
      <c r="BX15" s="0"/>
      <c r="BZ15" s="226" t="n">
        <f aca="false">BZ14+CF15</f>
        <v>14</v>
      </c>
      <c r="CA15" s="84" t="s">
        <v>332</v>
      </c>
      <c r="CB15" s="224" t="s">
        <v>230</v>
      </c>
      <c r="CC15" s="154" t="s">
        <v>227</v>
      </c>
      <c r="CD15" s="230" t="s">
        <v>228</v>
      </c>
      <c r="CE15" s="230"/>
      <c r="CF15" s="154" t="n">
        <v>1</v>
      </c>
      <c r="CG15" s="224" t="s">
        <v>333</v>
      </c>
      <c r="CH15" s="0"/>
      <c r="CJ15" s="216" t="n">
        <v>13</v>
      </c>
      <c r="CK15" s="249" t="s">
        <v>334</v>
      </c>
      <c r="CL15" s="250" t="s">
        <v>335</v>
      </c>
      <c r="CM15" s="251"/>
      <c r="CN15" s="252"/>
      <c r="CO15" s="253"/>
    </row>
    <row r="16" customFormat="false" ht="12.75" hidden="false" customHeight="false" outlineLevel="0" collapsed="false">
      <c r="A16" s="216"/>
      <c r="B16" s="247" t="s">
        <v>336</v>
      </c>
      <c r="C16" s="256" t="s">
        <v>337</v>
      </c>
      <c r="D16" s="215" t="s">
        <v>338</v>
      </c>
      <c r="E16" s="215" t="s">
        <v>338</v>
      </c>
      <c r="F16" s="215" t="s">
        <v>339</v>
      </c>
      <c r="G16" s="215" t="s">
        <v>339</v>
      </c>
      <c r="H16" s="215" t="s">
        <v>339</v>
      </c>
      <c r="I16" s="215" t="s">
        <v>339</v>
      </c>
      <c r="J16" s="215" t="s">
        <v>339</v>
      </c>
      <c r="K16" s="215" t="s">
        <v>339</v>
      </c>
      <c r="L16" s="215" t="s">
        <v>340</v>
      </c>
      <c r="M16" s="215" t="s">
        <v>340</v>
      </c>
      <c r="S16" s="257" t="n">
        <v>0.07</v>
      </c>
      <c r="U16" s="257" t="n">
        <v>0.07</v>
      </c>
      <c r="W16" s="257" t="n">
        <v>0.07</v>
      </c>
      <c r="X16" s="215"/>
      <c r="Y16" s="257" t="n">
        <v>0.07</v>
      </c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P16" s="226" t="n">
        <f aca="false">BP15+BV16</f>
        <v>15</v>
      </c>
      <c r="BQ16" s="227" t="s">
        <v>341</v>
      </c>
      <c r="BR16" s="224" t="s">
        <v>226</v>
      </c>
      <c r="BS16" s="154" t="s">
        <v>227</v>
      </c>
      <c r="BT16" s="230" t="s">
        <v>228</v>
      </c>
      <c r="BU16" s="230"/>
      <c r="BV16" s="154" t="n">
        <v>1</v>
      </c>
      <c r="BW16" s="224" t="s">
        <v>342</v>
      </c>
      <c r="BX16" s="0"/>
      <c r="BZ16" s="226" t="n">
        <f aca="false">BZ15+CF16</f>
        <v>15</v>
      </c>
      <c r="CA16" s="84" t="s">
        <v>343</v>
      </c>
      <c r="CB16" s="224" t="s">
        <v>230</v>
      </c>
      <c r="CC16" s="154" t="s">
        <v>227</v>
      </c>
      <c r="CD16" s="230" t="s">
        <v>228</v>
      </c>
      <c r="CE16" s="230"/>
      <c r="CF16" s="154" t="n">
        <v>1</v>
      </c>
      <c r="CG16" s="224" t="s">
        <v>344</v>
      </c>
      <c r="CH16" s="0"/>
      <c r="CJ16" s="216" t="n">
        <v>14</v>
      </c>
      <c r="CK16" s="240" t="s">
        <v>345</v>
      </c>
      <c r="CL16" s="241" t="s">
        <v>346</v>
      </c>
      <c r="CM16" s="242"/>
      <c r="CN16" s="243"/>
      <c r="CO16" s="244"/>
    </row>
    <row r="17" customFormat="false" ht="13.5" hidden="false" customHeight="false" outlineLevel="0" collapsed="false">
      <c r="A17" s="258"/>
      <c r="B17" s="259" t="e">
        <f aca="false">BeginningOfNextMonth(Today)</f>
        <v>#VALUE!</v>
      </c>
      <c r="C17" s="239" t="n">
        <v>0.061210621866435</v>
      </c>
      <c r="D17" s="260" t="n">
        <v>2.575</v>
      </c>
      <c r="E17" s="260" t="n">
        <v>2.575</v>
      </c>
      <c r="F17" s="260" t="n">
        <v>0.9025</v>
      </c>
      <c r="G17" s="260" t="n">
        <v>0.91</v>
      </c>
      <c r="H17" s="260" t="n">
        <v>0.9175</v>
      </c>
      <c r="I17" s="260" t="n">
        <v>9.123</v>
      </c>
      <c r="J17" s="260" t="n">
        <v>9.128</v>
      </c>
      <c r="K17" s="215" t="n">
        <v>9.133</v>
      </c>
      <c r="L17" s="260" t="n">
        <v>4.5</v>
      </c>
      <c r="M17" s="215" t="n">
        <v>-0.24</v>
      </c>
      <c r="O17" s="211"/>
      <c r="P17" s="260"/>
      <c r="Q17" s="260"/>
      <c r="R17" s="261" t="e">
        <f aca="false">B17</f>
        <v>#VALUE!</v>
      </c>
      <c r="S17" s="262" t="n">
        <f aca="false">T17-$S$16</f>
        <v>2.505</v>
      </c>
      <c r="T17" s="257" t="n">
        <f aca="false">D17</f>
        <v>2.575</v>
      </c>
      <c r="U17" s="263" t="n">
        <f aca="false">$U$16+T17</f>
        <v>2.645</v>
      </c>
      <c r="BP17" s="226" t="n">
        <f aca="false">BP16+BV17</f>
        <v>16</v>
      </c>
      <c r="BQ17" s="227" t="s">
        <v>343</v>
      </c>
      <c r="BR17" s="224" t="s">
        <v>226</v>
      </c>
      <c r="BS17" s="154" t="s">
        <v>227</v>
      </c>
      <c r="BT17" s="230" t="s">
        <v>228</v>
      </c>
      <c r="BU17" s="230"/>
      <c r="BV17" s="154" t="n">
        <v>1</v>
      </c>
      <c r="BW17" s="224" t="s">
        <v>347</v>
      </c>
      <c r="BX17" s="0"/>
      <c r="BZ17" s="226" t="n">
        <f aca="false">BZ16+CF17</f>
        <v>16</v>
      </c>
      <c r="CA17" s="84" t="s">
        <v>348</v>
      </c>
      <c r="CB17" s="224" t="s">
        <v>230</v>
      </c>
      <c r="CC17" s="154" t="s">
        <v>227</v>
      </c>
      <c r="CD17" s="230" t="s">
        <v>228</v>
      </c>
      <c r="CE17" s="230"/>
      <c r="CF17" s="154" t="n">
        <v>1</v>
      </c>
      <c r="CG17" s="224" t="s">
        <v>349</v>
      </c>
      <c r="CH17" s="0"/>
      <c r="CJ17" s="216" t="n">
        <v>15</v>
      </c>
      <c r="CK17" s="264" t="s">
        <v>350</v>
      </c>
      <c r="CL17" s="265" t="s">
        <v>351</v>
      </c>
      <c r="CM17" s="266"/>
      <c r="CN17" s="267"/>
      <c r="CO17" s="268"/>
    </row>
    <row r="18" customFormat="false" ht="12.75" hidden="false" customHeight="false" outlineLevel="0" collapsed="false">
      <c r="A18" s="258"/>
      <c r="B18" s="259" t="e">
        <f aca="false">NextMonth(B17)</f>
        <v>#VALUE!</v>
      </c>
      <c r="C18" s="215" t="n">
        <v>0.059682982997529</v>
      </c>
      <c r="D18" s="260" t="n">
        <v>1.66</v>
      </c>
      <c r="E18" s="260" t="n">
        <v>1.66</v>
      </c>
      <c r="F18" s="260" t="n">
        <v>0.9025</v>
      </c>
      <c r="G18" s="260" t="n">
        <v>0.91</v>
      </c>
      <c r="H18" s="260" t="n">
        <v>0.9175</v>
      </c>
      <c r="I18" s="260" t="n">
        <v>8.6</v>
      </c>
      <c r="J18" s="269" t="n">
        <v>8.605</v>
      </c>
      <c r="K18" s="215" t="n">
        <v>8.61</v>
      </c>
      <c r="L18" s="269" t="n">
        <v>1.85</v>
      </c>
      <c r="M18" s="215" t="n">
        <v>-0.24</v>
      </c>
      <c r="O18" s="211"/>
      <c r="P18" s="260"/>
      <c r="Q18" s="260"/>
      <c r="R18" s="261" t="e">
        <f aca="false">B18</f>
        <v>#VALUE!</v>
      </c>
      <c r="S18" s="262" t="n">
        <f aca="false">T18-$S$16</f>
        <v>1.59</v>
      </c>
      <c r="T18" s="257" t="n">
        <f aca="false">D18</f>
        <v>1.66</v>
      </c>
      <c r="U18" s="263" t="n">
        <f aca="false">$U$16+T18</f>
        <v>1.73</v>
      </c>
      <c r="BP18" s="226" t="n">
        <f aca="false">BP17+BV18</f>
        <v>17</v>
      </c>
      <c r="BQ18" s="227" t="s">
        <v>348</v>
      </c>
      <c r="BR18" s="224" t="s">
        <v>226</v>
      </c>
      <c r="BS18" s="154" t="s">
        <v>227</v>
      </c>
      <c r="BT18" s="230" t="s">
        <v>228</v>
      </c>
      <c r="BU18" s="230"/>
      <c r="BV18" s="154" t="n">
        <v>1</v>
      </c>
      <c r="BW18" s="224" t="s">
        <v>352</v>
      </c>
      <c r="BX18" s="0"/>
      <c r="BZ18" s="226" t="n">
        <f aca="false">BZ17+CF18</f>
        <v>17</v>
      </c>
      <c r="CA18" s="84" t="s">
        <v>353</v>
      </c>
      <c r="CB18" s="224" t="s">
        <v>230</v>
      </c>
      <c r="CC18" s="154" t="s">
        <v>227</v>
      </c>
      <c r="CD18" s="230" t="s">
        <v>228</v>
      </c>
      <c r="CE18" s="230"/>
      <c r="CF18" s="154" t="n">
        <v>1</v>
      </c>
      <c r="CG18" s="224" t="s">
        <v>354</v>
      </c>
      <c r="CH18" s="0"/>
    </row>
    <row r="19" customFormat="false" ht="12.75" hidden="false" customHeight="false" outlineLevel="0" collapsed="false">
      <c r="A19" s="258"/>
      <c r="B19" s="259" t="e">
        <f aca="false">NextMonth(B18)</f>
        <v>#VALUE!</v>
      </c>
      <c r="C19" s="215" t="n">
        <v>0.058415947446133</v>
      </c>
      <c r="D19" s="260" t="n">
        <v>0.56</v>
      </c>
      <c r="E19" s="260" t="n">
        <v>0.56</v>
      </c>
      <c r="F19" s="260" t="n">
        <v>0.6225</v>
      </c>
      <c r="G19" s="260" t="n">
        <v>0.63</v>
      </c>
      <c r="H19" s="260" t="n">
        <v>0.6375</v>
      </c>
      <c r="I19" s="260" t="n">
        <v>6.645</v>
      </c>
      <c r="J19" s="269" t="n">
        <v>6.65</v>
      </c>
      <c r="K19" s="215" t="n">
        <v>6.655</v>
      </c>
      <c r="L19" s="269" t="n">
        <v>0.66</v>
      </c>
      <c r="M19" s="215" t="n">
        <v>-0.105</v>
      </c>
      <c r="O19" s="211"/>
      <c r="P19" s="260"/>
      <c r="Q19" s="260"/>
      <c r="R19" s="261" t="e">
        <f aca="false">B19</f>
        <v>#VALUE!</v>
      </c>
      <c r="S19" s="262" t="n">
        <f aca="false">T19-$S$16</f>
        <v>0.49</v>
      </c>
      <c r="T19" s="257" t="n">
        <f aca="false">D19</f>
        <v>0.56</v>
      </c>
      <c r="U19" s="263" t="n">
        <f aca="false">$U$16+T19</f>
        <v>0.63</v>
      </c>
      <c r="BP19" s="226" t="n">
        <f aca="false">BP18+BV19</f>
        <v>18</v>
      </c>
      <c r="BQ19" s="227" t="s">
        <v>353</v>
      </c>
      <c r="BR19" s="224" t="s">
        <v>226</v>
      </c>
      <c r="BS19" s="154" t="s">
        <v>227</v>
      </c>
      <c r="BT19" s="230" t="s">
        <v>228</v>
      </c>
      <c r="BU19" s="230"/>
      <c r="BV19" s="154" t="n">
        <v>1</v>
      </c>
      <c r="BW19" s="224" t="s">
        <v>355</v>
      </c>
      <c r="BX19" s="0"/>
      <c r="BZ19" s="226" t="n">
        <f aca="false">BZ18+CF19</f>
        <v>18</v>
      </c>
      <c r="CA19" s="84" t="s">
        <v>356</v>
      </c>
      <c r="CB19" s="224" t="s">
        <v>230</v>
      </c>
      <c r="CC19" s="154" t="s">
        <v>227</v>
      </c>
      <c r="CD19" s="230" t="s">
        <v>228</v>
      </c>
      <c r="CE19" s="230"/>
      <c r="CF19" s="154" t="n">
        <v>1</v>
      </c>
      <c r="CG19" s="224" t="s">
        <v>357</v>
      </c>
      <c r="CH19" s="0"/>
    </row>
    <row r="20" customFormat="false" ht="12.75" hidden="false" customHeight="false" outlineLevel="0" collapsed="false">
      <c r="A20" s="258"/>
      <c r="B20" s="259" t="e">
        <f aca="false">NextMonth(B19)</f>
        <v>#VALUE!</v>
      </c>
      <c r="C20" s="215" t="n">
        <v>0.057620465192262</v>
      </c>
      <c r="D20" s="260" t="n">
        <v>0.51</v>
      </c>
      <c r="E20" s="260" t="n">
        <v>0.51</v>
      </c>
      <c r="F20" s="260" t="n">
        <v>0.4925</v>
      </c>
      <c r="G20" s="260" t="n">
        <v>0.5</v>
      </c>
      <c r="H20" s="260" t="n">
        <v>0.5075</v>
      </c>
      <c r="I20" s="260" t="n">
        <v>6.06</v>
      </c>
      <c r="J20" s="269" t="n">
        <v>6.065</v>
      </c>
      <c r="K20" s="215" t="n">
        <v>6.07</v>
      </c>
      <c r="L20" s="269" t="n">
        <v>0.46</v>
      </c>
      <c r="M20" s="215" t="n">
        <v>-0.085</v>
      </c>
      <c r="O20" s="211"/>
      <c r="P20" s="260"/>
      <c r="Q20" s="260"/>
      <c r="R20" s="261" t="e">
        <f aca="false">B20</f>
        <v>#VALUE!</v>
      </c>
      <c r="S20" s="262" t="n">
        <f aca="false">T20-$S$16</f>
        <v>0.44</v>
      </c>
      <c r="T20" s="257" t="n">
        <f aca="false">D20</f>
        <v>0.51</v>
      </c>
      <c r="U20" s="263" t="n">
        <f aca="false">$U$16+T20</f>
        <v>0.58</v>
      </c>
      <c r="BP20" s="226" t="n">
        <f aca="false">BP19+BV20</f>
        <v>19</v>
      </c>
      <c r="BQ20" s="227" t="s">
        <v>358</v>
      </c>
      <c r="BR20" s="224" t="s">
        <v>226</v>
      </c>
      <c r="BS20" s="154" t="s">
        <v>359</v>
      </c>
      <c r="BT20" s="230" t="s">
        <v>228</v>
      </c>
      <c r="BU20" s="230"/>
      <c r="BV20" s="154" t="n">
        <v>1</v>
      </c>
      <c r="BW20" s="224" t="s">
        <v>360</v>
      </c>
      <c r="BX20" s="0"/>
      <c r="BZ20" s="226" t="n">
        <f aca="false">BZ19+CF20</f>
        <v>19</v>
      </c>
      <c r="CA20" s="84" t="s">
        <v>361</v>
      </c>
      <c r="CB20" s="224" t="s">
        <v>230</v>
      </c>
      <c r="CC20" s="154" t="s">
        <v>227</v>
      </c>
      <c r="CD20" s="230" t="s">
        <v>228</v>
      </c>
      <c r="CE20" s="230"/>
      <c r="CF20" s="154" t="n">
        <v>1</v>
      </c>
      <c r="CG20" s="224" t="s">
        <v>362</v>
      </c>
      <c r="CH20" s="0"/>
    </row>
    <row r="21" customFormat="false" ht="12.75" hidden="false" customHeight="false" outlineLevel="0" collapsed="false">
      <c r="A21" s="258"/>
      <c r="B21" s="259" t="e">
        <f aca="false">NextMonth(B20)</f>
        <v>#VALUE!</v>
      </c>
      <c r="C21" s="215" t="n">
        <v>0.056951683570872</v>
      </c>
      <c r="D21" s="260" t="n">
        <v>0.51</v>
      </c>
      <c r="E21" s="260" t="n">
        <v>0.51</v>
      </c>
      <c r="F21" s="260" t="n">
        <v>0.4725</v>
      </c>
      <c r="G21" s="260" t="n">
        <v>0.48</v>
      </c>
      <c r="H21" s="260" t="n">
        <v>0.4875</v>
      </c>
      <c r="I21" s="260" t="n">
        <v>6.01</v>
      </c>
      <c r="J21" s="269" t="n">
        <v>6.015</v>
      </c>
      <c r="K21" s="215" t="n">
        <v>6.02</v>
      </c>
      <c r="L21" s="269" t="n">
        <v>0.5</v>
      </c>
      <c r="M21" s="215" t="n">
        <v>-0.105</v>
      </c>
      <c r="O21" s="211"/>
      <c r="P21" s="260"/>
      <c r="Q21" s="260"/>
      <c r="R21" s="261" t="e">
        <f aca="false">B21</f>
        <v>#VALUE!</v>
      </c>
      <c r="S21" s="262" t="n">
        <f aca="false">T21-$S$16</f>
        <v>0.44</v>
      </c>
      <c r="T21" s="257" t="n">
        <f aca="false">D21</f>
        <v>0.51</v>
      </c>
      <c r="U21" s="263" t="n">
        <f aca="false">$U$16+T21</f>
        <v>0.58</v>
      </c>
      <c r="BP21" s="226" t="n">
        <f aca="false">BP20+BV21</f>
        <v>20</v>
      </c>
      <c r="BQ21" s="227" t="s">
        <v>363</v>
      </c>
      <c r="BR21" s="224" t="s">
        <v>226</v>
      </c>
      <c r="BS21" s="154" t="s">
        <v>359</v>
      </c>
      <c r="BT21" s="230" t="s">
        <v>228</v>
      </c>
      <c r="BU21" s="230"/>
      <c r="BV21" s="154" t="n">
        <v>1</v>
      </c>
      <c r="BW21" s="224" t="s">
        <v>364</v>
      </c>
      <c r="BX21" s="0"/>
      <c r="BZ21" s="226" t="n">
        <f aca="false">BZ20+CF21</f>
        <v>20</v>
      </c>
      <c r="CA21" s="84" t="s">
        <v>365</v>
      </c>
      <c r="CB21" s="224" t="s">
        <v>230</v>
      </c>
      <c r="CC21" s="154" t="s">
        <v>227</v>
      </c>
      <c r="CD21" s="230" t="s">
        <v>228</v>
      </c>
      <c r="CE21" s="230"/>
      <c r="CF21" s="154" t="n">
        <v>1</v>
      </c>
      <c r="CG21" s="224" t="s">
        <v>366</v>
      </c>
      <c r="CH21" s="0"/>
    </row>
    <row r="22" customFormat="false" ht="12.75" hidden="false" customHeight="false" outlineLevel="0" collapsed="false">
      <c r="A22" s="258"/>
      <c r="B22" s="259" t="e">
        <f aca="false">NextMonth(B21)</f>
        <v>#VALUE!</v>
      </c>
      <c r="C22" s="215" t="n">
        <v>0.056350655408428</v>
      </c>
      <c r="D22" s="260" t="n">
        <v>0.51</v>
      </c>
      <c r="E22" s="260" t="n">
        <v>0.51</v>
      </c>
      <c r="F22" s="260" t="n">
        <v>0.4725</v>
      </c>
      <c r="G22" s="260" t="n">
        <v>0.48</v>
      </c>
      <c r="H22" s="260" t="n">
        <v>0.4875</v>
      </c>
      <c r="I22" s="260" t="n">
        <v>5.995</v>
      </c>
      <c r="J22" s="269" t="n">
        <v>6</v>
      </c>
      <c r="K22" s="215" t="n">
        <v>6.005</v>
      </c>
      <c r="L22" s="269" t="n">
        <v>0.65</v>
      </c>
      <c r="M22" s="215" t="n">
        <v>-0.01</v>
      </c>
      <c r="O22" s="211"/>
      <c r="P22" s="260"/>
      <c r="Q22" s="260"/>
      <c r="R22" s="261" t="e">
        <f aca="false">B22</f>
        <v>#VALUE!</v>
      </c>
      <c r="S22" s="262" t="n">
        <f aca="false">T22-$S$16</f>
        <v>0.44</v>
      </c>
      <c r="T22" s="257" t="n">
        <f aca="false">D22</f>
        <v>0.51</v>
      </c>
      <c r="U22" s="263" t="n">
        <f aca="false">$U$16+T22</f>
        <v>0.58</v>
      </c>
      <c r="BP22" s="226" t="n">
        <f aca="false">BP21+BV22</f>
        <v>21</v>
      </c>
      <c r="BQ22" s="227" t="s">
        <v>367</v>
      </c>
      <c r="BR22" s="224" t="s">
        <v>226</v>
      </c>
      <c r="BS22" s="154" t="s">
        <v>359</v>
      </c>
      <c r="BT22" s="230" t="s">
        <v>228</v>
      </c>
      <c r="BU22" s="230"/>
      <c r="BV22" s="154" t="n">
        <v>1</v>
      </c>
      <c r="BW22" s="224" t="s">
        <v>368</v>
      </c>
      <c r="BX22" s="0"/>
      <c r="BZ22" s="226" t="n">
        <f aca="false">BZ21+CF22</f>
        <v>21</v>
      </c>
      <c r="CA22" s="84" t="s">
        <v>369</v>
      </c>
      <c r="CB22" s="224" t="s">
        <v>230</v>
      </c>
      <c r="CC22" s="154" t="s">
        <v>227</v>
      </c>
      <c r="CD22" s="230" t="s">
        <v>228</v>
      </c>
      <c r="CE22" s="230"/>
      <c r="CF22" s="154" t="n">
        <v>1</v>
      </c>
      <c r="CG22" s="224" t="s">
        <v>370</v>
      </c>
      <c r="CH22" s="0"/>
    </row>
    <row r="23" customFormat="false" ht="12.75" hidden="false" customHeight="false" outlineLevel="0" collapsed="false">
      <c r="A23" s="258"/>
      <c r="B23" s="259" t="e">
        <f aca="false">NextMonth(B22)</f>
        <v>#VALUE!</v>
      </c>
      <c r="C23" s="215" t="n">
        <v>0.055818790797591</v>
      </c>
      <c r="D23" s="260" t="n">
        <v>0.61</v>
      </c>
      <c r="E23" s="260" t="n">
        <v>0.61</v>
      </c>
      <c r="F23" s="260" t="n">
        <v>0.4725</v>
      </c>
      <c r="G23" s="260" t="n">
        <v>0.48</v>
      </c>
      <c r="H23" s="260" t="n">
        <v>0.4875</v>
      </c>
      <c r="I23" s="260" t="n">
        <v>5.985</v>
      </c>
      <c r="J23" s="269" t="n">
        <v>5.99</v>
      </c>
      <c r="K23" s="215" t="n">
        <v>5.995</v>
      </c>
      <c r="L23" s="269" t="n">
        <v>0.65</v>
      </c>
      <c r="M23" s="215" t="n">
        <v>0.03</v>
      </c>
      <c r="O23" s="211"/>
      <c r="P23" s="260"/>
      <c r="Q23" s="260"/>
      <c r="R23" s="261" t="e">
        <f aca="false">B23</f>
        <v>#VALUE!</v>
      </c>
      <c r="S23" s="262" t="n">
        <f aca="false">T23-$S$16</f>
        <v>0.54</v>
      </c>
      <c r="T23" s="257" t="n">
        <f aca="false">D23</f>
        <v>0.61</v>
      </c>
      <c r="U23" s="263" t="n">
        <f aca="false">$U$16+T23</f>
        <v>0.68</v>
      </c>
      <c r="BP23" s="226" t="n">
        <f aca="false">BP22+BV23</f>
        <v>22</v>
      </c>
      <c r="BQ23" s="227" t="s">
        <v>371</v>
      </c>
      <c r="BR23" s="224" t="s">
        <v>226</v>
      </c>
      <c r="BS23" s="154" t="s">
        <v>359</v>
      </c>
      <c r="BT23" s="230" t="s">
        <v>228</v>
      </c>
      <c r="BU23" s="230"/>
      <c r="BV23" s="154" t="n">
        <v>1</v>
      </c>
      <c r="BW23" s="224" t="s">
        <v>372</v>
      </c>
      <c r="BX23" s="0"/>
      <c r="BZ23" s="226" t="n">
        <f aca="false">BZ22+CF23</f>
        <v>22</v>
      </c>
      <c r="CA23" s="84" t="s">
        <v>373</v>
      </c>
      <c r="CB23" s="224" t="s">
        <v>230</v>
      </c>
      <c r="CC23" s="154" t="s">
        <v>227</v>
      </c>
      <c r="CD23" s="230" t="s">
        <v>228</v>
      </c>
      <c r="CE23" s="230"/>
      <c r="CF23" s="154" t="n">
        <v>1</v>
      </c>
      <c r="CG23" s="224" t="s">
        <v>374</v>
      </c>
      <c r="CH23" s="0"/>
    </row>
    <row r="24" customFormat="false" ht="12.75" hidden="false" customHeight="false" outlineLevel="0" collapsed="false">
      <c r="A24" s="258"/>
      <c r="B24" s="259" t="e">
        <f aca="false">NextMonth(B23)</f>
        <v>#VALUE!</v>
      </c>
      <c r="C24" s="215" t="n">
        <v>0.055286926280937</v>
      </c>
      <c r="D24" s="269" t="n">
        <v>0.61</v>
      </c>
      <c r="E24" s="269" t="n">
        <v>0.61</v>
      </c>
      <c r="F24" s="269" t="n">
        <v>0.4725</v>
      </c>
      <c r="G24" s="269" t="n">
        <v>0.48</v>
      </c>
      <c r="H24" s="269" t="n">
        <v>0.4875</v>
      </c>
      <c r="I24" s="260" t="n">
        <v>5.952</v>
      </c>
      <c r="J24" s="269" t="n">
        <v>5.957</v>
      </c>
      <c r="K24" s="215" t="n">
        <v>5.962</v>
      </c>
      <c r="L24" s="269" t="n">
        <v>0.5</v>
      </c>
      <c r="M24" s="215" t="n">
        <v>0.03</v>
      </c>
      <c r="O24" s="211"/>
      <c r="P24" s="260"/>
      <c r="Q24" s="260"/>
      <c r="R24" s="261" t="e">
        <f aca="false">B24</f>
        <v>#VALUE!</v>
      </c>
      <c r="S24" s="262" t="n">
        <f aca="false">T24-$S$16</f>
        <v>0.54</v>
      </c>
      <c r="T24" s="257" t="n">
        <f aca="false">D24</f>
        <v>0.61</v>
      </c>
      <c r="U24" s="263" t="n">
        <f aca="false">$U$16+T24</f>
        <v>0.68</v>
      </c>
      <c r="BP24" s="226" t="n">
        <f aca="false">BP23+BV24</f>
        <v>23</v>
      </c>
      <c r="BQ24" s="227" t="s">
        <v>375</v>
      </c>
      <c r="BR24" s="224" t="s">
        <v>226</v>
      </c>
      <c r="BS24" s="154" t="s">
        <v>359</v>
      </c>
      <c r="BT24" s="230" t="s">
        <v>228</v>
      </c>
      <c r="BU24" s="230"/>
      <c r="BV24" s="154" t="n">
        <v>1</v>
      </c>
      <c r="BW24" s="224" t="s">
        <v>376</v>
      </c>
      <c r="BX24" s="0"/>
      <c r="BZ24" s="226" t="n">
        <f aca="false">BZ23+CF24</f>
        <v>23</v>
      </c>
      <c r="CA24" s="84" t="s">
        <v>377</v>
      </c>
      <c r="CB24" s="224" t="s">
        <v>230</v>
      </c>
      <c r="CC24" s="154" t="s">
        <v>227</v>
      </c>
      <c r="CD24" s="230" t="s">
        <v>228</v>
      </c>
      <c r="CE24" s="230"/>
      <c r="CF24" s="154" t="n">
        <v>1</v>
      </c>
      <c r="CG24" s="224" t="s">
        <v>378</v>
      </c>
      <c r="CH24" s="0"/>
    </row>
    <row r="25" customFormat="false" ht="12.75" hidden="false" customHeight="false" outlineLevel="0" collapsed="false">
      <c r="A25" s="258"/>
      <c r="B25" s="259" t="e">
        <f aca="false">NextMonth(B24)</f>
        <v>#VALUE!</v>
      </c>
      <c r="C25" s="215" t="n">
        <v>0.054847843829286</v>
      </c>
      <c r="D25" s="269" t="n">
        <v>0.66</v>
      </c>
      <c r="E25" s="269" t="n">
        <v>0.66</v>
      </c>
      <c r="F25" s="269" t="n">
        <v>0.4725</v>
      </c>
      <c r="G25" s="269" t="n">
        <v>0.48</v>
      </c>
      <c r="H25" s="269" t="n">
        <v>0.4875</v>
      </c>
      <c r="I25" s="260" t="n">
        <v>5.957</v>
      </c>
      <c r="J25" s="269" t="n">
        <v>5.962</v>
      </c>
      <c r="K25" s="215" t="n">
        <v>5.967</v>
      </c>
      <c r="L25" s="269" t="n">
        <v>0.565</v>
      </c>
      <c r="M25" s="215" t="n">
        <v>0.01</v>
      </c>
      <c r="O25" s="211"/>
      <c r="P25" s="260"/>
      <c r="Q25" s="260"/>
      <c r="R25" s="261" t="e">
        <f aca="false">B25</f>
        <v>#VALUE!</v>
      </c>
      <c r="S25" s="262" t="n">
        <f aca="false">T25-$S$16</f>
        <v>0.59</v>
      </c>
      <c r="T25" s="257" t="n">
        <f aca="false">D25</f>
        <v>0.66</v>
      </c>
      <c r="U25" s="263" t="n">
        <f aca="false">$U$16+T25</f>
        <v>0.73</v>
      </c>
      <c r="BP25" s="226" t="n">
        <f aca="false">BP24+BV25</f>
        <v>24</v>
      </c>
      <c r="BQ25" s="227" t="s">
        <v>379</v>
      </c>
      <c r="BR25" s="224" t="s">
        <v>226</v>
      </c>
      <c r="BS25" s="154" t="s">
        <v>359</v>
      </c>
      <c r="BT25" s="230" t="s">
        <v>228</v>
      </c>
      <c r="BU25" s="230"/>
      <c r="BV25" s="154" t="n">
        <v>1</v>
      </c>
      <c r="BW25" s="224" t="s">
        <v>380</v>
      </c>
      <c r="BX25" s="0"/>
      <c r="BZ25" s="226" t="n">
        <f aca="false">BZ24+CF25</f>
        <v>24</v>
      </c>
      <c r="CA25" s="84" t="s">
        <v>381</v>
      </c>
      <c r="CB25" s="224" t="s">
        <v>230</v>
      </c>
      <c r="CC25" s="154" t="s">
        <v>227</v>
      </c>
      <c r="CD25" s="230" t="s">
        <v>228</v>
      </c>
      <c r="CE25" s="230"/>
      <c r="CF25" s="154" t="n">
        <v>1</v>
      </c>
      <c r="CG25" s="224" t="s">
        <v>382</v>
      </c>
      <c r="CH25" s="0"/>
    </row>
    <row r="26" customFormat="false" ht="12.75" hidden="false" customHeight="false" outlineLevel="0" collapsed="false">
      <c r="A26" s="258"/>
      <c r="B26" s="259" t="e">
        <f aca="false">NextMonth(B25)</f>
        <v>#VALUE!</v>
      </c>
      <c r="C26" s="215" t="n">
        <v>0.05451670929084</v>
      </c>
      <c r="D26" s="269" t="n">
        <v>1.25</v>
      </c>
      <c r="E26" s="269" t="n">
        <v>1.25</v>
      </c>
      <c r="F26" s="269" t="n">
        <v>0.475</v>
      </c>
      <c r="G26" s="269" t="n">
        <v>0.4825</v>
      </c>
      <c r="H26" s="269" t="n">
        <v>0.49</v>
      </c>
      <c r="I26" s="260" t="n">
        <v>6.055</v>
      </c>
      <c r="J26" s="269" t="n">
        <v>6.06</v>
      </c>
      <c r="K26" s="215" t="n">
        <v>6.065</v>
      </c>
      <c r="L26" s="269" t="n">
        <v>1.4</v>
      </c>
      <c r="M26" s="215" t="n">
        <v>0.01</v>
      </c>
      <c r="O26" s="211"/>
      <c r="P26" s="260"/>
      <c r="Q26" s="260"/>
      <c r="R26" s="261" t="e">
        <f aca="false">B26</f>
        <v>#VALUE!</v>
      </c>
      <c r="S26" s="262" t="n">
        <f aca="false">T26-$S$16</f>
        <v>1.18</v>
      </c>
      <c r="T26" s="257" t="n">
        <f aca="false">D26</f>
        <v>1.25</v>
      </c>
      <c r="U26" s="263" t="n">
        <f aca="false">$U$16+T26</f>
        <v>1.32</v>
      </c>
      <c r="BP26" s="226" t="n">
        <f aca="false">BP25+BV26</f>
        <v>25</v>
      </c>
      <c r="BQ26" s="227" t="s">
        <v>383</v>
      </c>
      <c r="BR26" s="224" t="s">
        <v>226</v>
      </c>
      <c r="BS26" s="154" t="s">
        <v>359</v>
      </c>
      <c r="BT26" s="230" t="s">
        <v>228</v>
      </c>
      <c r="BU26" s="230"/>
      <c r="BV26" s="154" t="n">
        <v>1</v>
      </c>
      <c r="BW26" s="224" t="s">
        <v>384</v>
      </c>
      <c r="BX26" s="0"/>
      <c r="BZ26" s="226" t="n">
        <f aca="false">BZ25+CF26</f>
        <v>25</v>
      </c>
      <c r="CA26" s="84" t="s">
        <v>385</v>
      </c>
      <c r="CB26" s="224" t="s">
        <v>230</v>
      </c>
      <c r="CC26" s="154" t="s">
        <v>227</v>
      </c>
      <c r="CD26" s="230" t="s">
        <v>228</v>
      </c>
      <c r="CE26" s="230"/>
      <c r="CF26" s="154" t="n">
        <v>1</v>
      </c>
      <c r="CG26" s="224" t="s">
        <v>386</v>
      </c>
      <c r="CH26" s="0"/>
    </row>
    <row r="27" customFormat="false" ht="12.75" hidden="false" customHeight="false" outlineLevel="0" collapsed="false">
      <c r="A27" s="258"/>
      <c r="B27" s="259" t="e">
        <f aca="false">NextMonth(B26)</f>
        <v>#VALUE!</v>
      </c>
      <c r="C27" s="215" t="n">
        <v>0.05419625654648</v>
      </c>
      <c r="D27" s="269" t="n">
        <v>1.55</v>
      </c>
      <c r="E27" s="269" t="n">
        <v>1.55</v>
      </c>
      <c r="F27" s="269" t="n">
        <v>0.475</v>
      </c>
      <c r="G27" s="269" t="n">
        <v>0.4825</v>
      </c>
      <c r="H27" s="269" t="n">
        <v>0.49</v>
      </c>
      <c r="I27" s="260" t="n">
        <v>6.185</v>
      </c>
      <c r="J27" s="269" t="n">
        <v>6.19</v>
      </c>
      <c r="K27" s="215" t="n">
        <v>6.195</v>
      </c>
      <c r="L27" s="269" t="n">
        <v>1.6</v>
      </c>
      <c r="M27" s="215" t="n">
        <v>0.01</v>
      </c>
      <c r="O27" s="211"/>
      <c r="P27" s="260"/>
      <c r="Q27" s="260"/>
      <c r="R27" s="261" t="e">
        <f aca="false">B27</f>
        <v>#VALUE!</v>
      </c>
      <c r="S27" s="262" t="n">
        <f aca="false">T27-$S$16</f>
        <v>1.48</v>
      </c>
      <c r="T27" s="257" t="n">
        <f aca="false">D27</f>
        <v>1.55</v>
      </c>
      <c r="U27" s="263" t="n">
        <f aca="false">$U$16+T27</f>
        <v>1.62</v>
      </c>
      <c r="BP27" s="226" t="n">
        <f aca="false">BP26+BV27</f>
        <v>26</v>
      </c>
      <c r="BQ27" s="227" t="s">
        <v>387</v>
      </c>
      <c r="BR27" s="224" t="s">
        <v>226</v>
      </c>
      <c r="BS27" s="154" t="s">
        <v>359</v>
      </c>
      <c r="BT27" s="230" t="s">
        <v>228</v>
      </c>
      <c r="BU27" s="230"/>
      <c r="BV27" s="154" t="n">
        <v>1</v>
      </c>
      <c r="BW27" s="224" t="s">
        <v>388</v>
      </c>
      <c r="BX27" s="0"/>
      <c r="BZ27" s="226" t="n">
        <f aca="false">BZ26+CF27</f>
        <v>26</v>
      </c>
      <c r="CA27" s="84" t="s">
        <v>389</v>
      </c>
      <c r="CB27" s="224" t="s">
        <v>230</v>
      </c>
      <c r="CC27" s="154" t="s">
        <v>227</v>
      </c>
      <c r="CD27" s="230" t="s">
        <v>228</v>
      </c>
      <c r="CE27" s="230"/>
      <c r="CF27" s="154" t="n">
        <v>1</v>
      </c>
      <c r="CG27" s="224" t="s">
        <v>390</v>
      </c>
      <c r="CH27" s="0"/>
    </row>
    <row r="28" customFormat="false" ht="12.75" hidden="false" customHeight="false" outlineLevel="0" collapsed="false">
      <c r="A28" s="258"/>
      <c r="B28" s="259" t="e">
        <f aca="false">NextMonth(B27)</f>
        <v>#VALUE!</v>
      </c>
      <c r="C28" s="215" t="n">
        <v>0.053977796992254</v>
      </c>
      <c r="D28" s="269" t="n">
        <v>1.75</v>
      </c>
      <c r="E28" s="269" t="n">
        <v>1.75</v>
      </c>
      <c r="F28" s="269" t="n">
        <v>0.475</v>
      </c>
      <c r="G28" s="269" t="n">
        <v>0.4825</v>
      </c>
      <c r="H28" s="269" t="n">
        <v>0.49</v>
      </c>
      <c r="I28" s="260" t="n">
        <v>6.19</v>
      </c>
      <c r="J28" s="269" t="n">
        <v>6.195</v>
      </c>
      <c r="K28" s="215" t="n">
        <v>6.2</v>
      </c>
      <c r="L28" s="269" t="n">
        <v>1.8</v>
      </c>
      <c r="M28" s="215" t="n">
        <v>0.01</v>
      </c>
      <c r="O28" s="211"/>
      <c r="P28" s="260"/>
      <c r="Q28" s="260"/>
      <c r="R28" s="261" t="e">
        <f aca="false">B28</f>
        <v>#VALUE!</v>
      </c>
      <c r="S28" s="262" t="n">
        <f aca="false">T28-$S$16</f>
        <v>1.68</v>
      </c>
      <c r="T28" s="257" t="n">
        <f aca="false">D28</f>
        <v>1.75</v>
      </c>
      <c r="U28" s="263" t="n">
        <f aca="false">$U$16+T28</f>
        <v>1.82</v>
      </c>
      <c r="BP28" s="226" t="n">
        <f aca="false">BP27+BV28</f>
        <v>27</v>
      </c>
      <c r="BQ28" s="227" t="s">
        <v>391</v>
      </c>
      <c r="BR28" s="224" t="s">
        <v>226</v>
      </c>
      <c r="BS28" s="154" t="s">
        <v>359</v>
      </c>
      <c r="BT28" s="230" t="s">
        <v>228</v>
      </c>
      <c r="BU28" s="230"/>
      <c r="BV28" s="154" t="n">
        <v>1</v>
      </c>
      <c r="BW28" s="224" t="s">
        <v>392</v>
      </c>
      <c r="BX28" s="0"/>
      <c r="BZ28" s="226" t="n">
        <f aca="false">BZ27+CF28</f>
        <v>27</v>
      </c>
      <c r="CA28" s="84" t="s">
        <v>393</v>
      </c>
      <c r="CB28" s="224" t="s">
        <v>230</v>
      </c>
      <c r="CC28" s="154" t="s">
        <v>227</v>
      </c>
      <c r="CD28" s="230" t="s">
        <v>228</v>
      </c>
      <c r="CE28" s="230"/>
      <c r="CF28" s="154" t="n">
        <v>1</v>
      </c>
      <c r="CG28" s="224" t="s">
        <v>394</v>
      </c>
      <c r="CH28" s="0"/>
    </row>
    <row r="29" customFormat="false" ht="12.75" hidden="false" customHeight="false" outlineLevel="0" collapsed="false">
      <c r="A29" s="258"/>
      <c r="B29" s="259" t="e">
        <f aca="false">NextMonth(B28)</f>
        <v>#VALUE!</v>
      </c>
      <c r="C29" s="215" t="n">
        <v>0.053915348866635</v>
      </c>
      <c r="D29" s="269" t="n">
        <v>1.75</v>
      </c>
      <c r="E29" s="269" t="n">
        <v>1.75</v>
      </c>
      <c r="F29" s="269" t="n">
        <v>0.4625</v>
      </c>
      <c r="G29" s="269" t="n">
        <v>0.47</v>
      </c>
      <c r="H29" s="269" t="n">
        <v>0.4775</v>
      </c>
      <c r="I29" s="260" t="n">
        <v>5.935</v>
      </c>
      <c r="J29" s="269" t="n">
        <v>5.94</v>
      </c>
      <c r="K29" s="215" t="n">
        <v>5.945</v>
      </c>
      <c r="L29" s="269" t="n">
        <v>1.8</v>
      </c>
      <c r="M29" s="215" t="n">
        <v>0.01</v>
      </c>
      <c r="O29" s="211"/>
      <c r="P29" s="260"/>
      <c r="Q29" s="260"/>
      <c r="R29" s="261" t="e">
        <f aca="false">B29</f>
        <v>#VALUE!</v>
      </c>
      <c r="S29" s="262" t="n">
        <f aca="false">T29-$S$16</f>
        <v>1.68</v>
      </c>
      <c r="T29" s="257" t="n">
        <f aca="false">D29</f>
        <v>1.75</v>
      </c>
      <c r="U29" s="263" t="n">
        <f aca="false">$U$16+T29</f>
        <v>1.82</v>
      </c>
      <c r="BP29" s="226" t="n">
        <f aca="false">BP28+BV29</f>
        <v>28</v>
      </c>
      <c r="BQ29" s="227" t="s">
        <v>395</v>
      </c>
      <c r="BR29" s="224" t="s">
        <v>226</v>
      </c>
      <c r="BS29" s="154" t="s">
        <v>359</v>
      </c>
      <c r="BT29" s="230" t="s">
        <v>228</v>
      </c>
      <c r="BU29" s="230"/>
      <c r="BV29" s="154" t="n">
        <v>1</v>
      </c>
      <c r="BW29" s="224" t="s">
        <v>396</v>
      </c>
      <c r="BX29" s="0"/>
      <c r="BZ29" s="226" t="n">
        <f aca="false">BZ28+CF29</f>
        <v>28</v>
      </c>
      <c r="CA29" s="84" t="s">
        <v>397</v>
      </c>
      <c r="CB29" s="224" t="s">
        <v>230</v>
      </c>
      <c r="CC29" s="154" t="s">
        <v>227</v>
      </c>
      <c r="CD29" s="230" t="s">
        <v>228</v>
      </c>
      <c r="CE29" s="230"/>
      <c r="CF29" s="154" t="n">
        <v>1</v>
      </c>
      <c r="CG29" s="224" t="s">
        <v>398</v>
      </c>
      <c r="CH29" s="0"/>
    </row>
    <row r="30" customFormat="false" ht="12.75" hidden="false" customHeight="false" outlineLevel="0" collapsed="false">
      <c r="A30" s="258"/>
      <c r="B30" s="259" t="e">
        <f aca="false">NextMonth(B29)</f>
        <v>#VALUE!</v>
      </c>
      <c r="C30" s="215" t="n">
        <v>0.053858944109129</v>
      </c>
      <c r="D30" s="269" t="n">
        <v>1.3</v>
      </c>
      <c r="E30" s="269" t="n">
        <v>1.3</v>
      </c>
      <c r="F30" s="269" t="n">
        <v>0.4275</v>
      </c>
      <c r="G30" s="269" t="n">
        <v>0.435</v>
      </c>
      <c r="H30" s="269" t="n">
        <v>0.4425</v>
      </c>
      <c r="I30" s="260" t="n">
        <v>5.595</v>
      </c>
      <c r="J30" s="269" t="n">
        <v>5.6</v>
      </c>
      <c r="K30" s="215" t="n">
        <v>5.605</v>
      </c>
      <c r="L30" s="269" t="n">
        <v>1.65</v>
      </c>
      <c r="M30" s="215" t="n">
        <v>0.01</v>
      </c>
      <c r="N30" s="270"/>
      <c r="O30" s="211"/>
      <c r="P30" s="260"/>
      <c r="Q30" s="260"/>
      <c r="R30" s="261" t="e">
        <f aca="false">B30</f>
        <v>#VALUE!</v>
      </c>
      <c r="S30" s="262" t="n">
        <f aca="false">T30-$S$16</f>
        <v>1.23</v>
      </c>
      <c r="T30" s="257" t="n">
        <f aca="false">D30</f>
        <v>1.3</v>
      </c>
      <c r="U30" s="263" t="n">
        <f aca="false">$U$16+T30</f>
        <v>1.37</v>
      </c>
      <c r="BP30" s="226" t="n">
        <f aca="false">BP29+BV30</f>
        <v>29</v>
      </c>
      <c r="BQ30" s="227" t="s">
        <v>399</v>
      </c>
      <c r="BR30" s="224" t="s">
        <v>226</v>
      </c>
      <c r="BS30" s="154" t="s">
        <v>359</v>
      </c>
      <c r="BT30" s="230" t="s">
        <v>228</v>
      </c>
      <c r="BU30" s="230"/>
      <c r="BV30" s="154" t="n">
        <v>1</v>
      </c>
      <c r="BW30" s="224" t="s">
        <v>400</v>
      </c>
      <c r="BX30" s="0"/>
      <c r="BZ30" s="226" t="n">
        <f aca="false">BZ29+CF30</f>
        <v>29</v>
      </c>
      <c r="CA30" s="84" t="s">
        <v>401</v>
      </c>
      <c r="CB30" s="224" t="s">
        <v>230</v>
      </c>
      <c r="CC30" s="154" t="s">
        <v>227</v>
      </c>
      <c r="CD30" s="230" t="s">
        <v>228</v>
      </c>
      <c r="CE30" s="230"/>
      <c r="CF30" s="154" t="n">
        <v>1</v>
      </c>
      <c r="CG30" s="224" t="s">
        <v>402</v>
      </c>
      <c r="CH30" s="0"/>
    </row>
    <row r="31" customFormat="false" ht="12.75" hidden="false" customHeight="false" outlineLevel="0" collapsed="false">
      <c r="A31" s="258"/>
      <c r="B31" s="259" t="e">
        <f aca="false">NextMonth(B30)</f>
        <v>#VALUE!</v>
      </c>
      <c r="C31" s="215" t="n">
        <v>0.053811179361892</v>
      </c>
      <c r="D31" s="269" t="n">
        <v>0.45</v>
      </c>
      <c r="E31" s="269" t="n">
        <v>0.45</v>
      </c>
      <c r="F31" s="269" t="n">
        <v>0.355</v>
      </c>
      <c r="G31" s="269" t="n">
        <v>0.3625</v>
      </c>
      <c r="H31" s="269" t="n">
        <v>0.37</v>
      </c>
      <c r="I31" s="260" t="n">
        <v>4.715</v>
      </c>
      <c r="J31" s="269" t="n">
        <v>4.72</v>
      </c>
      <c r="K31" s="215" t="n">
        <v>4.725</v>
      </c>
      <c r="L31" s="269" t="n">
        <v>0.5</v>
      </c>
      <c r="M31" s="215" t="n">
        <v>0.02</v>
      </c>
      <c r="O31" s="211"/>
      <c r="P31" s="260"/>
      <c r="Q31" s="260"/>
      <c r="R31" s="261" t="e">
        <f aca="false">B31</f>
        <v>#VALUE!</v>
      </c>
      <c r="S31" s="262" t="n">
        <f aca="false">T31-$S$16</f>
        <v>0.38</v>
      </c>
      <c r="T31" s="257" t="n">
        <f aca="false">D31</f>
        <v>0.45</v>
      </c>
      <c r="U31" s="263" t="n">
        <f aca="false">$U$16+T31</f>
        <v>0.52</v>
      </c>
      <c r="BP31" s="226" t="n">
        <f aca="false">BP30+BV31</f>
        <v>30</v>
      </c>
      <c r="BQ31" s="227" t="s">
        <v>403</v>
      </c>
      <c r="BR31" s="224" t="s">
        <v>226</v>
      </c>
      <c r="BS31" s="154" t="s">
        <v>359</v>
      </c>
      <c r="BT31" s="230" t="s">
        <v>228</v>
      </c>
      <c r="BU31" s="230"/>
      <c r="BV31" s="154" t="n">
        <v>1</v>
      </c>
      <c r="BW31" s="224" t="s">
        <v>404</v>
      </c>
      <c r="BX31" s="0"/>
      <c r="BZ31" s="226" t="n">
        <f aca="false">BZ30+CF31</f>
        <v>30</v>
      </c>
      <c r="CA31" s="84" t="s">
        <v>405</v>
      </c>
      <c r="CB31" s="224" t="s">
        <v>230</v>
      </c>
      <c r="CC31" s="154" t="s">
        <v>227</v>
      </c>
      <c r="CD31" s="230" t="s">
        <v>228</v>
      </c>
      <c r="CE31" s="230"/>
      <c r="CF31" s="154" t="n">
        <v>1</v>
      </c>
      <c r="CG31" s="224" t="s">
        <v>406</v>
      </c>
      <c r="CH31" s="0"/>
    </row>
    <row r="32" customFormat="false" ht="12.75" hidden="false" customHeight="false" outlineLevel="0" collapsed="false">
      <c r="A32" s="258"/>
      <c r="B32" s="259" t="e">
        <f aca="false">NextMonth(B31)</f>
        <v>#VALUE!</v>
      </c>
      <c r="C32" s="215" t="n">
        <v>0.053783211531939</v>
      </c>
      <c r="D32" s="269" t="n">
        <v>0.5</v>
      </c>
      <c r="E32" s="269" t="n">
        <v>0.5</v>
      </c>
      <c r="F32" s="269" t="n">
        <v>0.33</v>
      </c>
      <c r="G32" s="269" t="n">
        <v>0.3375</v>
      </c>
      <c r="H32" s="269" t="n">
        <v>0.345</v>
      </c>
      <c r="I32" s="260" t="n">
        <v>4.508</v>
      </c>
      <c r="J32" s="269" t="n">
        <v>4.513</v>
      </c>
      <c r="K32" s="215" t="n">
        <v>4.518</v>
      </c>
      <c r="L32" s="269" t="n">
        <v>0.44</v>
      </c>
      <c r="M32" s="215" t="n">
        <v>0.02</v>
      </c>
      <c r="O32" s="211"/>
      <c r="P32" s="260"/>
      <c r="Q32" s="260"/>
      <c r="R32" s="261" t="e">
        <f aca="false">B32</f>
        <v>#VALUE!</v>
      </c>
      <c r="S32" s="262" t="n">
        <f aca="false">T32-$S$16</f>
        <v>0.43</v>
      </c>
      <c r="T32" s="257" t="n">
        <f aca="false">D32</f>
        <v>0.5</v>
      </c>
      <c r="U32" s="263" t="n">
        <f aca="false">$U$16+T32</f>
        <v>0.57</v>
      </c>
      <c r="BP32" s="226" t="n">
        <f aca="false">BP31+BV32</f>
        <v>31</v>
      </c>
      <c r="BQ32" s="227" t="s">
        <v>407</v>
      </c>
      <c r="BR32" s="224" t="s">
        <v>226</v>
      </c>
      <c r="BS32" s="154" t="s">
        <v>359</v>
      </c>
      <c r="BT32" s="230" t="s">
        <v>228</v>
      </c>
      <c r="BU32" s="230"/>
      <c r="BV32" s="154" t="n">
        <v>1</v>
      </c>
      <c r="BW32" s="224" t="s">
        <v>408</v>
      </c>
      <c r="BX32" s="0"/>
      <c r="BZ32" s="226" t="n">
        <f aca="false">BZ31+CF32</f>
        <v>31</v>
      </c>
      <c r="CA32" s="84" t="s">
        <v>409</v>
      </c>
      <c r="CB32" s="224" t="s">
        <v>230</v>
      </c>
      <c r="CC32" s="154" t="s">
        <v>227</v>
      </c>
      <c r="CD32" s="230" t="s">
        <v>228</v>
      </c>
      <c r="CE32" s="230"/>
      <c r="CF32" s="154" t="n">
        <v>1</v>
      </c>
      <c r="CG32" s="224" t="s">
        <v>410</v>
      </c>
      <c r="CH32" s="0"/>
    </row>
    <row r="33" customFormat="false" ht="12.75" hidden="false" customHeight="false" outlineLevel="0" collapsed="false">
      <c r="A33" s="258"/>
      <c r="B33" s="259" t="e">
        <f aca="false">NextMonth(B32)</f>
        <v>#VALUE!</v>
      </c>
      <c r="C33" s="215" t="n">
        <v>0.053754311441261</v>
      </c>
      <c r="D33" s="269" t="n">
        <v>0.5</v>
      </c>
      <c r="E33" s="269" t="n">
        <v>0.5</v>
      </c>
      <c r="F33" s="269" t="n">
        <v>0.3225</v>
      </c>
      <c r="G33" s="269" t="n">
        <v>0.33</v>
      </c>
      <c r="H33" s="269" t="n">
        <v>0.3375</v>
      </c>
      <c r="I33" s="260" t="n">
        <v>4.468</v>
      </c>
      <c r="J33" s="269" t="n">
        <v>4.473</v>
      </c>
      <c r="K33" s="215" t="n">
        <v>4.478</v>
      </c>
      <c r="L33" s="269" t="n">
        <v>0.44</v>
      </c>
      <c r="M33" s="215" t="n">
        <v>0.02</v>
      </c>
      <c r="O33" s="211"/>
      <c r="P33" s="260"/>
      <c r="Q33" s="260"/>
      <c r="R33" s="261" t="e">
        <f aca="false">B33</f>
        <v>#VALUE!</v>
      </c>
      <c r="S33" s="262" t="n">
        <f aca="false">T33-$S$16</f>
        <v>0.43</v>
      </c>
      <c r="T33" s="257" t="n">
        <f aca="false">D33</f>
        <v>0.5</v>
      </c>
      <c r="U33" s="263" t="n">
        <f aca="false">$U$16+T33</f>
        <v>0.57</v>
      </c>
      <c r="BP33" s="226" t="n">
        <f aca="false">BP32+BV33</f>
        <v>32</v>
      </c>
      <c r="BQ33" s="227" t="s">
        <v>411</v>
      </c>
      <c r="BR33" s="224" t="s">
        <v>226</v>
      </c>
      <c r="BS33" s="154" t="s">
        <v>359</v>
      </c>
      <c r="BT33" s="230" t="s">
        <v>228</v>
      </c>
      <c r="BU33" s="230"/>
      <c r="BV33" s="154" t="n">
        <v>1</v>
      </c>
      <c r="BW33" s="224" t="s">
        <v>412</v>
      </c>
      <c r="BX33" s="0"/>
      <c r="BZ33" s="226" t="n">
        <f aca="false">BZ32+CF33</f>
        <v>32</v>
      </c>
      <c r="CA33" s="84" t="s">
        <v>413</v>
      </c>
      <c r="CB33" s="224" t="s">
        <v>230</v>
      </c>
      <c r="CC33" s="154" t="s">
        <v>227</v>
      </c>
      <c r="CD33" s="230" t="s">
        <v>228</v>
      </c>
      <c r="CE33" s="230"/>
      <c r="CF33" s="154" t="n">
        <v>1</v>
      </c>
      <c r="CG33" s="224" t="s">
        <v>414</v>
      </c>
      <c r="CH33" s="0"/>
    </row>
    <row r="34" customFormat="false" ht="12.75" hidden="false" customHeight="false" outlineLevel="0" collapsed="false">
      <c r="A34" s="258"/>
      <c r="B34" s="259" t="e">
        <f aca="false">NextMonth(B33)</f>
        <v>#VALUE!</v>
      </c>
      <c r="C34" s="215" t="n">
        <v>0.053753867875072</v>
      </c>
      <c r="D34" s="269" t="n">
        <v>0.5</v>
      </c>
      <c r="E34" s="269" t="n">
        <v>0.5</v>
      </c>
      <c r="F34" s="269" t="n">
        <v>0.3175</v>
      </c>
      <c r="G34" s="269" t="n">
        <v>0.325</v>
      </c>
      <c r="H34" s="269" t="n">
        <v>0.3325</v>
      </c>
      <c r="I34" s="260" t="n">
        <v>4.473</v>
      </c>
      <c r="J34" s="269" t="n">
        <v>4.478</v>
      </c>
      <c r="K34" s="215" t="n">
        <v>4.483</v>
      </c>
      <c r="L34" s="269" t="n">
        <v>0.5</v>
      </c>
      <c r="M34" s="215" t="n">
        <v>0.02</v>
      </c>
      <c r="O34" s="211"/>
      <c r="P34" s="260"/>
      <c r="Q34" s="260"/>
      <c r="R34" s="261" t="e">
        <f aca="false">B34</f>
        <v>#VALUE!</v>
      </c>
      <c r="S34" s="262" t="n">
        <f aca="false">T34-$S$16</f>
        <v>0.43</v>
      </c>
      <c r="T34" s="257" t="n">
        <f aca="false">D34</f>
        <v>0.5</v>
      </c>
      <c r="U34" s="263" t="n">
        <f aca="false">$U$16+T34</f>
        <v>0.57</v>
      </c>
      <c r="BP34" s="226" t="n">
        <f aca="false">BP33+BV34</f>
        <v>33</v>
      </c>
      <c r="BQ34" s="227" t="s">
        <v>415</v>
      </c>
      <c r="BR34" s="224" t="s">
        <v>226</v>
      </c>
      <c r="BS34" s="154" t="s">
        <v>359</v>
      </c>
      <c r="BT34" s="230" t="s">
        <v>228</v>
      </c>
      <c r="BU34" s="230"/>
      <c r="BV34" s="154" t="n">
        <v>1</v>
      </c>
      <c r="BW34" s="224" t="s">
        <v>416</v>
      </c>
      <c r="BX34" s="0"/>
      <c r="BZ34" s="226" t="n">
        <f aca="false">BZ33+CF34</f>
        <v>33</v>
      </c>
      <c r="CA34" s="84" t="s">
        <v>417</v>
      </c>
      <c r="CB34" s="224" t="s">
        <v>230</v>
      </c>
      <c r="CC34" s="154" t="s">
        <v>227</v>
      </c>
      <c r="CD34" s="230" t="s">
        <v>228</v>
      </c>
      <c r="CE34" s="230"/>
      <c r="CF34" s="154" t="n">
        <v>1</v>
      </c>
      <c r="CG34" s="224" t="s">
        <v>418</v>
      </c>
      <c r="CH34" s="0"/>
    </row>
    <row r="35" customFormat="false" ht="12.75" hidden="false" customHeight="false" outlineLevel="0" collapsed="false">
      <c r="A35" s="258"/>
      <c r="B35" s="259" t="e">
        <f aca="false">NextMonth(B34)</f>
        <v>#VALUE!</v>
      </c>
      <c r="C35" s="215" t="n">
        <v>0.053798596544218</v>
      </c>
      <c r="D35" s="269" t="n">
        <v>0.6</v>
      </c>
      <c r="E35" s="269" t="n">
        <v>0.6</v>
      </c>
      <c r="F35" s="269" t="n">
        <v>0.3175</v>
      </c>
      <c r="G35" s="269" t="n">
        <v>0.325</v>
      </c>
      <c r="H35" s="269" t="n">
        <v>0.3325</v>
      </c>
      <c r="I35" s="260" t="n">
        <v>4.468</v>
      </c>
      <c r="J35" s="269" t="n">
        <v>4.473</v>
      </c>
      <c r="K35" s="215" t="n">
        <v>4.478</v>
      </c>
      <c r="L35" s="269" t="n">
        <v>0.5</v>
      </c>
      <c r="M35" s="215" t="n">
        <v>0.02</v>
      </c>
      <c r="O35" s="211"/>
      <c r="P35" s="260"/>
      <c r="Q35" s="260"/>
      <c r="R35" s="261" t="e">
        <f aca="false">B35</f>
        <v>#VALUE!</v>
      </c>
      <c r="S35" s="262" t="n">
        <f aca="false">T35-$S$16</f>
        <v>0.53</v>
      </c>
      <c r="T35" s="257" t="n">
        <f aca="false">D35</f>
        <v>0.6</v>
      </c>
      <c r="U35" s="263" t="n">
        <f aca="false">$U$16+T35</f>
        <v>0.67</v>
      </c>
      <c r="BP35" s="226" t="n">
        <f aca="false">BP34+BV35</f>
        <v>34</v>
      </c>
      <c r="BQ35" s="227" t="s">
        <v>419</v>
      </c>
      <c r="BR35" s="224" t="s">
        <v>226</v>
      </c>
      <c r="BS35" s="154" t="s">
        <v>359</v>
      </c>
      <c r="BT35" s="230" t="s">
        <v>228</v>
      </c>
      <c r="BU35" s="230"/>
      <c r="BV35" s="154" t="n">
        <v>1</v>
      </c>
      <c r="BW35" s="224" t="s">
        <v>420</v>
      </c>
      <c r="BX35" s="0"/>
      <c r="BZ35" s="226" t="n">
        <f aca="false">BZ34+CF35</f>
        <v>34</v>
      </c>
      <c r="CA35" s="84" t="s">
        <v>421</v>
      </c>
      <c r="CB35" s="224" t="s">
        <v>230</v>
      </c>
      <c r="CC35" s="154" t="s">
        <v>227</v>
      </c>
      <c r="CD35" s="230" t="s">
        <v>228</v>
      </c>
      <c r="CE35" s="230"/>
      <c r="CF35" s="154" t="n">
        <v>1</v>
      </c>
      <c r="CG35" s="224" t="s">
        <v>422</v>
      </c>
      <c r="CH35" s="0"/>
    </row>
    <row r="36" customFormat="false" ht="12.75" hidden="false" customHeight="false" outlineLevel="0" collapsed="false">
      <c r="A36" s="258"/>
      <c r="B36" s="259" t="e">
        <f aca="false">NextMonth(B35)</f>
        <v>#VALUE!</v>
      </c>
      <c r="C36" s="215" t="n">
        <v>0.053843325214032</v>
      </c>
      <c r="D36" s="269" t="n">
        <v>0.6</v>
      </c>
      <c r="E36" s="269" t="n">
        <v>0.6</v>
      </c>
      <c r="F36" s="269" t="n">
        <v>0.3175</v>
      </c>
      <c r="G36" s="269" t="n">
        <v>0.325</v>
      </c>
      <c r="H36" s="269" t="n">
        <v>0.3325</v>
      </c>
      <c r="I36" s="260" t="n">
        <v>4.455</v>
      </c>
      <c r="J36" s="269" t="n">
        <v>4.46</v>
      </c>
      <c r="K36" s="215" t="n">
        <v>4.465</v>
      </c>
      <c r="L36" s="269" t="n">
        <v>0.46</v>
      </c>
      <c r="M36" s="215" t="n">
        <v>0.02</v>
      </c>
      <c r="O36" s="211"/>
      <c r="P36" s="260"/>
      <c r="Q36" s="260"/>
      <c r="R36" s="261" t="e">
        <f aca="false">B36</f>
        <v>#VALUE!</v>
      </c>
      <c r="S36" s="262" t="n">
        <f aca="false">T36-$S$16</f>
        <v>0.53</v>
      </c>
      <c r="T36" s="257" t="n">
        <f aca="false">D36</f>
        <v>0.6</v>
      </c>
      <c r="U36" s="263" t="n">
        <f aca="false">$U$16+T36</f>
        <v>0.67</v>
      </c>
      <c r="BP36" s="226" t="n">
        <f aca="false">BP35+BV36</f>
        <v>35</v>
      </c>
      <c r="BQ36" s="227" t="s">
        <v>423</v>
      </c>
      <c r="BR36" s="224" t="s">
        <v>226</v>
      </c>
      <c r="BS36" s="154" t="s">
        <v>359</v>
      </c>
      <c r="BT36" s="230" t="s">
        <v>228</v>
      </c>
      <c r="BU36" s="230"/>
      <c r="BV36" s="154" t="n">
        <v>1</v>
      </c>
      <c r="BW36" s="224" t="s">
        <v>424</v>
      </c>
      <c r="BX36" s="0"/>
      <c r="BZ36" s="226" t="n">
        <f aca="false">BZ35+CF36</f>
        <v>35</v>
      </c>
      <c r="CA36" s="84" t="s">
        <v>425</v>
      </c>
      <c r="CB36" s="224" t="s">
        <v>230</v>
      </c>
      <c r="CC36" s="154" t="s">
        <v>227</v>
      </c>
      <c r="CD36" s="230" t="s">
        <v>228</v>
      </c>
      <c r="CE36" s="230"/>
      <c r="CF36" s="154" t="n">
        <v>1</v>
      </c>
      <c r="CG36" s="224" t="s">
        <v>426</v>
      </c>
      <c r="CH36" s="0"/>
    </row>
    <row r="37" customFormat="false" ht="12.75" hidden="false" customHeight="false" outlineLevel="0" collapsed="false">
      <c r="A37" s="258"/>
      <c r="B37" s="259" t="e">
        <f aca="false">NextMonth(B36)</f>
        <v>#VALUE!</v>
      </c>
      <c r="C37" s="215" t="n">
        <v>0.053898883775665</v>
      </c>
      <c r="D37" s="269" t="n">
        <v>0.65</v>
      </c>
      <c r="E37" s="269" t="n">
        <v>0.65</v>
      </c>
      <c r="F37" s="269" t="n">
        <v>0.32</v>
      </c>
      <c r="G37" s="269" t="n">
        <v>0.3275</v>
      </c>
      <c r="H37" s="269" t="n">
        <v>0.335</v>
      </c>
      <c r="I37" s="260" t="n">
        <v>4.485</v>
      </c>
      <c r="J37" s="269" t="n">
        <v>4.49</v>
      </c>
      <c r="K37" s="215" t="n">
        <v>4.495</v>
      </c>
      <c r="L37" s="269" t="n">
        <v>0.47</v>
      </c>
      <c r="M37" s="215" t="n">
        <v>0.02</v>
      </c>
      <c r="O37" s="211"/>
      <c r="P37" s="260"/>
      <c r="Q37" s="260"/>
      <c r="R37" s="261" t="e">
        <f aca="false">B37</f>
        <v>#VALUE!</v>
      </c>
      <c r="S37" s="262" t="n">
        <f aca="false">T37-$S$16</f>
        <v>0.58</v>
      </c>
      <c r="T37" s="257" t="n">
        <f aca="false">D37</f>
        <v>0.65</v>
      </c>
      <c r="U37" s="263" t="n">
        <f aca="false">$U$16+T37</f>
        <v>0.72</v>
      </c>
      <c r="BP37" s="226" t="n">
        <f aca="false">BP36+BV37</f>
        <v>36</v>
      </c>
      <c r="BQ37" s="227" t="s">
        <v>427</v>
      </c>
      <c r="BR37" s="224" t="s">
        <v>226</v>
      </c>
      <c r="BS37" s="154" t="s">
        <v>359</v>
      </c>
      <c r="BT37" s="230" t="s">
        <v>228</v>
      </c>
      <c r="BU37" s="230"/>
      <c r="BV37" s="154" t="n">
        <v>1</v>
      </c>
      <c r="BW37" s="224" t="s">
        <v>428</v>
      </c>
      <c r="BX37" s="0"/>
      <c r="BZ37" s="226" t="n">
        <f aca="false">BZ36+CF37</f>
        <v>36</v>
      </c>
      <c r="CA37" s="84" t="s">
        <v>429</v>
      </c>
      <c r="CB37" s="224" t="s">
        <v>230</v>
      </c>
      <c r="CC37" s="154" t="s">
        <v>227</v>
      </c>
      <c r="CD37" s="230" t="s">
        <v>228</v>
      </c>
      <c r="CE37" s="230"/>
      <c r="CF37" s="154" t="n">
        <v>1</v>
      </c>
      <c r="CG37" s="224" t="s">
        <v>430</v>
      </c>
      <c r="CH37" s="0"/>
    </row>
    <row r="38" customFormat="false" ht="12.75" hidden="false" customHeight="false" outlineLevel="0" collapsed="false">
      <c r="A38" s="258"/>
      <c r="B38" s="259" t="e">
        <f aca="false">NextMonth(B37)</f>
        <v>#VALUE!</v>
      </c>
      <c r="C38" s="215" t="n">
        <v>0.053973871330399</v>
      </c>
      <c r="D38" s="269" t="n">
        <v>0.95</v>
      </c>
      <c r="E38" s="269" t="n">
        <v>0.95</v>
      </c>
      <c r="F38" s="269" t="n">
        <v>0.32</v>
      </c>
      <c r="G38" s="269" t="n">
        <v>0.3275</v>
      </c>
      <c r="H38" s="269" t="n">
        <v>0.335</v>
      </c>
      <c r="I38" s="260" t="n">
        <v>4.59</v>
      </c>
      <c r="J38" s="269" t="n">
        <v>4.595</v>
      </c>
      <c r="K38" s="215" t="n">
        <v>4.6</v>
      </c>
      <c r="L38" s="269" t="n">
        <v>0.85</v>
      </c>
      <c r="M38" s="215" t="n">
        <v>0.01</v>
      </c>
      <c r="O38" s="211"/>
      <c r="P38" s="260"/>
      <c r="Q38" s="260"/>
      <c r="R38" s="261" t="e">
        <f aca="false">B38</f>
        <v>#VALUE!</v>
      </c>
      <c r="S38" s="262" t="n">
        <f aca="false">T38-$S$16</f>
        <v>0.88</v>
      </c>
      <c r="T38" s="257" t="n">
        <f aca="false">D38</f>
        <v>0.95</v>
      </c>
      <c r="U38" s="263" t="n">
        <f aca="false">$U$16+T38</f>
        <v>1.02</v>
      </c>
      <c r="BP38" s="226" t="n">
        <f aca="false">BP37+BV38</f>
        <v>37</v>
      </c>
      <c r="BQ38" s="227" t="s">
        <v>431</v>
      </c>
      <c r="BR38" s="224" t="s">
        <v>226</v>
      </c>
      <c r="BS38" s="154" t="s">
        <v>359</v>
      </c>
      <c r="BT38" s="230" t="s">
        <v>228</v>
      </c>
      <c r="BU38" s="230"/>
      <c r="BV38" s="154" t="n">
        <v>1</v>
      </c>
      <c r="BW38" s="224" t="s">
        <v>432</v>
      </c>
      <c r="BX38" s="0"/>
      <c r="BZ38" s="226" t="n">
        <f aca="false">BZ37+CF38</f>
        <v>37</v>
      </c>
      <c r="CA38" s="84" t="s">
        <v>433</v>
      </c>
      <c r="CB38" s="224" t="s">
        <v>230</v>
      </c>
      <c r="CC38" s="154" t="s">
        <v>227</v>
      </c>
      <c r="CD38" s="230" t="s">
        <v>228</v>
      </c>
      <c r="CE38" s="230"/>
      <c r="CF38" s="154" t="n">
        <v>1</v>
      </c>
      <c r="CG38" s="224" t="s">
        <v>434</v>
      </c>
      <c r="CH38" s="0"/>
    </row>
    <row r="39" customFormat="false" ht="12.75" hidden="false" customHeight="false" outlineLevel="0" collapsed="false">
      <c r="A39" s="258"/>
      <c r="B39" s="259" t="e">
        <f aca="false">NextMonth(B38)</f>
        <v>#VALUE!</v>
      </c>
      <c r="C39" s="215" t="n">
        <v>0.054046439933537</v>
      </c>
      <c r="D39" s="269" t="n">
        <v>1.25</v>
      </c>
      <c r="E39" s="269" t="n">
        <v>1.25</v>
      </c>
      <c r="F39" s="269" t="n">
        <v>0.3225</v>
      </c>
      <c r="G39" s="269" t="n">
        <v>0.33</v>
      </c>
      <c r="H39" s="269" t="n">
        <v>0.3375</v>
      </c>
      <c r="I39" s="260" t="n">
        <v>4.69</v>
      </c>
      <c r="J39" s="269" t="n">
        <v>4.695</v>
      </c>
      <c r="K39" s="215" t="n">
        <v>4.7</v>
      </c>
      <c r="L39" s="269" t="n">
        <v>1.26</v>
      </c>
      <c r="M39" s="215" t="n">
        <v>0.01</v>
      </c>
      <c r="O39" s="211"/>
      <c r="P39" s="260"/>
      <c r="Q39" s="260"/>
      <c r="R39" s="261" t="e">
        <f aca="false">B39</f>
        <v>#VALUE!</v>
      </c>
      <c r="S39" s="262" t="n">
        <f aca="false">T39-$S$16</f>
        <v>1.18</v>
      </c>
      <c r="T39" s="257" t="n">
        <f aca="false">D39</f>
        <v>1.25</v>
      </c>
      <c r="U39" s="263" t="n">
        <f aca="false">$U$16+T39</f>
        <v>1.32</v>
      </c>
      <c r="BP39" s="226" t="n">
        <f aca="false">BP38+BV39</f>
        <v>38</v>
      </c>
      <c r="BQ39" s="227" t="s">
        <v>435</v>
      </c>
      <c r="BR39" s="224" t="s">
        <v>226</v>
      </c>
      <c r="BS39" s="154" t="s">
        <v>359</v>
      </c>
      <c r="BT39" s="230" t="s">
        <v>228</v>
      </c>
      <c r="BU39" s="230"/>
      <c r="BV39" s="154" t="n">
        <v>1</v>
      </c>
      <c r="BW39" s="224" t="s">
        <v>436</v>
      </c>
      <c r="BX39" s="0"/>
      <c r="BZ39" s="226" t="n">
        <f aca="false">BZ38+CF39</f>
        <v>38</v>
      </c>
      <c r="CA39" s="84" t="s">
        <v>437</v>
      </c>
      <c r="CB39" s="224" t="s">
        <v>230</v>
      </c>
      <c r="CC39" s="154" t="s">
        <v>227</v>
      </c>
      <c r="CD39" s="230" t="s">
        <v>228</v>
      </c>
      <c r="CE39" s="230"/>
      <c r="CF39" s="154" t="n">
        <v>1</v>
      </c>
      <c r="CG39" s="224" t="s">
        <v>438</v>
      </c>
      <c r="CH39" s="0"/>
    </row>
    <row r="40" customFormat="false" ht="12.75" hidden="false" customHeight="false" outlineLevel="0" collapsed="false">
      <c r="A40" s="258"/>
      <c r="B40" s="259" t="e">
        <f aca="false">NextMonth(B39)</f>
        <v>#VALUE!</v>
      </c>
      <c r="C40" s="215" t="n">
        <v>0.054138502291509</v>
      </c>
      <c r="D40" s="269" t="n">
        <v>1.45</v>
      </c>
      <c r="E40" s="269" t="n">
        <v>1.45</v>
      </c>
      <c r="F40" s="269" t="n">
        <v>0.3225</v>
      </c>
      <c r="G40" s="269" t="n">
        <v>0.33</v>
      </c>
      <c r="H40" s="269" t="n">
        <v>0.3375</v>
      </c>
      <c r="I40" s="260" t="n">
        <v>4.719</v>
      </c>
      <c r="J40" s="269" t="n">
        <v>4.724</v>
      </c>
      <c r="K40" s="215" t="n">
        <v>4.729</v>
      </c>
      <c r="L40" s="269" t="n">
        <v>1.58</v>
      </c>
      <c r="M40" s="215" t="n">
        <v>0.01</v>
      </c>
      <c r="O40" s="211"/>
      <c r="P40" s="260"/>
      <c r="Q40" s="260"/>
      <c r="R40" s="261" t="e">
        <f aca="false">B40</f>
        <v>#VALUE!</v>
      </c>
      <c r="S40" s="262" t="n">
        <f aca="false">T40-$S$16</f>
        <v>1.38</v>
      </c>
      <c r="T40" s="257" t="n">
        <f aca="false">D40</f>
        <v>1.45</v>
      </c>
      <c r="U40" s="263" t="n">
        <f aca="false">$U$16+T40</f>
        <v>1.52</v>
      </c>
      <c r="BP40" s="226" t="n">
        <f aca="false">BP39+BV40</f>
        <v>39</v>
      </c>
      <c r="BQ40" s="227" t="s">
        <v>439</v>
      </c>
      <c r="BR40" s="224" t="s">
        <v>226</v>
      </c>
      <c r="BS40" s="154" t="s">
        <v>359</v>
      </c>
      <c r="BT40" s="230" t="s">
        <v>228</v>
      </c>
      <c r="BU40" s="230"/>
      <c r="BV40" s="154" t="n">
        <v>1</v>
      </c>
      <c r="BW40" s="224" t="s">
        <v>440</v>
      </c>
      <c r="BX40" s="0"/>
      <c r="BZ40" s="226" t="n">
        <f aca="false">BZ39+CF40</f>
        <v>39</v>
      </c>
      <c r="CA40" s="84" t="s">
        <v>441</v>
      </c>
      <c r="CB40" s="224" t="s">
        <v>230</v>
      </c>
      <c r="CC40" s="154" t="s">
        <v>227</v>
      </c>
      <c r="CD40" s="230" t="s">
        <v>228</v>
      </c>
      <c r="CE40" s="230"/>
      <c r="CF40" s="154" t="n">
        <v>1</v>
      </c>
      <c r="CG40" s="224" t="s">
        <v>442</v>
      </c>
      <c r="CH40" s="0"/>
    </row>
    <row r="41" customFormat="false" ht="12.75" hidden="false" customHeight="false" outlineLevel="0" collapsed="false">
      <c r="A41" s="258"/>
      <c r="B41" s="259" t="e">
        <f aca="false">NextMonth(B40)</f>
        <v>#VALUE!</v>
      </c>
      <c r="C41" s="215" t="n">
        <v>0.05425129833824</v>
      </c>
      <c r="D41" s="269" t="n">
        <v>1.45</v>
      </c>
      <c r="E41" s="269" t="n">
        <v>1.45</v>
      </c>
      <c r="F41" s="269" t="n">
        <v>0.31</v>
      </c>
      <c r="G41" s="269" t="n">
        <v>0.3175</v>
      </c>
      <c r="H41" s="269" t="n">
        <v>0.325</v>
      </c>
      <c r="I41" s="260" t="n">
        <v>4.544</v>
      </c>
      <c r="J41" s="269" t="n">
        <v>4.549</v>
      </c>
      <c r="K41" s="215" t="n">
        <v>4.554</v>
      </c>
      <c r="L41" s="269" t="n">
        <v>1.54</v>
      </c>
      <c r="M41" s="215" t="n">
        <v>0.01</v>
      </c>
      <c r="O41" s="211"/>
      <c r="P41" s="260"/>
      <c r="Q41" s="260"/>
      <c r="R41" s="261" t="e">
        <f aca="false">B41</f>
        <v>#VALUE!</v>
      </c>
      <c r="S41" s="262" t="n">
        <f aca="false">T41-$S$16</f>
        <v>1.38</v>
      </c>
      <c r="T41" s="257" t="n">
        <f aca="false">D41</f>
        <v>1.45</v>
      </c>
      <c r="U41" s="263" t="n">
        <f aca="false">$U$16+T41</f>
        <v>1.52</v>
      </c>
      <c r="BP41" s="226" t="n">
        <f aca="false">BP40+BV41</f>
        <v>40</v>
      </c>
      <c r="BQ41" s="227" t="s">
        <v>443</v>
      </c>
      <c r="BR41" s="224" t="s">
        <v>226</v>
      </c>
      <c r="BS41" s="154" t="s">
        <v>359</v>
      </c>
      <c r="BT41" s="230" t="s">
        <v>228</v>
      </c>
      <c r="BU41" s="230"/>
      <c r="BV41" s="154" t="n">
        <v>1</v>
      </c>
      <c r="BW41" s="224" t="s">
        <v>444</v>
      </c>
      <c r="BX41" s="0"/>
      <c r="BZ41" s="226" t="n">
        <f aca="false">BZ40+CF41</f>
        <v>40</v>
      </c>
      <c r="CA41" s="84" t="s">
        <v>445</v>
      </c>
      <c r="CB41" s="224" t="s">
        <v>230</v>
      </c>
      <c r="CC41" s="154" t="s">
        <v>227</v>
      </c>
      <c r="CD41" s="230" t="s">
        <v>228</v>
      </c>
      <c r="CE41" s="230"/>
      <c r="CF41" s="154" t="n">
        <v>1</v>
      </c>
      <c r="CG41" s="224" t="s">
        <v>446</v>
      </c>
      <c r="CH41" s="0"/>
    </row>
    <row r="42" customFormat="false" ht="12.75" hidden="false" customHeight="false" outlineLevel="0" collapsed="false">
      <c r="A42" s="258"/>
      <c r="B42" s="259" t="e">
        <f aca="false">NextMonth(B41)</f>
        <v>#VALUE!</v>
      </c>
      <c r="C42" s="215" t="n">
        <v>0.054353178642157</v>
      </c>
      <c r="D42" s="269" t="n">
        <v>1</v>
      </c>
      <c r="E42" s="269" t="n">
        <v>1</v>
      </c>
      <c r="F42" s="269" t="n">
        <v>0.3025</v>
      </c>
      <c r="G42" s="269" t="n">
        <v>0.31</v>
      </c>
      <c r="H42" s="269" t="n">
        <v>0.3175</v>
      </c>
      <c r="I42" s="260" t="n">
        <v>4.294</v>
      </c>
      <c r="J42" s="269" t="n">
        <v>4.299</v>
      </c>
      <c r="K42" s="215" t="n">
        <v>4.304</v>
      </c>
      <c r="L42" s="269" t="n">
        <v>0.92</v>
      </c>
      <c r="M42" s="215" t="n">
        <v>0.01</v>
      </c>
      <c r="O42" s="211"/>
      <c r="P42" s="260"/>
      <c r="Q42" s="260"/>
      <c r="R42" s="261" t="e">
        <f aca="false">B42</f>
        <v>#VALUE!</v>
      </c>
      <c r="S42" s="262" t="n">
        <f aca="false">T42-$S$16</f>
        <v>0.93</v>
      </c>
      <c r="T42" s="257" t="n">
        <f aca="false">D42</f>
        <v>1</v>
      </c>
      <c r="U42" s="263" t="n">
        <f aca="false">$U$16+T42</f>
        <v>1.07</v>
      </c>
      <c r="BP42" s="226" t="n">
        <f aca="false">BP41+BV42</f>
        <v>41</v>
      </c>
      <c r="BQ42" s="227" t="s">
        <v>447</v>
      </c>
      <c r="BR42" s="224" t="s">
        <v>226</v>
      </c>
      <c r="BS42" s="154" t="s">
        <v>359</v>
      </c>
      <c r="BT42" s="230" t="s">
        <v>228</v>
      </c>
      <c r="BU42" s="230"/>
      <c r="BV42" s="154" t="n">
        <v>1</v>
      </c>
      <c r="BW42" s="224" t="s">
        <v>448</v>
      </c>
      <c r="BX42" s="0"/>
      <c r="BZ42" s="226" t="n">
        <f aca="false">BZ41+CF42</f>
        <v>41</v>
      </c>
      <c r="CA42" s="84" t="s">
        <v>449</v>
      </c>
      <c r="CB42" s="224" t="s">
        <v>230</v>
      </c>
      <c r="CC42" s="154" t="s">
        <v>227</v>
      </c>
      <c r="CD42" s="230" t="s">
        <v>228</v>
      </c>
      <c r="CE42" s="230"/>
      <c r="CF42" s="154" t="n">
        <v>1</v>
      </c>
      <c r="CG42" s="224" t="s">
        <v>450</v>
      </c>
      <c r="CH42" s="0"/>
    </row>
    <row r="43" customFormat="false" ht="12.75" hidden="false" customHeight="false" outlineLevel="0" collapsed="false">
      <c r="A43" s="258"/>
      <c r="B43" s="259" t="e">
        <f aca="false">NextMonth(B42)</f>
        <v>#VALUE!</v>
      </c>
      <c r="C43" s="215" t="n">
        <v>0.054454190075276</v>
      </c>
      <c r="D43" s="269" t="n">
        <v>0.45</v>
      </c>
      <c r="E43" s="269" t="n">
        <v>0.45</v>
      </c>
      <c r="F43" s="269" t="n">
        <v>0.2925</v>
      </c>
      <c r="G43" s="269" t="n">
        <v>0.3</v>
      </c>
      <c r="H43" s="269" t="n">
        <v>0.3075</v>
      </c>
      <c r="I43" s="260" t="n">
        <v>3.991</v>
      </c>
      <c r="J43" s="269" t="n">
        <v>3.996</v>
      </c>
      <c r="K43" s="215" t="n">
        <v>4.001</v>
      </c>
      <c r="L43" s="269" t="n">
        <v>0.5</v>
      </c>
      <c r="M43" s="215" t="n">
        <v>0.02</v>
      </c>
      <c r="O43" s="211"/>
      <c r="P43" s="260"/>
      <c r="Q43" s="260"/>
      <c r="R43" s="261" t="e">
        <f aca="false">B43</f>
        <v>#VALUE!</v>
      </c>
      <c r="S43" s="262" t="n">
        <f aca="false">T43-$S$16</f>
        <v>0.38</v>
      </c>
      <c r="T43" s="257" t="n">
        <f aca="false">D43</f>
        <v>0.45</v>
      </c>
      <c r="U43" s="263" t="n">
        <f aca="false">$U$16+T43</f>
        <v>0.52</v>
      </c>
      <c r="BP43" s="226" t="n">
        <f aca="false">BP42+BV43</f>
        <v>42</v>
      </c>
      <c r="BQ43" s="227" t="s">
        <v>451</v>
      </c>
      <c r="BR43" s="224" t="s">
        <v>226</v>
      </c>
      <c r="BS43" s="154" t="s">
        <v>359</v>
      </c>
      <c r="BT43" s="230" t="s">
        <v>228</v>
      </c>
      <c r="BU43" s="230"/>
      <c r="BV43" s="154" t="n">
        <v>1</v>
      </c>
      <c r="BW43" s="224" t="s">
        <v>452</v>
      </c>
      <c r="BX43" s="0"/>
      <c r="BZ43" s="226" t="n">
        <f aca="false">BZ42+CF43</f>
        <v>42</v>
      </c>
      <c r="CA43" s="84" t="s">
        <v>453</v>
      </c>
      <c r="CB43" s="224" t="s">
        <v>230</v>
      </c>
      <c r="CC43" s="154" t="s">
        <v>227</v>
      </c>
      <c r="CD43" s="230" t="s">
        <v>228</v>
      </c>
      <c r="CE43" s="230"/>
      <c r="CF43" s="154" t="n">
        <v>1</v>
      </c>
      <c r="CG43" s="224" t="s">
        <v>454</v>
      </c>
      <c r="CH43" s="0"/>
    </row>
    <row r="44" customFormat="false" ht="12.75" hidden="false" customHeight="false" outlineLevel="0" collapsed="false">
      <c r="A44" s="258"/>
      <c r="B44" s="259" t="e">
        <f aca="false">NextMonth(B43)</f>
        <v>#VALUE!</v>
      </c>
      <c r="C44" s="215" t="n">
        <v>0.054536343531129</v>
      </c>
      <c r="D44" s="269" t="n">
        <v>0.5</v>
      </c>
      <c r="E44" s="269" t="n">
        <v>0.5</v>
      </c>
      <c r="F44" s="269" t="n">
        <v>0.2875</v>
      </c>
      <c r="G44" s="269" t="n">
        <v>0.295</v>
      </c>
      <c r="H44" s="269" t="n">
        <v>0.3025</v>
      </c>
      <c r="I44" s="260" t="n">
        <v>3.916</v>
      </c>
      <c r="J44" s="269" t="n">
        <v>3.921</v>
      </c>
      <c r="K44" s="215" t="n">
        <v>3.926</v>
      </c>
      <c r="L44" s="269" t="n">
        <v>0.44</v>
      </c>
      <c r="M44" s="215" t="n">
        <v>0.02</v>
      </c>
      <c r="O44" s="211"/>
      <c r="P44" s="260"/>
      <c r="Q44" s="260"/>
      <c r="R44" s="261" t="e">
        <f aca="false">B44</f>
        <v>#VALUE!</v>
      </c>
      <c r="S44" s="262" t="n">
        <f aca="false">T44-$S$16</f>
        <v>0.43</v>
      </c>
      <c r="T44" s="257" t="n">
        <f aca="false">D44</f>
        <v>0.5</v>
      </c>
      <c r="U44" s="263" t="n">
        <f aca="false">$U$16+T44</f>
        <v>0.57</v>
      </c>
      <c r="BP44" s="226" t="n">
        <f aca="false">BP43+BV44</f>
        <v>43</v>
      </c>
      <c r="BQ44" s="227" t="s">
        <v>455</v>
      </c>
      <c r="BR44" s="224" t="s">
        <v>226</v>
      </c>
      <c r="BS44" s="154" t="s">
        <v>359</v>
      </c>
      <c r="BT44" s="230" t="s">
        <v>228</v>
      </c>
      <c r="BU44" s="230"/>
      <c r="BV44" s="154" t="n">
        <v>1</v>
      </c>
      <c r="BW44" s="224" t="s">
        <v>456</v>
      </c>
      <c r="BX44" s="0"/>
      <c r="BZ44" s="226" t="n">
        <f aca="false">BZ43+CF44</f>
        <v>43</v>
      </c>
      <c r="CA44" s="84" t="s">
        <v>457</v>
      </c>
      <c r="CB44" s="224" t="s">
        <v>230</v>
      </c>
      <c r="CC44" s="154" t="s">
        <v>227</v>
      </c>
      <c r="CD44" s="230" t="s">
        <v>228</v>
      </c>
      <c r="CE44" s="230"/>
      <c r="CF44" s="154" t="n">
        <v>1</v>
      </c>
      <c r="CG44" s="224" t="s">
        <v>458</v>
      </c>
      <c r="CH44" s="0"/>
    </row>
    <row r="45" customFormat="false" ht="12.75" hidden="false" customHeight="false" outlineLevel="0" collapsed="false">
      <c r="A45" s="258"/>
      <c r="B45" s="259" t="e">
        <f aca="false">NextMonth(B44)</f>
        <v>#VALUE!</v>
      </c>
      <c r="C45" s="215" t="n">
        <v>0.054621235437872</v>
      </c>
      <c r="D45" s="269" t="n">
        <v>0.5</v>
      </c>
      <c r="E45" s="269" t="n">
        <v>0.5</v>
      </c>
      <c r="F45" s="269" t="n">
        <v>0.2875</v>
      </c>
      <c r="G45" s="269" t="n">
        <v>0.295</v>
      </c>
      <c r="H45" s="269" t="n">
        <v>0.3025</v>
      </c>
      <c r="I45" s="260" t="n">
        <v>3.92</v>
      </c>
      <c r="J45" s="269" t="n">
        <v>3.925</v>
      </c>
      <c r="K45" s="215" t="n">
        <v>3.93</v>
      </c>
      <c r="L45" s="269" t="n">
        <v>0.44</v>
      </c>
      <c r="M45" s="215" t="n">
        <v>0.02</v>
      </c>
      <c r="O45" s="211"/>
      <c r="P45" s="260"/>
      <c r="Q45" s="260"/>
      <c r="R45" s="261" t="e">
        <f aca="false">B45</f>
        <v>#VALUE!</v>
      </c>
      <c r="S45" s="262" t="n">
        <f aca="false">T45-$S$16</f>
        <v>0.43</v>
      </c>
      <c r="T45" s="257" t="n">
        <f aca="false">D45</f>
        <v>0.5</v>
      </c>
      <c r="U45" s="263" t="n">
        <f aca="false">$U$16+T45</f>
        <v>0.57</v>
      </c>
      <c r="BP45" s="226" t="n">
        <f aca="false">BP44+BV45</f>
        <v>44</v>
      </c>
      <c r="BQ45" s="227" t="s">
        <v>356</v>
      </c>
      <c r="BR45" s="224" t="s">
        <v>226</v>
      </c>
      <c r="BS45" s="154" t="s">
        <v>227</v>
      </c>
      <c r="BT45" s="230" t="s">
        <v>228</v>
      </c>
      <c r="BU45" s="230"/>
      <c r="BV45" s="154" t="n">
        <v>1</v>
      </c>
      <c r="BW45" s="224" t="s">
        <v>459</v>
      </c>
      <c r="BX45" s="0"/>
      <c r="BZ45" s="226" t="n">
        <f aca="false">BZ44+CF45</f>
        <v>44</v>
      </c>
      <c r="CA45" s="84" t="s">
        <v>460</v>
      </c>
      <c r="CB45" s="224" t="s">
        <v>230</v>
      </c>
      <c r="CC45" s="154" t="s">
        <v>227</v>
      </c>
      <c r="CD45" s="230" t="s">
        <v>228</v>
      </c>
      <c r="CE45" s="230"/>
      <c r="CF45" s="154" t="n">
        <v>1</v>
      </c>
      <c r="CG45" s="224" t="s">
        <v>461</v>
      </c>
      <c r="CH45" s="0"/>
    </row>
    <row r="46" customFormat="false" ht="12.75" hidden="false" customHeight="false" outlineLevel="0" collapsed="false">
      <c r="A46" s="258"/>
      <c r="B46" s="259" t="e">
        <f aca="false">NextMonth(B45)</f>
        <v>#VALUE!</v>
      </c>
      <c r="C46" s="215" t="n">
        <v>0.054703194533146</v>
      </c>
      <c r="D46" s="269" t="n">
        <v>0.5</v>
      </c>
      <c r="E46" s="269" t="n">
        <v>0.5</v>
      </c>
      <c r="F46" s="269" t="n">
        <v>0.2875</v>
      </c>
      <c r="G46" s="269" t="n">
        <v>0.295</v>
      </c>
      <c r="H46" s="269" t="n">
        <v>0.3025</v>
      </c>
      <c r="I46" s="260" t="n">
        <v>3.935</v>
      </c>
      <c r="J46" s="269" t="n">
        <v>3.94</v>
      </c>
      <c r="K46" s="215" t="n">
        <v>3.945</v>
      </c>
      <c r="L46" s="269" t="n">
        <v>0.5</v>
      </c>
      <c r="M46" s="215" t="n">
        <v>0.02</v>
      </c>
      <c r="O46" s="211"/>
      <c r="P46" s="260"/>
      <c r="Q46" s="260"/>
      <c r="R46" s="261" t="e">
        <f aca="false">B46</f>
        <v>#VALUE!</v>
      </c>
      <c r="S46" s="262" t="n">
        <f aca="false">T46-$S$16</f>
        <v>0.43</v>
      </c>
      <c r="T46" s="257" t="n">
        <f aca="false">D46</f>
        <v>0.5</v>
      </c>
      <c r="U46" s="263" t="n">
        <f aca="false">$U$16+T46</f>
        <v>0.57</v>
      </c>
      <c r="BP46" s="226" t="n">
        <f aca="false">BP45+BV46</f>
        <v>45</v>
      </c>
      <c r="BQ46" s="227" t="s">
        <v>356</v>
      </c>
      <c r="BR46" s="224" t="s">
        <v>226</v>
      </c>
      <c r="BS46" s="154" t="s">
        <v>359</v>
      </c>
      <c r="BT46" s="230" t="s">
        <v>228</v>
      </c>
      <c r="BU46" s="230"/>
      <c r="BV46" s="154" t="n">
        <v>1</v>
      </c>
      <c r="BW46" s="224" t="s">
        <v>462</v>
      </c>
      <c r="BX46" s="0"/>
      <c r="BZ46" s="226" t="n">
        <f aca="false">BZ45+CF46</f>
        <v>45</v>
      </c>
      <c r="CA46" s="84" t="s">
        <v>463</v>
      </c>
      <c r="CB46" s="224" t="s">
        <v>230</v>
      </c>
      <c r="CC46" s="154" t="s">
        <v>227</v>
      </c>
      <c r="CD46" s="230" t="s">
        <v>228</v>
      </c>
      <c r="CE46" s="230"/>
      <c r="CF46" s="154" t="n">
        <v>1</v>
      </c>
      <c r="CG46" s="224" t="s">
        <v>464</v>
      </c>
      <c r="CH46" s="0"/>
    </row>
    <row r="47" customFormat="false" ht="12.75" hidden="false" customHeight="false" outlineLevel="0" collapsed="false">
      <c r="A47" s="258"/>
      <c r="B47" s="259" t="e">
        <f aca="false">NextMonth(B46)</f>
        <v>#VALUE!</v>
      </c>
      <c r="C47" s="215" t="n">
        <v>0.054787606551799</v>
      </c>
      <c r="D47" s="269" t="n">
        <v>0.6</v>
      </c>
      <c r="E47" s="269" t="n">
        <v>0.6</v>
      </c>
      <c r="F47" s="269" t="n">
        <v>0.2875</v>
      </c>
      <c r="G47" s="269" t="n">
        <v>0.295</v>
      </c>
      <c r="H47" s="269" t="n">
        <v>0.3025</v>
      </c>
      <c r="I47" s="260" t="n">
        <v>3.935</v>
      </c>
      <c r="J47" s="269" t="n">
        <v>3.94</v>
      </c>
      <c r="K47" s="215" t="n">
        <v>3.945</v>
      </c>
      <c r="L47" s="269" t="n">
        <v>0.5</v>
      </c>
      <c r="M47" s="215" t="n">
        <v>0.02</v>
      </c>
      <c r="O47" s="211"/>
      <c r="P47" s="260"/>
      <c r="Q47" s="260"/>
      <c r="R47" s="261" t="e">
        <f aca="false">B47</f>
        <v>#VALUE!</v>
      </c>
      <c r="S47" s="262" t="n">
        <f aca="false">T47-$S$16</f>
        <v>0.53</v>
      </c>
      <c r="T47" s="257" t="n">
        <f aca="false">D47</f>
        <v>0.6</v>
      </c>
      <c r="U47" s="263" t="n">
        <f aca="false">$U$16+T47</f>
        <v>0.67</v>
      </c>
      <c r="BP47" s="226" t="n">
        <f aca="false">BP46+BV47</f>
        <v>46</v>
      </c>
      <c r="BQ47" s="227" t="s">
        <v>465</v>
      </c>
      <c r="BR47" s="224" t="s">
        <v>226</v>
      </c>
      <c r="BS47" s="154" t="s">
        <v>359</v>
      </c>
      <c r="BT47" s="230" t="s">
        <v>228</v>
      </c>
      <c r="BU47" s="230"/>
      <c r="BV47" s="154" t="n">
        <v>1</v>
      </c>
      <c r="BW47" s="224" t="s">
        <v>466</v>
      </c>
      <c r="BX47" s="0"/>
      <c r="BZ47" s="226" t="n">
        <f aca="false">BZ46+CF47</f>
        <v>46</v>
      </c>
      <c r="CA47" s="84" t="s">
        <v>467</v>
      </c>
      <c r="CB47" s="224" t="s">
        <v>230</v>
      </c>
      <c r="CC47" s="154" t="s">
        <v>227</v>
      </c>
      <c r="CD47" s="230" t="s">
        <v>228</v>
      </c>
      <c r="CE47" s="230"/>
      <c r="CF47" s="154" t="n">
        <v>1</v>
      </c>
      <c r="CG47" s="224" t="s">
        <v>468</v>
      </c>
      <c r="CH47" s="0"/>
    </row>
    <row r="48" customFormat="false" ht="12.75" hidden="false" customHeight="false" outlineLevel="0" collapsed="false">
      <c r="A48" s="258"/>
      <c r="B48" s="259" t="e">
        <f aca="false">NextMonth(B47)</f>
        <v>#VALUE!</v>
      </c>
      <c r="C48" s="215" t="n">
        <v>0.054872018572825</v>
      </c>
      <c r="D48" s="269" t="n">
        <v>0.6</v>
      </c>
      <c r="E48" s="269" t="n">
        <v>0.6</v>
      </c>
      <c r="F48" s="269" t="n">
        <v>0.2875</v>
      </c>
      <c r="G48" s="269" t="n">
        <v>0.295</v>
      </c>
      <c r="H48" s="269" t="n">
        <v>0.3025</v>
      </c>
      <c r="I48" s="260" t="n">
        <v>3.956</v>
      </c>
      <c r="J48" s="269" t="n">
        <v>3.961</v>
      </c>
      <c r="K48" s="215" t="n">
        <v>3.966</v>
      </c>
      <c r="L48" s="269" t="n">
        <v>0.46</v>
      </c>
      <c r="M48" s="215" t="n">
        <v>0.02</v>
      </c>
      <c r="O48" s="211"/>
      <c r="P48" s="260"/>
      <c r="Q48" s="260"/>
      <c r="R48" s="261" t="e">
        <f aca="false">B48</f>
        <v>#VALUE!</v>
      </c>
      <c r="S48" s="262" t="n">
        <f aca="false">T48-$S$16</f>
        <v>0.53</v>
      </c>
      <c r="T48" s="257" t="n">
        <f aca="false">D48</f>
        <v>0.6</v>
      </c>
      <c r="U48" s="263" t="n">
        <f aca="false">$U$16+T48</f>
        <v>0.67</v>
      </c>
      <c r="BP48" s="226" t="n">
        <f aca="false">BP47+BV48</f>
        <v>47</v>
      </c>
      <c r="BQ48" s="227" t="s">
        <v>469</v>
      </c>
      <c r="BR48" s="224" t="s">
        <v>226</v>
      </c>
      <c r="BS48" s="154" t="s">
        <v>359</v>
      </c>
      <c r="BT48" s="230" t="s">
        <v>228</v>
      </c>
      <c r="BU48" s="230"/>
      <c r="BV48" s="154" t="n">
        <v>1</v>
      </c>
      <c r="BW48" s="224" t="s">
        <v>470</v>
      </c>
      <c r="BX48" s="0"/>
      <c r="BZ48" s="226" t="n">
        <f aca="false">BZ47+CF48</f>
        <v>47</v>
      </c>
      <c r="CA48" s="84" t="s">
        <v>471</v>
      </c>
      <c r="CB48" s="224" t="s">
        <v>230</v>
      </c>
      <c r="CC48" s="154" t="s">
        <v>227</v>
      </c>
      <c r="CD48" s="230" t="s">
        <v>228</v>
      </c>
      <c r="CE48" s="230"/>
      <c r="CF48" s="154" t="n">
        <v>1</v>
      </c>
      <c r="CG48" s="224" t="s">
        <v>472</v>
      </c>
      <c r="CH48" s="0"/>
    </row>
    <row r="49" customFormat="false" ht="12.75" hidden="false" customHeight="false" outlineLevel="0" collapsed="false">
      <c r="A49" s="258"/>
      <c r="B49" s="259" t="e">
        <f aca="false">NextMonth(B48)</f>
        <v>#VALUE!</v>
      </c>
      <c r="C49" s="215" t="n">
        <v>0.054953513215957</v>
      </c>
      <c r="D49" s="269" t="n">
        <v>0.65</v>
      </c>
      <c r="E49" s="269" t="n">
        <v>0.65</v>
      </c>
      <c r="F49" s="269" t="n">
        <v>0.2875</v>
      </c>
      <c r="G49" s="269" t="n">
        <v>0.295</v>
      </c>
      <c r="H49" s="269" t="n">
        <v>0.3025</v>
      </c>
      <c r="I49" s="260" t="n">
        <v>3.981</v>
      </c>
      <c r="J49" s="269" t="n">
        <v>3.986</v>
      </c>
      <c r="K49" s="215" t="n">
        <v>3.991</v>
      </c>
      <c r="L49" s="269" t="n">
        <v>0.47</v>
      </c>
      <c r="M49" s="215" t="n">
        <v>0.02</v>
      </c>
      <c r="O49" s="211"/>
      <c r="P49" s="260"/>
      <c r="Q49" s="260"/>
      <c r="R49" s="261" t="e">
        <f aca="false">B49</f>
        <v>#VALUE!</v>
      </c>
      <c r="S49" s="262" t="n">
        <f aca="false">T49-$S$16</f>
        <v>0.58</v>
      </c>
      <c r="T49" s="257" t="n">
        <f aca="false">D49</f>
        <v>0.65</v>
      </c>
      <c r="U49" s="263" t="n">
        <f aca="false">$U$16+T49</f>
        <v>0.72</v>
      </c>
      <c r="BP49" s="226" t="n">
        <f aca="false">BP48+BV49</f>
        <v>48</v>
      </c>
      <c r="BQ49" s="227" t="s">
        <v>473</v>
      </c>
      <c r="BR49" s="224" t="s">
        <v>226</v>
      </c>
      <c r="BS49" s="154" t="s">
        <v>359</v>
      </c>
      <c r="BT49" s="230" t="s">
        <v>228</v>
      </c>
      <c r="BU49" s="230"/>
      <c r="BV49" s="154" t="n">
        <v>1</v>
      </c>
      <c r="BW49" s="224" t="s">
        <v>474</v>
      </c>
      <c r="BX49" s="0"/>
      <c r="BZ49" s="226" t="n">
        <f aca="false">BZ48+CF49</f>
        <v>48</v>
      </c>
      <c r="CA49" s="84" t="s">
        <v>475</v>
      </c>
      <c r="CB49" s="224" t="s">
        <v>230</v>
      </c>
      <c r="CC49" s="154" t="s">
        <v>227</v>
      </c>
      <c r="CD49" s="230" t="s">
        <v>228</v>
      </c>
      <c r="CE49" s="230"/>
      <c r="CF49" s="154" t="n">
        <v>1</v>
      </c>
      <c r="CG49" s="224" t="s">
        <v>476</v>
      </c>
      <c r="CH49" s="0"/>
    </row>
    <row r="50" customFormat="false" ht="12.75" hidden="false" customHeight="false" outlineLevel="0" collapsed="false">
      <c r="A50" s="258"/>
      <c r="B50" s="259" t="e">
        <f aca="false">NextMonth(B49)</f>
        <v>#VALUE!</v>
      </c>
      <c r="C50" s="215" t="n">
        <v>0.055037480368084</v>
      </c>
      <c r="D50" s="269" t="n">
        <v>0.95</v>
      </c>
      <c r="E50" s="269" t="n">
        <v>0.95</v>
      </c>
      <c r="F50" s="269" t="n">
        <v>0.2875</v>
      </c>
      <c r="G50" s="269" t="n">
        <v>0.295</v>
      </c>
      <c r="H50" s="269" t="n">
        <v>0.3025</v>
      </c>
      <c r="I50" s="260" t="n">
        <v>4.116</v>
      </c>
      <c r="J50" s="269" t="n">
        <v>4.121</v>
      </c>
      <c r="K50" s="215" t="n">
        <v>4.126</v>
      </c>
      <c r="L50" s="269" t="n">
        <v>0.85</v>
      </c>
      <c r="M50" s="215" t="n">
        <v>0.03</v>
      </c>
      <c r="O50" s="211"/>
      <c r="P50" s="260"/>
      <c r="Q50" s="260"/>
      <c r="R50" s="261" t="e">
        <f aca="false">B50</f>
        <v>#VALUE!</v>
      </c>
      <c r="S50" s="262" t="n">
        <f aca="false">T50-$S$16</f>
        <v>0.88</v>
      </c>
      <c r="T50" s="257" t="n">
        <f aca="false">D50</f>
        <v>0.95</v>
      </c>
      <c r="U50" s="263" t="n">
        <f aca="false">$U$16+T50</f>
        <v>1.02</v>
      </c>
      <c r="BP50" s="226" t="n">
        <f aca="false">BP49+BV50</f>
        <v>49</v>
      </c>
      <c r="BQ50" s="227" t="s">
        <v>361</v>
      </c>
      <c r="BR50" s="224" t="s">
        <v>226</v>
      </c>
      <c r="BS50" s="154" t="s">
        <v>227</v>
      </c>
      <c r="BT50" s="230" t="s">
        <v>228</v>
      </c>
      <c r="BU50" s="230"/>
      <c r="BV50" s="154" t="n">
        <v>1</v>
      </c>
      <c r="BW50" s="224" t="s">
        <v>477</v>
      </c>
      <c r="BX50" s="0"/>
      <c r="BZ50" s="226" t="n">
        <f aca="false">BZ49+CF50</f>
        <v>49</v>
      </c>
      <c r="CA50" s="84" t="s">
        <v>478</v>
      </c>
      <c r="CB50" s="224" t="s">
        <v>230</v>
      </c>
      <c r="CC50" s="154" t="s">
        <v>227</v>
      </c>
      <c r="CD50" s="230" t="s">
        <v>228</v>
      </c>
      <c r="CE50" s="230"/>
      <c r="CF50" s="154" t="n">
        <v>1</v>
      </c>
      <c r="CG50" s="224" t="s">
        <v>479</v>
      </c>
      <c r="CH50" s="0"/>
    </row>
    <row r="51" customFormat="false" ht="12.75" hidden="false" customHeight="false" outlineLevel="0" collapsed="false">
      <c r="A51" s="258"/>
      <c r="B51" s="259" t="e">
        <f aca="false">NextMonth(B50)</f>
        <v>#VALUE!</v>
      </c>
      <c r="C51" s="215" t="n">
        <v>0.055118738904638</v>
      </c>
      <c r="D51" s="269" t="n">
        <v>1.25</v>
      </c>
      <c r="E51" s="269" t="n">
        <v>1.25</v>
      </c>
      <c r="F51" s="269" t="n">
        <v>0.29</v>
      </c>
      <c r="G51" s="269" t="n">
        <v>0.2975</v>
      </c>
      <c r="H51" s="269" t="n">
        <v>0.305</v>
      </c>
      <c r="I51" s="260" t="n">
        <v>4.241</v>
      </c>
      <c r="J51" s="269" t="n">
        <v>4.246</v>
      </c>
      <c r="K51" s="215" t="n">
        <v>4.251</v>
      </c>
      <c r="L51" s="269" t="n">
        <v>1.26</v>
      </c>
      <c r="M51" s="215" t="n">
        <v>0.03</v>
      </c>
      <c r="O51" s="211"/>
      <c r="P51" s="260"/>
      <c r="Q51" s="260"/>
      <c r="R51" s="261" t="e">
        <f aca="false">B51</f>
        <v>#VALUE!</v>
      </c>
      <c r="S51" s="262" t="n">
        <f aca="false">T51-$S$16</f>
        <v>1.18</v>
      </c>
      <c r="T51" s="257" t="n">
        <f aca="false">D51</f>
        <v>1.25</v>
      </c>
      <c r="U51" s="263" t="n">
        <f aca="false">$U$16+T51</f>
        <v>1.32</v>
      </c>
      <c r="BP51" s="226" t="n">
        <f aca="false">BP50+BV51</f>
        <v>50</v>
      </c>
      <c r="BQ51" s="227" t="s">
        <v>480</v>
      </c>
      <c r="BR51" s="224" t="s">
        <v>226</v>
      </c>
      <c r="BS51" s="154" t="s">
        <v>359</v>
      </c>
      <c r="BT51" s="230" t="s">
        <v>228</v>
      </c>
      <c r="BU51" s="230"/>
      <c r="BV51" s="154" t="n">
        <v>1</v>
      </c>
      <c r="BW51" s="224" t="s">
        <v>481</v>
      </c>
      <c r="BX51" s="0"/>
      <c r="BZ51" s="226" t="n">
        <f aca="false">BZ50+CF51</f>
        <v>50</v>
      </c>
      <c r="CA51" s="84" t="s">
        <v>482</v>
      </c>
      <c r="CB51" s="224" t="s">
        <v>230</v>
      </c>
      <c r="CC51" s="154" t="s">
        <v>227</v>
      </c>
      <c r="CD51" s="230" t="s">
        <v>228</v>
      </c>
      <c r="CE51" s="230"/>
      <c r="CF51" s="154" t="n">
        <v>1</v>
      </c>
      <c r="CG51" s="224" t="s">
        <v>483</v>
      </c>
      <c r="CH51" s="0"/>
    </row>
    <row r="52" customFormat="false" ht="12.75" hidden="false" customHeight="false" outlineLevel="0" collapsed="false">
      <c r="A52" s="258"/>
      <c r="B52" s="259" t="e">
        <f aca="false">NextMonth(B51)</f>
        <v>#VALUE!</v>
      </c>
      <c r="C52" s="215" t="n">
        <v>0.055209084886415</v>
      </c>
      <c r="D52" s="269" t="n">
        <v>1.45</v>
      </c>
      <c r="E52" s="269" t="n">
        <v>1.45</v>
      </c>
      <c r="F52" s="269" t="n">
        <v>0.29</v>
      </c>
      <c r="G52" s="269" t="n">
        <v>0.2975</v>
      </c>
      <c r="H52" s="269" t="n">
        <v>0.305</v>
      </c>
      <c r="I52" s="260" t="n">
        <v>4.27</v>
      </c>
      <c r="J52" s="269" t="n">
        <v>4.275</v>
      </c>
      <c r="K52" s="215" t="n">
        <v>4.28</v>
      </c>
      <c r="L52" s="269" t="n">
        <v>1.58</v>
      </c>
      <c r="M52" s="215" t="n">
        <v>0.03</v>
      </c>
      <c r="O52" s="211"/>
      <c r="P52" s="260"/>
      <c r="Q52" s="260"/>
      <c r="R52" s="261" t="e">
        <f aca="false">B52</f>
        <v>#VALUE!</v>
      </c>
      <c r="S52" s="262" t="n">
        <f aca="false">T52-$S$16</f>
        <v>1.38</v>
      </c>
      <c r="T52" s="257" t="n">
        <f aca="false">D52</f>
        <v>1.45</v>
      </c>
      <c r="U52" s="263" t="n">
        <f aca="false">$U$16+T52</f>
        <v>1.52</v>
      </c>
      <c r="BP52" s="226" t="n">
        <f aca="false">BP51+BV52</f>
        <v>51</v>
      </c>
      <c r="BQ52" s="227" t="s">
        <v>484</v>
      </c>
      <c r="BR52" s="224" t="s">
        <v>226</v>
      </c>
      <c r="BS52" s="154" t="s">
        <v>359</v>
      </c>
      <c r="BT52" s="230" t="s">
        <v>228</v>
      </c>
      <c r="BU52" s="230"/>
      <c r="BV52" s="154" t="n">
        <v>1</v>
      </c>
      <c r="BW52" s="224" t="s">
        <v>485</v>
      </c>
      <c r="BX52" s="0"/>
      <c r="BZ52" s="226" t="n">
        <f aca="false">BZ51+CF52</f>
        <v>51</v>
      </c>
      <c r="CA52" s="84" t="s">
        <v>486</v>
      </c>
      <c r="CB52" s="224" t="s">
        <v>230</v>
      </c>
      <c r="CC52" s="154" t="s">
        <v>227</v>
      </c>
      <c r="CD52" s="230" t="s">
        <v>228</v>
      </c>
      <c r="CE52" s="230"/>
      <c r="CF52" s="154" t="n">
        <v>1</v>
      </c>
      <c r="CG52" s="224" t="s">
        <v>487</v>
      </c>
      <c r="CH52" s="0"/>
    </row>
    <row r="53" customFormat="false" ht="12.75" hidden="false" customHeight="false" outlineLevel="0" collapsed="false">
      <c r="A53" s="258"/>
      <c r="B53" s="259" t="e">
        <f aca="false">NextMonth(B52)</f>
        <v>#VALUE!</v>
      </c>
      <c r="C53" s="215" t="n">
        <v>0.055306234951161</v>
      </c>
      <c r="D53" s="269" t="n">
        <v>1.45</v>
      </c>
      <c r="E53" s="269" t="n">
        <v>1.45</v>
      </c>
      <c r="F53" s="269" t="n">
        <v>0.2875</v>
      </c>
      <c r="G53" s="269" t="n">
        <v>0.295</v>
      </c>
      <c r="H53" s="269" t="n">
        <v>0.3025</v>
      </c>
      <c r="I53" s="260" t="n">
        <v>4.174</v>
      </c>
      <c r="J53" s="269" t="n">
        <v>4.179</v>
      </c>
      <c r="K53" s="215" t="n">
        <v>4.184</v>
      </c>
      <c r="L53" s="269" t="n">
        <v>1.54</v>
      </c>
      <c r="M53" s="215" t="n">
        <v>0.03</v>
      </c>
      <c r="O53" s="211"/>
      <c r="P53" s="260"/>
      <c r="Q53" s="260"/>
      <c r="R53" s="261" t="e">
        <f aca="false">B53</f>
        <v>#VALUE!</v>
      </c>
      <c r="S53" s="262" t="n">
        <f aca="false">T53-$S$16</f>
        <v>1.38</v>
      </c>
      <c r="T53" s="257" t="n">
        <f aca="false">D53</f>
        <v>1.45</v>
      </c>
      <c r="U53" s="263" t="n">
        <f aca="false">$U$16+T53</f>
        <v>1.52</v>
      </c>
      <c r="BP53" s="226" t="n">
        <f aca="false">BP52+BV53</f>
        <v>52</v>
      </c>
      <c r="BQ53" s="227" t="s">
        <v>488</v>
      </c>
      <c r="BR53" s="224" t="s">
        <v>226</v>
      </c>
      <c r="BS53" s="154" t="s">
        <v>359</v>
      </c>
      <c r="BT53" s="230" t="s">
        <v>228</v>
      </c>
      <c r="BU53" s="230"/>
      <c r="BV53" s="154" t="n">
        <v>1</v>
      </c>
      <c r="BW53" s="224" t="s">
        <v>489</v>
      </c>
      <c r="BX53" s="0"/>
      <c r="BZ53" s="226" t="n">
        <f aca="false">BZ52+CF53</f>
        <v>52</v>
      </c>
      <c r="CA53" s="84" t="s">
        <v>490</v>
      </c>
      <c r="CB53" s="224" t="s">
        <v>230</v>
      </c>
      <c r="CC53" s="154" t="s">
        <v>227</v>
      </c>
      <c r="CD53" s="230" t="s">
        <v>228</v>
      </c>
      <c r="CE53" s="230"/>
      <c r="CF53" s="154" t="n">
        <v>1</v>
      </c>
      <c r="CG53" s="224" t="s">
        <v>491</v>
      </c>
      <c r="CH53" s="0"/>
    </row>
    <row r="54" customFormat="false" ht="12.75" hidden="false" customHeight="false" outlineLevel="0" collapsed="false">
      <c r="A54" s="258"/>
      <c r="B54" s="259" t="e">
        <f aca="false">NextMonth(B53)</f>
        <v>#VALUE!</v>
      </c>
      <c r="C54" s="215" t="n">
        <v>0.05539711727264</v>
      </c>
      <c r="D54" s="269" t="n">
        <v>1</v>
      </c>
      <c r="E54" s="269" t="n">
        <v>1</v>
      </c>
      <c r="F54" s="269" t="n">
        <v>0.285</v>
      </c>
      <c r="G54" s="269" t="n">
        <v>0.2925</v>
      </c>
      <c r="H54" s="269" t="n">
        <v>0.3</v>
      </c>
      <c r="I54" s="260" t="n">
        <v>4.024</v>
      </c>
      <c r="J54" s="269" t="n">
        <v>4.029</v>
      </c>
      <c r="K54" s="215" t="n">
        <v>4.034</v>
      </c>
      <c r="L54" s="269" t="n">
        <v>0.92</v>
      </c>
      <c r="M54" s="215" t="n">
        <v>0.03</v>
      </c>
      <c r="O54" s="211"/>
      <c r="P54" s="260"/>
      <c r="Q54" s="260"/>
      <c r="R54" s="261" t="e">
        <f aca="false">B54</f>
        <v>#VALUE!</v>
      </c>
      <c r="S54" s="262" t="n">
        <f aca="false">T54-$S$16</f>
        <v>0.93</v>
      </c>
      <c r="T54" s="257" t="n">
        <f aca="false">D54</f>
        <v>1</v>
      </c>
      <c r="U54" s="263" t="n">
        <f aca="false">$U$16+T54</f>
        <v>1.07</v>
      </c>
      <c r="BP54" s="226" t="n">
        <f aca="false">BP53+BV54</f>
        <v>53</v>
      </c>
      <c r="BQ54" s="227" t="s">
        <v>492</v>
      </c>
      <c r="BR54" s="224" t="s">
        <v>226</v>
      </c>
      <c r="BS54" s="154" t="s">
        <v>359</v>
      </c>
      <c r="BT54" s="230" t="s">
        <v>228</v>
      </c>
      <c r="BU54" s="230"/>
      <c r="BV54" s="154" t="n">
        <v>1</v>
      </c>
      <c r="BW54" s="224" t="s">
        <v>493</v>
      </c>
      <c r="BX54" s="0"/>
      <c r="BZ54" s="226" t="n">
        <f aca="false">BZ53+CF54</f>
        <v>53</v>
      </c>
      <c r="CA54" s="84" t="s">
        <v>494</v>
      </c>
      <c r="CB54" s="224" t="s">
        <v>230</v>
      </c>
      <c r="CC54" s="154" t="s">
        <v>227</v>
      </c>
      <c r="CD54" s="230" t="s">
        <v>228</v>
      </c>
      <c r="CE54" s="230"/>
      <c r="CF54" s="154" t="n">
        <v>1</v>
      </c>
      <c r="CG54" s="224" t="s">
        <v>495</v>
      </c>
      <c r="CH54" s="0"/>
    </row>
    <row r="55" customFormat="false" ht="12.75" hidden="false" customHeight="false" outlineLevel="0" collapsed="false">
      <c r="A55" s="258"/>
      <c r="B55" s="259" t="e">
        <f aca="false">NextMonth(B54)</f>
        <v>#VALUE!</v>
      </c>
      <c r="C55" s="215" t="n">
        <v>0.055483670787007</v>
      </c>
      <c r="D55" s="269" t="n">
        <v>0.45</v>
      </c>
      <c r="E55" s="269" t="n">
        <v>0.45</v>
      </c>
      <c r="F55" s="269" t="n">
        <v>0.275</v>
      </c>
      <c r="G55" s="269" t="n">
        <v>0.2825</v>
      </c>
      <c r="H55" s="269" t="n">
        <v>0.29</v>
      </c>
      <c r="I55" s="260" t="n">
        <v>3.841</v>
      </c>
      <c r="J55" s="269" t="n">
        <v>3.846</v>
      </c>
      <c r="K55" s="215" t="n">
        <v>3.851</v>
      </c>
      <c r="L55" s="269" t="n">
        <v>0.5</v>
      </c>
      <c r="M55" s="215" t="n">
        <v>0.05</v>
      </c>
      <c r="O55" s="211"/>
      <c r="P55" s="260"/>
      <c r="Q55" s="260"/>
      <c r="R55" s="261" t="e">
        <f aca="false">B55</f>
        <v>#VALUE!</v>
      </c>
      <c r="S55" s="262" t="n">
        <f aca="false">T55-$S$16</f>
        <v>0.38</v>
      </c>
      <c r="T55" s="257" t="n">
        <f aca="false">D55</f>
        <v>0.45</v>
      </c>
      <c r="U55" s="263" t="n">
        <f aca="false">$U$16+T55</f>
        <v>0.52</v>
      </c>
      <c r="BP55" s="226" t="n">
        <f aca="false">BP54+BV55</f>
        <v>54</v>
      </c>
      <c r="BQ55" s="227" t="s">
        <v>496</v>
      </c>
      <c r="BR55" s="224" t="s">
        <v>226</v>
      </c>
      <c r="BS55" s="154" t="s">
        <v>359</v>
      </c>
      <c r="BT55" s="230" t="s">
        <v>228</v>
      </c>
      <c r="BU55" s="230"/>
      <c r="BV55" s="154" t="n">
        <v>1</v>
      </c>
      <c r="BW55" s="224" t="s">
        <v>497</v>
      </c>
      <c r="BX55" s="0"/>
      <c r="BZ55" s="226" t="n">
        <f aca="false">BZ54+CF55</f>
        <v>54</v>
      </c>
      <c r="CA55" s="84" t="s">
        <v>498</v>
      </c>
      <c r="CB55" s="224" t="s">
        <v>230</v>
      </c>
      <c r="CC55" s="154" t="s">
        <v>227</v>
      </c>
      <c r="CD55" s="230" t="s">
        <v>228</v>
      </c>
      <c r="CE55" s="230"/>
      <c r="CF55" s="154" t="n">
        <v>1</v>
      </c>
      <c r="CG55" s="224" t="s">
        <v>499</v>
      </c>
      <c r="CH55" s="0"/>
    </row>
    <row r="56" customFormat="false" ht="12.75" hidden="false" customHeight="false" outlineLevel="0" collapsed="false">
      <c r="A56" s="258"/>
      <c r="B56" s="259" t="e">
        <f aca="false">NextMonth(B55)</f>
        <v>#VALUE!</v>
      </c>
      <c r="C56" s="215" t="n">
        <v>0.055556493873767</v>
      </c>
      <c r="D56" s="269" t="n">
        <v>0.5</v>
      </c>
      <c r="E56" s="269" t="n">
        <v>0.5</v>
      </c>
      <c r="F56" s="269" t="n">
        <v>0.275</v>
      </c>
      <c r="G56" s="269" t="n">
        <v>0.2825</v>
      </c>
      <c r="H56" s="269" t="n">
        <v>0.29</v>
      </c>
      <c r="I56" s="260" t="n">
        <v>3.816</v>
      </c>
      <c r="J56" s="269" t="n">
        <v>3.821</v>
      </c>
      <c r="K56" s="215" t="n">
        <v>3.826</v>
      </c>
      <c r="L56" s="269" t="n">
        <v>0.44</v>
      </c>
      <c r="M56" s="215" t="n">
        <v>0.05</v>
      </c>
      <c r="O56" s="211"/>
      <c r="P56" s="260"/>
      <c r="Q56" s="260"/>
      <c r="R56" s="261" t="e">
        <f aca="false">B56</f>
        <v>#VALUE!</v>
      </c>
      <c r="S56" s="262" t="n">
        <f aca="false">T56-$S$16</f>
        <v>0.43</v>
      </c>
      <c r="T56" s="257" t="n">
        <f aca="false">D56</f>
        <v>0.5</v>
      </c>
      <c r="U56" s="263" t="n">
        <f aca="false">$U$16+T56</f>
        <v>0.57</v>
      </c>
      <c r="BP56" s="226" t="n">
        <f aca="false">BP55+BV56</f>
        <v>55</v>
      </c>
      <c r="BQ56" s="227" t="s">
        <v>500</v>
      </c>
      <c r="BR56" s="224" t="s">
        <v>226</v>
      </c>
      <c r="BS56" s="154" t="s">
        <v>359</v>
      </c>
      <c r="BT56" s="230" t="s">
        <v>228</v>
      </c>
      <c r="BU56" s="230"/>
      <c r="BV56" s="154" t="n">
        <v>1</v>
      </c>
      <c r="BW56" s="224" t="s">
        <v>501</v>
      </c>
      <c r="BX56" s="0"/>
      <c r="BZ56" s="226" t="n">
        <f aca="false">BZ55+CF56</f>
        <v>55</v>
      </c>
      <c r="CA56" s="84" t="s">
        <v>502</v>
      </c>
      <c r="CB56" s="224" t="s">
        <v>230</v>
      </c>
      <c r="CC56" s="154" t="s">
        <v>227</v>
      </c>
      <c r="CD56" s="230" t="s">
        <v>228</v>
      </c>
      <c r="CE56" s="230"/>
      <c r="CF56" s="154" t="n">
        <v>1</v>
      </c>
      <c r="CG56" s="224" t="s">
        <v>503</v>
      </c>
      <c r="CH56" s="0"/>
    </row>
    <row r="57" customFormat="false" ht="12.75" hidden="false" customHeight="false" outlineLevel="0" collapsed="false">
      <c r="A57" s="258"/>
      <c r="B57" s="259" t="e">
        <f aca="false">NextMonth(B56)</f>
        <v>#VALUE!</v>
      </c>
      <c r="C57" s="215" t="n">
        <v>0.055631744398608</v>
      </c>
      <c r="D57" s="269" t="n">
        <v>0.5</v>
      </c>
      <c r="E57" s="269" t="n">
        <v>0.5</v>
      </c>
      <c r="F57" s="269" t="n">
        <v>0.2725</v>
      </c>
      <c r="G57" s="269" t="n">
        <v>0.28</v>
      </c>
      <c r="H57" s="269" t="n">
        <v>0.2875</v>
      </c>
      <c r="I57" s="260" t="n">
        <v>3.845</v>
      </c>
      <c r="J57" s="269" t="n">
        <v>3.85</v>
      </c>
      <c r="K57" s="215" t="n">
        <v>3.855</v>
      </c>
      <c r="L57" s="269" t="n">
        <v>0.44</v>
      </c>
      <c r="M57" s="215" t="n">
        <v>0.05</v>
      </c>
      <c r="O57" s="211"/>
      <c r="P57" s="260"/>
      <c r="Q57" s="260"/>
      <c r="R57" s="261" t="e">
        <f aca="false">B57</f>
        <v>#VALUE!</v>
      </c>
      <c r="S57" s="262" t="n">
        <f aca="false">T57-$S$16</f>
        <v>0.43</v>
      </c>
      <c r="T57" s="257" t="n">
        <f aca="false">D57</f>
        <v>0.5</v>
      </c>
      <c r="U57" s="263" t="n">
        <f aca="false">$U$16+T57</f>
        <v>0.57</v>
      </c>
      <c r="BP57" s="226" t="n">
        <f aca="false">BP56+BV57</f>
        <v>56</v>
      </c>
      <c r="BQ57" s="227" t="s">
        <v>365</v>
      </c>
      <c r="BR57" s="224" t="s">
        <v>226</v>
      </c>
      <c r="BS57" s="154" t="s">
        <v>227</v>
      </c>
      <c r="BT57" s="230" t="s">
        <v>228</v>
      </c>
      <c r="BU57" s="230"/>
      <c r="BV57" s="154" t="n">
        <v>1</v>
      </c>
      <c r="BW57" s="224" t="s">
        <v>504</v>
      </c>
      <c r="BX57" s="0"/>
      <c r="BZ57" s="226" t="n">
        <f aca="false">BZ56+CF57</f>
        <v>56</v>
      </c>
      <c r="CA57" s="84" t="s">
        <v>505</v>
      </c>
      <c r="CB57" s="224" t="s">
        <v>230</v>
      </c>
      <c r="CC57" s="154" t="s">
        <v>227</v>
      </c>
      <c r="CD57" s="230" t="s">
        <v>228</v>
      </c>
      <c r="CE57" s="230"/>
      <c r="CF57" s="154" t="n">
        <v>1</v>
      </c>
      <c r="CG57" s="224" t="s">
        <v>506</v>
      </c>
      <c r="CH57" s="0"/>
    </row>
    <row r="58" customFormat="false" ht="12.75" hidden="false" customHeight="false" outlineLevel="0" collapsed="false">
      <c r="A58" s="258"/>
      <c r="B58" s="259" t="e">
        <f aca="false">NextMonth(B57)</f>
        <v>#VALUE!</v>
      </c>
      <c r="C58" s="215" t="n">
        <v>0.055704124471487</v>
      </c>
      <c r="D58" s="269" t="n">
        <v>0.5</v>
      </c>
      <c r="E58" s="269" t="n">
        <v>0.5</v>
      </c>
      <c r="F58" s="269" t="n">
        <v>0.27</v>
      </c>
      <c r="G58" s="269" t="n">
        <v>0.2775</v>
      </c>
      <c r="H58" s="269" t="n">
        <v>0.285</v>
      </c>
      <c r="I58" s="260" t="n">
        <v>3.875</v>
      </c>
      <c r="J58" s="269" t="n">
        <v>3.88</v>
      </c>
      <c r="K58" s="215" t="n">
        <v>3.885</v>
      </c>
      <c r="L58" s="269" t="n">
        <v>0.5</v>
      </c>
      <c r="M58" s="215" t="n">
        <v>0.05</v>
      </c>
      <c r="O58" s="211"/>
      <c r="P58" s="260"/>
      <c r="Q58" s="260"/>
      <c r="R58" s="261" t="e">
        <f aca="false">B58</f>
        <v>#VALUE!</v>
      </c>
      <c r="S58" s="262" t="n">
        <f aca="false">T58-$S$16</f>
        <v>0.43</v>
      </c>
      <c r="T58" s="257" t="n">
        <f aca="false">D58</f>
        <v>0.5</v>
      </c>
      <c r="U58" s="263" t="n">
        <f aca="false">$U$16+T58</f>
        <v>0.57</v>
      </c>
      <c r="BP58" s="226" t="n">
        <f aca="false">BP57+BV58</f>
        <v>57</v>
      </c>
      <c r="BQ58" s="227" t="s">
        <v>507</v>
      </c>
      <c r="BR58" s="224" t="s">
        <v>226</v>
      </c>
      <c r="BS58" s="154" t="s">
        <v>359</v>
      </c>
      <c r="BT58" s="230" t="s">
        <v>228</v>
      </c>
      <c r="BU58" s="230"/>
      <c r="BV58" s="154" t="n">
        <v>1</v>
      </c>
      <c r="BW58" s="224" t="s">
        <v>508</v>
      </c>
      <c r="BX58" s="0"/>
      <c r="BZ58" s="226" t="n">
        <f aca="false">BZ57+CF58</f>
        <v>57</v>
      </c>
      <c r="CA58" s="84" t="s">
        <v>509</v>
      </c>
      <c r="CB58" s="224" t="s">
        <v>230</v>
      </c>
      <c r="CC58" s="154" t="s">
        <v>227</v>
      </c>
      <c r="CD58" s="230" t="s">
        <v>228</v>
      </c>
      <c r="CE58" s="230"/>
      <c r="CF58" s="154" t="n">
        <v>1</v>
      </c>
      <c r="CG58" s="224" t="s">
        <v>510</v>
      </c>
      <c r="CH58" s="0"/>
    </row>
    <row r="59" customFormat="false" ht="12.75" hidden="false" customHeight="false" outlineLevel="0" collapsed="false">
      <c r="A59" s="258"/>
      <c r="B59" s="259" t="e">
        <f aca="false">NextMonth(B58)</f>
        <v>#VALUE!</v>
      </c>
      <c r="C59" s="215" t="n">
        <v>0.055778430336502</v>
      </c>
      <c r="D59" s="269" t="n">
        <v>0.6</v>
      </c>
      <c r="E59" s="269" t="n">
        <v>0.6</v>
      </c>
      <c r="F59" s="269" t="n">
        <v>0.27</v>
      </c>
      <c r="G59" s="269" t="n">
        <v>0.2775</v>
      </c>
      <c r="H59" s="269" t="n">
        <v>0.285</v>
      </c>
      <c r="I59" s="260" t="n">
        <v>3.895</v>
      </c>
      <c r="J59" s="269" t="n">
        <v>3.9</v>
      </c>
      <c r="K59" s="215" t="n">
        <v>3.905</v>
      </c>
      <c r="L59" s="269" t="n">
        <v>0.5</v>
      </c>
      <c r="M59" s="215" t="n">
        <v>0.05</v>
      </c>
      <c r="O59" s="211"/>
      <c r="P59" s="260"/>
      <c r="Q59" s="260"/>
      <c r="R59" s="261" t="e">
        <f aca="false">B59</f>
        <v>#VALUE!</v>
      </c>
      <c r="S59" s="262" t="n">
        <f aca="false">T59-$S$16</f>
        <v>0.53</v>
      </c>
      <c r="T59" s="257" t="n">
        <f aca="false">D59</f>
        <v>0.6</v>
      </c>
      <c r="U59" s="263" t="n">
        <f aca="false">$U$16+T59</f>
        <v>0.67</v>
      </c>
      <c r="BP59" s="226" t="n">
        <f aca="false">BP58+BV59</f>
        <v>58</v>
      </c>
      <c r="BQ59" s="227" t="s">
        <v>511</v>
      </c>
      <c r="BR59" s="224" t="s">
        <v>226</v>
      </c>
      <c r="BS59" s="154" t="s">
        <v>359</v>
      </c>
      <c r="BT59" s="230" t="s">
        <v>228</v>
      </c>
      <c r="BU59" s="230"/>
      <c r="BV59" s="154" t="n">
        <v>1</v>
      </c>
      <c r="BW59" s="224" t="s">
        <v>512</v>
      </c>
      <c r="BX59" s="0"/>
      <c r="BZ59" s="226" t="n">
        <f aca="false">BZ58+CF59</f>
        <v>58</v>
      </c>
      <c r="CA59" s="84" t="s">
        <v>513</v>
      </c>
      <c r="CB59" s="224" t="s">
        <v>230</v>
      </c>
      <c r="CC59" s="154" t="s">
        <v>227</v>
      </c>
      <c r="CD59" s="230" t="s">
        <v>228</v>
      </c>
      <c r="CE59" s="230"/>
      <c r="CF59" s="154" t="n">
        <v>1</v>
      </c>
      <c r="CG59" s="224" t="s">
        <v>514</v>
      </c>
      <c r="CH59" s="0"/>
    </row>
    <row r="60" customFormat="false" ht="12.75" hidden="false" customHeight="false" outlineLevel="0" collapsed="false">
      <c r="A60" s="258"/>
      <c r="B60" s="259" t="e">
        <f aca="false">NextMonth(B59)</f>
        <v>#VALUE!</v>
      </c>
      <c r="C60" s="215" t="n">
        <v>0.055852736203356</v>
      </c>
      <c r="D60" s="269" t="n">
        <v>0.6</v>
      </c>
      <c r="E60" s="269" t="n">
        <v>0.6</v>
      </c>
      <c r="F60" s="269" t="n">
        <v>0.27</v>
      </c>
      <c r="G60" s="269" t="n">
        <v>0.2775</v>
      </c>
      <c r="H60" s="269" t="n">
        <v>0.285</v>
      </c>
      <c r="I60" s="260" t="n">
        <v>3.916</v>
      </c>
      <c r="J60" s="269" t="n">
        <v>3.921</v>
      </c>
      <c r="K60" s="215" t="n">
        <v>3.926</v>
      </c>
      <c r="L60" s="269" t="n">
        <v>0.46</v>
      </c>
      <c r="M60" s="215" t="n">
        <v>0.05</v>
      </c>
      <c r="O60" s="211"/>
      <c r="P60" s="260"/>
      <c r="Q60" s="260"/>
      <c r="R60" s="261" t="e">
        <f aca="false">B60</f>
        <v>#VALUE!</v>
      </c>
      <c r="S60" s="262" t="n">
        <f aca="false">T60-$S$16</f>
        <v>0.53</v>
      </c>
      <c r="T60" s="257" t="n">
        <f aca="false">D60</f>
        <v>0.6</v>
      </c>
      <c r="U60" s="263" t="n">
        <f aca="false">$U$16+T60</f>
        <v>0.67</v>
      </c>
      <c r="BP60" s="226" t="n">
        <f aca="false">BP59+BV60</f>
        <v>59</v>
      </c>
      <c r="BQ60" s="227" t="s">
        <v>515</v>
      </c>
      <c r="BR60" s="224" t="s">
        <v>226</v>
      </c>
      <c r="BS60" s="154" t="s">
        <v>359</v>
      </c>
      <c r="BT60" s="230" t="s">
        <v>228</v>
      </c>
      <c r="BU60" s="230"/>
      <c r="BV60" s="154" t="n">
        <v>1</v>
      </c>
      <c r="BW60" s="224" t="s">
        <v>516</v>
      </c>
      <c r="BX60" s="0"/>
      <c r="BZ60" s="226" t="n">
        <f aca="false">BZ59+CF60</f>
        <v>59</v>
      </c>
      <c r="CA60" s="84" t="s">
        <v>517</v>
      </c>
      <c r="CB60" s="224" t="s">
        <v>230</v>
      </c>
      <c r="CC60" s="154" t="s">
        <v>227</v>
      </c>
      <c r="CD60" s="230" t="s">
        <v>228</v>
      </c>
      <c r="CE60" s="230"/>
      <c r="CF60" s="154" t="n">
        <v>1</v>
      </c>
      <c r="CG60" s="224" t="s">
        <v>518</v>
      </c>
      <c r="CH60" s="0"/>
    </row>
    <row r="61" customFormat="false" ht="12.75" hidden="false" customHeight="false" outlineLevel="0" collapsed="false">
      <c r="A61" s="258"/>
      <c r="B61" s="259" t="e">
        <f aca="false">NextMonth(B60)</f>
        <v>#VALUE!</v>
      </c>
      <c r="C61" s="215" t="n">
        <v>0.055924454309932</v>
      </c>
      <c r="D61" s="269" t="n">
        <v>0.65</v>
      </c>
      <c r="E61" s="269" t="n">
        <v>0.65</v>
      </c>
      <c r="F61" s="269" t="n">
        <v>0.27</v>
      </c>
      <c r="G61" s="269" t="n">
        <v>0.2775</v>
      </c>
      <c r="H61" s="269" t="n">
        <v>0.285</v>
      </c>
      <c r="I61" s="260" t="n">
        <v>3.946</v>
      </c>
      <c r="J61" s="269" t="n">
        <v>3.951</v>
      </c>
      <c r="K61" s="215" t="n">
        <v>3.956</v>
      </c>
      <c r="L61" s="269" t="n">
        <v>0.47</v>
      </c>
      <c r="M61" s="215" t="n">
        <v>0.05</v>
      </c>
      <c r="O61" s="211"/>
      <c r="P61" s="260"/>
      <c r="Q61" s="260"/>
      <c r="R61" s="261" t="e">
        <f aca="false">B61</f>
        <v>#VALUE!</v>
      </c>
      <c r="S61" s="262" t="n">
        <f aca="false">T61-$S$16</f>
        <v>0.58</v>
      </c>
      <c r="T61" s="257" t="n">
        <f aca="false">D61</f>
        <v>0.65</v>
      </c>
      <c r="U61" s="263" t="n">
        <f aca="false">$U$16+T61</f>
        <v>0.72</v>
      </c>
      <c r="BP61" s="226" t="n">
        <f aca="false">BP60+BV61</f>
        <v>60</v>
      </c>
      <c r="BQ61" s="227" t="s">
        <v>519</v>
      </c>
      <c r="BR61" s="224" t="s">
        <v>226</v>
      </c>
      <c r="BS61" s="154" t="s">
        <v>359</v>
      </c>
      <c r="BT61" s="230" t="s">
        <v>228</v>
      </c>
      <c r="BU61" s="230"/>
      <c r="BV61" s="154" t="n">
        <v>1</v>
      </c>
      <c r="BW61" s="224" t="s">
        <v>520</v>
      </c>
      <c r="BX61" s="0"/>
      <c r="BZ61" s="226" t="n">
        <f aca="false">BZ60+CF61</f>
        <v>60</v>
      </c>
      <c r="CA61" s="84" t="s">
        <v>521</v>
      </c>
      <c r="CB61" s="224" t="s">
        <v>230</v>
      </c>
      <c r="CC61" s="154" t="s">
        <v>227</v>
      </c>
      <c r="CD61" s="230" t="s">
        <v>228</v>
      </c>
      <c r="CE61" s="230"/>
      <c r="CF61" s="154" t="n">
        <v>1</v>
      </c>
      <c r="CG61" s="224" t="s">
        <v>522</v>
      </c>
      <c r="CH61" s="0"/>
    </row>
    <row r="62" customFormat="false" ht="12.75" hidden="false" customHeight="false" outlineLevel="0" collapsed="false">
      <c r="A62" s="258"/>
      <c r="B62" s="259" t="e">
        <f aca="false">NextMonth(B61)</f>
        <v>#VALUE!</v>
      </c>
      <c r="C62" s="215" t="n">
        <v>0.05599837942568</v>
      </c>
      <c r="D62" s="269" t="n">
        <v>0.95</v>
      </c>
      <c r="E62" s="269" t="n">
        <v>0.95</v>
      </c>
      <c r="F62" s="269" t="n">
        <v>0.2725</v>
      </c>
      <c r="G62" s="269" t="n">
        <v>0.28</v>
      </c>
      <c r="H62" s="269" t="n">
        <v>0.2875</v>
      </c>
      <c r="I62" s="260" t="n">
        <v>4.086</v>
      </c>
      <c r="J62" s="269" t="n">
        <v>4.091</v>
      </c>
      <c r="K62" s="215" t="n">
        <v>4.096</v>
      </c>
      <c r="L62" s="269" t="n">
        <v>0.855</v>
      </c>
      <c r="M62" s="215" t="n">
        <v>0.04</v>
      </c>
      <c r="O62" s="211"/>
      <c r="P62" s="260"/>
      <c r="Q62" s="260"/>
      <c r="R62" s="261" t="e">
        <f aca="false">B62</f>
        <v>#VALUE!</v>
      </c>
      <c r="S62" s="262" t="n">
        <f aca="false">T62-$S$16</f>
        <v>0.88</v>
      </c>
      <c r="T62" s="257" t="n">
        <f aca="false">D62</f>
        <v>0.95</v>
      </c>
      <c r="U62" s="263" t="n">
        <f aca="false">$U$16+T62</f>
        <v>1.02</v>
      </c>
      <c r="BP62" s="226" t="n">
        <f aca="false">BP61+BV62</f>
        <v>61</v>
      </c>
      <c r="BQ62" s="227" t="s">
        <v>523</v>
      </c>
      <c r="BR62" s="224" t="s">
        <v>226</v>
      </c>
      <c r="BS62" s="154" t="s">
        <v>359</v>
      </c>
      <c r="BT62" s="230" t="s">
        <v>228</v>
      </c>
      <c r="BU62" s="230"/>
      <c r="BV62" s="154" t="n">
        <v>1</v>
      </c>
      <c r="BW62" s="224" t="s">
        <v>524</v>
      </c>
      <c r="BX62" s="0"/>
      <c r="BZ62" s="226" t="n">
        <f aca="false">BZ61+CF62</f>
        <v>61</v>
      </c>
      <c r="CA62" s="84" t="s">
        <v>525</v>
      </c>
      <c r="CB62" s="224" t="s">
        <v>230</v>
      </c>
      <c r="CC62" s="154" t="s">
        <v>227</v>
      </c>
      <c r="CD62" s="230" t="s">
        <v>228</v>
      </c>
      <c r="CE62" s="230"/>
      <c r="CF62" s="154" t="n">
        <v>1</v>
      </c>
      <c r="CG62" s="224" t="s">
        <v>526</v>
      </c>
      <c r="CH62" s="0"/>
    </row>
    <row r="63" customFormat="false" ht="12.75" hidden="false" customHeight="false" outlineLevel="0" collapsed="false">
      <c r="A63" s="258"/>
      <c r="B63" s="259" t="e">
        <f aca="false">NextMonth(B62)</f>
        <v>#VALUE!</v>
      </c>
      <c r="C63" s="215" t="n">
        <v>0.056069919862008</v>
      </c>
      <c r="D63" s="269" t="n">
        <v>1.25</v>
      </c>
      <c r="E63" s="269" t="n">
        <v>1.25</v>
      </c>
      <c r="F63" s="269" t="n">
        <v>0.275</v>
      </c>
      <c r="G63" s="269" t="n">
        <v>0.2825</v>
      </c>
      <c r="H63" s="269" t="n">
        <v>0.29</v>
      </c>
      <c r="I63" s="260" t="n">
        <v>4.211</v>
      </c>
      <c r="J63" s="269" t="n">
        <v>4.216</v>
      </c>
      <c r="K63" s="215" t="n">
        <v>4.221</v>
      </c>
      <c r="L63" s="269" t="n">
        <v>1.27</v>
      </c>
      <c r="M63" s="215" t="n">
        <v>0.04</v>
      </c>
      <c r="O63" s="211"/>
      <c r="P63" s="260"/>
      <c r="Q63" s="260"/>
      <c r="R63" s="261" t="e">
        <f aca="false">B63</f>
        <v>#VALUE!</v>
      </c>
      <c r="S63" s="262" t="n">
        <f aca="false">T63-$S$16</f>
        <v>1.18</v>
      </c>
      <c r="T63" s="257" t="n">
        <f aca="false">D63</f>
        <v>1.25</v>
      </c>
      <c r="U63" s="263" t="n">
        <f aca="false">$U$16+T63</f>
        <v>1.32</v>
      </c>
      <c r="BP63" s="226" t="n">
        <f aca="false">BP62+BV63</f>
        <v>62</v>
      </c>
      <c r="BQ63" s="227" t="s">
        <v>527</v>
      </c>
      <c r="BR63" s="224" t="s">
        <v>226</v>
      </c>
      <c r="BS63" s="154" t="s">
        <v>359</v>
      </c>
      <c r="BT63" s="230" t="s">
        <v>228</v>
      </c>
      <c r="BU63" s="230"/>
      <c r="BV63" s="154" t="n">
        <v>1</v>
      </c>
      <c r="BW63" s="224" t="s">
        <v>528</v>
      </c>
      <c r="BX63" s="0"/>
      <c r="BZ63" s="226" t="n">
        <f aca="false">BZ62+CF63</f>
        <v>62</v>
      </c>
      <c r="CA63" s="84" t="s">
        <v>529</v>
      </c>
      <c r="CB63" s="224" t="s">
        <v>230</v>
      </c>
      <c r="CC63" s="154" t="s">
        <v>227</v>
      </c>
      <c r="CD63" s="230" t="s">
        <v>228</v>
      </c>
      <c r="CE63" s="230"/>
      <c r="CF63" s="154" t="n">
        <v>1</v>
      </c>
      <c r="CG63" s="224" t="s">
        <v>530</v>
      </c>
      <c r="CH63" s="0"/>
    </row>
    <row r="64" customFormat="false" ht="12.75" hidden="false" customHeight="false" outlineLevel="0" collapsed="false">
      <c r="A64" s="258"/>
      <c r="B64" s="259" t="e">
        <f aca="false">NextMonth(B63)</f>
        <v>#VALUE!</v>
      </c>
      <c r="C64" s="215" t="n">
        <v>0.056149749946644</v>
      </c>
      <c r="D64" s="269" t="n">
        <v>1.45</v>
      </c>
      <c r="E64" s="269" t="n">
        <v>1.45</v>
      </c>
      <c r="F64" s="269" t="n">
        <v>0.275</v>
      </c>
      <c r="G64" s="269" t="n">
        <v>0.2825</v>
      </c>
      <c r="H64" s="269" t="n">
        <v>0.29</v>
      </c>
      <c r="I64" s="260" t="n">
        <v>4.275</v>
      </c>
      <c r="J64" s="269" t="n">
        <v>4.28</v>
      </c>
      <c r="K64" s="215" t="n">
        <v>4.285</v>
      </c>
      <c r="L64" s="269" t="n">
        <v>1.595</v>
      </c>
      <c r="M64" s="215" t="n">
        <v>0.04</v>
      </c>
      <c r="O64" s="211"/>
      <c r="P64" s="260"/>
      <c r="Q64" s="260"/>
      <c r="R64" s="261" t="e">
        <f aca="false">B64</f>
        <v>#VALUE!</v>
      </c>
      <c r="S64" s="262" t="n">
        <f aca="false">T64-$S$16</f>
        <v>1.38</v>
      </c>
      <c r="T64" s="257" t="n">
        <f aca="false">D64</f>
        <v>1.45</v>
      </c>
      <c r="U64" s="263" t="n">
        <f aca="false">$U$16+T64</f>
        <v>1.52</v>
      </c>
      <c r="BP64" s="226" t="n">
        <f aca="false">BP63+BV64</f>
        <v>63</v>
      </c>
      <c r="BQ64" s="227" t="s">
        <v>531</v>
      </c>
      <c r="BR64" s="224" t="s">
        <v>226</v>
      </c>
      <c r="BS64" s="154" t="s">
        <v>359</v>
      </c>
      <c r="BT64" s="230" t="s">
        <v>228</v>
      </c>
      <c r="BU64" s="230"/>
      <c r="BV64" s="154" t="n">
        <v>1</v>
      </c>
      <c r="BW64" s="224" t="s">
        <v>532</v>
      </c>
      <c r="BX64" s="0"/>
      <c r="BZ64" s="226" t="n">
        <f aca="false">BZ63+CF64</f>
        <v>63</v>
      </c>
      <c r="CA64" s="84" t="s">
        <v>533</v>
      </c>
      <c r="CB64" s="224" t="s">
        <v>230</v>
      </c>
      <c r="CC64" s="154" t="s">
        <v>227</v>
      </c>
      <c r="CD64" s="230" t="s">
        <v>228</v>
      </c>
      <c r="CE64" s="230"/>
      <c r="CF64" s="154" t="n">
        <v>1</v>
      </c>
      <c r="CG64" s="224" t="s">
        <v>534</v>
      </c>
      <c r="CH64" s="0"/>
    </row>
    <row r="65" customFormat="false" ht="12.75" hidden="false" customHeight="false" outlineLevel="0" collapsed="false">
      <c r="A65" s="258"/>
      <c r="B65" s="259" t="e">
        <f aca="false">NextMonth(B64)</f>
        <v>#VALUE!</v>
      </c>
      <c r="C65" s="215" t="n">
        <v>0.056234442946145</v>
      </c>
      <c r="D65" s="269" t="n">
        <v>1.45</v>
      </c>
      <c r="E65" s="269" t="n">
        <v>1.45</v>
      </c>
      <c r="F65" s="269" t="n">
        <v>0.27</v>
      </c>
      <c r="G65" s="269" t="n">
        <v>0.2775</v>
      </c>
      <c r="H65" s="269" t="n">
        <v>0.285</v>
      </c>
      <c r="I65" s="260" t="n">
        <v>4.179</v>
      </c>
      <c r="J65" s="269" t="n">
        <v>4.184</v>
      </c>
      <c r="K65" s="215" t="n">
        <v>4.189</v>
      </c>
      <c r="L65" s="269" t="n">
        <v>1.555</v>
      </c>
      <c r="M65" s="215" t="n">
        <v>0.04</v>
      </c>
      <c r="O65" s="211"/>
      <c r="P65" s="260"/>
      <c r="Q65" s="260"/>
      <c r="R65" s="261" t="e">
        <f aca="false">B65</f>
        <v>#VALUE!</v>
      </c>
      <c r="S65" s="262" t="n">
        <f aca="false">T65-$S$16</f>
        <v>1.38</v>
      </c>
      <c r="T65" s="257" t="n">
        <f aca="false">D65</f>
        <v>1.45</v>
      </c>
      <c r="U65" s="263" t="n">
        <f aca="false">$U$16+T65</f>
        <v>1.52</v>
      </c>
      <c r="BP65" s="226" t="n">
        <f aca="false">BP64+BV65</f>
        <v>64</v>
      </c>
      <c r="BQ65" s="227" t="s">
        <v>535</v>
      </c>
      <c r="BR65" s="224" t="s">
        <v>226</v>
      </c>
      <c r="BS65" s="154" t="s">
        <v>359</v>
      </c>
      <c r="BT65" s="230" t="s">
        <v>228</v>
      </c>
      <c r="BU65" s="230"/>
      <c r="BV65" s="154" t="n">
        <v>1</v>
      </c>
      <c r="BW65" s="224" t="s">
        <v>536</v>
      </c>
      <c r="BX65" s="0"/>
      <c r="BZ65" s="226" t="n">
        <f aca="false">BZ64+CF65</f>
        <v>64</v>
      </c>
      <c r="CA65" s="84" t="s">
        <v>537</v>
      </c>
      <c r="CB65" s="224" t="s">
        <v>230</v>
      </c>
      <c r="CC65" s="154" t="s">
        <v>227</v>
      </c>
      <c r="CD65" s="230" t="s">
        <v>228</v>
      </c>
      <c r="CE65" s="230"/>
      <c r="CF65" s="154" t="n">
        <v>1</v>
      </c>
      <c r="CG65" s="224" t="s">
        <v>538</v>
      </c>
      <c r="CH65" s="0"/>
    </row>
    <row r="66" customFormat="false" ht="12.75" hidden="false" customHeight="false" outlineLevel="0" collapsed="false">
      <c r="A66" s="258"/>
      <c r="B66" s="259" t="e">
        <f aca="false">NextMonth(B65)</f>
        <v>#VALUE!</v>
      </c>
      <c r="C66" s="215" t="n">
        <v>0.056310939850973</v>
      </c>
      <c r="D66" s="269" t="n">
        <v>1</v>
      </c>
      <c r="E66" s="269" t="n">
        <v>1</v>
      </c>
      <c r="F66" s="269" t="n">
        <v>0.265</v>
      </c>
      <c r="G66" s="269" t="n">
        <v>0.2725</v>
      </c>
      <c r="H66" s="269" t="n">
        <v>0.28</v>
      </c>
      <c r="I66" s="260" t="n">
        <v>4.029</v>
      </c>
      <c r="J66" s="269" t="n">
        <v>4.034</v>
      </c>
      <c r="K66" s="215" t="n">
        <v>4.039</v>
      </c>
      <c r="L66" s="269" t="n">
        <v>0.925</v>
      </c>
      <c r="M66" s="215" t="n">
        <v>0.04</v>
      </c>
      <c r="O66" s="211"/>
      <c r="P66" s="260"/>
      <c r="Q66" s="260"/>
      <c r="R66" s="261" t="e">
        <f aca="false">B66</f>
        <v>#VALUE!</v>
      </c>
      <c r="S66" s="262" t="n">
        <f aca="false">T66-$S$16</f>
        <v>0.93</v>
      </c>
      <c r="T66" s="257" t="n">
        <f aca="false">D66</f>
        <v>1</v>
      </c>
      <c r="U66" s="263" t="n">
        <f aca="false">$U$16+T66</f>
        <v>1.07</v>
      </c>
      <c r="BP66" s="226" t="n">
        <f aca="false">BP65+BV66</f>
        <v>65</v>
      </c>
      <c r="BQ66" s="227" t="s">
        <v>539</v>
      </c>
      <c r="BR66" s="224" t="s">
        <v>226</v>
      </c>
      <c r="BS66" s="154" t="s">
        <v>359</v>
      </c>
      <c r="BT66" s="230" t="s">
        <v>228</v>
      </c>
      <c r="BU66" s="230"/>
      <c r="BV66" s="154" t="n">
        <v>1</v>
      </c>
      <c r="BW66" s="224" t="s">
        <v>540</v>
      </c>
      <c r="BX66" s="0"/>
      <c r="BZ66" s="226" t="n">
        <f aca="false">BZ65+CF66</f>
        <v>65</v>
      </c>
      <c r="CA66" s="84" t="s">
        <v>541</v>
      </c>
      <c r="CB66" s="224" t="s">
        <v>230</v>
      </c>
      <c r="CC66" s="154" t="s">
        <v>227</v>
      </c>
      <c r="CD66" s="230" t="s">
        <v>228</v>
      </c>
      <c r="CE66" s="230"/>
      <c r="CF66" s="154" t="n">
        <v>1</v>
      </c>
      <c r="CG66" s="224" t="s">
        <v>542</v>
      </c>
      <c r="CH66" s="0"/>
    </row>
    <row r="67" customFormat="false" ht="12.75" hidden="false" customHeight="false" outlineLevel="0" collapsed="false">
      <c r="A67" s="258"/>
      <c r="B67" s="259" t="e">
        <f aca="false">NextMonth(B66)</f>
        <v>#VALUE!</v>
      </c>
      <c r="C67" s="215" t="n">
        <v>0.056383429443268</v>
      </c>
      <c r="D67" s="269" t="n">
        <v>0.45</v>
      </c>
      <c r="E67" s="269" t="n">
        <v>0.45</v>
      </c>
      <c r="F67" s="269" t="n">
        <v>0.2475</v>
      </c>
      <c r="G67" s="269" t="n">
        <v>0.255</v>
      </c>
      <c r="H67" s="269" t="n">
        <v>0.2625</v>
      </c>
      <c r="I67" s="260" t="n">
        <v>3.846</v>
      </c>
      <c r="J67" s="269" t="n">
        <v>3.851</v>
      </c>
      <c r="K67" s="215" t="n">
        <v>3.856</v>
      </c>
      <c r="L67" s="269" t="n">
        <v>0.5</v>
      </c>
      <c r="M67" s="215" t="n">
        <v>0.06</v>
      </c>
      <c r="O67" s="211"/>
      <c r="P67" s="260"/>
      <c r="Q67" s="260"/>
      <c r="R67" s="261" t="e">
        <f aca="false">B67</f>
        <v>#VALUE!</v>
      </c>
      <c r="S67" s="262" t="n">
        <f aca="false">T67-$S$16</f>
        <v>0.38</v>
      </c>
      <c r="T67" s="257" t="n">
        <f aca="false">D67</f>
        <v>0.45</v>
      </c>
      <c r="U67" s="263" t="n">
        <f aca="false">$U$16+T67</f>
        <v>0.52</v>
      </c>
      <c r="BP67" s="226" t="n">
        <f aca="false">BP66+BV67</f>
        <v>66</v>
      </c>
      <c r="BQ67" s="227" t="s">
        <v>543</v>
      </c>
      <c r="BR67" s="224" t="s">
        <v>226</v>
      </c>
      <c r="BS67" s="154" t="s">
        <v>359</v>
      </c>
      <c r="BT67" s="230" t="s">
        <v>228</v>
      </c>
      <c r="BU67" s="230"/>
      <c r="BV67" s="154" t="n">
        <v>1</v>
      </c>
      <c r="BW67" s="224" t="s">
        <v>544</v>
      </c>
      <c r="BX67" s="0"/>
      <c r="BZ67" s="226" t="n">
        <f aca="false">BZ66+CF67</f>
        <v>66</v>
      </c>
      <c r="CA67" s="84" t="s">
        <v>545</v>
      </c>
      <c r="CB67" s="224" t="s">
        <v>230</v>
      </c>
      <c r="CC67" s="154" t="s">
        <v>227</v>
      </c>
      <c r="CD67" s="230" t="s">
        <v>228</v>
      </c>
      <c r="CE67" s="230"/>
      <c r="CF67" s="154" t="n">
        <v>1</v>
      </c>
      <c r="CG67" s="224" t="s">
        <v>546</v>
      </c>
      <c r="CH67" s="0"/>
    </row>
    <row r="68" customFormat="false" ht="12.75" hidden="false" customHeight="false" outlineLevel="0" collapsed="false">
      <c r="A68" s="258"/>
      <c r="B68" s="259" t="e">
        <f aca="false">NextMonth(B67)</f>
        <v>#VALUE!</v>
      </c>
      <c r="C68" s="215" t="n">
        <v>0.056443854983896</v>
      </c>
      <c r="D68" s="269" t="n">
        <v>0.5</v>
      </c>
      <c r="E68" s="269" t="n">
        <v>0.5</v>
      </c>
      <c r="F68" s="269" t="n">
        <v>0.2425</v>
      </c>
      <c r="G68" s="269" t="n">
        <v>0.25</v>
      </c>
      <c r="H68" s="269" t="n">
        <v>0.2575</v>
      </c>
      <c r="I68" s="260" t="n">
        <v>3.821</v>
      </c>
      <c r="J68" s="269" t="n">
        <v>3.826</v>
      </c>
      <c r="K68" s="215" t="n">
        <v>3.831</v>
      </c>
      <c r="L68" s="269" t="n">
        <v>0.44</v>
      </c>
      <c r="M68" s="215" t="n">
        <v>0.06</v>
      </c>
      <c r="O68" s="211"/>
      <c r="P68" s="260"/>
      <c r="Q68" s="260"/>
      <c r="R68" s="261" t="e">
        <f aca="false">B68</f>
        <v>#VALUE!</v>
      </c>
      <c r="S68" s="262" t="n">
        <f aca="false">T68-$S$16</f>
        <v>0.43</v>
      </c>
      <c r="T68" s="257" t="n">
        <f aca="false">D68</f>
        <v>0.5</v>
      </c>
      <c r="U68" s="263" t="n">
        <f aca="false">$U$16+T68</f>
        <v>0.57</v>
      </c>
      <c r="BP68" s="226" t="n">
        <f aca="false">BP67+BV68</f>
        <v>67</v>
      </c>
      <c r="BQ68" s="227" t="s">
        <v>547</v>
      </c>
      <c r="BR68" s="224" t="s">
        <v>226</v>
      </c>
      <c r="BS68" s="154" t="s">
        <v>359</v>
      </c>
      <c r="BT68" s="230" t="s">
        <v>228</v>
      </c>
      <c r="BU68" s="230"/>
      <c r="BV68" s="154" t="n">
        <v>1</v>
      </c>
      <c r="BW68" s="224" t="s">
        <v>548</v>
      </c>
      <c r="BX68" s="0"/>
      <c r="BZ68" s="226" t="n">
        <f aca="false">BZ67+CF68</f>
        <v>67</v>
      </c>
      <c r="CA68" s="84" t="s">
        <v>549</v>
      </c>
      <c r="CB68" s="224" t="s">
        <v>230</v>
      </c>
      <c r="CC68" s="154" t="s">
        <v>227</v>
      </c>
      <c r="CD68" s="230" t="s">
        <v>228</v>
      </c>
      <c r="CE68" s="230"/>
      <c r="CF68" s="154" t="n">
        <v>1</v>
      </c>
      <c r="CG68" s="224" t="s">
        <v>550</v>
      </c>
      <c r="CH68" s="0"/>
    </row>
    <row r="69" customFormat="false" ht="12.75" hidden="false" customHeight="false" outlineLevel="0" collapsed="false">
      <c r="A69" s="258"/>
      <c r="B69" s="259" t="e">
        <f aca="false">NextMonth(B68)</f>
        <v>#VALUE!</v>
      </c>
      <c r="C69" s="215" t="n">
        <v>0.05650629471049</v>
      </c>
      <c r="D69" s="269" t="n">
        <v>0.5</v>
      </c>
      <c r="E69" s="269" t="n">
        <v>0.5</v>
      </c>
      <c r="F69" s="269" t="n">
        <v>0.2375</v>
      </c>
      <c r="G69" s="269" t="n">
        <v>0.245</v>
      </c>
      <c r="H69" s="269" t="n">
        <v>0.2525</v>
      </c>
      <c r="I69" s="260" t="n">
        <v>3.85</v>
      </c>
      <c r="J69" s="269" t="n">
        <v>3.855</v>
      </c>
      <c r="K69" s="215" t="n">
        <v>3.86</v>
      </c>
      <c r="L69" s="269" t="n">
        <v>0.44</v>
      </c>
      <c r="M69" s="215" t="n">
        <v>0.06</v>
      </c>
      <c r="O69" s="211"/>
      <c r="P69" s="260"/>
      <c r="Q69" s="260"/>
      <c r="R69" s="261" t="e">
        <f aca="false">B69</f>
        <v>#VALUE!</v>
      </c>
      <c r="S69" s="262" t="n">
        <f aca="false">T69-$S$16</f>
        <v>0.43</v>
      </c>
      <c r="T69" s="257" t="n">
        <f aca="false">D69</f>
        <v>0.5</v>
      </c>
      <c r="U69" s="263" t="n">
        <f aca="false">$U$16+T69</f>
        <v>0.57</v>
      </c>
      <c r="BP69" s="226" t="n">
        <f aca="false">BP68+BV69</f>
        <v>68</v>
      </c>
      <c r="BQ69" s="227" t="s">
        <v>551</v>
      </c>
      <c r="BR69" s="224" t="s">
        <v>226</v>
      </c>
      <c r="BS69" s="154" t="s">
        <v>359</v>
      </c>
      <c r="BT69" s="230" t="s">
        <v>228</v>
      </c>
      <c r="BU69" s="230"/>
      <c r="BV69" s="154" t="n">
        <v>1</v>
      </c>
      <c r="BW69" s="224" t="s">
        <v>552</v>
      </c>
      <c r="BX69" s="0"/>
      <c r="BZ69" s="226" t="n">
        <f aca="false">BZ68+CF69</f>
        <v>68</v>
      </c>
      <c r="CA69" s="84" t="s">
        <v>553</v>
      </c>
      <c r="CB69" s="224" t="s">
        <v>230</v>
      </c>
      <c r="CC69" s="154" t="s">
        <v>227</v>
      </c>
      <c r="CD69" s="230" t="s">
        <v>228</v>
      </c>
      <c r="CE69" s="230"/>
      <c r="CF69" s="154" t="n">
        <v>1</v>
      </c>
      <c r="CG69" s="224" t="s">
        <v>554</v>
      </c>
      <c r="CH69" s="0"/>
    </row>
    <row r="70" customFormat="false" ht="12.75" hidden="false" customHeight="false" outlineLevel="0" collapsed="false">
      <c r="A70" s="258"/>
      <c r="B70" s="259" t="e">
        <f aca="false">NextMonth(B69)</f>
        <v>#VALUE!</v>
      </c>
      <c r="C70" s="215" t="n">
        <v>0.05656672025359</v>
      </c>
      <c r="D70" s="269" t="n">
        <v>0.5</v>
      </c>
      <c r="E70" s="269" t="n">
        <v>0.5</v>
      </c>
      <c r="F70" s="269" t="n">
        <v>0.2375</v>
      </c>
      <c r="G70" s="269" t="n">
        <v>0.245</v>
      </c>
      <c r="H70" s="269" t="n">
        <v>0.2525</v>
      </c>
      <c r="I70" s="260" t="n">
        <v>3.88</v>
      </c>
      <c r="J70" s="269" t="n">
        <v>3.885</v>
      </c>
      <c r="K70" s="215" t="n">
        <v>3.89</v>
      </c>
      <c r="L70" s="269" t="n">
        <v>0.5</v>
      </c>
      <c r="M70" s="215" t="n">
        <v>0.06</v>
      </c>
      <c r="O70" s="211"/>
      <c r="P70" s="260"/>
      <c r="Q70" s="260"/>
      <c r="R70" s="261" t="e">
        <f aca="false">B70</f>
        <v>#VALUE!</v>
      </c>
      <c r="S70" s="262" t="n">
        <f aca="false">T70-$S$16</f>
        <v>0.43</v>
      </c>
      <c r="T70" s="257" t="n">
        <f aca="false">D70</f>
        <v>0.5</v>
      </c>
      <c r="U70" s="263" t="n">
        <f aca="false">$U$16+T70</f>
        <v>0.57</v>
      </c>
      <c r="BP70" s="226" t="n">
        <f aca="false">BP69+BV70</f>
        <v>69</v>
      </c>
      <c r="BQ70" s="227" t="s">
        <v>555</v>
      </c>
      <c r="BR70" s="224" t="s">
        <v>226</v>
      </c>
      <c r="BS70" s="154" t="s">
        <v>359</v>
      </c>
      <c r="BT70" s="230" t="s">
        <v>228</v>
      </c>
      <c r="BU70" s="230"/>
      <c r="BV70" s="154" t="n">
        <v>1</v>
      </c>
      <c r="BW70" s="224" t="s">
        <v>556</v>
      </c>
      <c r="BX70" s="0"/>
      <c r="BZ70" s="226" t="n">
        <f aca="false">BZ69+CF70</f>
        <v>69</v>
      </c>
      <c r="CA70" s="84" t="s">
        <v>557</v>
      </c>
      <c r="CB70" s="224" t="s">
        <v>230</v>
      </c>
      <c r="CC70" s="154" t="s">
        <v>227</v>
      </c>
      <c r="CD70" s="230" t="s">
        <v>228</v>
      </c>
      <c r="CE70" s="230"/>
      <c r="CF70" s="154" t="n">
        <v>1</v>
      </c>
      <c r="CG70" s="224" t="s">
        <v>558</v>
      </c>
      <c r="CH70" s="0"/>
    </row>
    <row r="71" customFormat="false" ht="12.75" hidden="false" customHeight="false" outlineLevel="0" collapsed="false">
      <c r="A71" s="258"/>
      <c r="B71" s="259" t="e">
        <f aca="false">NextMonth(B70)</f>
        <v>#VALUE!</v>
      </c>
      <c r="C71" s="215" t="n">
        <v>0.056629159982736</v>
      </c>
      <c r="D71" s="269" t="n">
        <v>0.6</v>
      </c>
      <c r="E71" s="269" t="n">
        <v>0.6</v>
      </c>
      <c r="F71" s="269" t="n">
        <v>0.2375</v>
      </c>
      <c r="G71" s="269" t="n">
        <v>0.245</v>
      </c>
      <c r="H71" s="269" t="n">
        <v>0.2525</v>
      </c>
      <c r="I71" s="260" t="n">
        <v>3.9</v>
      </c>
      <c r="J71" s="269" t="n">
        <v>3.905</v>
      </c>
      <c r="K71" s="215" t="n">
        <v>3.91</v>
      </c>
      <c r="L71" s="269" t="n">
        <v>0.5</v>
      </c>
      <c r="M71" s="215" t="n">
        <v>0.06</v>
      </c>
      <c r="O71" s="211"/>
      <c r="P71" s="260"/>
      <c r="Q71" s="260"/>
      <c r="R71" s="261" t="e">
        <f aca="false">B71</f>
        <v>#VALUE!</v>
      </c>
      <c r="S71" s="262" t="n">
        <f aca="false">T71-$S$16</f>
        <v>0.53</v>
      </c>
      <c r="T71" s="257" t="n">
        <f aca="false">D71</f>
        <v>0.6</v>
      </c>
      <c r="U71" s="263" t="n">
        <f aca="false">$U$16+T71</f>
        <v>0.67</v>
      </c>
      <c r="BP71" s="226" t="n">
        <f aca="false">BP70+BV71</f>
        <v>70</v>
      </c>
      <c r="BQ71" s="227" t="s">
        <v>559</v>
      </c>
      <c r="BR71" s="224" t="s">
        <v>226</v>
      </c>
      <c r="BS71" s="154" t="s">
        <v>359</v>
      </c>
      <c r="BT71" s="230" t="s">
        <v>228</v>
      </c>
      <c r="BU71" s="230"/>
      <c r="BV71" s="154" t="n">
        <v>1</v>
      </c>
      <c r="BW71" s="224" t="s">
        <v>560</v>
      </c>
      <c r="BX71" s="0"/>
      <c r="BZ71" s="226" t="n">
        <f aca="false">BZ70+CF71</f>
        <v>70</v>
      </c>
      <c r="CA71" s="84" t="s">
        <v>561</v>
      </c>
      <c r="CB71" s="224" t="s">
        <v>230</v>
      </c>
      <c r="CC71" s="154" t="s">
        <v>227</v>
      </c>
      <c r="CD71" s="230" t="s">
        <v>228</v>
      </c>
      <c r="CE71" s="230"/>
      <c r="CF71" s="154" t="n">
        <v>1</v>
      </c>
      <c r="CG71" s="224" t="s">
        <v>562</v>
      </c>
      <c r="CH71" s="0"/>
    </row>
    <row r="72" customFormat="false" ht="12.75" hidden="false" customHeight="false" outlineLevel="0" collapsed="false">
      <c r="A72" s="258"/>
      <c r="B72" s="259" t="e">
        <f aca="false">NextMonth(B71)</f>
        <v>#VALUE!</v>
      </c>
      <c r="C72" s="215" t="n">
        <v>0.05669159971318</v>
      </c>
      <c r="D72" s="269" t="n">
        <v>0.6</v>
      </c>
      <c r="E72" s="269" t="n">
        <v>0.6</v>
      </c>
      <c r="F72" s="269" t="n">
        <v>0.2375</v>
      </c>
      <c r="G72" s="269" t="n">
        <v>0.245</v>
      </c>
      <c r="H72" s="269" t="n">
        <v>0.2525</v>
      </c>
      <c r="I72" s="260" t="n">
        <v>3.921</v>
      </c>
      <c r="J72" s="269" t="n">
        <v>3.926</v>
      </c>
      <c r="K72" s="215" t="n">
        <v>3.931</v>
      </c>
      <c r="L72" s="269" t="n">
        <v>0.46</v>
      </c>
      <c r="M72" s="215" t="n">
        <v>0.06</v>
      </c>
      <c r="O72" s="211"/>
      <c r="P72" s="260"/>
      <c r="Q72" s="260"/>
      <c r="R72" s="261" t="e">
        <f aca="false">B72</f>
        <v>#VALUE!</v>
      </c>
      <c r="S72" s="262" t="n">
        <f aca="false">T72-$S$16</f>
        <v>0.53</v>
      </c>
      <c r="T72" s="257" t="n">
        <f aca="false">D72</f>
        <v>0.6</v>
      </c>
      <c r="U72" s="263" t="n">
        <f aca="false">$U$16+T72</f>
        <v>0.67</v>
      </c>
      <c r="BP72" s="226" t="n">
        <f aca="false">BP71+BV72</f>
        <v>71</v>
      </c>
      <c r="BQ72" s="227" t="s">
        <v>563</v>
      </c>
      <c r="BR72" s="224" t="s">
        <v>226</v>
      </c>
      <c r="BS72" s="154" t="s">
        <v>359</v>
      </c>
      <c r="BT72" s="230" t="s">
        <v>228</v>
      </c>
      <c r="BU72" s="230"/>
      <c r="BV72" s="154" t="n">
        <v>1</v>
      </c>
      <c r="BW72" s="224" t="s">
        <v>564</v>
      </c>
      <c r="BX72" s="0"/>
      <c r="BZ72" s="226" t="n">
        <f aca="false">BZ71+CF72</f>
        <v>71</v>
      </c>
      <c r="CA72" s="84" t="s">
        <v>565</v>
      </c>
      <c r="CB72" s="224" t="s">
        <v>230</v>
      </c>
      <c r="CC72" s="154" t="s">
        <v>227</v>
      </c>
      <c r="CD72" s="230" t="s">
        <v>228</v>
      </c>
      <c r="CE72" s="230"/>
      <c r="CF72" s="154" t="n">
        <v>1</v>
      </c>
      <c r="CG72" s="224" t="s">
        <v>566</v>
      </c>
      <c r="CH72" s="0"/>
    </row>
    <row r="73" customFormat="false" ht="12.75" hidden="false" customHeight="false" outlineLevel="0" collapsed="false">
      <c r="A73" s="258"/>
      <c r="B73" s="259" t="e">
        <f aca="false">NextMonth(B72)</f>
        <v>#VALUE!</v>
      </c>
      <c r="C73" s="215" t="n">
        <v>0.056752025260006</v>
      </c>
      <c r="D73" s="269" t="n">
        <v>0.65</v>
      </c>
      <c r="E73" s="269" t="n">
        <v>0.65</v>
      </c>
      <c r="F73" s="269" t="n">
        <v>0.2375</v>
      </c>
      <c r="G73" s="269" t="n">
        <v>0.245</v>
      </c>
      <c r="H73" s="269" t="n">
        <v>0.2525</v>
      </c>
      <c r="I73" s="260" t="n">
        <v>3.951</v>
      </c>
      <c r="J73" s="269" t="n">
        <v>3.956</v>
      </c>
      <c r="K73" s="215" t="n">
        <v>3.961</v>
      </c>
      <c r="L73" s="269" t="n">
        <v>0.47</v>
      </c>
      <c r="M73" s="215" t="n">
        <v>0.06</v>
      </c>
      <c r="O73" s="211"/>
      <c r="P73" s="260"/>
      <c r="Q73" s="260"/>
      <c r="R73" s="261" t="e">
        <f aca="false">B73</f>
        <v>#VALUE!</v>
      </c>
      <c r="S73" s="262" t="n">
        <f aca="false">T73-$S$16</f>
        <v>0.58</v>
      </c>
      <c r="T73" s="257" t="n">
        <f aca="false">D73</f>
        <v>0.65</v>
      </c>
      <c r="U73" s="263" t="n">
        <f aca="false">$U$16+T73</f>
        <v>0.72</v>
      </c>
      <c r="BP73" s="226" t="n">
        <f aca="false">BP72+BV73</f>
        <v>72</v>
      </c>
      <c r="BQ73" s="227" t="s">
        <v>567</v>
      </c>
      <c r="BR73" s="224" t="s">
        <v>226</v>
      </c>
      <c r="BS73" s="154" t="s">
        <v>359</v>
      </c>
      <c r="BT73" s="230" t="s">
        <v>228</v>
      </c>
      <c r="BU73" s="230"/>
      <c r="BV73" s="154" t="n">
        <v>1</v>
      </c>
      <c r="BW73" s="224" t="s">
        <v>568</v>
      </c>
      <c r="BX73" s="0"/>
      <c r="BZ73" s="226" t="n">
        <f aca="false">BZ72+CF73</f>
        <v>72</v>
      </c>
      <c r="CA73" s="84" t="s">
        <v>569</v>
      </c>
      <c r="CB73" s="224" t="s">
        <v>230</v>
      </c>
      <c r="CC73" s="154" t="s">
        <v>227</v>
      </c>
      <c r="CD73" s="230" t="s">
        <v>228</v>
      </c>
      <c r="CE73" s="230"/>
      <c r="CF73" s="154" t="n">
        <v>1</v>
      </c>
      <c r="CG73" s="224" t="s">
        <v>570</v>
      </c>
      <c r="CH73" s="0"/>
    </row>
    <row r="74" customFormat="false" ht="12.75" hidden="false" customHeight="false" outlineLevel="0" collapsed="false">
      <c r="A74" s="258"/>
      <c r="B74" s="259" t="e">
        <f aca="false">NextMonth(B73)</f>
        <v>#VALUE!</v>
      </c>
      <c r="C74" s="215" t="n">
        <v>0.056814464993004</v>
      </c>
      <c r="D74" s="269" t="n">
        <v>0.95</v>
      </c>
      <c r="E74" s="269" t="n">
        <v>0.95</v>
      </c>
      <c r="F74" s="269" t="n">
        <v>0.2375</v>
      </c>
      <c r="G74" s="269" t="n">
        <v>0.245</v>
      </c>
      <c r="H74" s="269" t="n">
        <v>0.2525</v>
      </c>
      <c r="I74" s="260" t="n">
        <v>4.091</v>
      </c>
      <c r="J74" s="269" t="n">
        <v>4.096</v>
      </c>
      <c r="K74" s="215" t="n">
        <v>4.101</v>
      </c>
      <c r="L74" s="269" t="n">
        <v>0.86</v>
      </c>
      <c r="M74" s="215" t="n">
        <v>0.04</v>
      </c>
      <c r="O74" s="211"/>
      <c r="P74" s="260"/>
      <c r="Q74" s="260"/>
      <c r="R74" s="261" t="e">
        <f aca="false">B74</f>
        <v>#VALUE!</v>
      </c>
      <c r="S74" s="262" t="n">
        <f aca="false">T74-$S$16</f>
        <v>0.88</v>
      </c>
      <c r="T74" s="257" t="n">
        <f aca="false">D74</f>
        <v>0.95</v>
      </c>
      <c r="U74" s="263" t="n">
        <f aca="false">$U$16+T74</f>
        <v>1.02</v>
      </c>
      <c r="BP74" s="226" t="n">
        <f aca="false">BP73+BV74</f>
        <v>73</v>
      </c>
      <c r="BQ74" s="227" t="s">
        <v>571</v>
      </c>
      <c r="BR74" s="224" t="s">
        <v>226</v>
      </c>
      <c r="BS74" s="154" t="s">
        <v>359</v>
      </c>
      <c r="BT74" s="230" t="s">
        <v>228</v>
      </c>
      <c r="BU74" s="230"/>
      <c r="BV74" s="154" t="n">
        <v>1</v>
      </c>
      <c r="BW74" s="224" t="s">
        <v>572</v>
      </c>
      <c r="BX74" s="0"/>
      <c r="BZ74" s="226" t="n">
        <f aca="false">BZ73+CF74</f>
        <v>73</v>
      </c>
      <c r="CA74" s="84" t="s">
        <v>573</v>
      </c>
      <c r="CB74" s="224" t="s">
        <v>230</v>
      </c>
      <c r="CC74" s="154" t="s">
        <v>227</v>
      </c>
      <c r="CD74" s="230" t="s">
        <v>228</v>
      </c>
      <c r="CE74" s="230"/>
      <c r="CF74" s="154" t="n">
        <v>1</v>
      </c>
      <c r="CG74" s="224" t="s">
        <v>574</v>
      </c>
      <c r="CH74" s="0"/>
    </row>
    <row r="75" customFormat="false" ht="12.75" hidden="false" customHeight="false" outlineLevel="0" collapsed="false">
      <c r="A75" s="258"/>
      <c r="B75" s="259" t="e">
        <f aca="false">NextMonth(B74)</f>
        <v>#VALUE!</v>
      </c>
      <c r="C75" s="215" t="n">
        <v>0.0568748905423</v>
      </c>
      <c r="D75" s="269" t="n">
        <v>1.25</v>
      </c>
      <c r="E75" s="269" t="n">
        <v>1.25</v>
      </c>
      <c r="F75" s="269" t="n">
        <v>0.24</v>
      </c>
      <c r="G75" s="269" t="n">
        <v>0.2475</v>
      </c>
      <c r="H75" s="269" t="n">
        <v>0.255</v>
      </c>
      <c r="I75" s="260" t="n">
        <v>4.216</v>
      </c>
      <c r="J75" s="269" t="n">
        <v>4.221</v>
      </c>
      <c r="K75" s="215" t="n">
        <v>4.226</v>
      </c>
      <c r="L75" s="269" t="n">
        <v>1.28</v>
      </c>
      <c r="M75" s="215" t="n">
        <v>0.04</v>
      </c>
      <c r="O75" s="211"/>
      <c r="P75" s="260"/>
      <c r="Q75" s="260"/>
      <c r="R75" s="261" t="e">
        <f aca="false">B75</f>
        <v>#VALUE!</v>
      </c>
      <c r="S75" s="262" t="n">
        <f aca="false">T75-$S$16</f>
        <v>1.18</v>
      </c>
      <c r="T75" s="257" t="n">
        <f aca="false">D75</f>
        <v>1.25</v>
      </c>
      <c r="U75" s="263" t="n">
        <f aca="false">$U$16+T75</f>
        <v>1.32</v>
      </c>
      <c r="BP75" s="226" t="n">
        <f aca="false">BP74+BV75</f>
        <v>74</v>
      </c>
      <c r="BQ75" s="227" t="s">
        <v>575</v>
      </c>
      <c r="BR75" s="224" t="s">
        <v>226</v>
      </c>
      <c r="BS75" s="154" t="s">
        <v>359</v>
      </c>
      <c r="BT75" s="230" t="s">
        <v>228</v>
      </c>
      <c r="BU75" s="230"/>
      <c r="BV75" s="154" t="n">
        <v>1</v>
      </c>
      <c r="BW75" s="224" t="s">
        <v>576</v>
      </c>
      <c r="BX75" s="0"/>
      <c r="BZ75" s="226" t="n">
        <f aca="false">BZ74+CF75</f>
        <v>74</v>
      </c>
      <c r="CA75" s="84" t="s">
        <v>577</v>
      </c>
      <c r="CB75" s="224" t="s">
        <v>230</v>
      </c>
      <c r="CC75" s="154" t="s">
        <v>227</v>
      </c>
      <c r="CD75" s="230" t="s">
        <v>228</v>
      </c>
      <c r="CE75" s="230"/>
      <c r="CF75" s="154" t="n">
        <v>1</v>
      </c>
      <c r="CG75" s="224" t="s">
        <v>578</v>
      </c>
      <c r="CH75" s="0"/>
    </row>
    <row r="76" customFormat="false" ht="12.75" hidden="false" customHeight="false" outlineLevel="0" collapsed="false">
      <c r="A76" s="258"/>
      <c r="B76" s="259" t="e">
        <f aca="false">NextMonth(B75)</f>
        <v>#VALUE!</v>
      </c>
      <c r="C76" s="215" t="n">
        <v>0.056937330277851</v>
      </c>
      <c r="D76" s="269" t="n">
        <v>1.45</v>
      </c>
      <c r="E76" s="269" t="n">
        <v>1.45</v>
      </c>
      <c r="F76" s="269" t="n">
        <v>0.24</v>
      </c>
      <c r="G76" s="269" t="n">
        <v>0.2475</v>
      </c>
      <c r="H76" s="269" t="n">
        <v>0.255</v>
      </c>
      <c r="I76" s="260" t="n">
        <v>4.3</v>
      </c>
      <c r="J76" s="269" t="n">
        <v>4.305</v>
      </c>
      <c r="K76" s="215" t="n">
        <v>4.31</v>
      </c>
      <c r="L76" s="269" t="n">
        <v>1.61</v>
      </c>
      <c r="M76" s="215" t="n">
        <v>0.04</v>
      </c>
      <c r="O76" s="211"/>
      <c r="P76" s="260"/>
      <c r="Q76" s="260"/>
      <c r="R76" s="261" t="e">
        <f aca="false">B76</f>
        <v>#VALUE!</v>
      </c>
      <c r="S76" s="262" t="n">
        <f aca="false">T76-$S$16</f>
        <v>1.38</v>
      </c>
      <c r="T76" s="257" t="n">
        <f aca="false">D76</f>
        <v>1.45</v>
      </c>
      <c r="U76" s="263" t="n">
        <f aca="false">$U$16+T76</f>
        <v>1.52</v>
      </c>
      <c r="BP76" s="226" t="n">
        <f aca="false">BP75+BV76</f>
        <v>75</v>
      </c>
      <c r="BQ76" s="227" t="s">
        <v>579</v>
      </c>
      <c r="BR76" s="224" t="s">
        <v>226</v>
      </c>
      <c r="BS76" s="154" t="s">
        <v>359</v>
      </c>
      <c r="BT76" s="230" t="s">
        <v>228</v>
      </c>
      <c r="BU76" s="230"/>
      <c r="BV76" s="154" t="n">
        <v>1</v>
      </c>
      <c r="BW76" s="224" t="s">
        <v>580</v>
      </c>
      <c r="BX76" s="0"/>
      <c r="BZ76" s="226" t="n">
        <f aca="false">BZ75+CF76</f>
        <v>75</v>
      </c>
      <c r="CA76" s="84" t="s">
        <v>581</v>
      </c>
      <c r="CB76" s="224" t="s">
        <v>230</v>
      </c>
      <c r="CC76" s="154" t="s">
        <v>227</v>
      </c>
      <c r="CD76" s="230" t="s">
        <v>228</v>
      </c>
      <c r="CE76" s="230"/>
      <c r="CF76" s="154" t="n">
        <v>1</v>
      </c>
      <c r="CG76" s="224" t="s">
        <v>582</v>
      </c>
      <c r="CH76" s="0"/>
    </row>
    <row r="77" customFormat="false" ht="12.75" hidden="false" customHeight="false" outlineLevel="0" collapsed="false">
      <c r="A77" s="258"/>
      <c r="B77" s="259" t="e">
        <f aca="false">NextMonth(B76)</f>
        <v>#VALUE!</v>
      </c>
      <c r="C77" s="215" t="n">
        <v>0.056996310371457</v>
      </c>
      <c r="D77" s="269" t="n">
        <v>1.45</v>
      </c>
      <c r="E77" s="269" t="n">
        <v>1.45</v>
      </c>
      <c r="F77" s="269" t="n">
        <v>0.2375</v>
      </c>
      <c r="G77" s="269" t="n">
        <v>0.245</v>
      </c>
      <c r="H77" s="269" t="n">
        <v>0.2525</v>
      </c>
      <c r="I77" s="260" t="n">
        <v>4.204</v>
      </c>
      <c r="J77" s="269" t="n">
        <v>4.209</v>
      </c>
      <c r="K77" s="215" t="n">
        <v>4.214</v>
      </c>
      <c r="L77" s="269" t="n">
        <v>1.57</v>
      </c>
      <c r="M77" s="215" t="n">
        <v>0.04</v>
      </c>
      <c r="O77" s="211"/>
      <c r="P77" s="260"/>
      <c r="Q77" s="260"/>
      <c r="R77" s="261" t="e">
        <f aca="false">B77</f>
        <v>#VALUE!</v>
      </c>
      <c r="S77" s="262" t="n">
        <f aca="false">T77-$S$16</f>
        <v>1.38</v>
      </c>
      <c r="T77" s="257" t="n">
        <f aca="false">D77</f>
        <v>1.45</v>
      </c>
      <c r="U77" s="263" t="n">
        <f aca="false">$U$16+T77</f>
        <v>1.52</v>
      </c>
      <c r="BP77" s="226" t="n">
        <f aca="false">BP76+BV77</f>
        <v>76</v>
      </c>
      <c r="BQ77" s="227" t="s">
        <v>583</v>
      </c>
      <c r="BR77" s="224" t="s">
        <v>226</v>
      </c>
      <c r="BS77" s="154" t="s">
        <v>359</v>
      </c>
      <c r="BT77" s="230" t="s">
        <v>228</v>
      </c>
      <c r="BU77" s="230"/>
      <c r="BV77" s="154" t="n">
        <v>1</v>
      </c>
      <c r="BW77" s="224" t="s">
        <v>584</v>
      </c>
      <c r="BX77" s="0"/>
      <c r="BZ77" s="226" t="n">
        <f aca="false">BZ76+CF77</f>
        <v>76</v>
      </c>
      <c r="CA77" s="84" t="s">
        <v>585</v>
      </c>
      <c r="CB77" s="224" t="s">
        <v>230</v>
      </c>
      <c r="CC77" s="154" t="s">
        <v>227</v>
      </c>
      <c r="CD77" s="230" t="s">
        <v>228</v>
      </c>
      <c r="CE77" s="230"/>
      <c r="CF77" s="154" t="n">
        <v>1</v>
      </c>
      <c r="CG77" s="224" t="s">
        <v>586</v>
      </c>
      <c r="CH77" s="0"/>
    </row>
    <row r="78" customFormat="false" ht="12.75" hidden="false" customHeight="false" outlineLevel="0" collapsed="false">
      <c r="A78" s="258"/>
      <c r="B78" s="259" t="e">
        <f aca="false">NextMonth(B77)</f>
        <v>#VALUE!</v>
      </c>
      <c r="C78" s="215" t="n">
        <v>0.057047864053553</v>
      </c>
      <c r="D78" s="269" t="n">
        <v>1</v>
      </c>
      <c r="E78" s="269" t="n">
        <v>1</v>
      </c>
      <c r="F78" s="269" t="n">
        <v>0.23</v>
      </c>
      <c r="G78" s="269" t="n">
        <v>0.2375</v>
      </c>
      <c r="H78" s="269" t="n">
        <v>0.245</v>
      </c>
      <c r="I78" s="260" t="n">
        <v>4.054</v>
      </c>
      <c r="J78" s="269" t="n">
        <v>4.059</v>
      </c>
      <c r="K78" s="215" t="n">
        <v>4.064</v>
      </c>
      <c r="L78" s="269" t="n">
        <v>0.93</v>
      </c>
      <c r="M78" s="215" t="n">
        <v>0.04</v>
      </c>
      <c r="O78" s="211"/>
      <c r="P78" s="260"/>
      <c r="Q78" s="260"/>
      <c r="R78" s="261" t="e">
        <f aca="false">B78</f>
        <v>#VALUE!</v>
      </c>
      <c r="S78" s="262" t="n">
        <f aca="false">T78-$S$16</f>
        <v>0.93</v>
      </c>
      <c r="T78" s="257" t="n">
        <f aca="false">D78</f>
        <v>1</v>
      </c>
      <c r="U78" s="263" t="n">
        <f aca="false">$U$16+T78</f>
        <v>1.07</v>
      </c>
      <c r="BP78" s="226" t="n">
        <f aca="false">BP77+BV78</f>
        <v>77</v>
      </c>
      <c r="BQ78" s="227" t="s">
        <v>587</v>
      </c>
      <c r="BR78" s="224" t="s">
        <v>226</v>
      </c>
      <c r="BS78" s="154" t="s">
        <v>359</v>
      </c>
      <c r="BT78" s="230" t="s">
        <v>228</v>
      </c>
      <c r="BU78" s="230"/>
      <c r="BV78" s="154" t="n">
        <v>1</v>
      </c>
      <c r="BW78" s="224" t="s">
        <v>588</v>
      </c>
      <c r="BX78" s="0"/>
      <c r="BZ78" s="226" t="n">
        <f aca="false">BZ77+CF78</f>
        <v>77</v>
      </c>
      <c r="CA78" s="84" t="s">
        <v>589</v>
      </c>
      <c r="CB78" s="224" t="s">
        <v>230</v>
      </c>
      <c r="CC78" s="154" t="s">
        <v>227</v>
      </c>
      <c r="CD78" s="230" t="s">
        <v>228</v>
      </c>
      <c r="CE78" s="230"/>
      <c r="CF78" s="154" t="n">
        <v>1</v>
      </c>
      <c r="CG78" s="224" t="s">
        <v>590</v>
      </c>
      <c r="CH78" s="0"/>
    </row>
    <row r="79" customFormat="false" ht="12.75" hidden="false" customHeight="false" outlineLevel="0" collapsed="false">
      <c r="A79" s="258"/>
      <c r="B79" s="259" t="e">
        <f aca="false">NextMonth(B78)</f>
        <v>#VALUE!</v>
      </c>
      <c r="C79" s="215" t="n">
        <v>0.057104941345478</v>
      </c>
      <c r="D79" s="269" t="n">
        <v>0.45</v>
      </c>
      <c r="E79" s="269" t="n">
        <v>0.45</v>
      </c>
      <c r="F79" s="269" t="n">
        <v>0.23</v>
      </c>
      <c r="G79" s="269" t="n">
        <v>0.2375</v>
      </c>
      <c r="H79" s="269" t="n">
        <v>0.245</v>
      </c>
      <c r="I79" s="260" t="n">
        <v>3.871</v>
      </c>
      <c r="J79" s="269" t="n">
        <v>3.876</v>
      </c>
      <c r="K79" s="215" t="n">
        <v>3.881</v>
      </c>
      <c r="L79" s="269" t="n">
        <v>0.5</v>
      </c>
      <c r="M79" s="215" t="n">
        <v>0.06</v>
      </c>
      <c r="O79" s="211"/>
      <c r="P79" s="260"/>
      <c r="Q79" s="260"/>
      <c r="R79" s="261" t="e">
        <f aca="false">B79</f>
        <v>#VALUE!</v>
      </c>
      <c r="S79" s="262" t="n">
        <f aca="false">T79-$S$16</f>
        <v>0.38</v>
      </c>
      <c r="T79" s="257" t="n">
        <f aca="false">D79</f>
        <v>0.45</v>
      </c>
      <c r="U79" s="263" t="n">
        <f aca="false">$U$16+T79</f>
        <v>0.52</v>
      </c>
      <c r="BP79" s="226" t="n">
        <f aca="false">BP78+BV79</f>
        <v>78</v>
      </c>
      <c r="BQ79" s="227" t="s">
        <v>591</v>
      </c>
      <c r="BR79" s="224" t="s">
        <v>226</v>
      </c>
      <c r="BS79" s="154" t="s">
        <v>359</v>
      </c>
      <c r="BT79" s="230" t="s">
        <v>228</v>
      </c>
      <c r="BU79" s="230"/>
      <c r="BV79" s="154" t="n">
        <v>1</v>
      </c>
      <c r="BW79" s="224" t="s">
        <v>592</v>
      </c>
      <c r="BX79" s="0"/>
      <c r="BZ79" s="226" t="n">
        <f aca="false">BZ78+CF79</f>
        <v>78</v>
      </c>
      <c r="CA79" s="84" t="s">
        <v>593</v>
      </c>
      <c r="CB79" s="224" t="s">
        <v>230</v>
      </c>
      <c r="CC79" s="154" t="s">
        <v>227</v>
      </c>
      <c r="CD79" s="230" t="s">
        <v>228</v>
      </c>
      <c r="CE79" s="230"/>
      <c r="CF79" s="154" t="n">
        <v>1</v>
      </c>
      <c r="CG79" s="224" t="s">
        <v>594</v>
      </c>
      <c r="CH79" s="0"/>
    </row>
    <row r="80" customFormat="false" ht="12.75" hidden="false" customHeight="false" outlineLevel="0" collapsed="false">
      <c r="A80" s="258"/>
      <c r="B80" s="259" t="e">
        <f aca="false">NextMonth(B79)</f>
        <v>#VALUE!</v>
      </c>
      <c r="C80" s="215" t="n">
        <v>0.057160177435469</v>
      </c>
      <c r="D80" s="269" t="n">
        <v>0.5</v>
      </c>
      <c r="E80" s="269" t="n">
        <v>0.5</v>
      </c>
      <c r="F80" s="269" t="n">
        <v>0.2275</v>
      </c>
      <c r="G80" s="269" t="n">
        <v>0.235</v>
      </c>
      <c r="H80" s="269" t="n">
        <v>0.2425</v>
      </c>
      <c r="I80" s="260" t="n">
        <v>3.846</v>
      </c>
      <c r="J80" s="269" t="n">
        <v>3.851</v>
      </c>
      <c r="K80" s="215" t="n">
        <v>3.856</v>
      </c>
      <c r="L80" s="269" t="n">
        <v>0.44</v>
      </c>
      <c r="M80" s="215" t="n">
        <v>0.06</v>
      </c>
      <c r="O80" s="211"/>
      <c r="P80" s="260"/>
      <c r="Q80" s="260"/>
      <c r="R80" s="261" t="e">
        <f aca="false">B80</f>
        <v>#VALUE!</v>
      </c>
      <c r="S80" s="262" t="n">
        <f aca="false">T80-$S$16</f>
        <v>0.43</v>
      </c>
      <c r="T80" s="257" t="n">
        <f aca="false">D80</f>
        <v>0.5</v>
      </c>
      <c r="U80" s="263" t="n">
        <f aca="false">$U$16+T80</f>
        <v>0.57</v>
      </c>
      <c r="BP80" s="226" t="n">
        <f aca="false">BP79+BV80</f>
        <v>79</v>
      </c>
      <c r="BQ80" s="227" t="s">
        <v>595</v>
      </c>
      <c r="BR80" s="224" t="s">
        <v>226</v>
      </c>
      <c r="BS80" s="154" t="s">
        <v>359</v>
      </c>
      <c r="BT80" s="230" t="s">
        <v>228</v>
      </c>
      <c r="BU80" s="230"/>
      <c r="BV80" s="154" t="n">
        <v>1</v>
      </c>
      <c r="BW80" s="224" t="s">
        <v>596</v>
      </c>
      <c r="BX80" s="0"/>
      <c r="BZ80" s="226" t="n">
        <f aca="false">BZ79+CF80</f>
        <v>79</v>
      </c>
      <c r="CA80" s="84" t="s">
        <v>597</v>
      </c>
      <c r="CB80" s="224" t="s">
        <v>230</v>
      </c>
      <c r="CC80" s="154" t="s">
        <v>227</v>
      </c>
      <c r="CD80" s="230" t="s">
        <v>228</v>
      </c>
      <c r="CE80" s="230"/>
      <c r="CF80" s="154" t="n">
        <v>1</v>
      </c>
      <c r="CG80" s="224" t="s">
        <v>598</v>
      </c>
      <c r="CH80" s="0"/>
    </row>
    <row r="81" customFormat="false" ht="12.75" hidden="false" customHeight="false" outlineLevel="0" collapsed="false">
      <c r="A81" s="258"/>
      <c r="B81" s="259" t="e">
        <f aca="false">NextMonth(B80)</f>
        <v>#VALUE!</v>
      </c>
      <c r="C81" s="215" t="n">
        <v>0.057217254729527</v>
      </c>
      <c r="D81" s="269" t="n">
        <v>0.5</v>
      </c>
      <c r="E81" s="269" t="n">
        <v>0.5</v>
      </c>
      <c r="F81" s="269" t="n">
        <v>0.2275</v>
      </c>
      <c r="G81" s="269" t="n">
        <v>0.235</v>
      </c>
      <c r="H81" s="269" t="n">
        <v>0.2425</v>
      </c>
      <c r="I81" s="260" t="n">
        <v>3.875</v>
      </c>
      <c r="J81" s="269" t="n">
        <v>3.88</v>
      </c>
      <c r="K81" s="215" t="n">
        <v>3.885</v>
      </c>
      <c r="L81" s="269" t="n">
        <v>0.44</v>
      </c>
      <c r="M81" s="215" t="n">
        <v>0.06</v>
      </c>
      <c r="O81" s="211"/>
      <c r="P81" s="260"/>
      <c r="Q81" s="260"/>
      <c r="R81" s="261" t="e">
        <f aca="false">B81</f>
        <v>#VALUE!</v>
      </c>
      <c r="S81" s="262" t="n">
        <f aca="false">T81-$S$16</f>
        <v>0.43</v>
      </c>
      <c r="T81" s="257" t="n">
        <f aca="false">D81</f>
        <v>0.5</v>
      </c>
      <c r="U81" s="263" t="n">
        <f aca="false">$U$16+T81</f>
        <v>0.57</v>
      </c>
      <c r="BP81" s="226" t="n">
        <f aca="false">BP80+BV81</f>
        <v>80</v>
      </c>
      <c r="BQ81" s="227" t="s">
        <v>599</v>
      </c>
      <c r="BR81" s="224" t="s">
        <v>226</v>
      </c>
      <c r="BS81" s="154" t="s">
        <v>359</v>
      </c>
      <c r="BT81" s="230" t="s">
        <v>228</v>
      </c>
      <c r="BU81" s="230"/>
      <c r="BV81" s="154" t="n">
        <v>1</v>
      </c>
      <c r="BW81" s="224" t="s">
        <v>600</v>
      </c>
      <c r="BX81" s="0"/>
      <c r="BZ81" s="226" t="n">
        <f aca="false">BZ80+CF81</f>
        <v>80</v>
      </c>
      <c r="CA81" s="84" t="s">
        <v>601</v>
      </c>
      <c r="CB81" s="224" t="s">
        <v>230</v>
      </c>
      <c r="CC81" s="154" t="s">
        <v>227</v>
      </c>
      <c r="CD81" s="230" t="s">
        <v>228</v>
      </c>
      <c r="CE81" s="230"/>
      <c r="CF81" s="154" t="n">
        <v>1</v>
      </c>
      <c r="CG81" s="224" t="s">
        <v>602</v>
      </c>
      <c r="CH81" s="0"/>
    </row>
    <row r="82" customFormat="false" ht="12.75" hidden="false" customHeight="false" outlineLevel="0" collapsed="false">
      <c r="A82" s="258"/>
      <c r="B82" s="259" t="e">
        <f aca="false">NextMonth(B81)</f>
        <v>#VALUE!</v>
      </c>
      <c r="C82" s="215" t="n">
        <v>0.057272490821583</v>
      </c>
      <c r="D82" s="269" t="n">
        <v>0.5</v>
      </c>
      <c r="E82" s="269" t="n">
        <v>0.5</v>
      </c>
      <c r="F82" s="269" t="n">
        <v>0.2275</v>
      </c>
      <c r="G82" s="269" t="n">
        <v>0.235</v>
      </c>
      <c r="H82" s="269" t="n">
        <v>0.2425</v>
      </c>
      <c r="I82" s="260" t="n">
        <v>3.905</v>
      </c>
      <c r="J82" s="269" t="n">
        <v>3.91</v>
      </c>
      <c r="K82" s="215" t="n">
        <v>3.915</v>
      </c>
      <c r="L82" s="269" t="n">
        <v>0.5</v>
      </c>
      <c r="M82" s="215" t="n">
        <v>0.06</v>
      </c>
      <c r="O82" s="211"/>
      <c r="P82" s="260"/>
      <c r="Q82" s="260"/>
      <c r="R82" s="261" t="e">
        <f aca="false">B82</f>
        <v>#VALUE!</v>
      </c>
      <c r="S82" s="262" t="n">
        <f aca="false">T82-$S$16</f>
        <v>0.43</v>
      </c>
      <c r="T82" s="257" t="n">
        <f aca="false">D82</f>
        <v>0.5</v>
      </c>
      <c r="U82" s="263" t="n">
        <f aca="false">$U$16+T82</f>
        <v>0.57</v>
      </c>
      <c r="BP82" s="226" t="n">
        <f aca="false">BP81+BV82</f>
        <v>81</v>
      </c>
      <c r="BQ82" s="227" t="s">
        <v>603</v>
      </c>
      <c r="BR82" s="224" t="s">
        <v>226</v>
      </c>
      <c r="BS82" s="154" t="s">
        <v>359</v>
      </c>
      <c r="BT82" s="230" t="s">
        <v>228</v>
      </c>
      <c r="BU82" s="230"/>
      <c r="BV82" s="154" t="n">
        <v>1</v>
      </c>
      <c r="BW82" s="224" t="s">
        <v>604</v>
      </c>
      <c r="BX82" s="0"/>
      <c r="BZ82" s="226" t="n">
        <f aca="false">BZ81+CF82</f>
        <v>81</v>
      </c>
      <c r="CA82" s="84" t="s">
        <v>605</v>
      </c>
      <c r="CB82" s="224" t="s">
        <v>230</v>
      </c>
      <c r="CC82" s="154" t="s">
        <v>227</v>
      </c>
      <c r="CD82" s="230" t="s">
        <v>228</v>
      </c>
      <c r="CE82" s="230"/>
      <c r="CF82" s="154" t="n">
        <v>1</v>
      </c>
      <c r="CG82" s="224" t="s">
        <v>606</v>
      </c>
      <c r="CH82" s="0"/>
    </row>
    <row r="83" customFormat="false" ht="12.75" hidden="false" customHeight="false" outlineLevel="0" collapsed="false">
      <c r="A83" s="258"/>
      <c r="B83" s="259" t="e">
        <f aca="false">NextMonth(B82)</f>
        <v>#VALUE!</v>
      </c>
      <c r="C83" s="215" t="n">
        <v>0.057329568117773</v>
      </c>
      <c r="D83" s="269" t="n">
        <v>0.6</v>
      </c>
      <c r="E83" s="269" t="n">
        <v>0.6</v>
      </c>
      <c r="F83" s="269" t="n">
        <v>0.2275</v>
      </c>
      <c r="G83" s="269" t="n">
        <v>0.235</v>
      </c>
      <c r="H83" s="269" t="n">
        <v>0.2425</v>
      </c>
      <c r="I83" s="260" t="n">
        <v>3.925</v>
      </c>
      <c r="J83" s="269" t="n">
        <v>3.93</v>
      </c>
      <c r="K83" s="215" t="n">
        <v>3.935</v>
      </c>
      <c r="L83" s="269" t="n">
        <v>0.5</v>
      </c>
      <c r="M83" s="215" t="n">
        <v>0.06</v>
      </c>
      <c r="O83" s="211"/>
      <c r="P83" s="260"/>
      <c r="Q83" s="260"/>
      <c r="R83" s="261" t="e">
        <f aca="false">B83</f>
        <v>#VALUE!</v>
      </c>
      <c r="S83" s="262" t="n">
        <f aca="false">T83-$S$16</f>
        <v>0.53</v>
      </c>
      <c r="T83" s="257" t="n">
        <f aca="false">D83</f>
        <v>0.6</v>
      </c>
      <c r="U83" s="263" t="n">
        <f aca="false">$U$16+T83</f>
        <v>0.67</v>
      </c>
      <c r="BP83" s="226" t="n">
        <f aca="false">BP82+BV83</f>
        <v>82</v>
      </c>
      <c r="BQ83" s="227" t="s">
        <v>607</v>
      </c>
      <c r="BR83" s="224" t="s">
        <v>226</v>
      </c>
      <c r="BS83" s="154" t="s">
        <v>359</v>
      </c>
      <c r="BT83" s="230" t="s">
        <v>228</v>
      </c>
      <c r="BU83" s="230"/>
      <c r="BV83" s="154" t="n">
        <v>1</v>
      </c>
      <c r="BW83" s="224" t="s">
        <v>608</v>
      </c>
      <c r="BX83" s="0"/>
      <c r="BZ83" s="226" t="n">
        <f aca="false">BZ82+CF83</f>
        <v>82</v>
      </c>
      <c r="CA83" s="84" t="s">
        <v>609</v>
      </c>
      <c r="CB83" s="224" t="s">
        <v>230</v>
      </c>
      <c r="CC83" s="154" t="s">
        <v>227</v>
      </c>
      <c r="CD83" s="230" t="s">
        <v>228</v>
      </c>
      <c r="CE83" s="230"/>
      <c r="CF83" s="154" t="n">
        <v>1</v>
      </c>
      <c r="CG83" s="224" t="s">
        <v>610</v>
      </c>
      <c r="CH83" s="0"/>
    </row>
    <row r="84" customFormat="false" ht="12.75" hidden="false" customHeight="false" outlineLevel="0" collapsed="false">
      <c r="A84" s="258"/>
      <c r="B84" s="259" t="e">
        <f aca="false">NextMonth(B83)</f>
        <v>#VALUE!</v>
      </c>
      <c r="C84" s="215" t="n">
        <v>0.057386645415047</v>
      </c>
      <c r="D84" s="269" t="n">
        <v>0.6</v>
      </c>
      <c r="E84" s="269" t="n">
        <v>0.6</v>
      </c>
      <c r="F84" s="269" t="n">
        <v>0.2275</v>
      </c>
      <c r="G84" s="269" t="n">
        <v>0.235</v>
      </c>
      <c r="H84" s="269" t="n">
        <v>0.2425</v>
      </c>
      <c r="I84" s="260" t="n">
        <v>3.946</v>
      </c>
      <c r="J84" s="269" t="n">
        <v>3.951</v>
      </c>
      <c r="K84" s="215" t="n">
        <v>3.956</v>
      </c>
      <c r="L84" s="269" t="n">
        <v>0.46</v>
      </c>
      <c r="M84" s="215" t="n">
        <v>0.06</v>
      </c>
      <c r="O84" s="211"/>
      <c r="P84" s="260"/>
      <c r="Q84" s="260"/>
      <c r="R84" s="261" t="e">
        <f aca="false">B84</f>
        <v>#VALUE!</v>
      </c>
      <c r="S84" s="262" t="n">
        <f aca="false">T84-$S$16</f>
        <v>0.53</v>
      </c>
      <c r="T84" s="257" t="n">
        <f aca="false">D84</f>
        <v>0.6</v>
      </c>
      <c r="U84" s="263" t="n">
        <f aca="false">$U$16+T84</f>
        <v>0.67</v>
      </c>
      <c r="BP84" s="226" t="n">
        <f aca="false">BP83+BV84</f>
        <v>83</v>
      </c>
      <c r="BQ84" s="227" t="s">
        <v>611</v>
      </c>
      <c r="BR84" s="224" t="s">
        <v>226</v>
      </c>
      <c r="BS84" s="154" t="s">
        <v>359</v>
      </c>
      <c r="BT84" s="230" t="s">
        <v>228</v>
      </c>
      <c r="BU84" s="230"/>
      <c r="BV84" s="154" t="n">
        <v>1</v>
      </c>
      <c r="BW84" s="224" t="s">
        <v>612</v>
      </c>
      <c r="BX84" s="0"/>
      <c r="BZ84" s="226" t="n">
        <f aca="false">BZ83+CF84</f>
        <v>83</v>
      </c>
      <c r="CA84" s="84" t="s">
        <v>613</v>
      </c>
      <c r="CB84" s="224" t="s">
        <v>230</v>
      </c>
      <c r="CC84" s="154" t="s">
        <v>227</v>
      </c>
      <c r="CD84" s="230" t="s">
        <v>228</v>
      </c>
      <c r="CE84" s="230"/>
      <c r="CF84" s="154" t="n">
        <v>1</v>
      </c>
      <c r="CG84" s="224" t="s">
        <v>614</v>
      </c>
      <c r="CH84" s="0"/>
    </row>
    <row r="85" customFormat="false" ht="12.75" hidden="false" customHeight="false" outlineLevel="0" collapsed="false">
      <c r="A85" s="258"/>
      <c r="B85" s="259" t="e">
        <f aca="false">NextMonth(B84)</f>
        <v>#VALUE!</v>
      </c>
      <c r="C85" s="215" t="n">
        <v>0.057441881510215</v>
      </c>
      <c r="D85" s="269" t="n">
        <v>0.65</v>
      </c>
      <c r="E85" s="269" t="n">
        <v>0.65</v>
      </c>
      <c r="F85" s="269" t="n">
        <v>0.2275</v>
      </c>
      <c r="G85" s="269" t="n">
        <v>0.235</v>
      </c>
      <c r="H85" s="269" t="n">
        <v>0.2425</v>
      </c>
      <c r="I85" s="260" t="n">
        <v>3.976</v>
      </c>
      <c r="J85" s="269" t="n">
        <v>3.981</v>
      </c>
      <c r="K85" s="215" t="n">
        <v>3.986</v>
      </c>
      <c r="L85" s="269" t="n">
        <v>0.47</v>
      </c>
      <c r="M85" s="215" t="n">
        <v>0.06</v>
      </c>
      <c r="O85" s="211"/>
      <c r="P85" s="260"/>
      <c r="Q85" s="260"/>
      <c r="R85" s="261" t="e">
        <f aca="false">B85</f>
        <v>#VALUE!</v>
      </c>
      <c r="S85" s="262" t="n">
        <f aca="false">T85-$S$16</f>
        <v>0.58</v>
      </c>
      <c r="T85" s="257" t="n">
        <f aca="false">D85</f>
        <v>0.65</v>
      </c>
      <c r="U85" s="263" t="n">
        <f aca="false">$U$16+T85</f>
        <v>0.72</v>
      </c>
      <c r="BP85" s="226" t="n">
        <f aca="false">BP84+BV85</f>
        <v>84</v>
      </c>
      <c r="BQ85" s="227" t="s">
        <v>615</v>
      </c>
      <c r="BR85" s="224" t="s">
        <v>226</v>
      </c>
      <c r="BS85" s="154" t="s">
        <v>359</v>
      </c>
      <c r="BT85" s="230" t="s">
        <v>228</v>
      </c>
      <c r="BU85" s="230"/>
      <c r="BV85" s="154" t="n">
        <v>1</v>
      </c>
      <c r="BW85" s="224" t="s">
        <v>616</v>
      </c>
      <c r="BX85" s="0"/>
      <c r="BZ85" s="226" t="n">
        <f aca="false">BZ84+CF85</f>
        <v>84</v>
      </c>
      <c r="CA85" s="84" t="s">
        <v>617</v>
      </c>
      <c r="CB85" s="224" t="s">
        <v>230</v>
      </c>
      <c r="CC85" s="154" t="s">
        <v>227</v>
      </c>
      <c r="CD85" s="230" t="s">
        <v>228</v>
      </c>
      <c r="CE85" s="230"/>
      <c r="CF85" s="154" t="n">
        <v>1</v>
      </c>
      <c r="CG85" s="224" t="s">
        <v>618</v>
      </c>
      <c r="CH85" s="0"/>
    </row>
    <row r="86" customFormat="false" ht="12.75" hidden="false" customHeight="false" outlineLevel="0" collapsed="false">
      <c r="A86" s="258"/>
      <c r="B86" s="259" t="e">
        <f aca="false">NextMonth(B85)</f>
        <v>#VALUE!</v>
      </c>
      <c r="C86" s="215" t="n">
        <v>0.057498958809623</v>
      </c>
      <c r="D86" s="269" t="n">
        <v>0.95</v>
      </c>
      <c r="E86" s="269" t="n">
        <v>0.95</v>
      </c>
      <c r="F86" s="269" t="n">
        <v>0.23</v>
      </c>
      <c r="G86" s="269" t="n">
        <v>0.2375</v>
      </c>
      <c r="H86" s="269" t="n">
        <v>0.245</v>
      </c>
      <c r="I86" s="260" t="n">
        <v>4.116</v>
      </c>
      <c r="J86" s="269" t="n">
        <v>4.121</v>
      </c>
      <c r="K86" s="215" t="n">
        <v>4.126</v>
      </c>
      <c r="L86" s="269" t="n">
        <v>0.86</v>
      </c>
      <c r="M86" s="215" t="n">
        <v>0.04</v>
      </c>
      <c r="O86" s="211"/>
      <c r="P86" s="260"/>
      <c r="Q86" s="260"/>
      <c r="R86" s="261" t="e">
        <f aca="false">B86</f>
        <v>#VALUE!</v>
      </c>
      <c r="S86" s="262" t="n">
        <f aca="false">T86-$S$16</f>
        <v>0.88</v>
      </c>
      <c r="T86" s="257" t="n">
        <f aca="false">D86</f>
        <v>0.95</v>
      </c>
      <c r="U86" s="263" t="n">
        <f aca="false">$U$16+T86</f>
        <v>1.02</v>
      </c>
      <c r="BP86" s="226" t="n">
        <f aca="false">BP85+BV86</f>
        <v>85</v>
      </c>
      <c r="BQ86" s="227" t="s">
        <v>619</v>
      </c>
      <c r="BR86" s="224" t="s">
        <v>226</v>
      </c>
      <c r="BS86" s="154" t="s">
        <v>359</v>
      </c>
      <c r="BT86" s="230" t="s">
        <v>228</v>
      </c>
      <c r="BU86" s="230"/>
      <c r="BV86" s="154" t="n">
        <v>1</v>
      </c>
      <c r="BW86" s="224" t="s">
        <v>620</v>
      </c>
      <c r="BX86" s="0"/>
      <c r="BZ86" s="226" t="n">
        <f aca="false">BZ85+CF86</f>
        <v>85</v>
      </c>
      <c r="CA86" s="84" t="s">
        <v>621</v>
      </c>
      <c r="CB86" s="224" t="s">
        <v>230</v>
      </c>
      <c r="CC86" s="154" t="s">
        <v>227</v>
      </c>
      <c r="CD86" s="230" t="s">
        <v>228</v>
      </c>
      <c r="CE86" s="230"/>
      <c r="CF86" s="154" t="n">
        <v>1</v>
      </c>
      <c r="CG86" s="224" t="s">
        <v>622</v>
      </c>
      <c r="CH86" s="0"/>
    </row>
    <row r="87" customFormat="false" ht="12.75" hidden="false" customHeight="false" outlineLevel="0" collapsed="false">
      <c r="A87" s="258"/>
      <c r="B87" s="259" t="e">
        <f aca="false">NextMonth(B86)</f>
        <v>#VALUE!</v>
      </c>
      <c r="C87" s="215" t="n">
        <v>0.057554194906854</v>
      </c>
      <c r="D87" s="269" t="n">
        <v>1.25</v>
      </c>
      <c r="E87" s="269" t="n">
        <v>1.25</v>
      </c>
      <c r="F87" s="269" t="n">
        <v>0.2375</v>
      </c>
      <c r="G87" s="269" t="n">
        <v>0.245</v>
      </c>
      <c r="H87" s="269" t="n">
        <v>0.2525</v>
      </c>
      <c r="I87" s="260" t="n">
        <v>4.241</v>
      </c>
      <c r="J87" s="269" t="n">
        <v>4.246</v>
      </c>
      <c r="K87" s="215" t="n">
        <v>4.251</v>
      </c>
      <c r="L87" s="269" t="n">
        <v>1.28</v>
      </c>
      <c r="M87" s="215" t="n">
        <v>0.04</v>
      </c>
      <c r="O87" s="211"/>
      <c r="P87" s="260"/>
      <c r="Q87" s="260"/>
      <c r="R87" s="261" t="e">
        <f aca="false">B87</f>
        <v>#VALUE!</v>
      </c>
      <c r="S87" s="262" t="n">
        <f aca="false">T87-$S$16</f>
        <v>1.18</v>
      </c>
      <c r="T87" s="257" t="n">
        <f aca="false">D87</f>
        <v>1.25</v>
      </c>
      <c r="U87" s="263" t="n">
        <f aca="false">$U$16+T87</f>
        <v>1.32</v>
      </c>
      <c r="BP87" s="226" t="n">
        <f aca="false">BP86+BV87</f>
        <v>86</v>
      </c>
      <c r="BQ87" s="227" t="s">
        <v>623</v>
      </c>
      <c r="BR87" s="224" t="s">
        <v>226</v>
      </c>
      <c r="BS87" s="154" t="s">
        <v>359</v>
      </c>
      <c r="BT87" s="230" t="s">
        <v>228</v>
      </c>
      <c r="BU87" s="230"/>
      <c r="BV87" s="154" t="n">
        <v>1</v>
      </c>
      <c r="BW87" s="224" t="s">
        <v>624</v>
      </c>
      <c r="BX87" s="0"/>
      <c r="BZ87" s="226" t="n">
        <f aca="false">BZ86+CF87</f>
        <v>86</v>
      </c>
      <c r="CA87" s="84" t="s">
        <v>625</v>
      </c>
      <c r="CB87" s="224" t="s">
        <v>230</v>
      </c>
      <c r="CC87" s="154" t="s">
        <v>227</v>
      </c>
      <c r="CD87" s="230" t="s">
        <v>228</v>
      </c>
      <c r="CE87" s="230"/>
      <c r="CF87" s="154" t="n">
        <v>1</v>
      </c>
      <c r="CG87" s="224" t="s">
        <v>626</v>
      </c>
      <c r="CH87" s="0"/>
    </row>
    <row r="88" customFormat="false" ht="12.75" hidden="false" customHeight="false" outlineLevel="0" collapsed="false">
      <c r="A88" s="258"/>
      <c r="B88" s="259" t="e">
        <f aca="false">NextMonth(B87)</f>
        <v>#VALUE!</v>
      </c>
      <c r="C88" s="215" t="n">
        <v>0.057611272208394</v>
      </c>
      <c r="D88" s="269" t="n">
        <v>1.45</v>
      </c>
      <c r="E88" s="269" t="n">
        <v>1.45</v>
      </c>
      <c r="F88" s="269" t="n">
        <v>0.24</v>
      </c>
      <c r="G88" s="269" t="n">
        <v>0.2475</v>
      </c>
      <c r="H88" s="269" t="n">
        <v>0.255</v>
      </c>
      <c r="I88" s="260" t="n">
        <v>4.335</v>
      </c>
      <c r="J88" s="269" t="n">
        <v>4.34</v>
      </c>
      <c r="K88" s="215" t="n">
        <v>4.345</v>
      </c>
      <c r="L88" s="269" t="n">
        <v>1.61</v>
      </c>
      <c r="M88" s="215" t="n">
        <v>0.04</v>
      </c>
      <c r="O88" s="211"/>
      <c r="P88" s="260"/>
      <c r="Q88" s="260"/>
      <c r="R88" s="261" t="e">
        <f aca="false">B88</f>
        <v>#VALUE!</v>
      </c>
      <c r="S88" s="262" t="n">
        <f aca="false">T88-$S$16</f>
        <v>1.38</v>
      </c>
      <c r="T88" s="257" t="n">
        <f aca="false">D88</f>
        <v>1.45</v>
      </c>
      <c r="U88" s="263" t="n">
        <f aca="false">$U$16+T88</f>
        <v>1.52</v>
      </c>
      <c r="BP88" s="226" t="n">
        <f aca="false">BP87+BV88</f>
        <v>87</v>
      </c>
      <c r="BQ88" s="227" t="s">
        <v>627</v>
      </c>
      <c r="BR88" s="224" t="s">
        <v>226</v>
      </c>
      <c r="BS88" s="154" t="s">
        <v>359</v>
      </c>
      <c r="BT88" s="230" t="s">
        <v>228</v>
      </c>
      <c r="BU88" s="230"/>
      <c r="BV88" s="154" t="n">
        <v>1</v>
      </c>
      <c r="BW88" s="224" t="s">
        <v>628</v>
      </c>
      <c r="BX88" s="0"/>
      <c r="BZ88" s="226" t="n">
        <f aca="false">BZ87+CF88</f>
        <v>87</v>
      </c>
      <c r="CA88" s="84" t="s">
        <v>629</v>
      </c>
      <c r="CB88" s="224" t="s">
        <v>230</v>
      </c>
      <c r="CC88" s="154" t="s">
        <v>227</v>
      </c>
      <c r="CD88" s="230" t="s">
        <v>228</v>
      </c>
      <c r="CE88" s="230"/>
      <c r="CF88" s="154" t="n">
        <v>1</v>
      </c>
      <c r="CG88" s="224" t="s">
        <v>630</v>
      </c>
      <c r="CH88" s="0"/>
    </row>
    <row r="89" customFormat="false" ht="12.75" hidden="false" customHeight="false" outlineLevel="0" collapsed="false">
      <c r="A89" s="258"/>
      <c r="B89" s="259" t="e">
        <f aca="false">NextMonth(B88)</f>
        <v>#VALUE!</v>
      </c>
      <c r="C89" s="215" t="n">
        <v>0.057668349511017</v>
      </c>
      <c r="D89" s="269" t="n">
        <v>1.45</v>
      </c>
      <c r="E89" s="269" t="n">
        <v>1.45</v>
      </c>
      <c r="F89" s="269" t="n">
        <v>0.2275</v>
      </c>
      <c r="G89" s="269" t="n">
        <v>0.235</v>
      </c>
      <c r="H89" s="269" t="n">
        <v>0.2425</v>
      </c>
      <c r="I89" s="260" t="n">
        <v>4.239</v>
      </c>
      <c r="J89" s="269" t="n">
        <v>4.244</v>
      </c>
      <c r="K89" s="215" t="n">
        <v>4.249</v>
      </c>
      <c r="L89" s="269" t="n">
        <v>1.57</v>
      </c>
      <c r="M89" s="215" t="n">
        <v>0.04</v>
      </c>
      <c r="O89" s="211"/>
      <c r="P89" s="260"/>
      <c r="Q89" s="260"/>
      <c r="R89" s="261" t="e">
        <f aca="false">B89</f>
        <v>#VALUE!</v>
      </c>
      <c r="S89" s="262" t="n">
        <f aca="false">T89-$S$16</f>
        <v>1.38</v>
      </c>
      <c r="T89" s="257" t="n">
        <f aca="false">D89</f>
        <v>1.45</v>
      </c>
      <c r="U89" s="263" t="n">
        <f aca="false">$U$16+T89</f>
        <v>1.52</v>
      </c>
      <c r="BP89" s="226" t="n">
        <f aca="false">BP88+BV89</f>
        <v>88</v>
      </c>
      <c r="BQ89" s="227" t="s">
        <v>631</v>
      </c>
      <c r="BR89" s="224" t="s">
        <v>226</v>
      </c>
      <c r="BS89" s="154" t="s">
        <v>359</v>
      </c>
      <c r="BT89" s="230" t="s">
        <v>228</v>
      </c>
      <c r="BU89" s="230"/>
      <c r="BV89" s="154" t="n">
        <v>1</v>
      </c>
      <c r="BW89" s="224" t="s">
        <v>632</v>
      </c>
      <c r="BX89" s="0"/>
      <c r="BZ89" s="226" t="n">
        <f aca="false">BZ88+CF89</f>
        <v>88</v>
      </c>
      <c r="CA89" s="84" t="s">
        <v>633</v>
      </c>
      <c r="CB89" s="224" t="s">
        <v>230</v>
      </c>
      <c r="CC89" s="154" t="s">
        <v>227</v>
      </c>
      <c r="CD89" s="230" t="s">
        <v>228</v>
      </c>
      <c r="CE89" s="230"/>
      <c r="CF89" s="154" t="n">
        <v>1</v>
      </c>
      <c r="CG89" s="224" t="s">
        <v>634</v>
      </c>
      <c r="CH89" s="0"/>
    </row>
    <row r="90" customFormat="false" ht="12.75" hidden="false" customHeight="false" outlineLevel="0" collapsed="false">
      <c r="A90" s="258"/>
      <c r="B90" s="259" t="e">
        <f aca="false">NextMonth(B89)</f>
        <v>#VALUE!</v>
      </c>
      <c r="C90" s="215" t="n">
        <v>0.057719903204641</v>
      </c>
      <c r="D90" s="269" t="n">
        <v>1</v>
      </c>
      <c r="E90" s="269" t="n">
        <v>1</v>
      </c>
      <c r="F90" s="269" t="n">
        <v>0.22</v>
      </c>
      <c r="G90" s="269" t="n">
        <v>0.2275</v>
      </c>
      <c r="H90" s="269" t="n">
        <v>0.235</v>
      </c>
      <c r="I90" s="260" t="n">
        <v>4.089</v>
      </c>
      <c r="J90" s="269" t="n">
        <v>4.094</v>
      </c>
      <c r="K90" s="215" t="n">
        <v>4.099</v>
      </c>
      <c r="L90" s="269" t="n">
        <v>0.93</v>
      </c>
      <c r="M90" s="215" t="n">
        <v>0.04</v>
      </c>
      <c r="O90" s="211"/>
      <c r="P90" s="260"/>
      <c r="Q90" s="260"/>
      <c r="R90" s="261" t="e">
        <f aca="false">B90</f>
        <v>#VALUE!</v>
      </c>
      <c r="S90" s="262" t="n">
        <f aca="false">T90-$S$16</f>
        <v>0.93</v>
      </c>
      <c r="T90" s="257" t="n">
        <f aca="false">D90</f>
        <v>1</v>
      </c>
      <c r="U90" s="263" t="n">
        <f aca="false">$U$16+T90</f>
        <v>1.07</v>
      </c>
      <c r="BP90" s="226" t="n">
        <f aca="false">BP89+BV90</f>
        <v>89</v>
      </c>
      <c r="BQ90" s="227" t="s">
        <v>635</v>
      </c>
      <c r="BR90" s="224" t="s">
        <v>226</v>
      </c>
      <c r="BS90" s="154" t="s">
        <v>359</v>
      </c>
      <c r="BT90" s="230" t="s">
        <v>228</v>
      </c>
      <c r="BU90" s="230"/>
      <c r="BV90" s="154" t="n">
        <v>1</v>
      </c>
      <c r="BW90" s="224" t="s">
        <v>636</v>
      </c>
      <c r="BX90" s="0"/>
      <c r="BZ90" s="226" t="n">
        <f aca="false">BZ89+CF90</f>
        <v>89</v>
      </c>
      <c r="CA90" s="84" t="s">
        <v>637</v>
      </c>
      <c r="CB90" s="224" t="s">
        <v>230</v>
      </c>
      <c r="CC90" s="154" t="s">
        <v>227</v>
      </c>
      <c r="CD90" s="230" t="s">
        <v>228</v>
      </c>
      <c r="CE90" s="230"/>
      <c r="CF90" s="154" t="n">
        <v>1</v>
      </c>
      <c r="CG90" s="224" t="s">
        <v>638</v>
      </c>
      <c r="CH90" s="0"/>
    </row>
    <row r="91" customFormat="false" ht="12.75" hidden="false" customHeight="false" outlineLevel="0" collapsed="false">
      <c r="A91" s="258"/>
      <c r="B91" s="259" t="e">
        <f aca="false">NextMonth(B90)</f>
        <v>#VALUE!</v>
      </c>
      <c r="C91" s="215" t="n">
        <v>0.057776980509326</v>
      </c>
      <c r="D91" s="269" t="n">
        <v>0.45</v>
      </c>
      <c r="E91" s="269" t="n">
        <v>0.45</v>
      </c>
      <c r="F91" s="269" t="n">
        <v>0.22</v>
      </c>
      <c r="G91" s="269" t="n">
        <v>0.2275</v>
      </c>
      <c r="H91" s="269" t="n">
        <v>0.235</v>
      </c>
      <c r="I91" s="260" t="n">
        <v>3.906</v>
      </c>
      <c r="J91" s="269" t="n">
        <v>3.911</v>
      </c>
      <c r="K91" s="215" t="n">
        <v>3.916</v>
      </c>
      <c r="L91" s="269" t="n">
        <v>0.5</v>
      </c>
      <c r="M91" s="215" t="n">
        <v>0.06</v>
      </c>
      <c r="O91" s="211"/>
      <c r="P91" s="260"/>
      <c r="Q91" s="260"/>
      <c r="R91" s="261" t="e">
        <f aca="false">B91</f>
        <v>#VALUE!</v>
      </c>
      <c r="S91" s="262" t="n">
        <f aca="false">T91-$S$16</f>
        <v>0.38</v>
      </c>
      <c r="T91" s="257" t="n">
        <f aca="false">D91</f>
        <v>0.45</v>
      </c>
      <c r="U91" s="263" t="n">
        <f aca="false">$U$16+T91</f>
        <v>0.52</v>
      </c>
      <c r="BP91" s="226" t="n">
        <f aca="false">BP90+BV91</f>
        <v>90</v>
      </c>
      <c r="BQ91" s="227" t="s">
        <v>639</v>
      </c>
      <c r="BR91" s="224" t="s">
        <v>226</v>
      </c>
      <c r="BS91" s="154" t="s">
        <v>359</v>
      </c>
      <c r="BT91" s="230" t="s">
        <v>228</v>
      </c>
      <c r="BU91" s="230"/>
      <c r="BV91" s="154" t="n">
        <v>1</v>
      </c>
      <c r="BW91" s="224" t="s">
        <v>640</v>
      </c>
      <c r="BX91" s="0"/>
      <c r="BZ91" s="226" t="n">
        <f aca="false">BZ90+CF91</f>
        <v>90</v>
      </c>
      <c r="CA91" s="84" t="s">
        <v>641</v>
      </c>
      <c r="CB91" s="224" t="s">
        <v>230</v>
      </c>
      <c r="CC91" s="154" t="s">
        <v>227</v>
      </c>
      <c r="CD91" s="230" t="s">
        <v>228</v>
      </c>
      <c r="CE91" s="230"/>
      <c r="CF91" s="154" t="n">
        <v>1</v>
      </c>
      <c r="CG91" s="224" t="s">
        <v>642</v>
      </c>
      <c r="CH91" s="0"/>
    </row>
    <row r="92" customFormat="false" ht="12.75" hidden="false" customHeight="false" outlineLevel="0" collapsed="false">
      <c r="A92" s="258"/>
      <c r="B92" s="259" t="e">
        <f aca="false">NextMonth(B91)</f>
        <v>#VALUE!</v>
      </c>
      <c r="C92" s="215" t="n">
        <v>0.057832216611667</v>
      </c>
      <c r="D92" s="269" t="n">
        <v>0.5</v>
      </c>
      <c r="E92" s="269" t="n">
        <v>0.5</v>
      </c>
      <c r="F92" s="269" t="n">
        <v>0.22</v>
      </c>
      <c r="G92" s="269" t="n">
        <v>0.2275</v>
      </c>
      <c r="H92" s="269" t="n">
        <v>0.235</v>
      </c>
      <c r="I92" s="260" t="n">
        <v>3.881</v>
      </c>
      <c r="J92" s="269" t="n">
        <v>3.886</v>
      </c>
      <c r="K92" s="215" t="n">
        <v>3.891</v>
      </c>
      <c r="L92" s="269" t="n">
        <v>0.44</v>
      </c>
      <c r="M92" s="215" t="n">
        <v>0.06</v>
      </c>
      <c r="O92" s="211"/>
      <c r="P92" s="260"/>
      <c r="Q92" s="260"/>
      <c r="R92" s="261" t="e">
        <f aca="false">B92</f>
        <v>#VALUE!</v>
      </c>
      <c r="S92" s="262" t="n">
        <f aca="false">T92-$S$16</f>
        <v>0.43</v>
      </c>
      <c r="T92" s="257" t="n">
        <f aca="false">D92</f>
        <v>0.5</v>
      </c>
      <c r="U92" s="263" t="n">
        <f aca="false">$U$16+T92</f>
        <v>0.57</v>
      </c>
      <c r="BP92" s="226" t="n">
        <f aca="false">BP91+BV92</f>
        <v>91</v>
      </c>
      <c r="BQ92" s="227" t="s">
        <v>643</v>
      </c>
      <c r="BR92" s="224" t="s">
        <v>226</v>
      </c>
      <c r="BS92" s="154" t="s">
        <v>359</v>
      </c>
      <c r="BT92" s="230" t="s">
        <v>228</v>
      </c>
      <c r="BU92" s="230"/>
      <c r="BV92" s="154" t="n">
        <v>1</v>
      </c>
      <c r="BW92" s="224" t="s">
        <v>644</v>
      </c>
      <c r="BX92" s="0"/>
      <c r="BZ92" s="226" t="n">
        <f aca="false">BZ91+CF92</f>
        <v>91</v>
      </c>
      <c r="CA92" s="84" t="s">
        <v>645</v>
      </c>
      <c r="CB92" s="224" t="s">
        <v>230</v>
      </c>
      <c r="CC92" s="154" t="s">
        <v>227</v>
      </c>
      <c r="CD92" s="230" t="s">
        <v>228</v>
      </c>
      <c r="CE92" s="230"/>
      <c r="CF92" s="154" t="n">
        <v>1</v>
      </c>
      <c r="CG92" s="224" t="s">
        <v>646</v>
      </c>
      <c r="CH92" s="0"/>
    </row>
    <row r="93" customFormat="false" ht="12.75" hidden="false" customHeight="false" outlineLevel="0" collapsed="false">
      <c r="A93" s="258"/>
      <c r="B93" s="259" t="e">
        <f aca="false">NextMonth(B92)</f>
        <v>#VALUE!</v>
      </c>
      <c r="C93" s="215" t="n">
        <v>0.057889293918484</v>
      </c>
      <c r="D93" s="269" t="n">
        <v>0.5</v>
      </c>
      <c r="E93" s="269" t="n">
        <v>0.5</v>
      </c>
      <c r="F93" s="269" t="n">
        <v>0.21</v>
      </c>
      <c r="G93" s="269" t="n">
        <v>0.2175</v>
      </c>
      <c r="H93" s="269" t="n">
        <v>0.225</v>
      </c>
      <c r="I93" s="260" t="n">
        <v>3.91</v>
      </c>
      <c r="J93" s="269" t="n">
        <v>3.915</v>
      </c>
      <c r="K93" s="215" t="n">
        <v>3.92</v>
      </c>
      <c r="L93" s="269" t="n">
        <v>0.44</v>
      </c>
      <c r="M93" s="215" t="n">
        <v>0.06</v>
      </c>
      <c r="O93" s="211"/>
      <c r="P93" s="260"/>
      <c r="Q93" s="260"/>
      <c r="R93" s="261" t="e">
        <f aca="false">B93</f>
        <v>#VALUE!</v>
      </c>
      <c r="S93" s="262" t="n">
        <f aca="false">T93-$S$16</f>
        <v>0.43</v>
      </c>
      <c r="T93" s="257" t="n">
        <f aca="false">D93</f>
        <v>0.5</v>
      </c>
      <c r="U93" s="263" t="n">
        <f aca="false">$U$16+T93</f>
        <v>0.57</v>
      </c>
      <c r="BP93" s="226" t="n">
        <f aca="false">BP92+BV93</f>
        <v>92</v>
      </c>
      <c r="BQ93" s="227" t="s">
        <v>647</v>
      </c>
      <c r="BR93" s="224" t="s">
        <v>226</v>
      </c>
      <c r="BS93" s="154" t="s">
        <v>359</v>
      </c>
      <c r="BT93" s="230" t="s">
        <v>228</v>
      </c>
      <c r="BU93" s="230"/>
      <c r="BV93" s="154" t="n">
        <v>1</v>
      </c>
      <c r="BW93" s="224" t="s">
        <v>648</v>
      </c>
      <c r="BX93" s="0"/>
      <c r="BZ93" s="226" t="n">
        <f aca="false">BZ92+CF93</f>
        <v>92</v>
      </c>
      <c r="CA93" s="84" t="s">
        <v>649</v>
      </c>
      <c r="CB93" s="224" t="s">
        <v>230</v>
      </c>
      <c r="CC93" s="154" t="s">
        <v>227</v>
      </c>
      <c r="CD93" s="230" t="s">
        <v>228</v>
      </c>
      <c r="CE93" s="230"/>
      <c r="CF93" s="154" t="n">
        <v>1</v>
      </c>
      <c r="CG93" s="224" t="s">
        <v>650</v>
      </c>
      <c r="CH93" s="0"/>
    </row>
    <row r="94" customFormat="false" ht="12.75" hidden="false" customHeight="false" outlineLevel="0" collapsed="false">
      <c r="A94" s="258"/>
      <c r="B94" s="259" t="e">
        <f aca="false">NextMonth(B93)</f>
        <v>#VALUE!</v>
      </c>
      <c r="C94" s="215" t="n">
        <v>0.057944530022888</v>
      </c>
      <c r="D94" s="269" t="n">
        <v>0.5</v>
      </c>
      <c r="E94" s="269" t="n">
        <v>0.5</v>
      </c>
      <c r="F94" s="269" t="n">
        <v>0.21</v>
      </c>
      <c r="G94" s="269" t="n">
        <v>0.2175</v>
      </c>
      <c r="H94" s="269" t="n">
        <v>0.225</v>
      </c>
      <c r="I94" s="260" t="n">
        <v>3.94</v>
      </c>
      <c r="J94" s="269" t="n">
        <v>3.945</v>
      </c>
      <c r="K94" s="215" t="n">
        <v>3.95</v>
      </c>
      <c r="L94" s="269" t="n">
        <v>0.5</v>
      </c>
      <c r="M94" s="215" t="n">
        <v>0.06</v>
      </c>
      <c r="O94" s="211"/>
      <c r="P94" s="260"/>
      <c r="Q94" s="260"/>
      <c r="R94" s="261" t="e">
        <f aca="false">B94</f>
        <v>#VALUE!</v>
      </c>
      <c r="S94" s="262" t="n">
        <f aca="false">T94-$S$16</f>
        <v>0.43</v>
      </c>
      <c r="T94" s="257" t="n">
        <f aca="false">D94</f>
        <v>0.5</v>
      </c>
      <c r="U94" s="263" t="n">
        <f aca="false">$U$16+T94</f>
        <v>0.57</v>
      </c>
      <c r="BP94" s="226" t="n">
        <f aca="false">BP93+BV94</f>
        <v>93</v>
      </c>
      <c r="BQ94" s="227" t="s">
        <v>651</v>
      </c>
      <c r="BR94" s="224" t="s">
        <v>226</v>
      </c>
      <c r="BS94" s="154" t="s">
        <v>359</v>
      </c>
      <c r="BT94" s="230" t="s">
        <v>228</v>
      </c>
      <c r="BU94" s="230"/>
      <c r="BV94" s="154" t="n">
        <v>1</v>
      </c>
      <c r="BW94" s="224" t="s">
        <v>652</v>
      </c>
      <c r="BX94" s="0"/>
      <c r="BZ94" s="226" t="n">
        <f aca="false">BZ93+CF94</f>
        <v>93</v>
      </c>
      <c r="CA94" s="84" t="s">
        <v>653</v>
      </c>
      <c r="CB94" s="224" t="s">
        <v>230</v>
      </c>
      <c r="CC94" s="154" t="s">
        <v>227</v>
      </c>
      <c r="CD94" s="230" t="s">
        <v>228</v>
      </c>
      <c r="CE94" s="230"/>
      <c r="CF94" s="154" t="n">
        <v>1</v>
      </c>
      <c r="CG94" s="224" t="s">
        <v>654</v>
      </c>
      <c r="CH94" s="0"/>
    </row>
    <row r="95" customFormat="false" ht="12.75" hidden="false" customHeight="false" outlineLevel="0" collapsed="false">
      <c r="A95" s="258"/>
      <c r="B95" s="259" t="e">
        <f aca="false">NextMonth(B94)</f>
        <v>#VALUE!</v>
      </c>
      <c r="C95" s="215" t="n">
        <v>0.058001607331838</v>
      </c>
      <c r="D95" s="269" t="n">
        <v>0.6</v>
      </c>
      <c r="E95" s="269" t="n">
        <v>0.6</v>
      </c>
      <c r="F95" s="269" t="n">
        <v>0.21</v>
      </c>
      <c r="G95" s="269" t="n">
        <v>0.2175</v>
      </c>
      <c r="H95" s="269" t="n">
        <v>0.225</v>
      </c>
      <c r="I95" s="260" t="n">
        <v>3.96</v>
      </c>
      <c r="J95" s="269" t="n">
        <v>3.965</v>
      </c>
      <c r="K95" s="215" t="n">
        <v>3.97</v>
      </c>
      <c r="L95" s="269" t="n">
        <v>0.5</v>
      </c>
      <c r="M95" s="215" t="n">
        <v>0.06</v>
      </c>
      <c r="O95" s="211"/>
      <c r="P95" s="260"/>
      <c r="Q95" s="260"/>
      <c r="R95" s="261" t="e">
        <f aca="false">B95</f>
        <v>#VALUE!</v>
      </c>
      <c r="S95" s="262" t="n">
        <f aca="false">T95-$S$16</f>
        <v>0.53</v>
      </c>
      <c r="T95" s="257" t="n">
        <f aca="false">D95</f>
        <v>0.6</v>
      </c>
      <c r="U95" s="263" t="n">
        <f aca="false">$U$16+T95</f>
        <v>0.67</v>
      </c>
      <c r="BP95" s="226" t="n">
        <f aca="false">BP94+BV95</f>
        <v>94</v>
      </c>
      <c r="BQ95" s="227" t="s">
        <v>655</v>
      </c>
      <c r="BR95" s="224" t="s">
        <v>226</v>
      </c>
      <c r="BS95" s="154" t="s">
        <v>359</v>
      </c>
      <c r="BT95" s="230" t="s">
        <v>228</v>
      </c>
      <c r="BU95" s="230"/>
      <c r="BV95" s="154" t="n">
        <v>1</v>
      </c>
      <c r="BW95" s="224" t="s">
        <v>656</v>
      </c>
      <c r="BX95" s="0"/>
      <c r="BZ95" s="226" t="n">
        <f aca="false">BZ94+CF95</f>
        <v>94</v>
      </c>
      <c r="CA95" s="84" t="s">
        <v>657</v>
      </c>
      <c r="CB95" s="224" t="s">
        <v>230</v>
      </c>
      <c r="CC95" s="154" t="s">
        <v>227</v>
      </c>
      <c r="CD95" s="230" t="s">
        <v>228</v>
      </c>
      <c r="CE95" s="230"/>
      <c r="CF95" s="154" t="n">
        <v>1</v>
      </c>
      <c r="CG95" s="224" t="s">
        <v>658</v>
      </c>
      <c r="CH95" s="0"/>
    </row>
    <row r="96" customFormat="false" ht="12.75" hidden="false" customHeight="false" outlineLevel="0" collapsed="false">
      <c r="A96" s="258"/>
      <c r="B96" s="259" t="e">
        <f aca="false">NextMonth(B95)</f>
        <v>#VALUE!</v>
      </c>
      <c r="C96" s="215" t="n">
        <v>0.058058684641872</v>
      </c>
      <c r="D96" s="269" t="n">
        <v>0.6</v>
      </c>
      <c r="E96" s="269" t="n">
        <v>0.6</v>
      </c>
      <c r="F96" s="269" t="n">
        <v>0.21</v>
      </c>
      <c r="G96" s="269" t="n">
        <v>0.2175</v>
      </c>
      <c r="H96" s="269" t="n">
        <v>0.225</v>
      </c>
      <c r="I96" s="260" t="n">
        <v>3.981</v>
      </c>
      <c r="J96" s="269" t="n">
        <v>3.986</v>
      </c>
      <c r="K96" s="215" t="n">
        <v>3.991</v>
      </c>
      <c r="L96" s="269" t="n">
        <v>0.46</v>
      </c>
      <c r="M96" s="215" t="n">
        <v>0.06</v>
      </c>
      <c r="O96" s="211"/>
      <c r="P96" s="260"/>
      <c r="Q96" s="260"/>
      <c r="R96" s="261" t="e">
        <f aca="false">B96</f>
        <v>#VALUE!</v>
      </c>
      <c r="S96" s="262" t="n">
        <f aca="false">T96-$S$16</f>
        <v>0.53</v>
      </c>
      <c r="T96" s="257" t="n">
        <f aca="false">D96</f>
        <v>0.6</v>
      </c>
      <c r="U96" s="263" t="n">
        <f aca="false">$U$16+T96</f>
        <v>0.67</v>
      </c>
      <c r="BP96" s="226" t="n">
        <f aca="false">BP95+BV96</f>
        <v>95</v>
      </c>
      <c r="BQ96" s="227" t="s">
        <v>659</v>
      </c>
      <c r="BR96" s="224" t="s">
        <v>226</v>
      </c>
      <c r="BS96" s="154" t="s">
        <v>359</v>
      </c>
      <c r="BT96" s="230" t="s">
        <v>228</v>
      </c>
      <c r="BU96" s="230"/>
      <c r="BV96" s="154" t="n">
        <v>1</v>
      </c>
      <c r="BW96" s="224" t="s">
        <v>660</v>
      </c>
      <c r="BX96" s="0"/>
      <c r="BZ96" s="226" t="n">
        <f aca="false">BZ95+CF96</f>
        <v>95</v>
      </c>
      <c r="CA96" s="84" t="s">
        <v>661</v>
      </c>
      <c r="CB96" s="224" t="s">
        <v>230</v>
      </c>
      <c r="CC96" s="154" t="s">
        <v>227</v>
      </c>
      <c r="CD96" s="230" t="s">
        <v>228</v>
      </c>
      <c r="CE96" s="230"/>
      <c r="CF96" s="154" t="n">
        <v>1</v>
      </c>
      <c r="CG96" s="224" t="s">
        <v>662</v>
      </c>
      <c r="CH96" s="0"/>
    </row>
    <row r="97" customFormat="false" ht="12.75" hidden="false" customHeight="false" outlineLevel="0" collapsed="false">
      <c r="A97" s="258"/>
      <c r="B97" s="259" t="e">
        <f aca="false">NextMonth(B96)</f>
        <v>#VALUE!</v>
      </c>
      <c r="C97" s="215" t="n">
        <v>0.058113920749388</v>
      </c>
      <c r="D97" s="269" t="n">
        <v>0.65</v>
      </c>
      <c r="E97" s="269" t="n">
        <v>0.65</v>
      </c>
      <c r="F97" s="269" t="n">
        <v>0.21</v>
      </c>
      <c r="G97" s="269" t="n">
        <v>0.2175</v>
      </c>
      <c r="H97" s="269" t="n">
        <v>0.225</v>
      </c>
      <c r="I97" s="260" t="n">
        <v>4.011</v>
      </c>
      <c r="J97" s="269" t="n">
        <v>4.016</v>
      </c>
      <c r="K97" s="215" t="n">
        <v>4.021</v>
      </c>
      <c r="L97" s="269" t="n">
        <v>0.47</v>
      </c>
      <c r="M97" s="215" t="n">
        <v>0.06</v>
      </c>
      <c r="O97" s="211"/>
      <c r="P97" s="260"/>
      <c r="Q97" s="260"/>
      <c r="R97" s="261" t="e">
        <f aca="false">B97</f>
        <v>#VALUE!</v>
      </c>
      <c r="S97" s="262" t="n">
        <f aca="false">T97-$S$16</f>
        <v>0.58</v>
      </c>
      <c r="T97" s="257" t="n">
        <f aca="false">D97</f>
        <v>0.65</v>
      </c>
      <c r="U97" s="263" t="n">
        <f aca="false">$U$16+T97</f>
        <v>0.72</v>
      </c>
      <c r="BP97" s="226" t="n">
        <f aca="false">BP96+BV97</f>
        <v>96</v>
      </c>
      <c r="BQ97" s="227" t="s">
        <v>663</v>
      </c>
      <c r="BR97" s="224" t="s">
        <v>226</v>
      </c>
      <c r="BS97" s="154" t="s">
        <v>359</v>
      </c>
      <c r="BT97" s="230" t="s">
        <v>228</v>
      </c>
      <c r="BU97" s="230"/>
      <c r="BV97" s="154" t="n">
        <v>1</v>
      </c>
      <c r="BW97" s="224" t="s">
        <v>664</v>
      </c>
      <c r="BX97" s="0"/>
      <c r="BZ97" s="226" t="n">
        <f aca="false">BZ96+CF97</f>
        <v>96</v>
      </c>
      <c r="CA97" s="84" t="s">
        <v>665</v>
      </c>
      <c r="CB97" s="224" t="s">
        <v>230</v>
      </c>
      <c r="CC97" s="154" t="s">
        <v>227</v>
      </c>
      <c r="CD97" s="230" t="s">
        <v>228</v>
      </c>
      <c r="CE97" s="230"/>
      <c r="CF97" s="154" t="n">
        <v>1</v>
      </c>
      <c r="CG97" s="224" t="s">
        <v>666</v>
      </c>
      <c r="CH97" s="0"/>
    </row>
    <row r="98" customFormat="false" ht="12.75" hidden="false" customHeight="false" outlineLevel="0" collapsed="false">
      <c r="A98" s="258"/>
      <c r="B98" s="259" t="e">
        <f aca="false">NextMonth(B97)</f>
        <v>#VALUE!</v>
      </c>
      <c r="C98" s="215" t="n">
        <v>0.058170998061553</v>
      </c>
      <c r="D98" s="269" t="n">
        <v>0.95</v>
      </c>
      <c r="E98" s="269" t="n">
        <v>0.95</v>
      </c>
      <c r="F98" s="269" t="n">
        <v>0.21</v>
      </c>
      <c r="G98" s="269" t="n">
        <v>0.2175</v>
      </c>
      <c r="H98" s="269" t="n">
        <v>0.225</v>
      </c>
      <c r="I98" s="260" t="n">
        <v>4.151</v>
      </c>
      <c r="J98" s="269" t="n">
        <v>4.156</v>
      </c>
      <c r="K98" s="215" t="n">
        <v>4.161</v>
      </c>
      <c r="L98" s="269" t="n">
        <v>0.86</v>
      </c>
      <c r="M98" s="215" t="n">
        <v>0.04</v>
      </c>
      <c r="O98" s="211"/>
      <c r="P98" s="260"/>
      <c r="Q98" s="260"/>
      <c r="R98" s="261" t="e">
        <f aca="false">B98</f>
        <v>#VALUE!</v>
      </c>
      <c r="S98" s="262" t="n">
        <f aca="false">T98-$S$16</f>
        <v>0.88</v>
      </c>
      <c r="T98" s="257" t="n">
        <f aca="false">D98</f>
        <v>0.95</v>
      </c>
      <c r="U98" s="263" t="n">
        <f aca="false">$U$16+T98</f>
        <v>1.02</v>
      </c>
      <c r="BP98" s="226" t="n">
        <f aca="false">BP97+BV98</f>
        <v>97</v>
      </c>
      <c r="BQ98" s="227" t="s">
        <v>667</v>
      </c>
      <c r="BR98" s="224" t="s">
        <v>226</v>
      </c>
      <c r="BS98" s="154" t="s">
        <v>359</v>
      </c>
      <c r="BT98" s="230" t="s">
        <v>228</v>
      </c>
      <c r="BU98" s="230"/>
      <c r="BV98" s="154" t="n">
        <v>1</v>
      </c>
      <c r="BW98" s="224" t="s">
        <v>668</v>
      </c>
      <c r="BX98" s="0"/>
      <c r="BZ98" s="226" t="n">
        <f aca="false">BZ97+CF98</f>
        <v>97</v>
      </c>
      <c r="CA98" s="84" t="s">
        <v>669</v>
      </c>
      <c r="CB98" s="224" t="s">
        <v>230</v>
      </c>
      <c r="CC98" s="154" t="s">
        <v>227</v>
      </c>
      <c r="CD98" s="230" t="s">
        <v>228</v>
      </c>
      <c r="CE98" s="230"/>
      <c r="CF98" s="154" t="n">
        <v>1</v>
      </c>
      <c r="CG98" s="224" t="s">
        <v>670</v>
      </c>
      <c r="CH98" s="0"/>
    </row>
    <row r="99" customFormat="false" ht="12.75" hidden="false" customHeight="false" outlineLevel="0" collapsed="false">
      <c r="A99" s="258"/>
      <c r="B99" s="259" t="e">
        <f aca="false">NextMonth(B98)</f>
        <v>#VALUE!</v>
      </c>
      <c r="C99" s="215" t="n">
        <v>0.058226234171132</v>
      </c>
      <c r="D99" s="269" t="n">
        <v>1.25</v>
      </c>
      <c r="E99" s="269" t="n">
        <v>1.25</v>
      </c>
      <c r="F99" s="269" t="n">
        <v>0.21</v>
      </c>
      <c r="G99" s="269" t="n">
        <v>0.2175</v>
      </c>
      <c r="H99" s="269" t="n">
        <v>0.225</v>
      </c>
      <c r="I99" s="260" t="n">
        <v>4.276</v>
      </c>
      <c r="J99" s="269" t="n">
        <v>4.281</v>
      </c>
      <c r="K99" s="215" t="n">
        <v>4.286</v>
      </c>
      <c r="L99" s="269" t="n">
        <v>1.28</v>
      </c>
      <c r="M99" s="215" t="n">
        <v>0.04</v>
      </c>
      <c r="O99" s="211"/>
      <c r="P99" s="260"/>
      <c r="Q99" s="260"/>
      <c r="R99" s="261" t="e">
        <f aca="false">B99</f>
        <v>#VALUE!</v>
      </c>
      <c r="S99" s="262" t="n">
        <f aca="false">T99-$S$16</f>
        <v>1.18</v>
      </c>
      <c r="T99" s="257" t="n">
        <f aca="false">D99</f>
        <v>1.25</v>
      </c>
      <c r="U99" s="263" t="n">
        <f aca="false">$U$16+T99</f>
        <v>1.32</v>
      </c>
      <c r="BP99" s="226" t="n">
        <f aca="false">BP98+BV99</f>
        <v>98</v>
      </c>
      <c r="BQ99" s="227" t="s">
        <v>671</v>
      </c>
      <c r="BR99" s="224" t="s">
        <v>226</v>
      </c>
      <c r="BS99" s="154" t="s">
        <v>359</v>
      </c>
      <c r="BT99" s="230" t="s">
        <v>228</v>
      </c>
      <c r="BU99" s="230"/>
      <c r="BV99" s="154" t="n">
        <v>1</v>
      </c>
      <c r="BW99" s="224" t="s">
        <v>672</v>
      </c>
      <c r="BX99" s="0"/>
      <c r="BZ99" s="226" t="n">
        <f aca="false">BZ98+CF99</f>
        <v>98</v>
      </c>
      <c r="CA99" s="84" t="s">
        <v>673</v>
      </c>
      <c r="CB99" s="224" t="s">
        <v>230</v>
      </c>
      <c r="CC99" s="154" t="s">
        <v>227</v>
      </c>
      <c r="CD99" s="230" t="s">
        <v>228</v>
      </c>
      <c r="CE99" s="230"/>
      <c r="CF99" s="154" t="n">
        <v>1</v>
      </c>
      <c r="CG99" s="224" t="s">
        <v>674</v>
      </c>
      <c r="CH99" s="0"/>
    </row>
    <row r="100" customFormat="false" ht="12.75" hidden="false" customHeight="false" outlineLevel="0" collapsed="false">
      <c r="A100" s="258"/>
      <c r="B100" s="259" t="e">
        <f aca="false">NextMonth(B99)</f>
        <v>#VALUE!</v>
      </c>
      <c r="C100" s="215" t="n">
        <v>0.058283311485429</v>
      </c>
      <c r="D100" s="269" t="n">
        <v>1.45</v>
      </c>
      <c r="E100" s="269" t="n">
        <v>1.45</v>
      </c>
      <c r="F100" s="269" t="n">
        <v>0.21</v>
      </c>
      <c r="G100" s="269" t="n">
        <v>0.2175</v>
      </c>
      <c r="H100" s="269" t="n">
        <v>0.225</v>
      </c>
      <c r="I100" s="260" t="n">
        <v>4.38</v>
      </c>
      <c r="J100" s="269" t="n">
        <v>4.385</v>
      </c>
      <c r="K100" s="215" t="n">
        <v>4.39</v>
      </c>
      <c r="L100" s="269" t="n">
        <v>1.61</v>
      </c>
      <c r="M100" s="215" t="n">
        <v>0.04</v>
      </c>
      <c r="O100" s="211"/>
      <c r="P100" s="260"/>
      <c r="Q100" s="260"/>
      <c r="R100" s="261" t="e">
        <f aca="false">B100</f>
        <v>#VALUE!</v>
      </c>
      <c r="S100" s="262" t="n">
        <f aca="false">T100-$S$16</f>
        <v>1.38</v>
      </c>
      <c r="T100" s="257" t="n">
        <f aca="false">D100</f>
        <v>1.45</v>
      </c>
      <c r="U100" s="263" t="n">
        <f aca="false">$U$16+T100</f>
        <v>1.52</v>
      </c>
      <c r="BP100" s="226" t="n">
        <f aca="false">BP99+BV100</f>
        <v>99</v>
      </c>
      <c r="BQ100" s="227" t="s">
        <v>675</v>
      </c>
      <c r="BR100" s="224" t="s">
        <v>226</v>
      </c>
      <c r="BS100" s="154" t="s">
        <v>359</v>
      </c>
      <c r="BT100" s="230" t="s">
        <v>228</v>
      </c>
      <c r="BU100" s="230"/>
      <c r="BV100" s="154" t="n">
        <v>1</v>
      </c>
      <c r="BW100" s="224" t="s">
        <v>676</v>
      </c>
      <c r="BX100" s="0"/>
      <c r="BZ100" s="226" t="n">
        <f aca="false">BZ99+CF100</f>
        <v>99</v>
      </c>
      <c r="CA100" s="84" t="s">
        <v>677</v>
      </c>
      <c r="CB100" s="224" t="s">
        <v>230</v>
      </c>
      <c r="CC100" s="154" t="s">
        <v>227</v>
      </c>
      <c r="CD100" s="230" t="s">
        <v>228</v>
      </c>
      <c r="CE100" s="230"/>
      <c r="CF100" s="154" t="n">
        <v>1</v>
      </c>
      <c r="CG100" s="224" t="s">
        <v>678</v>
      </c>
      <c r="CH100" s="0"/>
    </row>
    <row r="101" customFormat="false" ht="12.75" hidden="false" customHeight="false" outlineLevel="0" collapsed="false">
      <c r="A101" s="258"/>
      <c r="B101" s="259" t="e">
        <f aca="false">NextMonth(B100)</f>
        <v>#VALUE!</v>
      </c>
      <c r="C101" s="215" t="n">
        <v>0.058341521263721</v>
      </c>
      <c r="D101" s="269" t="n">
        <v>1.45</v>
      </c>
      <c r="E101" s="269" t="n">
        <v>1.45</v>
      </c>
      <c r="F101" s="269" t="n">
        <v>0.205</v>
      </c>
      <c r="G101" s="269" t="n">
        <v>0.2125</v>
      </c>
      <c r="H101" s="269" t="n">
        <v>0.22</v>
      </c>
      <c r="I101" s="260" t="n">
        <v>4.284</v>
      </c>
      <c r="J101" s="269" t="n">
        <v>4.289</v>
      </c>
      <c r="K101" s="215" t="n">
        <v>4.294</v>
      </c>
      <c r="L101" s="269" t="n">
        <v>1.57</v>
      </c>
      <c r="M101" s="215" t="n">
        <v>0.04</v>
      </c>
      <c r="O101" s="211"/>
      <c r="P101" s="260"/>
      <c r="Q101" s="260"/>
      <c r="R101" s="261" t="e">
        <f aca="false">B101</f>
        <v>#VALUE!</v>
      </c>
      <c r="S101" s="262" t="n">
        <f aca="false">T101-$S$16</f>
        <v>1.38</v>
      </c>
      <c r="T101" s="257" t="n">
        <f aca="false">D101</f>
        <v>1.45</v>
      </c>
      <c r="U101" s="263" t="n">
        <f aca="false">$U$16+T101</f>
        <v>1.52</v>
      </c>
      <c r="BP101" s="226" t="n">
        <f aca="false">BP100+BV101</f>
        <v>100</v>
      </c>
      <c r="BQ101" s="227" t="s">
        <v>679</v>
      </c>
      <c r="BR101" s="224" t="s">
        <v>226</v>
      </c>
      <c r="BS101" s="154" t="s">
        <v>359</v>
      </c>
      <c r="BT101" s="230" t="s">
        <v>228</v>
      </c>
      <c r="BU101" s="230"/>
      <c r="BV101" s="154" t="n">
        <v>1</v>
      </c>
      <c r="BW101" s="224" t="s">
        <v>680</v>
      </c>
      <c r="BX101" s="0"/>
      <c r="BZ101" s="226" t="n">
        <f aca="false">BZ100+CF101</f>
        <v>100</v>
      </c>
      <c r="CA101" s="84" t="s">
        <v>681</v>
      </c>
      <c r="CB101" s="224" t="s">
        <v>230</v>
      </c>
      <c r="CC101" s="154" t="s">
        <v>227</v>
      </c>
      <c r="CD101" s="230" t="s">
        <v>228</v>
      </c>
      <c r="CE101" s="230"/>
      <c r="CF101" s="154" t="n">
        <v>1</v>
      </c>
      <c r="CG101" s="224" t="s">
        <v>682</v>
      </c>
      <c r="CH101" s="0"/>
    </row>
    <row r="102" customFormat="false" ht="12.75" hidden="false" customHeight="false" outlineLevel="0" collapsed="false">
      <c r="A102" s="258"/>
      <c r="B102" s="259" t="e">
        <f aca="false">NextMonth(B101)</f>
        <v>#VALUE!</v>
      </c>
      <c r="C102" s="215" t="n">
        <v>0.058396740696269</v>
      </c>
      <c r="D102" s="269" t="n">
        <v>1</v>
      </c>
      <c r="E102" s="269" t="n">
        <v>1</v>
      </c>
      <c r="F102" s="269" t="n">
        <v>0.2</v>
      </c>
      <c r="G102" s="269" t="n">
        <v>0.2075</v>
      </c>
      <c r="H102" s="269" t="n">
        <v>0.215</v>
      </c>
      <c r="I102" s="260" t="n">
        <v>4.134</v>
      </c>
      <c r="J102" s="269" t="n">
        <v>4.139</v>
      </c>
      <c r="K102" s="215" t="n">
        <v>4.144</v>
      </c>
      <c r="L102" s="269" t="n">
        <v>0.93</v>
      </c>
      <c r="M102" s="215" t="n">
        <v>0.04</v>
      </c>
      <c r="O102" s="211"/>
      <c r="P102" s="260"/>
      <c r="Q102" s="260"/>
      <c r="R102" s="261" t="e">
        <f aca="false">B102</f>
        <v>#VALUE!</v>
      </c>
      <c r="S102" s="262" t="n">
        <f aca="false">T102-$S$16</f>
        <v>0.93</v>
      </c>
      <c r="T102" s="257" t="n">
        <f aca="false">D102</f>
        <v>1</v>
      </c>
      <c r="U102" s="263" t="n">
        <f aca="false">$U$16+T102</f>
        <v>1.07</v>
      </c>
      <c r="BP102" s="226" t="n">
        <f aca="false">BP101+BV102</f>
        <v>101</v>
      </c>
      <c r="BQ102" s="227" t="s">
        <v>683</v>
      </c>
      <c r="BR102" s="224" t="s">
        <v>226</v>
      </c>
      <c r="BS102" s="154" t="s">
        <v>359</v>
      </c>
      <c r="BT102" s="230" t="s">
        <v>228</v>
      </c>
      <c r="BU102" s="230"/>
      <c r="BV102" s="154" t="n">
        <v>1</v>
      </c>
      <c r="BW102" s="224" t="s">
        <v>684</v>
      </c>
      <c r="BX102" s="0"/>
      <c r="BZ102" s="226" t="n">
        <f aca="false">BZ101+CF102</f>
        <v>101</v>
      </c>
      <c r="CA102" s="84" t="s">
        <v>685</v>
      </c>
      <c r="CB102" s="224" t="s">
        <v>230</v>
      </c>
      <c r="CC102" s="154" t="s">
        <v>227</v>
      </c>
      <c r="CD102" s="230" t="s">
        <v>228</v>
      </c>
      <c r="CE102" s="230"/>
      <c r="CF102" s="154" t="n">
        <v>1</v>
      </c>
      <c r="CG102" s="224" t="s">
        <v>686</v>
      </c>
      <c r="CH102" s="0"/>
    </row>
    <row r="103" customFormat="false" ht="12.75" hidden="false" customHeight="false" outlineLevel="0" collapsed="false">
      <c r="A103" s="258"/>
      <c r="B103" s="259" t="e">
        <f aca="false">NextMonth(B102)</f>
        <v>#VALUE!</v>
      </c>
      <c r="C103" s="215" t="n">
        <v>0.058455768366667</v>
      </c>
      <c r="D103" s="269" t="n">
        <v>0.45</v>
      </c>
      <c r="E103" s="269" t="n">
        <v>0.45</v>
      </c>
      <c r="F103" s="269" t="n">
        <v>0.2</v>
      </c>
      <c r="G103" s="269" t="n">
        <v>0.2075</v>
      </c>
      <c r="H103" s="269" t="n">
        <v>0.215</v>
      </c>
      <c r="I103" s="260" t="n">
        <v>3.951</v>
      </c>
      <c r="J103" s="269" t="n">
        <v>3.956</v>
      </c>
      <c r="K103" s="215" t="n">
        <v>3.961</v>
      </c>
      <c r="L103" s="269" t="n">
        <v>0.5</v>
      </c>
      <c r="M103" s="215" t="n">
        <v>0.04</v>
      </c>
      <c r="O103" s="211"/>
      <c r="P103" s="260"/>
      <c r="Q103" s="260"/>
      <c r="R103" s="261" t="e">
        <f aca="false">B103</f>
        <v>#VALUE!</v>
      </c>
      <c r="S103" s="262" t="n">
        <f aca="false">T103-$S$16</f>
        <v>0.38</v>
      </c>
      <c r="T103" s="257" t="n">
        <f aca="false">D103</f>
        <v>0.45</v>
      </c>
      <c r="U103" s="263" t="n">
        <f aca="false">$U$16+T103</f>
        <v>0.52</v>
      </c>
      <c r="BP103" s="226" t="n">
        <f aca="false">BP102+BV103</f>
        <v>102</v>
      </c>
      <c r="BQ103" s="227" t="s">
        <v>687</v>
      </c>
      <c r="BR103" s="224" t="s">
        <v>226</v>
      </c>
      <c r="BS103" s="154" t="s">
        <v>359</v>
      </c>
      <c r="BT103" s="230" t="s">
        <v>228</v>
      </c>
      <c r="BU103" s="230"/>
      <c r="BV103" s="154" t="n">
        <v>1</v>
      </c>
      <c r="BW103" s="224" t="s">
        <v>688</v>
      </c>
      <c r="BX103" s="0"/>
      <c r="BZ103" s="226" t="n">
        <f aca="false">BZ102+CF103</f>
        <v>102</v>
      </c>
      <c r="CA103" s="84" t="s">
        <v>689</v>
      </c>
      <c r="CB103" s="224" t="s">
        <v>230</v>
      </c>
      <c r="CC103" s="154" t="s">
        <v>227</v>
      </c>
      <c r="CD103" s="230" t="s">
        <v>228</v>
      </c>
      <c r="CE103" s="230"/>
      <c r="CF103" s="154" t="n">
        <v>1</v>
      </c>
      <c r="CG103" s="224" t="s">
        <v>690</v>
      </c>
      <c r="CH103" s="0"/>
    </row>
    <row r="104" customFormat="false" ht="12.75" hidden="false" customHeight="false" outlineLevel="0" collapsed="false">
      <c r="A104" s="258"/>
      <c r="B104" s="259" t="e">
        <f aca="false">NextMonth(B103)</f>
        <v>#VALUE!</v>
      </c>
      <c r="C104" s="215" t="n">
        <v>0.058512891919768</v>
      </c>
      <c r="D104" s="269" t="n">
        <v>0.5</v>
      </c>
      <c r="E104" s="269" t="n">
        <v>0.5</v>
      </c>
      <c r="F104" s="269" t="n">
        <v>0.2</v>
      </c>
      <c r="G104" s="269" t="n">
        <v>0.2075</v>
      </c>
      <c r="H104" s="269" t="n">
        <v>0.215</v>
      </c>
      <c r="I104" s="260" t="n">
        <v>3.926</v>
      </c>
      <c r="J104" s="269" t="n">
        <v>3.931</v>
      </c>
      <c r="K104" s="215" t="n">
        <v>3.936</v>
      </c>
      <c r="L104" s="269" t="n">
        <v>0.44</v>
      </c>
      <c r="M104" s="215" t="n">
        <v>0.04</v>
      </c>
      <c r="O104" s="211"/>
      <c r="P104" s="260"/>
      <c r="Q104" s="260"/>
      <c r="R104" s="261" t="e">
        <f aca="false">B104</f>
        <v>#VALUE!</v>
      </c>
      <c r="S104" s="262" t="n">
        <f aca="false">T104-$S$16</f>
        <v>0.43</v>
      </c>
      <c r="T104" s="257" t="n">
        <f aca="false">D104</f>
        <v>0.5</v>
      </c>
      <c r="U104" s="263" t="n">
        <f aca="false">$U$16+T104</f>
        <v>0.57</v>
      </c>
      <c r="BP104" s="226" t="n">
        <f aca="false">BP103+BV104</f>
        <v>103</v>
      </c>
      <c r="BQ104" s="227" t="s">
        <v>691</v>
      </c>
      <c r="BR104" s="224" t="s">
        <v>226</v>
      </c>
      <c r="BS104" s="154" t="s">
        <v>359</v>
      </c>
      <c r="BT104" s="230" t="s">
        <v>228</v>
      </c>
      <c r="BU104" s="230"/>
      <c r="BV104" s="154" t="n">
        <v>1</v>
      </c>
      <c r="BW104" s="224" t="s">
        <v>692</v>
      </c>
      <c r="BX104" s="0"/>
      <c r="BZ104" s="226" t="n">
        <f aca="false">BZ103+CF104</f>
        <v>103</v>
      </c>
      <c r="CA104" s="84" t="s">
        <v>693</v>
      </c>
      <c r="CB104" s="224" t="s">
        <v>230</v>
      </c>
      <c r="CC104" s="154" t="s">
        <v>227</v>
      </c>
      <c r="CD104" s="230" t="s">
        <v>228</v>
      </c>
      <c r="CE104" s="230"/>
      <c r="CF104" s="154" t="n">
        <v>1</v>
      </c>
      <c r="CG104" s="224" t="s">
        <v>694</v>
      </c>
      <c r="CH104" s="0"/>
    </row>
    <row r="105" customFormat="false" ht="12.75" hidden="false" customHeight="false" outlineLevel="0" collapsed="false">
      <c r="A105" s="258"/>
      <c r="B105" s="259" t="e">
        <f aca="false">NextMonth(B104)</f>
        <v>#VALUE!</v>
      </c>
      <c r="C105" s="215" t="n">
        <v>0.058571919592445</v>
      </c>
      <c r="D105" s="269" t="n">
        <v>0.5</v>
      </c>
      <c r="E105" s="269" t="n">
        <v>0.5</v>
      </c>
      <c r="F105" s="269" t="n">
        <v>0.2</v>
      </c>
      <c r="G105" s="269" t="n">
        <v>0.2075</v>
      </c>
      <c r="H105" s="269" t="n">
        <v>0.215</v>
      </c>
      <c r="I105" s="260" t="n">
        <v>3.955</v>
      </c>
      <c r="J105" s="269" t="n">
        <v>3.96</v>
      </c>
      <c r="K105" s="215" t="n">
        <v>3.965</v>
      </c>
      <c r="L105" s="269" t="n">
        <v>0.44</v>
      </c>
      <c r="M105" s="215" t="n">
        <v>0.04</v>
      </c>
      <c r="O105" s="211"/>
      <c r="P105" s="260"/>
      <c r="Q105" s="260"/>
      <c r="R105" s="261" t="e">
        <f aca="false">B105</f>
        <v>#VALUE!</v>
      </c>
      <c r="S105" s="262" t="n">
        <f aca="false">T105-$S$16</f>
        <v>0.43</v>
      </c>
      <c r="T105" s="257" t="n">
        <f aca="false">D105</f>
        <v>0.5</v>
      </c>
      <c r="U105" s="263" t="n">
        <f aca="false">$U$16+T105</f>
        <v>0.57</v>
      </c>
      <c r="BP105" s="226" t="n">
        <f aca="false">BP104+BV105</f>
        <v>104</v>
      </c>
      <c r="BQ105" s="227" t="s">
        <v>369</v>
      </c>
      <c r="BR105" s="224" t="s">
        <v>226</v>
      </c>
      <c r="BS105" s="154" t="s">
        <v>227</v>
      </c>
      <c r="BT105" s="230" t="s">
        <v>228</v>
      </c>
      <c r="BU105" s="230"/>
      <c r="BV105" s="154" t="n">
        <v>1</v>
      </c>
      <c r="BW105" s="224" t="s">
        <v>695</v>
      </c>
      <c r="BX105" s="0"/>
      <c r="BZ105" s="226" t="n">
        <f aca="false">BZ104+CF105</f>
        <v>104</v>
      </c>
      <c r="CA105" s="84" t="s">
        <v>696</v>
      </c>
      <c r="CB105" s="224" t="s">
        <v>230</v>
      </c>
      <c r="CC105" s="154" t="s">
        <v>227</v>
      </c>
      <c r="CD105" s="230" t="s">
        <v>228</v>
      </c>
      <c r="CE105" s="230"/>
      <c r="CF105" s="154" t="n">
        <v>1</v>
      </c>
      <c r="CG105" s="224" t="s">
        <v>697</v>
      </c>
      <c r="CH105" s="0"/>
    </row>
    <row r="106" customFormat="false" ht="12.75" hidden="false" customHeight="false" outlineLevel="0" collapsed="false">
      <c r="A106" s="258"/>
      <c r="B106" s="259" t="e">
        <f aca="false">NextMonth(B105)</f>
        <v>#VALUE!</v>
      </c>
      <c r="C106" s="215" t="n">
        <v>0.058629043147752</v>
      </c>
      <c r="D106" s="269" t="n">
        <v>0.5</v>
      </c>
      <c r="E106" s="269" t="n">
        <v>0.5</v>
      </c>
      <c r="F106" s="269" t="n">
        <v>0.195</v>
      </c>
      <c r="G106" s="269" t="n">
        <v>0.2025</v>
      </c>
      <c r="H106" s="269" t="n">
        <v>0.21</v>
      </c>
      <c r="I106" s="260" t="n">
        <v>3.985</v>
      </c>
      <c r="J106" s="269" t="n">
        <v>3.99</v>
      </c>
      <c r="K106" s="215" t="n">
        <v>3.995</v>
      </c>
      <c r="L106" s="269" t="n">
        <v>0.5</v>
      </c>
      <c r="M106" s="215" t="n">
        <v>0.04</v>
      </c>
      <c r="O106" s="211"/>
      <c r="P106" s="260"/>
      <c r="Q106" s="260"/>
      <c r="R106" s="261" t="e">
        <f aca="false">B106</f>
        <v>#VALUE!</v>
      </c>
      <c r="S106" s="262" t="n">
        <f aca="false">T106-$S$16</f>
        <v>0.43</v>
      </c>
      <c r="T106" s="257" t="n">
        <f aca="false">D106</f>
        <v>0.5</v>
      </c>
      <c r="U106" s="263" t="n">
        <f aca="false">$U$16+T106</f>
        <v>0.57</v>
      </c>
      <c r="BP106" s="226" t="n">
        <f aca="false">BP105+BV106</f>
        <v>105</v>
      </c>
      <c r="BQ106" s="227" t="s">
        <v>698</v>
      </c>
      <c r="BR106" s="224" t="s">
        <v>226</v>
      </c>
      <c r="BS106" s="154" t="s">
        <v>359</v>
      </c>
      <c r="BT106" s="230" t="s">
        <v>228</v>
      </c>
      <c r="BU106" s="230"/>
      <c r="BV106" s="154" t="n">
        <v>1</v>
      </c>
      <c r="BW106" s="224" t="s">
        <v>699</v>
      </c>
      <c r="BX106" s="0"/>
      <c r="BZ106" s="226" t="n">
        <f aca="false">BZ105+CF106</f>
        <v>105</v>
      </c>
      <c r="CA106" s="84" t="s">
        <v>700</v>
      </c>
      <c r="CB106" s="224" t="s">
        <v>230</v>
      </c>
      <c r="CC106" s="154" t="s">
        <v>227</v>
      </c>
      <c r="CD106" s="230" t="s">
        <v>228</v>
      </c>
      <c r="CE106" s="230"/>
      <c r="CF106" s="154" t="n">
        <v>1</v>
      </c>
      <c r="CG106" s="224" t="s">
        <v>701</v>
      </c>
      <c r="CH106" s="0"/>
    </row>
    <row r="107" customFormat="false" ht="12.75" hidden="false" customHeight="false" outlineLevel="0" collapsed="false">
      <c r="A107" s="258"/>
      <c r="B107" s="259" t="e">
        <f aca="false">NextMonth(B106)</f>
        <v>#VALUE!</v>
      </c>
      <c r="C107" s="215" t="n">
        <v>0.058688070822709</v>
      </c>
      <c r="D107" s="269" t="n">
        <v>0.6</v>
      </c>
      <c r="E107" s="269" t="n">
        <v>0.6</v>
      </c>
      <c r="F107" s="269" t="n">
        <v>0.195</v>
      </c>
      <c r="G107" s="269" t="n">
        <v>0.2025</v>
      </c>
      <c r="H107" s="269" t="n">
        <v>0.21</v>
      </c>
      <c r="I107" s="260" t="n">
        <v>4.005</v>
      </c>
      <c r="J107" s="269" t="n">
        <v>4.01</v>
      </c>
      <c r="K107" s="215" t="n">
        <v>4.015</v>
      </c>
      <c r="L107" s="269" t="n">
        <v>0.5</v>
      </c>
      <c r="M107" s="215" t="n">
        <v>0.04</v>
      </c>
      <c r="O107" s="211"/>
      <c r="P107" s="260"/>
      <c r="Q107" s="260"/>
      <c r="R107" s="261" t="e">
        <f aca="false">B107</f>
        <v>#VALUE!</v>
      </c>
      <c r="S107" s="262" t="n">
        <f aca="false">T107-$S$16</f>
        <v>0.53</v>
      </c>
      <c r="T107" s="257" t="n">
        <f aca="false">D107</f>
        <v>0.6</v>
      </c>
      <c r="U107" s="263" t="n">
        <f aca="false">$U$16+T107</f>
        <v>0.67</v>
      </c>
      <c r="BP107" s="226" t="n">
        <f aca="false">BP106+BV107</f>
        <v>106</v>
      </c>
      <c r="BQ107" s="227" t="s">
        <v>702</v>
      </c>
      <c r="BR107" s="224" t="s">
        <v>226</v>
      </c>
      <c r="BS107" s="154" t="s">
        <v>359</v>
      </c>
      <c r="BT107" s="230" t="s">
        <v>228</v>
      </c>
      <c r="BU107" s="230"/>
      <c r="BV107" s="154" t="n">
        <v>1</v>
      </c>
      <c r="BW107" s="224" t="s">
        <v>703</v>
      </c>
      <c r="BX107" s="0"/>
      <c r="BZ107" s="226" t="n">
        <f aca="false">BZ106+CF107</f>
        <v>106</v>
      </c>
      <c r="CA107" s="84" t="s">
        <v>704</v>
      </c>
      <c r="CB107" s="224" t="s">
        <v>230</v>
      </c>
      <c r="CC107" s="154" t="s">
        <v>227</v>
      </c>
      <c r="CD107" s="230" t="s">
        <v>228</v>
      </c>
      <c r="CE107" s="230"/>
      <c r="CF107" s="154" t="n">
        <v>1</v>
      </c>
      <c r="CG107" s="224" t="s">
        <v>705</v>
      </c>
      <c r="CH107" s="0"/>
    </row>
    <row r="108" customFormat="false" ht="12.75" hidden="false" customHeight="false" outlineLevel="0" collapsed="false">
      <c r="A108" s="258"/>
      <c r="B108" s="259" t="e">
        <f aca="false">NextMonth(B107)</f>
        <v>#VALUE!</v>
      </c>
      <c r="C108" s="215" t="n">
        <v>0.058747098498824</v>
      </c>
      <c r="D108" s="269" t="n">
        <v>0.6</v>
      </c>
      <c r="E108" s="269" t="n">
        <v>0.6</v>
      </c>
      <c r="F108" s="269" t="n">
        <v>0.195</v>
      </c>
      <c r="G108" s="269" t="n">
        <v>0.2025</v>
      </c>
      <c r="H108" s="269" t="n">
        <v>0.21</v>
      </c>
      <c r="I108" s="260" t="n">
        <v>4.026</v>
      </c>
      <c r="J108" s="269" t="n">
        <v>4.031</v>
      </c>
      <c r="K108" s="215" t="n">
        <v>4.036</v>
      </c>
      <c r="L108" s="269" t="n">
        <v>0.46</v>
      </c>
      <c r="M108" s="215" t="n">
        <v>0.04</v>
      </c>
      <c r="O108" s="211"/>
      <c r="P108" s="260"/>
      <c r="Q108" s="260"/>
      <c r="R108" s="261" t="e">
        <f aca="false">B108</f>
        <v>#VALUE!</v>
      </c>
      <c r="S108" s="262" t="n">
        <f aca="false">T108-$S$16</f>
        <v>0.53</v>
      </c>
      <c r="T108" s="257" t="n">
        <f aca="false">D108</f>
        <v>0.6</v>
      </c>
      <c r="U108" s="263" t="n">
        <f aca="false">$U$16+T108</f>
        <v>0.67</v>
      </c>
      <c r="BP108" s="226" t="n">
        <f aca="false">BP107+BV108</f>
        <v>107</v>
      </c>
      <c r="BQ108" s="227" t="s">
        <v>706</v>
      </c>
      <c r="BR108" s="224" t="s">
        <v>226</v>
      </c>
      <c r="BS108" s="154" t="s">
        <v>359</v>
      </c>
      <c r="BT108" s="230" t="s">
        <v>228</v>
      </c>
      <c r="BU108" s="230"/>
      <c r="BV108" s="154" t="n">
        <v>1</v>
      </c>
      <c r="BW108" s="224" t="s">
        <v>707</v>
      </c>
      <c r="BX108" s="0"/>
      <c r="BZ108" s="226" t="n">
        <f aca="false">BZ107+CF108</f>
        <v>107</v>
      </c>
      <c r="CA108" s="84" t="s">
        <v>708</v>
      </c>
      <c r="CB108" s="224" t="s">
        <v>230</v>
      </c>
      <c r="CC108" s="154" t="s">
        <v>227</v>
      </c>
      <c r="CD108" s="230" t="s">
        <v>228</v>
      </c>
      <c r="CE108" s="230"/>
      <c r="CF108" s="154" t="n">
        <v>1</v>
      </c>
      <c r="CG108" s="224" t="s">
        <v>709</v>
      </c>
      <c r="CH108" s="0"/>
    </row>
    <row r="109" customFormat="false" ht="12.75" hidden="false" customHeight="false" outlineLevel="0" collapsed="false">
      <c r="A109" s="258"/>
      <c r="B109" s="259" t="e">
        <f aca="false">NextMonth(B108)</f>
        <v>#VALUE!</v>
      </c>
      <c r="C109" s="215" t="n">
        <v>0.058804222057458</v>
      </c>
      <c r="D109" s="269" t="n">
        <v>0.65</v>
      </c>
      <c r="E109" s="269" t="n">
        <v>0.65</v>
      </c>
      <c r="F109" s="269" t="n">
        <v>0.195</v>
      </c>
      <c r="G109" s="269" t="n">
        <v>0.2025</v>
      </c>
      <c r="H109" s="269" t="n">
        <v>0.21</v>
      </c>
      <c r="I109" s="260" t="n">
        <v>4.056</v>
      </c>
      <c r="J109" s="269" t="n">
        <v>4.061</v>
      </c>
      <c r="K109" s="215" t="n">
        <v>4.066</v>
      </c>
      <c r="L109" s="269" t="n">
        <v>0.47</v>
      </c>
      <c r="M109" s="215" t="n">
        <v>0.04</v>
      </c>
      <c r="O109" s="211"/>
      <c r="P109" s="260"/>
      <c r="Q109" s="260"/>
      <c r="R109" s="261" t="e">
        <f aca="false">B109</f>
        <v>#VALUE!</v>
      </c>
      <c r="S109" s="262" t="n">
        <f aca="false">T109-$S$16</f>
        <v>0.58</v>
      </c>
      <c r="T109" s="257" t="n">
        <f aca="false">D109</f>
        <v>0.65</v>
      </c>
      <c r="U109" s="263" t="n">
        <f aca="false">$U$16+T109</f>
        <v>0.72</v>
      </c>
      <c r="BP109" s="226" t="n">
        <f aca="false">BP108+BV109</f>
        <v>108</v>
      </c>
      <c r="BQ109" s="227" t="s">
        <v>710</v>
      </c>
      <c r="BR109" s="224" t="s">
        <v>226</v>
      </c>
      <c r="BS109" s="154" t="s">
        <v>359</v>
      </c>
      <c r="BT109" s="230" t="s">
        <v>228</v>
      </c>
      <c r="BU109" s="230"/>
      <c r="BV109" s="154" t="n">
        <v>1</v>
      </c>
      <c r="BW109" s="224" t="s">
        <v>711</v>
      </c>
      <c r="BX109" s="0"/>
      <c r="BZ109" s="226" t="n">
        <f aca="false">BZ108+CF109</f>
        <v>108</v>
      </c>
      <c r="CA109" s="84" t="s">
        <v>712</v>
      </c>
      <c r="CB109" s="224" t="s">
        <v>230</v>
      </c>
      <c r="CC109" s="154" t="s">
        <v>227</v>
      </c>
      <c r="CD109" s="230" t="s">
        <v>228</v>
      </c>
      <c r="CE109" s="230"/>
      <c r="CF109" s="154" t="n">
        <v>1</v>
      </c>
      <c r="CG109" s="224" t="s">
        <v>713</v>
      </c>
      <c r="CH109" s="0"/>
    </row>
    <row r="110" customFormat="false" ht="12.75" hidden="false" customHeight="false" outlineLevel="0" collapsed="false">
      <c r="A110" s="258"/>
      <c r="B110" s="259" t="e">
        <f aca="false">NextMonth(B109)</f>
        <v>#VALUE!</v>
      </c>
      <c r="C110" s="215" t="n">
        <v>0.058863249735853</v>
      </c>
      <c r="D110" s="269" t="n">
        <v>0.95</v>
      </c>
      <c r="E110" s="269" t="n">
        <v>0.95</v>
      </c>
      <c r="F110" s="269" t="n">
        <v>0.195</v>
      </c>
      <c r="G110" s="269" t="n">
        <v>0.2025</v>
      </c>
      <c r="H110" s="269" t="n">
        <v>0.21</v>
      </c>
      <c r="I110" s="260" t="n">
        <v>4.196</v>
      </c>
      <c r="J110" s="269" t="n">
        <v>4.201</v>
      </c>
      <c r="K110" s="215" t="n">
        <v>4.206</v>
      </c>
      <c r="L110" s="269" t="n">
        <v>0.86</v>
      </c>
      <c r="M110" s="215" t="n">
        <v>0.04</v>
      </c>
      <c r="O110" s="211"/>
      <c r="P110" s="260"/>
      <c r="Q110" s="260"/>
      <c r="R110" s="261" t="e">
        <f aca="false">B110</f>
        <v>#VALUE!</v>
      </c>
      <c r="S110" s="262" t="n">
        <f aca="false">T110-$S$16</f>
        <v>0.88</v>
      </c>
      <c r="T110" s="257" t="n">
        <f aca="false">D110</f>
        <v>0.95</v>
      </c>
      <c r="U110" s="263" t="n">
        <f aca="false">$U$16+T110</f>
        <v>1.02</v>
      </c>
      <c r="BP110" s="226" t="n">
        <f aca="false">BP109+BV110</f>
        <v>109</v>
      </c>
      <c r="BQ110" s="227" t="s">
        <v>714</v>
      </c>
      <c r="BR110" s="224" t="s">
        <v>226</v>
      </c>
      <c r="BS110" s="154" t="s">
        <v>359</v>
      </c>
      <c r="BT110" s="230" t="s">
        <v>228</v>
      </c>
      <c r="BU110" s="230"/>
      <c r="BV110" s="154" t="n">
        <v>1</v>
      </c>
      <c r="BW110" s="224" t="s">
        <v>715</v>
      </c>
      <c r="BX110" s="0"/>
      <c r="BZ110" s="226" t="n">
        <f aca="false">BZ109+CF110</f>
        <v>109</v>
      </c>
      <c r="CA110" s="84" t="s">
        <v>716</v>
      </c>
      <c r="CB110" s="224" t="s">
        <v>230</v>
      </c>
      <c r="CC110" s="154" t="s">
        <v>227</v>
      </c>
      <c r="CD110" s="230" t="s">
        <v>228</v>
      </c>
      <c r="CE110" s="230"/>
      <c r="CF110" s="154" t="n">
        <v>1</v>
      </c>
      <c r="CG110" s="224" t="s">
        <v>717</v>
      </c>
      <c r="CH110" s="0"/>
    </row>
    <row r="111" customFormat="false" ht="12.75" hidden="false" customHeight="false" outlineLevel="0" collapsed="false">
      <c r="A111" s="258"/>
      <c r="B111" s="259" t="e">
        <f aca="false">NextMonth(B110)</f>
        <v>#VALUE!</v>
      </c>
      <c r="C111" s="215" t="n">
        <v>0.058920373296692</v>
      </c>
      <c r="D111" s="269" t="n">
        <v>1.25</v>
      </c>
      <c r="E111" s="269" t="n">
        <v>1.25</v>
      </c>
      <c r="F111" s="269" t="n">
        <v>0.1975</v>
      </c>
      <c r="G111" s="269" t="n">
        <v>0.205</v>
      </c>
      <c r="H111" s="269" t="n">
        <v>0.2125</v>
      </c>
      <c r="I111" s="260" t="n">
        <v>4.321</v>
      </c>
      <c r="J111" s="269" t="n">
        <v>4.326</v>
      </c>
      <c r="K111" s="215" t="n">
        <v>4.331</v>
      </c>
      <c r="L111" s="269" t="n">
        <v>1.28</v>
      </c>
      <c r="M111" s="215" t="n">
        <v>0.04</v>
      </c>
      <c r="O111" s="211"/>
      <c r="P111" s="260"/>
      <c r="Q111" s="260"/>
      <c r="R111" s="261" t="e">
        <f aca="false">B111</f>
        <v>#VALUE!</v>
      </c>
      <c r="S111" s="262" t="n">
        <f aca="false">T111-$S$16</f>
        <v>1.18</v>
      </c>
      <c r="T111" s="257" t="n">
        <f aca="false">D111</f>
        <v>1.25</v>
      </c>
      <c r="U111" s="263" t="n">
        <f aca="false">$U$16+T111</f>
        <v>1.32</v>
      </c>
      <c r="BP111" s="226" t="n">
        <f aca="false">BP110+BV111</f>
        <v>110</v>
      </c>
      <c r="BQ111" s="227" t="s">
        <v>718</v>
      </c>
      <c r="BR111" s="224" t="s">
        <v>226</v>
      </c>
      <c r="BS111" s="154" t="s">
        <v>359</v>
      </c>
      <c r="BT111" s="230" t="s">
        <v>228</v>
      </c>
      <c r="BU111" s="230"/>
      <c r="BV111" s="154" t="n">
        <v>1</v>
      </c>
      <c r="BW111" s="224" t="s">
        <v>719</v>
      </c>
      <c r="BX111" s="0"/>
      <c r="BZ111" s="226" t="n">
        <f aca="false">BZ110+CF111</f>
        <v>110</v>
      </c>
      <c r="CA111" s="84" t="s">
        <v>720</v>
      </c>
      <c r="CB111" s="224" t="s">
        <v>230</v>
      </c>
      <c r="CC111" s="154" t="s">
        <v>227</v>
      </c>
      <c r="CD111" s="230" t="s">
        <v>228</v>
      </c>
      <c r="CE111" s="230"/>
      <c r="CF111" s="154" t="n">
        <v>1</v>
      </c>
      <c r="CG111" s="224" t="s">
        <v>721</v>
      </c>
      <c r="CH111" s="0"/>
    </row>
    <row r="112" customFormat="false" ht="12.75" hidden="false" customHeight="false" outlineLevel="0" collapsed="false">
      <c r="A112" s="258"/>
      <c r="B112" s="259" t="e">
        <f aca="false">NextMonth(B111)</f>
        <v>#VALUE!</v>
      </c>
      <c r="C112" s="215" t="n">
        <v>0.058979400977367</v>
      </c>
      <c r="D112" s="269" t="n">
        <v>1.45</v>
      </c>
      <c r="E112" s="269" t="n">
        <v>1.45</v>
      </c>
      <c r="F112" s="269" t="n">
        <v>0.1975</v>
      </c>
      <c r="G112" s="269" t="n">
        <v>0.205</v>
      </c>
      <c r="H112" s="269" t="n">
        <v>0.2125</v>
      </c>
      <c r="I112" s="260" t="n">
        <v>4.435</v>
      </c>
      <c r="J112" s="269" t="n">
        <v>4.44</v>
      </c>
      <c r="K112" s="215" t="n">
        <v>4.445</v>
      </c>
      <c r="L112" s="269" t="n">
        <v>1.61</v>
      </c>
      <c r="M112" s="215" t="n">
        <v>0.04</v>
      </c>
      <c r="O112" s="211"/>
      <c r="P112" s="260"/>
      <c r="Q112" s="260"/>
      <c r="R112" s="261" t="e">
        <f aca="false">B112</f>
        <v>#VALUE!</v>
      </c>
      <c r="S112" s="262" t="n">
        <f aca="false">T112-$S$16</f>
        <v>1.38</v>
      </c>
      <c r="T112" s="257" t="n">
        <f aca="false">D112</f>
        <v>1.45</v>
      </c>
      <c r="U112" s="263" t="n">
        <f aca="false">$U$16+T112</f>
        <v>1.52</v>
      </c>
      <c r="BP112" s="226" t="n">
        <f aca="false">BP111+BV112</f>
        <v>111</v>
      </c>
      <c r="BQ112" s="227" t="s">
        <v>722</v>
      </c>
      <c r="BR112" s="224" t="s">
        <v>226</v>
      </c>
      <c r="BS112" s="154" t="s">
        <v>359</v>
      </c>
      <c r="BT112" s="230" t="s">
        <v>228</v>
      </c>
      <c r="BU112" s="230"/>
      <c r="BV112" s="154" t="n">
        <v>1</v>
      </c>
      <c r="BW112" s="224" t="s">
        <v>723</v>
      </c>
      <c r="BX112" s="0"/>
      <c r="BZ112" s="226" t="n">
        <f aca="false">BZ111+CF112</f>
        <v>111</v>
      </c>
      <c r="CA112" s="84" t="s">
        <v>724</v>
      </c>
      <c r="CB112" s="224" t="s">
        <v>230</v>
      </c>
      <c r="CC112" s="154" t="s">
        <v>227</v>
      </c>
      <c r="CD112" s="230" t="s">
        <v>228</v>
      </c>
      <c r="CE112" s="230"/>
      <c r="CF112" s="154" t="n">
        <v>1</v>
      </c>
      <c r="CG112" s="224" t="s">
        <v>725</v>
      </c>
      <c r="CH112" s="0"/>
    </row>
    <row r="113" customFormat="false" ht="12.75" hidden="false" customHeight="false" outlineLevel="0" collapsed="false">
      <c r="A113" s="258"/>
      <c r="B113" s="259" t="e">
        <f aca="false">NextMonth(B112)</f>
        <v>#VALUE!</v>
      </c>
      <c r="C113" s="215" t="n">
        <v>0.059038428659198</v>
      </c>
      <c r="D113" s="269" t="n">
        <v>1.45</v>
      </c>
      <c r="E113" s="269" t="n">
        <v>1.45</v>
      </c>
      <c r="F113" s="269" t="n">
        <v>0.1925</v>
      </c>
      <c r="G113" s="269" t="n">
        <v>0.2</v>
      </c>
      <c r="H113" s="269" t="n">
        <v>0.2075</v>
      </c>
      <c r="I113" s="260" t="n">
        <v>4.339</v>
      </c>
      <c r="J113" s="269" t="n">
        <v>4.344</v>
      </c>
      <c r="K113" s="215" t="n">
        <v>4.349</v>
      </c>
      <c r="L113" s="269" t="n">
        <v>1.57</v>
      </c>
      <c r="M113" s="215" t="n">
        <v>0.04</v>
      </c>
      <c r="O113" s="211"/>
      <c r="P113" s="260"/>
      <c r="Q113" s="260"/>
      <c r="R113" s="261" t="e">
        <f aca="false">B113</f>
        <v>#VALUE!</v>
      </c>
      <c r="S113" s="262" t="n">
        <f aca="false">T113-$S$16</f>
        <v>1.38</v>
      </c>
      <c r="T113" s="257" t="n">
        <f aca="false">D113</f>
        <v>1.45</v>
      </c>
      <c r="U113" s="263" t="n">
        <f aca="false">$U$16+T113</f>
        <v>1.52</v>
      </c>
      <c r="BP113" s="226" t="n">
        <f aca="false">BP112+BV113</f>
        <v>112</v>
      </c>
      <c r="BQ113" s="227" t="s">
        <v>726</v>
      </c>
      <c r="BR113" s="224" t="s">
        <v>226</v>
      </c>
      <c r="BS113" s="154" t="s">
        <v>359</v>
      </c>
      <c r="BT113" s="230" t="s">
        <v>228</v>
      </c>
      <c r="BU113" s="230"/>
      <c r="BV113" s="154" t="n">
        <v>1</v>
      </c>
      <c r="BW113" s="224" t="s">
        <v>727</v>
      </c>
      <c r="BX113" s="0"/>
      <c r="BZ113" s="226" t="n">
        <f aca="false">BZ112+CF113</f>
        <v>112</v>
      </c>
      <c r="CA113" s="84" t="s">
        <v>728</v>
      </c>
      <c r="CB113" s="224" t="s">
        <v>230</v>
      </c>
      <c r="CC113" s="154" t="s">
        <v>227</v>
      </c>
      <c r="CD113" s="230" t="s">
        <v>228</v>
      </c>
      <c r="CE113" s="230"/>
      <c r="CF113" s="154" t="n">
        <v>1</v>
      </c>
      <c r="CG113" s="224" t="s">
        <v>729</v>
      </c>
      <c r="CH113" s="0"/>
    </row>
    <row r="114" customFormat="false" ht="12.75" hidden="false" customHeight="false" outlineLevel="0" collapsed="false">
      <c r="A114" s="258"/>
      <c r="B114" s="259" t="e">
        <f aca="false">NextMonth(B113)</f>
        <v>#VALUE!</v>
      </c>
      <c r="C114" s="215" t="n">
        <v>0.05909174398572</v>
      </c>
      <c r="D114" s="269" t="n">
        <v>1</v>
      </c>
      <c r="E114" s="269" t="n">
        <v>1</v>
      </c>
      <c r="F114" s="269" t="n">
        <v>0.1825</v>
      </c>
      <c r="G114" s="269" t="n">
        <v>0.19</v>
      </c>
      <c r="H114" s="269" t="n">
        <v>0.1975</v>
      </c>
      <c r="I114" s="260" t="n">
        <v>4.189</v>
      </c>
      <c r="J114" s="269" t="n">
        <v>4.194</v>
      </c>
      <c r="K114" s="215" t="n">
        <v>4.199</v>
      </c>
      <c r="L114" s="269" t="n">
        <v>0.93</v>
      </c>
      <c r="M114" s="215" t="n">
        <v>0.04</v>
      </c>
      <c r="O114" s="211"/>
      <c r="P114" s="260"/>
      <c r="Q114" s="260"/>
      <c r="R114" s="261" t="e">
        <f aca="false">B114</f>
        <v>#VALUE!</v>
      </c>
      <c r="S114" s="262" t="n">
        <f aca="false">T114-$S$16</f>
        <v>0.93</v>
      </c>
      <c r="T114" s="257" t="n">
        <f aca="false">D114</f>
        <v>1</v>
      </c>
      <c r="U114" s="263" t="n">
        <f aca="false">$U$16+T114</f>
        <v>1.07</v>
      </c>
      <c r="BP114" s="226" t="n">
        <f aca="false">BP113+BV114</f>
        <v>113</v>
      </c>
      <c r="BQ114" s="227" t="s">
        <v>730</v>
      </c>
      <c r="BR114" s="224" t="s">
        <v>226</v>
      </c>
      <c r="BS114" s="154" t="s">
        <v>359</v>
      </c>
      <c r="BT114" s="230" t="s">
        <v>228</v>
      </c>
      <c r="BU114" s="230"/>
      <c r="BV114" s="154" t="n">
        <v>1</v>
      </c>
      <c r="BW114" s="224" t="s">
        <v>731</v>
      </c>
      <c r="BX114" s="0"/>
      <c r="BZ114" s="226" t="n">
        <f aca="false">BZ113+CF114</f>
        <v>113</v>
      </c>
      <c r="CA114" s="84" t="s">
        <v>732</v>
      </c>
      <c r="CB114" s="224" t="s">
        <v>230</v>
      </c>
      <c r="CC114" s="154" t="s">
        <v>227</v>
      </c>
      <c r="CD114" s="230" t="s">
        <v>228</v>
      </c>
      <c r="CE114" s="230"/>
      <c r="CF114" s="154" t="n">
        <v>1</v>
      </c>
      <c r="CG114" s="224" t="s">
        <v>733</v>
      </c>
      <c r="CH114" s="0"/>
    </row>
    <row r="115" customFormat="false" ht="12.75" hidden="false" customHeight="false" outlineLevel="0" collapsed="false">
      <c r="A115" s="258"/>
      <c r="B115" s="259" t="e">
        <f aca="false">NextMonth(B114)</f>
        <v>#VALUE!</v>
      </c>
      <c r="C115" s="215" t="n">
        <v>0.059150771669757</v>
      </c>
      <c r="D115" s="269" t="n">
        <v>0.45</v>
      </c>
      <c r="E115" s="269" t="n">
        <v>0.45</v>
      </c>
      <c r="F115" s="269" t="n">
        <v>0.1825</v>
      </c>
      <c r="G115" s="269" t="n">
        <v>0.19</v>
      </c>
      <c r="H115" s="269" t="n">
        <v>0.1975</v>
      </c>
      <c r="I115" s="260" t="n">
        <v>4.006</v>
      </c>
      <c r="J115" s="269" t="n">
        <v>4.011</v>
      </c>
      <c r="K115" s="215" t="n">
        <v>4.016</v>
      </c>
      <c r="L115" s="269" t="n">
        <v>0.5</v>
      </c>
      <c r="M115" s="215" t="n">
        <v>0.04</v>
      </c>
      <c r="O115" s="211"/>
      <c r="P115" s="260"/>
      <c r="Q115" s="260"/>
      <c r="R115" s="261" t="e">
        <f aca="false">B115</f>
        <v>#VALUE!</v>
      </c>
      <c r="S115" s="262" t="n">
        <f aca="false">T115-$S$16</f>
        <v>0.38</v>
      </c>
      <c r="T115" s="257" t="n">
        <f aca="false">D115</f>
        <v>0.45</v>
      </c>
      <c r="U115" s="263" t="n">
        <f aca="false">$U$16+T115</f>
        <v>0.52</v>
      </c>
      <c r="BP115" s="226" t="n">
        <f aca="false">BP114+BV115</f>
        <v>114</v>
      </c>
      <c r="BQ115" s="227" t="s">
        <v>734</v>
      </c>
      <c r="BR115" s="224" t="s">
        <v>226</v>
      </c>
      <c r="BS115" s="154" t="s">
        <v>359</v>
      </c>
      <c r="BT115" s="230" t="s">
        <v>228</v>
      </c>
      <c r="BU115" s="230"/>
      <c r="BV115" s="154" t="n">
        <v>1</v>
      </c>
      <c r="BW115" s="224" t="s">
        <v>735</v>
      </c>
      <c r="BX115" s="0"/>
      <c r="BZ115" s="226" t="n">
        <f aca="false">BZ114+CF115</f>
        <v>114</v>
      </c>
      <c r="CA115" s="84" t="s">
        <v>736</v>
      </c>
      <c r="CB115" s="224" t="s">
        <v>230</v>
      </c>
      <c r="CC115" s="154" t="s">
        <v>227</v>
      </c>
      <c r="CD115" s="230" t="s">
        <v>228</v>
      </c>
      <c r="CE115" s="230"/>
      <c r="CF115" s="154" t="n">
        <v>1</v>
      </c>
      <c r="CG115" s="224" t="s">
        <v>737</v>
      </c>
      <c r="CH115" s="0"/>
    </row>
    <row r="116" customFormat="false" ht="12.75" hidden="false" customHeight="false" outlineLevel="0" collapsed="false">
      <c r="A116" s="258"/>
      <c r="B116" s="259" t="e">
        <f aca="false">NextMonth(B115)</f>
        <v>#VALUE!</v>
      </c>
      <c r="C116" s="215" t="n">
        <v>0.059207895236056</v>
      </c>
      <c r="D116" s="269" t="n">
        <v>0.5</v>
      </c>
      <c r="E116" s="269" t="n">
        <v>0.5</v>
      </c>
      <c r="F116" s="269" t="n">
        <v>0.1825</v>
      </c>
      <c r="G116" s="269" t="n">
        <v>0.19</v>
      </c>
      <c r="H116" s="269" t="n">
        <v>0.1975</v>
      </c>
      <c r="I116" s="260" t="n">
        <v>3.981</v>
      </c>
      <c r="J116" s="269" t="n">
        <v>3.986</v>
      </c>
      <c r="K116" s="215" t="n">
        <v>3.991</v>
      </c>
      <c r="L116" s="269" t="n">
        <v>0.44</v>
      </c>
      <c r="M116" s="215" t="n">
        <v>0.04</v>
      </c>
      <c r="O116" s="211"/>
      <c r="P116" s="260"/>
      <c r="Q116" s="260"/>
      <c r="R116" s="261" t="e">
        <f aca="false">B116</f>
        <v>#VALUE!</v>
      </c>
      <c r="S116" s="262" t="n">
        <f aca="false">T116-$S$16</f>
        <v>0.43</v>
      </c>
      <c r="T116" s="257" t="n">
        <f aca="false">D116</f>
        <v>0.5</v>
      </c>
      <c r="U116" s="263" t="n">
        <f aca="false">$U$16+T116</f>
        <v>0.57</v>
      </c>
      <c r="BP116" s="226" t="n">
        <f aca="false">BP115+BV116</f>
        <v>115</v>
      </c>
      <c r="BQ116" s="227" t="s">
        <v>738</v>
      </c>
      <c r="BR116" s="224" t="s">
        <v>226</v>
      </c>
      <c r="BS116" s="154" t="s">
        <v>359</v>
      </c>
      <c r="BT116" s="230" t="s">
        <v>228</v>
      </c>
      <c r="BU116" s="230"/>
      <c r="BV116" s="154" t="n">
        <v>1</v>
      </c>
      <c r="BW116" s="224" t="s">
        <v>739</v>
      </c>
      <c r="BX116" s="0"/>
      <c r="BZ116" s="226" t="n">
        <f aca="false">BZ115+CF116</f>
        <v>115</v>
      </c>
      <c r="CA116" s="84" t="s">
        <v>740</v>
      </c>
      <c r="CB116" s="224" t="s">
        <v>230</v>
      </c>
      <c r="CC116" s="154" t="s">
        <v>227</v>
      </c>
      <c r="CD116" s="230" t="s">
        <v>228</v>
      </c>
      <c r="CE116" s="230"/>
      <c r="CF116" s="154" t="n">
        <v>1</v>
      </c>
      <c r="CG116" s="224" t="s">
        <v>741</v>
      </c>
      <c r="CH116" s="0"/>
    </row>
    <row r="117" customFormat="false" ht="12.75" hidden="false" customHeight="false" outlineLevel="0" collapsed="false">
      <c r="A117" s="258"/>
      <c r="B117" s="259" t="e">
        <f aca="false">NextMonth(B116)</f>
        <v>#VALUE!</v>
      </c>
      <c r="C117" s="215" t="n">
        <v>0.059266922922372</v>
      </c>
      <c r="D117" s="269" t="n">
        <v>0.5</v>
      </c>
      <c r="E117" s="269" t="n">
        <v>0.5</v>
      </c>
      <c r="F117" s="269" t="n">
        <v>0.1825</v>
      </c>
      <c r="G117" s="269" t="n">
        <v>0.19</v>
      </c>
      <c r="H117" s="269" t="n">
        <v>0.1975</v>
      </c>
      <c r="I117" s="260" t="n">
        <v>4.01</v>
      </c>
      <c r="J117" s="269" t="n">
        <v>4.015</v>
      </c>
      <c r="K117" s="215" t="n">
        <v>4.02</v>
      </c>
      <c r="L117" s="269" t="n">
        <v>0.44</v>
      </c>
      <c r="M117" s="215" t="n">
        <v>0.04</v>
      </c>
      <c r="O117" s="211"/>
      <c r="P117" s="260"/>
      <c r="Q117" s="260"/>
      <c r="R117" s="261" t="e">
        <f aca="false">B117</f>
        <v>#VALUE!</v>
      </c>
      <c r="S117" s="262" t="n">
        <f aca="false">T117-$S$16</f>
        <v>0.43</v>
      </c>
      <c r="T117" s="257" t="n">
        <f aca="false">D117</f>
        <v>0.5</v>
      </c>
      <c r="U117" s="263" t="n">
        <f aca="false">$U$16+T117</f>
        <v>0.57</v>
      </c>
      <c r="BP117" s="226" t="n">
        <f aca="false">BP116+BV117</f>
        <v>116</v>
      </c>
      <c r="BQ117" s="227" t="s">
        <v>742</v>
      </c>
      <c r="BR117" s="224" t="s">
        <v>226</v>
      </c>
      <c r="BS117" s="154" t="s">
        <v>359</v>
      </c>
      <c r="BT117" s="230" t="s">
        <v>228</v>
      </c>
      <c r="BU117" s="230"/>
      <c r="BV117" s="154" t="n">
        <v>1</v>
      </c>
      <c r="BW117" s="224" t="s">
        <v>743</v>
      </c>
      <c r="BX117" s="0"/>
      <c r="BZ117" s="226" t="n">
        <f aca="false">BZ116+CF117</f>
        <v>116</v>
      </c>
      <c r="CA117" s="84" t="s">
        <v>744</v>
      </c>
      <c r="CB117" s="224" t="s">
        <v>230</v>
      </c>
      <c r="CC117" s="154" t="s">
        <v>227</v>
      </c>
      <c r="CD117" s="230" t="s">
        <v>228</v>
      </c>
      <c r="CE117" s="230"/>
      <c r="CF117" s="154" t="n">
        <v>1</v>
      </c>
      <c r="CG117" s="224" t="s">
        <v>745</v>
      </c>
      <c r="CH117" s="0"/>
    </row>
    <row r="118" customFormat="false" ht="12.75" hidden="false" customHeight="false" outlineLevel="0" collapsed="false">
      <c r="A118" s="258"/>
      <c r="B118" s="259" t="e">
        <f aca="false">NextMonth(B117)</f>
        <v>#VALUE!</v>
      </c>
      <c r="C118" s="215" t="n">
        <v>0.059324046490877</v>
      </c>
      <c r="D118" s="269" t="n">
        <v>0.5</v>
      </c>
      <c r="E118" s="269" t="n">
        <v>0.5</v>
      </c>
      <c r="F118" s="269" t="n">
        <v>0.1825</v>
      </c>
      <c r="G118" s="269" t="n">
        <v>0.19</v>
      </c>
      <c r="H118" s="269" t="n">
        <v>0.1975</v>
      </c>
      <c r="I118" s="260" t="n">
        <v>4.04</v>
      </c>
      <c r="J118" s="269" t="n">
        <v>4.045</v>
      </c>
      <c r="K118" s="215" t="n">
        <v>4.05</v>
      </c>
      <c r="L118" s="269" t="n">
        <v>0.5</v>
      </c>
      <c r="M118" s="215" t="n">
        <v>0.04</v>
      </c>
      <c r="O118" s="211"/>
      <c r="P118" s="260"/>
      <c r="Q118" s="260"/>
      <c r="R118" s="261" t="e">
        <f aca="false">B118</f>
        <v>#VALUE!</v>
      </c>
      <c r="S118" s="262" t="n">
        <f aca="false">T118-$S$16</f>
        <v>0.43</v>
      </c>
      <c r="T118" s="257" t="n">
        <f aca="false">D118</f>
        <v>0.5</v>
      </c>
      <c r="U118" s="263" t="n">
        <f aca="false">$U$16+T118</f>
        <v>0.57</v>
      </c>
      <c r="BP118" s="226" t="n">
        <f aca="false">BP117+BV118</f>
        <v>117</v>
      </c>
      <c r="BQ118" s="227" t="s">
        <v>746</v>
      </c>
      <c r="BR118" s="224" t="s">
        <v>226</v>
      </c>
      <c r="BS118" s="154" t="s">
        <v>359</v>
      </c>
      <c r="BT118" s="230" t="s">
        <v>228</v>
      </c>
      <c r="BU118" s="230"/>
      <c r="BV118" s="154" t="n">
        <v>1</v>
      </c>
      <c r="BW118" s="224" t="s">
        <v>747</v>
      </c>
      <c r="BX118" s="0"/>
      <c r="BZ118" s="226" t="n">
        <f aca="false">BZ117+CF118</f>
        <v>117</v>
      </c>
      <c r="CA118" s="84" t="s">
        <v>748</v>
      </c>
      <c r="CB118" s="224" t="s">
        <v>230</v>
      </c>
      <c r="CC118" s="154" t="s">
        <v>227</v>
      </c>
      <c r="CD118" s="230" t="s">
        <v>228</v>
      </c>
      <c r="CE118" s="230"/>
      <c r="CF118" s="154" t="n">
        <v>1</v>
      </c>
      <c r="CG118" s="224" t="s">
        <v>749</v>
      </c>
      <c r="CH118" s="0"/>
    </row>
    <row r="119" customFormat="false" ht="12.75" hidden="false" customHeight="false" outlineLevel="0" collapsed="false">
      <c r="A119" s="258"/>
      <c r="B119" s="259" t="e">
        <f aca="false">NextMonth(B118)</f>
        <v>#VALUE!</v>
      </c>
      <c r="C119" s="215" t="n">
        <v>0.059383074179471</v>
      </c>
      <c r="D119" s="269" t="n">
        <v>0.6</v>
      </c>
      <c r="E119" s="269" t="n">
        <v>0.6</v>
      </c>
      <c r="F119" s="269" t="n">
        <v>0.1825</v>
      </c>
      <c r="G119" s="269" t="n">
        <v>0.19</v>
      </c>
      <c r="H119" s="269" t="n">
        <v>0.1975</v>
      </c>
      <c r="I119" s="260" t="n">
        <v>4.06</v>
      </c>
      <c r="J119" s="269" t="n">
        <v>4.065</v>
      </c>
      <c r="K119" s="215" t="n">
        <v>4.07</v>
      </c>
      <c r="L119" s="269" t="n">
        <v>0.5</v>
      </c>
      <c r="M119" s="215" t="n">
        <v>0.04</v>
      </c>
      <c r="O119" s="211"/>
      <c r="P119" s="260"/>
      <c r="Q119" s="260"/>
      <c r="R119" s="261" t="e">
        <f aca="false">B119</f>
        <v>#VALUE!</v>
      </c>
      <c r="S119" s="262" t="n">
        <f aca="false">T119-$S$16</f>
        <v>0.53</v>
      </c>
      <c r="T119" s="257" t="n">
        <f aca="false">D119</f>
        <v>0.6</v>
      </c>
      <c r="U119" s="263" t="n">
        <f aca="false">$U$16+T119</f>
        <v>0.67</v>
      </c>
      <c r="BP119" s="226" t="n">
        <f aca="false">BP118+BV119</f>
        <v>118</v>
      </c>
      <c r="BQ119" s="227" t="s">
        <v>750</v>
      </c>
      <c r="BR119" s="224" t="s">
        <v>226</v>
      </c>
      <c r="BS119" s="154" t="s">
        <v>359</v>
      </c>
      <c r="BT119" s="230" t="s">
        <v>228</v>
      </c>
      <c r="BU119" s="230"/>
      <c r="BV119" s="154" t="n">
        <v>1</v>
      </c>
      <c r="BW119" s="224" t="s">
        <v>751</v>
      </c>
      <c r="BX119" s="0"/>
      <c r="BZ119" s="226" t="n">
        <f aca="false">BZ118+CF119</f>
        <v>118</v>
      </c>
      <c r="CA119" s="84" t="s">
        <v>752</v>
      </c>
      <c r="CB119" s="224" t="s">
        <v>230</v>
      </c>
      <c r="CC119" s="154" t="s">
        <v>227</v>
      </c>
      <c r="CD119" s="230" t="s">
        <v>228</v>
      </c>
      <c r="CE119" s="230"/>
      <c r="CF119" s="154" t="n">
        <v>1</v>
      </c>
      <c r="CG119" s="224" t="s">
        <v>753</v>
      </c>
      <c r="CH119" s="0"/>
    </row>
    <row r="120" customFormat="false" ht="12.75" hidden="false" customHeight="false" outlineLevel="0" collapsed="false">
      <c r="A120" s="258"/>
      <c r="B120" s="259" t="e">
        <f aca="false">NextMonth(B119)</f>
        <v>#VALUE!</v>
      </c>
      <c r="C120" s="215" t="n">
        <v>0.059442101869223</v>
      </c>
      <c r="D120" s="269" t="n">
        <v>0.6</v>
      </c>
      <c r="E120" s="269" t="n">
        <v>0.6</v>
      </c>
      <c r="F120" s="269" t="n">
        <v>0.1825</v>
      </c>
      <c r="G120" s="269" t="n">
        <v>0.19</v>
      </c>
      <c r="H120" s="269" t="n">
        <v>0.1975</v>
      </c>
      <c r="I120" s="260" t="n">
        <v>4.081</v>
      </c>
      <c r="J120" s="269" t="n">
        <v>4.086</v>
      </c>
      <c r="K120" s="215" t="n">
        <v>4.091</v>
      </c>
      <c r="L120" s="269" t="n">
        <v>0.46</v>
      </c>
      <c r="M120" s="215" t="n">
        <v>0.04</v>
      </c>
      <c r="O120" s="211"/>
      <c r="P120" s="260"/>
      <c r="Q120" s="260"/>
      <c r="R120" s="261" t="e">
        <f aca="false">B120</f>
        <v>#VALUE!</v>
      </c>
      <c r="S120" s="262" t="n">
        <f aca="false">T120-$S$16</f>
        <v>0.53</v>
      </c>
      <c r="T120" s="257" t="n">
        <f aca="false">D120</f>
        <v>0.6</v>
      </c>
      <c r="U120" s="263" t="n">
        <f aca="false">$U$16+T120</f>
        <v>0.67</v>
      </c>
      <c r="BP120" s="226" t="n">
        <f aca="false">BP119+BV120</f>
        <v>119</v>
      </c>
      <c r="BQ120" s="227" t="s">
        <v>754</v>
      </c>
      <c r="BR120" s="224" t="s">
        <v>226</v>
      </c>
      <c r="BS120" s="154" t="s">
        <v>359</v>
      </c>
      <c r="BT120" s="230" t="s">
        <v>228</v>
      </c>
      <c r="BU120" s="230"/>
      <c r="BV120" s="154" t="n">
        <v>1</v>
      </c>
      <c r="BW120" s="224" t="s">
        <v>755</v>
      </c>
      <c r="BX120" s="0"/>
      <c r="BZ120" s="226" t="n">
        <f aca="false">BZ119+CF120</f>
        <v>119</v>
      </c>
      <c r="CA120" s="84" t="s">
        <v>756</v>
      </c>
      <c r="CB120" s="224" t="s">
        <v>230</v>
      </c>
      <c r="CC120" s="154" t="s">
        <v>227</v>
      </c>
      <c r="CD120" s="230" t="s">
        <v>228</v>
      </c>
      <c r="CE120" s="230"/>
      <c r="CF120" s="154" t="n">
        <v>1</v>
      </c>
      <c r="CG120" s="224" t="s">
        <v>757</v>
      </c>
      <c r="CH120" s="0"/>
    </row>
    <row r="121" customFormat="false" ht="12.75" hidden="false" customHeight="false" outlineLevel="0" collapsed="false">
      <c r="A121" s="258"/>
      <c r="B121" s="259" t="e">
        <f aca="false">NextMonth(B120)</f>
        <v>#VALUE!</v>
      </c>
      <c r="C121" s="215" t="n">
        <v>0.059499225441054</v>
      </c>
      <c r="D121" s="269" t="n">
        <v>0.65</v>
      </c>
      <c r="E121" s="269" t="n">
        <v>0.65</v>
      </c>
      <c r="F121" s="269" t="n">
        <v>0.1825</v>
      </c>
      <c r="G121" s="269" t="n">
        <v>0.19</v>
      </c>
      <c r="H121" s="269" t="n">
        <v>0.1975</v>
      </c>
      <c r="I121" s="260" t="n">
        <v>4.111</v>
      </c>
      <c r="J121" s="269" t="n">
        <v>4.116</v>
      </c>
      <c r="K121" s="215" t="n">
        <v>4.121</v>
      </c>
      <c r="L121" s="269" t="n">
        <v>0.47</v>
      </c>
      <c r="M121" s="215" t="n">
        <v>0.04</v>
      </c>
      <c r="O121" s="211"/>
      <c r="P121" s="260"/>
      <c r="Q121" s="260"/>
      <c r="R121" s="261" t="e">
        <f aca="false">B121</f>
        <v>#VALUE!</v>
      </c>
      <c r="S121" s="262" t="n">
        <f aca="false">T121-$S$16</f>
        <v>0.58</v>
      </c>
      <c r="T121" s="257" t="n">
        <f aca="false">D121</f>
        <v>0.65</v>
      </c>
      <c r="U121" s="263" t="n">
        <f aca="false">$U$16+T121</f>
        <v>0.72</v>
      </c>
      <c r="BP121" s="226" t="n">
        <f aca="false">BP120+BV121</f>
        <v>120</v>
      </c>
      <c r="BQ121" s="227" t="s">
        <v>758</v>
      </c>
      <c r="BR121" s="224" t="s">
        <v>226</v>
      </c>
      <c r="BS121" s="154" t="s">
        <v>359</v>
      </c>
      <c r="BT121" s="230" t="s">
        <v>228</v>
      </c>
      <c r="BU121" s="230"/>
      <c r="BV121" s="154" t="n">
        <v>1</v>
      </c>
      <c r="BW121" s="224" t="s">
        <v>759</v>
      </c>
      <c r="BX121" s="0"/>
      <c r="BZ121" s="226" t="n">
        <f aca="false">BZ120+CF121</f>
        <v>120</v>
      </c>
      <c r="CA121" s="84" t="s">
        <v>760</v>
      </c>
      <c r="CB121" s="224" t="s">
        <v>230</v>
      </c>
      <c r="CC121" s="154" t="s">
        <v>227</v>
      </c>
      <c r="CD121" s="230" t="s">
        <v>228</v>
      </c>
      <c r="CE121" s="230"/>
      <c r="CF121" s="154" t="n">
        <v>1</v>
      </c>
      <c r="CG121" s="224" t="s">
        <v>761</v>
      </c>
      <c r="CH121" s="0"/>
    </row>
    <row r="122" customFormat="false" ht="12.75" hidden="false" customHeight="false" outlineLevel="0" collapsed="false">
      <c r="A122" s="258"/>
      <c r="B122" s="259" t="e">
        <f aca="false">NextMonth(B121)</f>
        <v>#VALUE!</v>
      </c>
      <c r="C122" s="215" t="n">
        <v>0.059558253133085</v>
      </c>
      <c r="D122" s="269" t="n">
        <v>0.95</v>
      </c>
      <c r="E122" s="269" t="n">
        <v>0.95</v>
      </c>
      <c r="F122" s="269" t="n">
        <v>0.1825</v>
      </c>
      <c r="G122" s="269" t="n">
        <v>0.19</v>
      </c>
      <c r="H122" s="269" t="n">
        <v>0.1975</v>
      </c>
      <c r="I122" s="260" t="n">
        <v>4.251</v>
      </c>
      <c r="J122" s="269" t="n">
        <v>4.256</v>
      </c>
      <c r="K122" s="215" t="n">
        <v>4.261</v>
      </c>
      <c r="L122" s="269" t="n">
        <v>0.86</v>
      </c>
      <c r="M122" s="215" t="n">
        <v>0.04</v>
      </c>
      <c r="O122" s="211"/>
      <c r="P122" s="260"/>
      <c r="Q122" s="260"/>
      <c r="R122" s="261" t="e">
        <f aca="false">B122</f>
        <v>#VALUE!</v>
      </c>
      <c r="S122" s="262" t="n">
        <f aca="false">T122-$S$16</f>
        <v>0.88</v>
      </c>
      <c r="T122" s="257" t="n">
        <f aca="false">D122</f>
        <v>0.95</v>
      </c>
      <c r="U122" s="263" t="n">
        <f aca="false">$U$16+T122</f>
        <v>1.02</v>
      </c>
      <c r="BP122" s="226" t="n">
        <f aca="false">BP121+BV122</f>
        <v>121</v>
      </c>
      <c r="BQ122" s="227" t="s">
        <v>762</v>
      </c>
      <c r="BR122" s="224" t="s">
        <v>226</v>
      </c>
      <c r="BS122" s="154" t="s">
        <v>359</v>
      </c>
      <c r="BT122" s="230" t="s">
        <v>228</v>
      </c>
      <c r="BU122" s="230"/>
      <c r="BV122" s="154" t="n">
        <v>1</v>
      </c>
      <c r="BW122" s="224" t="s">
        <v>763</v>
      </c>
      <c r="BX122" s="0"/>
      <c r="BZ122" s="226" t="n">
        <f aca="false">BZ121+CF122</f>
        <v>121</v>
      </c>
      <c r="CA122" s="84" t="s">
        <v>764</v>
      </c>
      <c r="CB122" s="224" t="s">
        <v>230</v>
      </c>
      <c r="CC122" s="154" t="s">
        <v>227</v>
      </c>
      <c r="CD122" s="230" t="s">
        <v>228</v>
      </c>
      <c r="CE122" s="230"/>
      <c r="CF122" s="154" t="n">
        <v>1</v>
      </c>
      <c r="CG122" s="224" t="s">
        <v>765</v>
      </c>
      <c r="CH122" s="0"/>
    </row>
    <row r="123" customFormat="false" ht="12.75" hidden="false" customHeight="false" outlineLevel="0" collapsed="false">
      <c r="A123" s="258"/>
      <c r="B123" s="259" t="e">
        <f aca="false">NextMonth(B122)</f>
        <v>#VALUE!</v>
      </c>
      <c r="C123" s="215" t="n">
        <v>0.059615376707121</v>
      </c>
      <c r="D123" s="269" t="n">
        <v>1.25</v>
      </c>
      <c r="E123" s="269" t="n">
        <v>1.25</v>
      </c>
      <c r="F123" s="269" t="n">
        <v>0.185</v>
      </c>
      <c r="G123" s="269" t="n">
        <v>0.1925</v>
      </c>
      <c r="H123" s="269" t="n">
        <v>0.2</v>
      </c>
      <c r="I123" s="260" t="n">
        <v>4.376</v>
      </c>
      <c r="J123" s="269" t="n">
        <v>4.381</v>
      </c>
      <c r="K123" s="215" t="n">
        <v>4.386</v>
      </c>
      <c r="L123" s="269" t="n">
        <v>1.28</v>
      </c>
      <c r="M123" s="215" t="n">
        <v>0.04</v>
      </c>
      <c r="O123" s="211"/>
      <c r="P123" s="260"/>
      <c r="Q123" s="260"/>
      <c r="R123" s="261" t="e">
        <f aca="false">B123</f>
        <v>#VALUE!</v>
      </c>
      <c r="S123" s="262" t="n">
        <f aca="false">T123-$S$16</f>
        <v>1.18</v>
      </c>
      <c r="T123" s="257" t="n">
        <f aca="false">D123</f>
        <v>1.25</v>
      </c>
      <c r="U123" s="263" t="n">
        <f aca="false">$U$16+T123</f>
        <v>1.32</v>
      </c>
      <c r="BP123" s="226" t="n">
        <f aca="false">BP122+BV123</f>
        <v>122</v>
      </c>
      <c r="BQ123" s="227" t="s">
        <v>766</v>
      </c>
      <c r="BR123" s="224" t="s">
        <v>226</v>
      </c>
      <c r="BS123" s="154" t="s">
        <v>359</v>
      </c>
      <c r="BT123" s="230" t="s">
        <v>228</v>
      </c>
      <c r="BU123" s="230"/>
      <c r="BV123" s="154" t="n">
        <v>1</v>
      </c>
      <c r="BW123" s="224" t="s">
        <v>767</v>
      </c>
      <c r="BX123" s="0"/>
      <c r="BZ123" s="226" t="n">
        <f aca="false">BZ122+CF123</f>
        <v>122</v>
      </c>
      <c r="CA123" s="84" t="s">
        <v>768</v>
      </c>
      <c r="CB123" s="224" t="s">
        <v>230</v>
      </c>
      <c r="CC123" s="154" t="s">
        <v>227</v>
      </c>
      <c r="CD123" s="230" t="s">
        <v>228</v>
      </c>
      <c r="CE123" s="230"/>
      <c r="CF123" s="154" t="n">
        <v>1</v>
      </c>
      <c r="CG123" s="224" t="s">
        <v>769</v>
      </c>
      <c r="CH123" s="0"/>
    </row>
    <row r="124" customFormat="false" ht="12.75" hidden="false" customHeight="false" outlineLevel="0" collapsed="false">
      <c r="A124" s="258"/>
      <c r="B124" s="259" t="e">
        <f aca="false">NextMonth(B123)</f>
        <v>#VALUE!</v>
      </c>
      <c r="C124" s="215" t="n">
        <v>0.059674404401431</v>
      </c>
      <c r="D124" s="269" t="n">
        <v>1.45</v>
      </c>
      <c r="E124" s="269" t="n">
        <v>1.45</v>
      </c>
      <c r="F124" s="269" t="n">
        <v>0.185</v>
      </c>
      <c r="G124" s="269" t="n">
        <v>0.1925</v>
      </c>
      <c r="H124" s="269" t="n">
        <v>0.2</v>
      </c>
      <c r="I124" s="260" t="n">
        <v>4.5</v>
      </c>
      <c r="J124" s="269" t="n">
        <v>4.505</v>
      </c>
      <c r="K124" s="215" t="n">
        <v>4.51</v>
      </c>
      <c r="L124" s="269" t="n">
        <v>1.61</v>
      </c>
      <c r="M124" s="215" t="n">
        <v>0.04</v>
      </c>
      <c r="O124" s="211"/>
      <c r="P124" s="260"/>
      <c r="Q124" s="260"/>
      <c r="R124" s="261" t="e">
        <f aca="false">B124</f>
        <v>#VALUE!</v>
      </c>
      <c r="S124" s="262" t="n">
        <f aca="false">T124-$S$16</f>
        <v>1.38</v>
      </c>
      <c r="T124" s="257" t="n">
        <f aca="false">D124</f>
        <v>1.45</v>
      </c>
      <c r="U124" s="263" t="n">
        <f aca="false">$U$16+T124</f>
        <v>1.52</v>
      </c>
      <c r="BP124" s="226" t="n">
        <f aca="false">BP123+BV124</f>
        <v>123</v>
      </c>
      <c r="BQ124" s="227" t="s">
        <v>770</v>
      </c>
      <c r="BR124" s="224" t="s">
        <v>226</v>
      </c>
      <c r="BS124" s="154" t="s">
        <v>359</v>
      </c>
      <c r="BT124" s="230" t="s">
        <v>228</v>
      </c>
      <c r="BU124" s="230"/>
      <c r="BV124" s="154" t="n">
        <v>1</v>
      </c>
      <c r="BW124" s="224" t="s">
        <v>771</v>
      </c>
      <c r="BX124" s="0"/>
      <c r="BZ124" s="226" t="n">
        <f aca="false">BZ123+CF124</f>
        <v>123</v>
      </c>
      <c r="CA124" s="84" t="s">
        <v>772</v>
      </c>
      <c r="CB124" s="224" t="s">
        <v>230</v>
      </c>
      <c r="CC124" s="154" t="s">
        <v>227</v>
      </c>
      <c r="CD124" s="230" t="s">
        <v>228</v>
      </c>
      <c r="CE124" s="230"/>
      <c r="CF124" s="154" t="n">
        <v>1</v>
      </c>
      <c r="CG124" s="224" t="s">
        <v>773</v>
      </c>
      <c r="CH124" s="0"/>
    </row>
    <row r="125" customFormat="false" ht="12.75" hidden="false" customHeight="false" outlineLevel="0" collapsed="false">
      <c r="A125" s="258"/>
      <c r="B125" s="259" t="e">
        <f aca="false">NextMonth(B124)</f>
        <v>#VALUE!</v>
      </c>
      <c r="C125" s="215" t="n">
        <v>0.059733432096898</v>
      </c>
      <c r="D125" s="269" t="n">
        <v>1.45</v>
      </c>
      <c r="E125" s="269" t="n">
        <v>1.45</v>
      </c>
      <c r="F125" s="269" t="n">
        <v>0.18</v>
      </c>
      <c r="G125" s="269" t="n">
        <v>0.1875</v>
      </c>
      <c r="H125" s="269" t="n">
        <v>0.195</v>
      </c>
      <c r="I125" s="260" t="n">
        <v>4.404</v>
      </c>
      <c r="J125" s="269" t="n">
        <v>4.409</v>
      </c>
      <c r="K125" s="215" t="n">
        <v>4.414</v>
      </c>
      <c r="L125" s="269" t="n">
        <v>1.57</v>
      </c>
      <c r="M125" s="215" t="n">
        <v>0.04</v>
      </c>
      <c r="O125" s="211"/>
      <c r="P125" s="260"/>
      <c r="Q125" s="260"/>
      <c r="R125" s="261" t="e">
        <f aca="false">B125</f>
        <v>#VALUE!</v>
      </c>
      <c r="S125" s="262" t="n">
        <f aca="false">T125-$S$16</f>
        <v>1.38</v>
      </c>
      <c r="T125" s="257" t="n">
        <f aca="false">D125</f>
        <v>1.45</v>
      </c>
      <c r="U125" s="263" t="n">
        <f aca="false">$U$16+T125</f>
        <v>1.52</v>
      </c>
      <c r="BP125" s="226" t="n">
        <f aca="false">BP124+BV125</f>
        <v>124</v>
      </c>
      <c r="BQ125" s="227" t="s">
        <v>774</v>
      </c>
      <c r="BR125" s="224" t="s">
        <v>226</v>
      </c>
      <c r="BS125" s="154" t="s">
        <v>359</v>
      </c>
      <c r="BT125" s="230" t="s">
        <v>228</v>
      </c>
      <c r="BU125" s="230"/>
      <c r="BV125" s="154" t="n">
        <v>1</v>
      </c>
      <c r="BW125" s="224" t="s">
        <v>775</v>
      </c>
      <c r="BX125" s="0"/>
      <c r="BZ125" s="226" t="n">
        <f aca="false">BZ124+CF125</f>
        <v>124</v>
      </c>
      <c r="CA125" s="84" t="s">
        <v>776</v>
      </c>
      <c r="CB125" s="224" t="s">
        <v>230</v>
      </c>
      <c r="CC125" s="154" t="s">
        <v>227</v>
      </c>
      <c r="CD125" s="230" t="s">
        <v>228</v>
      </c>
      <c r="CE125" s="230"/>
      <c r="CF125" s="154" t="n">
        <v>1</v>
      </c>
      <c r="CG125" s="224" t="s">
        <v>777</v>
      </c>
      <c r="CH125" s="0"/>
    </row>
    <row r="126" customFormat="false" ht="12.75" hidden="false" customHeight="false" outlineLevel="0" collapsed="false">
      <c r="A126" s="258"/>
      <c r="B126" s="259" t="e">
        <f aca="false">NextMonth(B125)</f>
        <v>#VALUE!</v>
      </c>
      <c r="C126" s="215" t="n">
        <v>0.059786747435735</v>
      </c>
      <c r="D126" s="269" t="n">
        <v>1</v>
      </c>
      <c r="E126" s="269" t="n">
        <v>1</v>
      </c>
      <c r="F126" s="269" t="n">
        <v>0.1775</v>
      </c>
      <c r="G126" s="269" t="n">
        <v>0.185</v>
      </c>
      <c r="H126" s="269" t="n">
        <v>0.1925</v>
      </c>
      <c r="I126" s="260" t="n">
        <v>4.254</v>
      </c>
      <c r="J126" s="269" t="n">
        <v>4.259</v>
      </c>
      <c r="K126" s="215" t="n">
        <v>4.264</v>
      </c>
      <c r="L126" s="269" t="n">
        <v>0.93</v>
      </c>
      <c r="M126" s="215" t="n">
        <v>0.04</v>
      </c>
      <c r="O126" s="211"/>
      <c r="P126" s="260"/>
      <c r="Q126" s="260"/>
      <c r="R126" s="261" t="e">
        <f aca="false">B126</f>
        <v>#VALUE!</v>
      </c>
      <c r="S126" s="262" t="n">
        <f aca="false">T126-$S$16</f>
        <v>0.93</v>
      </c>
      <c r="T126" s="257" t="n">
        <f aca="false">D126</f>
        <v>1</v>
      </c>
      <c r="U126" s="263" t="n">
        <f aca="false">$U$16+T126</f>
        <v>1.07</v>
      </c>
      <c r="BP126" s="226" t="n">
        <f aca="false">BP125+BV126</f>
        <v>125</v>
      </c>
      <c r="BQ126" s="227" t="s">
        <v>778</v>
      </c>
      <c r="BR126" s="224" t="s">
        <v>226</v>
      </c>
      <c r="BS126" s="154" t="s">
        <v>359</v>
      </c>
      <c r="BT126" s="230" t="s">
        <v>228</v>
      </c>
      <c r="BU126" s="230"/>
      <c r="BV126" s="154" t="n">
        <v>1</v>
      </c>
      <c r="BW126" s="224" t="s">
        <v>779</v>
      </c>
      <c r="BX126" s="0"/>
      <c r="BZ126" s="226" t="n">
        <f aca="false">BZ125+CF126</f>
        <v>125</v>
      </c>
      <c r="CA126" s="84" t="s">
        <v>780</v>
      </c>
      <c r="CB126" s="224" t="s">
        <v>230</v>
      </c>
      <c r="CC126" s="154" t="s">
        <v>227</v>
      </c>
      <c r="CD126" s="230" t="s">
        <v>228</v>
      </c>
      <c r="CE126" s="230"/>
      <c r="CF126" s="154" t="n">
        <v>1</v>
      </c>
      <c r="CG126" s="224" t="s">
        <v>781</v>
      </c>
      <c r="CH126" s="0"/>
    </row>
    <row r="127" customFormat="false" ht="12.75" hidden="false" customHeight="false" outlineLevel="0" collapsed="false">
      <c r="A127" s="258"/>
      <c r="B127" s="259" t="e">
        <f aca="false">NextMonth(B126)</f>
        <v>#VALUE!</v>
      </c>
      <c r="C127" s="215" t="n">
        <v>0.059845775133406</v>
      </c>
      <c r="D127" s="269" t="n">
        <v>0.45</v>
      </c>
      <c r="E127" s="269" t="n">
        <v>0.45</v>
      </c>
      <c r="F127" s="269" t="n">
        <v>0.1775</v>
      </c>
      <c r="G127" s="269" t="n">
        <v>0.185</v>
      </c>
      <c r="H127" s="269" t="n">
        <v>0.1925</v>
      </c>
      <c r="I127" s="260" t="n">
        <v>4.071</v>
      </c>
      <c r="J127" s="269" t="n">
        <v>4.076</v>
      </c>
      <c r="K127" s="215" t="n">
        <v>4.081</v>
      </c>
      <c r="L127" s="269" t="n">
        <v>0.5</v>
      </c>
      <c r="M127" s="215" t="n">
        <v>0.04</v>
      </c>
      <c r="O127" s="211"/>
      <c r="P127" s="260"/>
      <c r="Q127" s="260"/>
      <c r="R127" s="261" t="e">
        <f aca="false">B127</f>
        <v>#VALUE!</v>
      </c>
      <c r="S127" s="262" t="n">
        <f aca="false">T127-$S$16</f>
        <v>0.38</v>
      </c>
      <c r="T127" s="257" t="n">
        <f aca="false">D127</f>
        <v>0.45</v>
      </c>
      <c r="U127" s="263" t="n">
        <f aca="false">$U$16+T127</f>
        <v>0.52</v>
      </c>
      <c r="BP127" s="226" t="n">
        <f aca="false">BP126+BV127</f>
        <v>126</v>
      </c>
      <c r="BQ127" s="227" t="s">
        <v>782</v>
      </c>
      <c r="BR127" s="224" t="s">
        <v>226</v>
      </c>
      <c r="BS127" s="154" t="s">
        <v>359</v>
      </c>
      <c r="BT127" s="230" t="s">
        <v>228</v>
      </c>
      <c r="BU127" s="230"/>
      <c r="BV127" s="154" t="n">
        <v>1</v>
      </c>
      <c r="BW127" s="224" t="s">
        <v>783</v>
      </c>
      <c r="BX127" s="0"/>
      <c r="BZ127" s="226" t="n">
        <f aca="false">BZ126+CF127</f>
        <v>126</v>
      </c>
      <c r="CA127" s="84" t="s">
        <v>784</v>
      </c>
      <c r="CB127" s="224" t="s">
        <v>230</v>
      </c>
      <c r="CC127" s="154" t="s">
        <v>227</v>
      </c>
      <c r="CD127" s="230" t="s">
        <v>228</v>
      </c>
      <c r="CE127" s="230"/>
      <c r="CF127" s="154" t="n">
        <v>1</v>
      </c>
      <c r="CG127" s="224" t="s">
        <v>785</v>
      </c>
      <c r="CH127" s="0"/>
    </row>
    <row r="128" customFormat="false" ht="12.75" hidden="false" customHeight="false" outlineLevel="0" collapsed="false">
      <c r="A128" s="258"/>
      <c r="B128" s="259" t="e">
        <f aca="false">NextMonth(B127)</f>
        <v>#VALUE!</v>
      </c>
      <c r="C128" s="215" t="n">
        <v>0.0599028987129</v>
      </c>
      <c r="D128" s="269" t="n">
        <v>0.5</v>
      </c>
      <c r="E128" s="269" t="n">
        <v>0.5</v>
      </c>
      <c r="F128" s="269" t="n">
        <v>0.1775</v>
      </c>
      <c r="G128" s="269" t="n">
        <v>0.185</v>
      </c>
      <c r="H128" s="269" t="n">
        <v>0.1925</v>
      </c>
      <c r="I128" s="260" t="n">
        <v>4.046</v>
      </c>
      <c r="J128" s="269" t="n">
        <v>4.051</v>
      </c>
      <c r="K128" s="215" t="n">
        <v>4.056</v>
      </c>
      <c r="L128" s="269" t="n">
        <v>0.44</v>
      </c>
      <c r="M128" s="215" t="n">
        <v>0.04</v>
      </c>
      <c r="O128" s="211"/>
      <c r="P128" s="260"/>
      <c r="Q128" s="260"/>
      <c r="R128" s="261" t="e">
        <f aca="false">B128</f>
        <v>#VALUE!</v>
      </c>
      <c r="S128" s="262" t="n">
        <f aca="false">T128-$S$16</f>
        <v>0.43</v>
      </c>
      <c r="T128" s="257" t="n">
        <f aca="false">D128</f>
        <v>0.5</v>
      </c>
      <c r="U128" s="263" t="n">
        <f aca="false">$U$16+T128</f>
        <v>0.57</v>
      </c>
      <c r="BP128" s="226" t="n">
        <f aca="false">BP127+BV128</f>
        <v>127</v>
      </c>
      <c r="BQ128" s="227" t="s">
        <v>786</v>
      </c>
      <c r="BR128" s="224" t="s">
        <v>226</v>
      </c>
      <c r="BS128" s="154" t="s">
        <v>359</v>
      </c>
      <c r="BT128" s="230" t="s">
        <v>228</v>
      </c>
      <c r="BU128" s="230"/>
      <c r="BV128" s="154" t="n">
        <v>1</v>
      </c>
      <c r="BW128" s="224" t="s">
        <v>787</v>
      </c>
      <c r="BX128" s="0"/>
      <c r="BZ128" s="226" t="n">
        <f aca="false">BZ127+CF128</f>
        <v>127</v>
      </c>
      <c r="CA128" s="84" t="s">
        <v>788</v>
      </c>
      <c r="CB128" s="224" t="s">
        <v>230</v>
      </c>
      <c r="CC128" s="154" t="s">
        <v>227</v>
      </c>
      <c r="CD128" s="230" t="s">
        <v>228</v>
      </c>
      <c r="CE128" s="230"/>
      <c r="CF128" s="154" t="n">
        <v>1</v>
      </c>
      <c r="CG128" s="224" t="s">
        <v>789</v>
      </c>
      <c r="CH128" s="0"/>
    </row>
    <row r="129" customFormat="false" ht="12.75" hidden="false" customHeight="false" outlineLevel="0" collapsed="false">
      <c r="A129" s="258"/>
      <c r="B129" s="259" t="e">
        <f aca="false">NextMonth(B128)</f>
        <v>#VALUE!</v>
      </c>
      <c r="C129" s="215" t="n">
        <v>0.059961926412849</v>
      </c>
      <c r="D129" s="269" t="n">
        <v>0.5</v>
      </c>
      <c r="E129" s="269" t="n">
        <v>0.5</v>
      </c>
      <c r="F129" s="269" t="n">
        <v>0.1775</v>
      </c>
      <c r="G129" s="269" t="n">
        <v>0.185</v>
      </c>
      <c r="H129" s="269" t="n">
        <v>0.1925</v>
      </c>
      <c r="I129" s="260" t="n">
        <v>4.075</v>
      </c>
      <c r="J129" s="269" t="n">
        <v>4.08</v>
      </c>
      <c r="K129" s="215" t="n">
        <v>4.085</v>
      </c>
      <c r="L129" s="269" t="n">
        <v>0.44</v>
      </c>
      <c r="M129" s="215" t="n">
        <v>0.04</v>
      </c>
      <c r="O129" s="211"/>
      <c r="P129" s="260"/>
      <c r="Q129" s="260"/>
      <c r="R129" s="261" t="e">
        <f aca="false">B129</f>
        <v>#VALUE!</v>
      </c>
      <c r="S129" s="262" t="n">
        <f aca="false">T129-$S$16</f>
        <v>0.43</v>
      </c>
      <c r="T129" s="257" t="n">
        <f aca="false">D129</f>
        <v>0.5</v>
      </c>
      <c r="U129" s="263" t="n">
        <f aca="false">$U$16+T129</f>
        <v>0.57</v>
      </c>
      <c r="BP129" s="226" t="n">
        <f aca="false">BP128+BV129</f>
        <v>128</v>
      </c>
      <c r="BQ129" s="227" t="s">
        <v>790</v>
      </c>
      <c r="BR129" s="224" t="s">
        <v>226</v>
      </c>
      <c r="BS129" s="154" t="s">
        <v>359</v>
      </c>
      <c r="BT129" s="230" t="s">
        <v>228</v>
      </c>
      <c r="BU129" s="230"/>
      <c r="BV129" s="154" t="n">
        <v>1</v>
      </c>
      <c r="BW129" s="224" t="s">
        <v>791</v>
      </c>
      <c r="BX129" s="0"/>
      <c r="BZ129" s="226" t="n">
        <f aca="false">BZ128+CF129</f>
        <v>128</v>
      </c>
      <c r="CA129" s="84" t="s">
        <v>792</v>
      </c>
      <c r="CB129" s="224" t="s">
        <v>230</v>
      </c>
      <c r="CC129" s="154" t="s">
        <v>227</v>
      </c>
      <c r="CD129" s="230" t="s">
        <v>228</v>
      </c>
      <c r="CE129" s="230"/>
      <c r="CF129" s="154" t="n">
        <v>1</v>
      </c>
      <c r="CG129" s="224" t="s">
        <v>793</v>
      </c>
      <c r="CH129" s="0"/>
    </row>
    <row r="130" customFormat="false" ht="12.75" hidden="false" customHeight="false" outlineLevel="0" collapsed="false">
      <c r="A130" s="258"/>
      <c r="B130" s="259" t="e">
        <f aca="false">NextMonth(B129)</f>
        <v>#VALUE!</v>
      </c>
      <c r="C130" s="215" t="n">
        <v>0.060019049994547</v>
      </c>
      <c r="D130" s="269" t="n">
        <v>0.5</v>
      </c>
      <c r="E130" s="269" t="n">
        <v>0.5</v>
      </c>
      <c r="F130" s="269" t="n">
        <v>0.1775</v>
      </c>
      <c r="G130" s="269" t="n">
        <v>0.185</v>
      </c>
      <c r="H130" s="269" t="n">
        <v>0.1925</v>
      </c>
      <c r="I130" s="260" t="n">
        <v>4.105</v>
      </c>
      <c r="J130" s="269" t="n">
        <v>4.11</v>
      </c>
      <c r="K130" s="215" t="n">
        <v>4.115</v>
      </c>
      <c r="L130" s="269" t="n">
        <v>0.5</v>
      </c>
      <c r="M130" s="215" t="n">
        <v>0.04</v>
      </c>
      <c r="O130" s="211"/>
      <c r="P130" s="260"/>
      <c r="Q130" s="260"/>
      <c r="R130" s="261" t="e">
        <f aca="false">B130</f>
        <v>#VALUE!</v>
      </c>
      <c r="S130" s="262" t="n">
        <f aca="false">T130-$S$16</f>
        <v>0.43</v>
      </c>
      <c r="T130" s="257" t="n">
        <f aca="false">D130</f>
        <v>0.5</v>
      </c>
      <c r="U130" s="263" t="n">
        <f aca="false">$U$16+T130</f>
        <v>0.57</v>
      </c>
      <c r="BP130" s="226" t="n">
        <f aca="false">BP129+BV130</f>
        <v>129</v>
      </c>
      <c r="BQ130" s="227" t="s">
        <v>794</v>
      </c>
      <c r="BR130" s="224" t="s">
        <v>226</v>
      </c>
      <c r="BS130" s="154" t="s">
        <v>359</v>
      </c>
      <c r="BT130" s="230" t="s">
        <v>228</v>
      </c>
      <c r="BU130" s="230"/>
      <c r="BV130" s="154" t="n">
        <v>1</v>
      </c>
      <c r="BW130" s="224" t="s">
        <v>795</v>
      </c>
      <c r="BX130" s="0"/>
      <c r="BZ130" s="226" t="n">
        <f aca="false">BZ129+CF130</f>
        <v>129</v>
      </c>
      <c r="CA130" s="84" t="s">
        <v>796</v>
      </c>
      <c r="CB130" s="224" t="s">
        <v>230</v>
      </c>
      <c r="CC130" s="154" t="s">
        <v>227</v>
      </c>
      <c r="CD130" s="230" t="s">
        <v>228</v>
      </c>
      <c r="CE130" s="230"/>
      <c r="CF130" s="154" t="n">
        <v>1</v>
      </c>
      <c r="CG130" s="224" t="s">
        <v>797</v>
      </c>
      <c r="CH130" s="0"/>
    </row>
    <row r="131" customFormat="false" ht="12.75" hidden="false" customHeight="false" outlineLevel="0" collapsed="false">
      <c r="A131" s="258"/>
      <c r="B131" s="259" t="e">
        <f aca="false">NextMonth(B130)</f>
        <v>#VALUE!</v>
      </c>
      <c r="C131" s="215" t="n">
        <v>0.060078077696774</v>
      </c>
      <c r="D131" s="269" t="n">
        <v>0.6</v>
      </c>
      <c r="E131" s="269" t="n">
        <v>0.6</v>
      </c>
      <c r="F131" s="269" t="n">
        <v>0.1775</v>
      </c>
      <c r="G131" s="269" t="n">
        <v>0.185</v>
      </c>
      <c r="H131" s="269" t="n">
        <v>0.1925</v>
      </c>
      <c r="I131" s="260" t="n">
        <v>4.125</v>
      </c>
      <c r="J131" s="269" t="n">
        <v>4.13</v>
      </c>
      <c r="K131" s="215" t="n">
        <v>4.135</v>
      </c>
      <c r="L131" s="269" t="n">
        <v>0.5</v>
      </c>
      <c r="M131" s="215" t="n">
        <v>0.04</v>
      </c>
      <c r="O131" s="211"/>
      <c r="P131" s="260"/>
      <c r="Q131" s="260"/>
      <c r="R131" s="261" t="e">
        <f aca="false">B131</f>
        <v>#VALUE!</v>
      </c>
      <c r="S131" s="262" t="n">
        <f aca="false">T131-$S$16</f>
        <v>0.53</v>
      </c>
      <c r="T131" s="257" t="n">
        <f aca="false">D131</f>
        <v>0.6</v>
      </c>
      <c r="U131" s="263" t="n">
        <f aca="false">$U$16+T131</f>
        <v>0.67</v>
      </c>
      <c r="BP131" s="226" t="n">
        <f aca="false">BP130+BV131</f>
        <v>130</v>
      </c>
      <c r="BQ131" s="227" t="s">
        <v>798</v>
      </c>
      <c r="BR131" s="224" t="s">
        <v>226</v>
      </c>
      <c r="BS131" s="154" t="s">
        <v>359</v>
      </c>
      <c r="BT131" s="230" t="s">
        <v>228</v>
      </c>
      <c r="BU131" s="230"/>
      <c r="BV131" s="154" t="n">
        <v>1</v>
      </c>
      <c r="BW131" s="224" t="s">
        <v>799</v>
      </c>
      <c r="BX131" s="0"/>
      <c r="BZ131" s="226" t="n">
        <f aca="false">BZ130+CF131</f>
        <v>130</v>
      </c>
      <c r="CA131" s="84" t="s">
        <v>800</v>
      </c>
      <c r="CB131" s="224" t="s">
        <v>230</v>
      </c>
      <c r="CC131" s="154" t="s">
        <v>227</v>
      </c>
      <c r="CD131" s="230" t="s">
        <v>228</v>
      </c>
      <c r="CE131" s="230"/>
      <c r="CF131" s="154" t="n">
        <v>1</v>
      </c>
      <c r="CG131" s="224" t="s">
        <v>801</v>
      </c>
      <c r="CH131" s="0"/>
    </row>
    <row r="132" customFormat="false" ht="12.75" hidden="false" customHeight="false" outlineLevel="0" collapsed="false">
      <c r="A132" s="258"/>
      <c r="B132" s="259" t="e">
        <f aca="false">NextMonth(B131)</f>
        <v>#VALUE!</v>
      </c>
      <c r="C132" s="215" t="n">
        <v>0.06013710540016</v>
      </c>
      <c r="D132" s="269" t="n">
        <v>0.6</v>
      </c>
      <c r="E132" s="269" t="n">
        <v>0.6</v>
      </c>
      <c r="F132" s="269" t="n">
        <v>0.1775</v>
      </c>
      <c r="G132" s="269" t="n">
        <v>0.185</v>
      </c>
      <c r="H132" s="269" t="n">
        <v>0.1925</v>
      </c>
      <c r="I132" s="260" t="n">
        <v>4.146</v>
      </c>
      <c r="J132" s="269" t="n">
        <v>4.151</v>
      </c>
      <c r="K132" s="215" t="n">
        <v>4.156</v>
      </c>
      <c r="L132" s="269" t="n">
        <v>0.46</v>
      </c>
      <c r="M132" s="215" t="n">
        <v>0.04</v>
      </c>
      <c r="O132" s="211"/>
      <c r="P132" s="260"/>
      <c r="Q132" s="260"/>
      <c r="R132" s="261" t="e">
        <f aca="false">B132</f>
        <v>#VALUE!</v>
      </c>
      <c r="S132" s="262" t="n">
        <f aca="false">T132-$S$16</f>
        <v>0.53</v>
      </c>
      <c r="T132" s="257" t="n">
        <f aca="false">D132</f>
        <v>0.6</v>
      </c>
      <c r="U132" s="263" t="n">
        <f aca="false">$U$16+T132</f>
        <v>0.67</v>
      </c>
      <c r="BP132" s="226" t="n">
        <f aca="false">BP131+BV132</f>
        <v>131</v>
      </c>
      <c r="BQ132" s="227" t="s">
        <v>802</v>
      </c>
      <c r="BR132" s="224" t="s">
        <v>226</v>
      </c>
      <c r="BS132" s="154" t="s">
        <v>359</v>
      </c>
      <c r="BT132" s="230" t="s">
        <v>228</v>
      </c>
      <c r="BU132" s="230"/>
      <c r="BV132" s="154" t="n">
        <v>1</v>
      </c>
      <c r="BW132" s="224" t="s">
        <v>803</v>
      </c>
      <c r="BX132" s="0"/>
      <c r="BZ132" s="226" t="n">
        <f aca="false">BZ131+CF132</f>
        <v>131</v>
      </c>
      <c r="CA132" s="84" t="s">
        <v>804</v>
      </c>
      <c r="CB132" s="224" t="s">
        <v>230</v>
      </c>
      <c r="CC132" s="154" t="s">
        <v>227</v>
      </c>
      <c r="CD132" s="230" t="s">
        <v>228</v>
      </c>
      <c r="CE132" s="230"/>
      <c r="CF132" s="154" t="n">
        <v>1</v>
      </c>
      <c r="CG132" s="224" t="s">
        <v>805</v>
      </c>
      <c r="CH132" s="0"/>
    </row>
    <row r="133" customFormat="false" ht="12.75" hidden="false" customHeight="false" outlineLevel="0" collapsed="false">
      <c r="A133" s="258"/>
      <c r="B133" s="259" t="e">
        <f aca="false">NextMonth(B132)</f>
        <v>#VALUE!</v>
      </c>
      <c r="C133" s="215" t="n">
        <v>0.060194228985183</v>
      </c>
      <c r="D133" s="269" t="n">
        <v>0.65</v>
      </c>
      <c r="E133" s="269" t="n">
        <v>0.65</v>
      </c>
      <c r="F133" s="269" t="n">
        <v>0.1775</v>
      </c>
      <c r="G133" s="269" t="n">
        <v>0.185</v>
      </c>
      <c r="H133" s="269" t="n">
        <v>0.1925</v>
      </c>
      <c r="I133" s="260" t="n">
        <v>4.176</v>
      </c>
      <c r="J133" s="269" t="n">
        <v>4.181</v>
      </c>
      <c r="K133" s="215" t="n">
        <v>4.186</v>
      </c>
      <c r="L133" s="269" t="n">
        <v>0.47</v>
      </c>
      <c r="M133" s="215" t="n">
        <v>0.04</v>
      </c>
      <c r="O133" s="211"/>
      <c r="P133" s="260"/>
      <c r="Q133" s="260"/>
      <c r="R133" s="261" t="e">
        <f aca="false">B133</f>
        <v>#VALUE!</v>
      </c>
      <c r="S133" s="262" t="n">
        <f aca="false">T133-$S$16</f>
        <v>0.58</v>
      </c>
      <c r="T133" s="257" t="n">
        <f aca="false">D133</f>
        <v>0.65</v>
      </c>
      <c r="U133" s="263" t="n">
        <f aca="false">$U$16+T133</f>
        <v>0.72</v>
      </c>
      <c r="BP133" s="226" t="n">
        <f aca="false">BP132+BV133</f>
        <v>132</v>
      </c>
      <c r="BQ133" s="227" t="s">
        <v>806</v>
      </c>
      <c r="BR133" s="224" t="s">
        <v>226</v>
      </c>
      <c r="BS133" s="154" t="s">
        <v>359</v>
      </c>
      <c r="BT133" s="230" t="s">
        <v>228</v>
      </c>
      <c r="BU133" s="230"/>
      <c r="BV133" s="154" t="n">
        <v>1</v>
      </c>
      <c r="BW133" s="224" t="s">
        <v>807</v>
      </c>
      <c r="BX133" s="0"/>
      <c r="BZ133" s="226" t="n">
        <f aca="false">BZ132+CF133</f>
        <v>132</v>
      </c>
      <c r="CA133" s="84" t="s">
        <v>808</v>
      </c>
      <c r="CB133" s="224" t="s">
        <v>230</v>
      </c>
      <c r="CC133" s="154" t="s">
        <v>227</v>
      </c>
      <c r="CD133" s="230" t="s">
        <v>228</v>
      </c>
      <c r="CE133" s="230"/>
      <c r="CF133" s="154" t="n">
        <v>1</v>
      </c>
      <c r="CG133" s="224" t="s">
        <v>809</v>
      </c>
      <c r="CH133" s="0"/>
    </row>
    <row r="134" customFormat="false" ht="12.75" hidden="false" customHeight="false" outlineLevel="0" collapsed="false">
      <c r="A134" s="258"/>
      <c r="B134" s="259" t="e">
        <f aca="false">NextMonth(B133)</f>
        <v>#VALUE!</v>
      </c>
      <c r="C134" s="215" t="n">
        <v>0.060253256690845</v>
      </c>
      <c r="D134" s="269" t="n">
        <v>0.95</v>
      </c>
      <c r="E134" s="269" t="n">
        <v>0.95</v>
      </c>
      <c r="F134" s="269" t="n">
        <v>0.1775</v>
      </c>
      <c r="G134" s="269" t="n">
        <v>0.185</v>
      </c>
      <c r="H134" s="269" t="n">
        <v>0.1925</v>
      </c>
      <c r="I134" s="260" t="n">
        <v>4.316</v>
      </c>
      <c r="J134" s="269" t="n">
        <v>4.321</v>
      </c>
      <c r="K134" s="215" t="n">
        <v>4.326</v>
      </c>
      <c r="L134" s="269" t="n">
        <v>0.86</v>
      </c>
      <c r="M134" s="215" t="n">
        <v>0.04</v>
      </c>
      <c r="O134" s="211"/>
      <c r="P134" s="260"/>
      <c r="Q134" s="260"/>
      <c r="R134" s="261" t="e">
        <f aca="false">B134</f>
        <v>#VALUE!</v>
      </c>
      <c r="S134" s="262" t="n">
        <f aca="false">T134-$S$16</f>
        <v>0.88</v>
      </c>
      <c r="T134" s="257" t="n">
        <f aca="false">D134</f>
        <v>0.95</v>
      </c>
      <c r="U134" s="263" t="n">
        <f aca="false">$U$16+T134</f>
        <v>1.02</v>
      </c>
      <c r="BP134" s="226" t="n">
        <f aca="false">BP133+BV134</f>
        <v>133</v>
      </c>
      <c r="BQ134" s="227" t="s">
        <v>810</v>
      </c>
      <c r="BR134" s="224" t="s">
        <v>226</v>
      </c>
      <c r="BS134" s="154" t="s">
        <v>359</v>
      </c>
      <c r="BT134" s="230" t="s">
        <v>228</v>
      </c>
      <c r="BU134" s="230"/>
      <c r="BV134" s="154" t="n">
        <v>1</v>
      </c>
      <c r="BW134" s="224" t="s">
        <v>811</v>
      </c>
      <c r="BX134" s="0"/>
      <c r="BZ134" s="226" t="n">
        <f aca="false">BZ133+CF134</f>
        <v>133</v>
      </c>
      <c r="CA134" s="84" t="s">
        <v>812</v>
      </c>
      <c r="CB134" s="224" t="s">
        <v>230</v>
      </c>
      <c r="CC134" s="154" t="s">
        <v>227</v>
      </c>
      <c r="CD134" s="230" t="s">
        <v>228</v>
      </c>
      <c r="CE134" s="230"/>
      <c r="CF134" s="154" t="n">
        <v>1</v>
      </c>
      <c r="CG134" s="224" t="s">
        <v>813</v>
      </c>
      <c r="CH134" s="0"/>
    </row>
    <row r="135" customFormat="false" ht="12.75" hidden="false" customHeight="false" outlineLevel="0" collapsed="false">
      <c r="A135" s="258"/>
      <c r="B135" s="259" t="e">
        <f aca="false">NextMonth(B134)</f>
        <v>#VALUE!</v>
      </c>
      <c r="C135" s="215" t="n">
        <v>0.060310380278073</v>
      </c>
      <c r="D135" s="269" t="n">
        <v>1.25</v>
      </c>
      <c r="E135" s="269" t="n">
        <v>1.25</v>
      </c>
      <c r="F135" s="269" t="n">
        <v>0.1775</v>
      </c>
      <c r="G135" s="269" t="n">
        <v>0.185</v>
      </c>
      <c r="H135" s="269" t="n">
        <v>0.1925</v>
      </c>
      <c r="I135" s="260" t="n">
        <v>4.441</v>
      </c>
      <c r="J135" s="269" t="n">
        <v>4.446</v>
      </c>
      <c r="K135" s="215" t="n">
        <v>4.451</v>
      </c>
      <c r="L135" s="269" t="n">
        <v>1.28</v>
      </c>
      <c r="M135" s="215" t="n">
        <v>0.04</v>
      </c>
      <c r="O135" s="211"/>
      <c r="P135" s="260"/>
      <c r="Q135" s="260"/>
      <c r="R135" s="261" t="e">
        <f aca="false">B135</f>
        <v>#VALUE!</v>
      </c>
      <c r="S135" s="262" t="n">
        <f aca="false">T135-$S$16</f>
        <v>1.18</v>
      </c>
      <c r="T135" s="257" t="n">
        <f aca="false">D135</f>
        <v>1.25</v>
      </c>
      <c r="U135" s="263" t="n">
        <f aca="false">$U$16+T135</f>
        <v>1.32</v>
      </c>
      <c r="BP135" s="226" t="n">
        <f aca="false">BP134+BV135</f>
        <v>134</v>
      </c>
      <c r="BQ135" s="227" t="s">
        <v>814</v>
      </c>
      <c r="BR135" s="224" t="s">
        <v>226</v>
      </c>
      <c r="BS135" s="154" t="s">
        <v>359</v>
      </c>
      <c r="BT135" s="230" t="s">
        <v>228</v>
      </c>
      <c r="BU135" s="230"/>
      <c r="BV135" s="154" t="n">
        <v>1</v>
      </c>
      <c r="BW135" s="224" t="s">
        <v>815</v>
      </c>
      <c r="BX135" s="0"/>
      <c r="BZ135" s="226" t="n">
        <f aca="false">BZ134+CF135</f>
        <v>134</v>
      </c>
      <c r="CA135" s="84" t="s">
        <v>816</v>
      </c>
      <c r="CB135" s="224" t="s">
        <v>230</v>
      </c>
      <c r="CC135" s="154" t="s">
        <v>227</v>
      </c>
      <c r="CD135" s="230" t="s">
        <v>228</v>
      </c>
      <c r="CE135" s="230"/>
      <c r="CF135" s="154" t="n">
        <v>1</v>
      </c>
      <c r="CG135" s="224" t="s">
        <v>817</v>
      </c>
      <c r="CH135" s="0"/>
    </row>
    <row r="136" customFormat="false" ht="12.75" hidden="false" customHeight="false" outlineLevel="0" collapsed="false">
      <c r="A136" s="258"/>
      <c r="B136" s="259" t="e">
        <f aca="false">NextMonth(B135)</f>
        <v>#VALUE!</v>
      </c>
      <c r="C136" s="215" t="n">
        <v>0.060369407986013</v>
      </c>
      <c r="D136" s="269" t="n">
        <v>1.45</v>
      </c>
      <c r="E136" s="269" t="n">
        <v>1.45</v>
      </c>
      <c r="F136" s="269" t="n">
        <v>0.1775</v>
      </c>
      <c r="G136" s="269" t="n">
        <v>0.185</v>
      </c>
      <c r="H136" s="269" t="n">
        <v>0.1925</v>
      </c>
      <c r="I136" s="260" t="n">
        <v>4.575</v>
      </c>
      <c r="J136" s="269" t="n">
        <v>4.58</v>
      </c>
      <c r="K136" s="215" t="n">
        <v>4.585</v>
      </c>
      <c r="L136" s="269" t="n">
        <v>1.61</v>
      </c>
      <c r="M136" s="215" t="n">
        <v>0.04</v>
      </c>
      <c r="O136" s="211"/>
      <c r="P136" s="260"/>
      <c r="Q136" s="260"/>
      <c r="R136" s="261" t="e">
        <f aca="false">B136</f>
        <v>#VALUE!</v>
      </c>
      <c r="S136" s="262" t="n">
        <f aca="false">T136-$S$16</f>
        <v>1.38</v>
      </c>
      <c r="T136" s="257" t="n">
        <f aca="false">D136</f>
        <v>1.45</v>
      </c>
      <c r="U136" s="263" t="n">
        <f aca="false">$U$16+T136</f>
        <v>1.52</v>
      </c>
      <c r="BP136" s="226" t="n">
        <f aca="false">BP135+BV136</f>
        <v>135</v>
      </c>
      <c r="BQ136" s="227" t="s">
        <v>818</v>
      </c>
      <c r="BR136" s="224" t="s">
        <v>226</v>
      </c>
      <c r="BS136" s="154" t="s">
        <v>359</v>
      </c>
      <c r="BT136" s="230" t="s">
        <v>228</v>
      </c>
      <c r="BU136" s="230"/>
      <c r="BV136" s="154" t="n">
        <v>1</v>
      </c>
      <c r="BW136" s="224" t="s">
        <v>819</v>
      </c>
      <c r="BX136" s="0"/>
      <c r="BZ136" s="226" t="n">
        <f aca="false">BZ135+CF136</f>
        <v>135</v>
      </c>
      <c r="CA136" s="84" t="s">
        <v>820</v>
      </c>
      <c r="CB136" s="224" t="s">
        <v>230</v>
      </c>
      <c r="CC136" s="154" t="s">
        <v>227</v>
      </c>
      <c r="CD136" s="230" t="s">
        <v>228</v>
      </c>
      <c r="CE136" s="230"/>
      <c r="CF136" s="154" t="n">
        <v>1</v>
      </c>
      <c r="CG136" s="224" t="s">
        <v>821</v>
      </c>
      <c r="CH136" s="0"/>
    </row>
    <row r="137" customFormat="false" ht="12.75" hidden="false" customHeight="false" outlineLevel="0" collapsed="false">
      <c r="A137" s="258"/>
      <c r="B137" s="259" t="e">
        <f aca="false">NextMonth(B136)</f>
        <v>#VALUE!</v>
      </c>
      <c r="C137" s="215" t="n">
        <v>0.060406163350889</v>
      </c>
      <c r="D137" s="269" t="n">
        <v>1.45</v>
      </c>
      <c r="E137" s="269" t="n">
        <v>1.45</v>
      </c>
      <c r="F137" s="269" t="n">
        <v>0.1775</v>
      </c>
      <c r="G137" s="269" t="n">
        <v>0.185</v>
      </c>
      <c r="H137" s="269" t="n">
        <v>0.1925</v>
      </c>
      <c r="I137" s="260" t="n">
        <v>4.479</v>
      </c>
      <c r="J137" s="269" t="n">
        <v>4.484</v>
      </c>
      <c r="K137" s="215" t="n">
        <v>4.489</v>
      </c>
      <c r="L137" s="269" t="n">
        <v>1.57</v>
      </c>
      <c r="M137" s="215" t="n">
        <v>0.04</v>
      </c>
      <c r="O137" s="211"/>
      <c r="P137" s="260"/>
      <c r="Q137" s="260"/>
      <c r="R137" s="261" t="e">
        <f aca="false">B137</f>
        <v>#VALUE!</v>
      </c>
      <c r="S137" s="262" t="n">
        <f aca="false">T137-$S$16</f>
        <v>1.38</v>
      </c>
      <c r="T137" s="257" t="n">
        <f aca="false">D137</f>
        <v>1.45</v>
      </c>
      <c r="U137" s="263" t="n">
        <f aca="false">$U$16+T137</f>
        <v>1.52</v>
      </c>
      <c r="BP137" s="226" t="n">
        <f aca="false">BP136+BV137</f>
        <v>136</v>
      </c>
      <c r="BQ137" s="227" t="s">
        <v>822</v>
      </c>
      <c r="BR137" s="224" t="s">
        <v>226</v>
      </c>
      <c r="BS137" s="154" t="s">
        <v>359</v>
      </c>
      <c r="BT137" s="230" t="s">
        <v>228</v>
      </c>
      <c r="BU137" s="230"/>
      <c r="BV137" s="154" t="n">
        <v>1</v>
      </c>
      <c r="BW137" s="224" t="s">
        <v>823</v>
      </c>
      <c r="BX137" s="0"/>
      <c r="BZ137" s="226" t="n">
        <f aca="false">BZ136+CF137</f>
        <v>136</v>
      </c>
      <c r="CA137" s="84" t="s">
        <v>824</v>
      </c>
      <c r="CB137" s="224" t="s">
        <v>230</v>
      </c>
      <c r="CC137" s="154" t="s">
        <v>227</v>
      </c>
      <c r="CD137" s="230" t="s">
        <v>228</v>
      </c>
      <c r="CE137" s="230"/>
      <c r="CF137" s="154" t="n">
        <v>1</v>
      </c>
      <c r="CG137" s="224" t="s">
        <v>825</v>
      </c>
      <c r="CH137" s="0"/>
    </row>
    <row r="138" customFormat="false" ht="12.75" hidden="false" customHeight="false" outlineLevel="0" collapsed="false">
      <c r="A138" s="258"/>
      <c r="B138" s="259" t="e">
        <f aca="false">NextMonth(B137)</f>
        <v>#VALUE!</v>
      </c>
      <c r="C138" s="215" t="n">
        <v>0.060428297419457</v>
      </c>
      <c r="D138" s="215" t="n">
        <v>1</v>
      </c>
      <c r="E138" s="215" t="n">
        <v>1</v>
      </c>
      <c r="F138" s="215" t="n">
        <v>0.1725</v>
      </c>
      <c r="G138" s="215" t="n">
        <v>0.18</v>
      </c>
      <c r="H138" s="215" t="n">
        <v>0.1875</v>
      </c>
      <c r="I138" s="239" t="n">
        <v>4.329</v>
      </c>
      <c r="J138" s="215" t="n">
        <v>4.334</v>
      </c>
      <c r="K138" s="215" t="n">
        <v>4.339</v>
      </c>
      <c r="L138" s="215" t="n">
        <v>0.93</v>
      </c>
      <c r="M138" s="215" t="n">
        <v>0.04</v>
      </c>
      <c r="O138" s="211"/>
      <c r="P138" s="260"/>
      <c r="Q138" s="260"/>
      <c r="R138" s="261" t="e">
        <f aca="false">B138</f>
        <v>#VALUE!</v>
      </c>
      <c r="S138" s="262" t="n">
        <f aca="false">T138-$S$16</f>
        <v>0.93</v>
      </c>
      <c r="T138" s="257" t="n">
        <f aca="false">D138</f>
        <v>1</v>
      </c>
      <c r="U138" s="263" t="n">
        <f aca="false">$U$16+T138</f>
        <v>1.07</v>
      </c>
      <c r="BP138" s="226" t="n">
        <f aca="false">BP137+BV138</f>
        <v>137</v>
      </c>
      <c r="BQ138" s="227" t="s">
        <v>826</v>
      </c>
      <c r="BR138" s="224" t="s">
        <v>226</v>
      </c>
      <c r="BS138" s="154" t="s">
        <v>359</v>
      </c>
      <c r="BT138" s="230" t="s">
        <v>228</v>
      </c>
      <c r="BU138" s="230"/>
      <c r="BV138" s="154" t="n">
        <v>1</v>
      </c>
      <c r="BW138" s="224" t="s">
        <v>827</v>
      </c>
      <c r="BX138" s="0"/>
      <c r="BZ138" s="226" t="n">
        <f aca="false">BZ137+CF138</f>
        <v>137</v>
      </c>
      <c r="CA138" s="84" t="s">
        <v>828</v>
      </c>
      <c r="CB138" s="224" t="s">
        <v>230</v>
      </c>
      <c r="CC138" s="154" t="s">
        <v>227</v>
      </c>
      <c r="CD138" s="230" t="s">
        <v>228</v>
      </c>
      <c r="CE138" s="230"/>
      <c r="CF138" s="154" t="n">
        <v>1</v>
      </c>
      <c r="CG138" s="224" t="s">
        <v>829</v>
      </c>
      <c r="CH138" s="0"/>
    </row>
    <row r="139" customFormat="false" ht="12.75" hidden="false" customHeight="false" outlineLevel="0" collapsed="false">
      <c r="A139" s="258"/>
      <c r="B139" s="259" t="e">
        <f aca="false">NextMonth(B138)</f>
        <v>#VALUE!</v>
      </c>
      <c r="C139" s="215" t="n">
        <v>0.06045280299556</v>
      </c>
      <c r="D139" s="215" t="n">
        <v>0.45</v>
      </c>
      <c r="E139" s="215" t="n">
        <v>0.45</v>
      </c>
      <c r="F139" s="215" t="n">
        <v>0.1725</v>
      </c>
      <c r="G139" s="215" t="n">
        <v>0.18</v>
      </c>
      <c r="H139" s="215" t="n">
        <v>0.1875</v>
      </c>
      <c r="I139" s="239" t="n">
        <v>4.146</v>
      </c>
      <c r="J139" s="215" t="n">
        <v>4.151</v>
      </c>
      <c r="K139" s="215" t="n">
        <v>4.156</v>
      </c>
      <c r="L139" s="215" t="n">
        <v>0.5</v>
      </c>
      <c r="M139" s="215" t="n">
        <v>0.04</v>
      </c>
      <c r="O139" s="211"/>
      <c r="P139" s="260"/>
      <c r="Q139" s="260"/>
      <c r="R139" s="261" t="e">
        <f aca="false">B139</f>
        <v>#VALUE!</v>
      </c>
      <c r="S139" s="262" t="n">
        <f aca="false">T139-$S$16</f>
        <v>0.38</v>
      </c>
      <c r="T139" s="257" t="n">
        <f aca="false">D139</f>
        <v>0.45</v>
      </c>
      <c r="U139" s="263" t="n">
        <f aca="false">$U$16+T139</f>
        <v>0.52</v>
      </c>
      <c r="BP139" s="226" t="n">
        <f aca="false">BP138+BV139</f>
        <v>138</v>
      </c>
      <c r="BQ139" s="227" t="s">
        <v>830</v>
      </c>
      <c r="BR139" s="224" t="s">
        <v>226</v>
      </c>
      <c r="BS139" s="154" t="s">
        <v>359</v>
      </c>
      <c r="BT139" s="230" t="s">
        <v>228</v>
      </c>
      <c r="BU139" s="230"/>
      <c r="BV139" s="154" t="n">
        <v>1</v>
      </c>
      <c r="BW139" s="224" t="s">
        <v>831</v>
      </c>
      <c r="BX139" s="0"/>
      <c r="BZ139" s="226" t="n">
        <f aca="false">BZ138+CF139</f>
        <v>138</v>
      </c>
      <c r="CA139" s="84" t="s">
        <v>832</v>
      </c>
      <c r="CB139" s="224" t="s">
        <v>230</v>
      </c>
      <c r="CC139" s="154" t="s">
        <v>227</v>
      </c>
      <c r="CD139" s="230" t="s">
        <v>228</v>
      </c>
      <c r="CE139" s="230"/>
      <c r="CF139" s="154" t="n">
        <v>1</v>
      </c>
      <c r="CG139" s="224" t="s">
        <v>833</v>
      </c>
      <c r="CH139" s="0"/>
    </row>
    <row r="140" customFormat="false" ht="12.75" hidden="false" customHeight="false" outlineLevel="0" collapsed="false">
      <c r="A140" s="258"/>
      <c r="B140" s="259" t="e">
        <f aca="false">NextMonth(B139)</f>
        <v>#VALUE!</v>
      </c>
      <c r="C140" s="215" t="n">
        <v>0.060476518069398</v>
      </c>
      <c r="D140" s="215" t="n">
        <v>0.5</v>
      </c>
      <c r="E140" s="215" t="n">
        <v>0.5</v>
      </c>
      <c r="F140" s="215" t="n">
        <v>0.1725</v>
      </c>
      <c r="G140" s="215" t="n">
        <v>0.18</v>
      </c>
      <c r="H140" s="215" t="n">
        <v>0.1875</v>
      </c>
      <c r="I140" s="239" t="n">
        <v>4.121</v>
      </c>
      <c r="J140" s="215" t="n">
        <v>4.126</v>
      </c>
      <c r="K140" s="215" t="n">
        <v>4.131</v>
      </c>
      <c r="L140" s="215" t="n">
        <v>0.44</v>
      </c>
      <c r="M140" s="215" t="n">
        <v>0.04</v>
      </c>
      <c r="O140" s="211"/>
      <c r="P140" s="260"/>
      <c r="Q140" s="260"/>
      <c r="R140" s="261" t="e">
        <f aca="false">B140</f>
        <v>#VALUE!</v>
      </c>
      <c r="S140" s="262" t="n">
        <f aca="false">T140-$S$16</f>
        <v>0.43</v>
      </c>
      <c r="T140" s="257" t="n">
        <f aca="false">D140</f>
        <v>0.5</v>
      </c>
      <c r="U140" s="263" t="n">
        <f aca="false">$U$16+T140</f>
        <v>0.57</v>
      </c>
      <c r="BP140" s="226" t="n">
        <f aca="false">BP139+BV140</f>
        <v>139</v>
      </c>
      <c r="BQ140" s="227" t="s">
        <v>834</v>
      </c>
      <c r="BR140" s="224" t="s">
        <v>226</v>
      </c>
      <c r="BS140" s="154" t="s">
        <v>359</v>
      </c>
      <c r="BT140" s="230" t="s">
        <v>228</v>
      </c>
      <c r="BU140" s="230"/>
      <c r="BV140" s="154" t="n">
        <v>1</v>
      </c>
      <c r="BW140" s="224" t="s">
        <v>835</v>
      </c>
      <c r="BX140" s="0"/>
      <c r="BZ140" s="226" t="n">
        <f aca="false">BZ139+CF140</f>
        <v>139</v>
      </c>
      <c r="CA140" s="84" t="s">
        <v>836</v>
      </c>
      <c r="CB140" s="224" t="s">
        <v>230</v>
      </c>
      <c r="CC140" s="154" t="s">
        <v>227</v>
      </c>
      <c r="CD140" s="230" t="s">
        <v>228</v>
      </c>
      <c r="CE140" s="230"/>
      <c r="CF140" s="154" t="n">
        <v>1</v>
      </c>
      <c r="CG140" s="224" t="s">
        <v>837</v>
      </c>
      <c r="CH140" s="0"/>
    </row>
    <row r="141" customFormat="false" ht="12.75" hidden="false" customHeight="false" outlineLevel="0" collapsed="false">
      <c r="A141" s="258"/>
      <c r="B141" s="259" t="e">
        <f aca="false">NextMonth(B140)</f>
        <v>#VALUE!</v>
      </c>
      <c r="C141" s="215" t="n">
        <v>0.060501023645895</v>
      </c>
      <c r="D141" s="215" t="n">
        <v>0.5</v>
      </c>
      <c r="E141" s="215" t="n">
        <v>0.5</v>
      </c>
      <c r="F141" s="215" t="n">
        <v>0.1725</v>
      </c>
      <c r="G141" s="215" t="n">
        <v>0.18</v>
      </c>
      <c r="H141" s="215" t="n">
        <v>0.1875</v>
      </c>
      <c r="I141" s="239" t="n">
        <v>4.15</v>
      </c>
      <c r="J141" s="215" t="n">
        <v>4.155</v>
      </c>
      <c r="K141" s="215" t="n">
        <v>4.16</v>
      </c>
      <c r="L141" s="215" t="n">
        <v>0.44</v>
      </c>
      <c r="M141" s="215" t="n">
        <v>0.04</v>
      </c>
      <c r="O141" s="211"/>
      <c r="P141" s="260"/>
      <c r="Q141" s="260"/>
      <c r="R141" s="261" t="e">
        <f aca="false">B141</f>
        <v>#VALUE!</v>
      </c>
      <c r="S141" s="262" t="n">
        <f aca="false">T141-$S$16</f>
        <v>0.43</v>
      </c>
      <c r="T141" s="257" t="n">
        <f aca="false">D141</f>
        <v>0.5</v>
      </c>
      <c r="U141" s="263" t="n">
        <f aca="false">$U$16+T141</f>
        <v>0.57</v>
      </c>
      <c r="BP141" s="226" t="n">
        <f aca="false">BP140+BV141</f>
        <v>140</v>
      </c>
      <c r="BQ141" s="227" t="s">
        <v>838</v>
      </c>
      <c r="BR141" s="224" t="s">
        <v>226</v>
      </c>
      <c r="BS141" s="154" t="s">
        <v>359</v>
      </c>
      <c r="BT141" s="230" t="s">
        <v>228</v>
      </c>
      <c r="BU141" s="230"/>
      <c r="BV141" s="154" t="n">
        <v>1</v>
      </c>
      <c r="BW141" s="224" t="s">
        <v>839</v>
      </c>
      <c r="BX141" s="0"/>
      <c r="BZ141" s="226" t="n">
        <f aca="false">BZ140+CF141</f>
        <v>140</v>
      </c>
      <c r="CA141" s="84" t="s">
        <v>840</v>
      </c>
      <c r="CB141" s="224" t="s">
        <v>230</v>
      </c>
      <c r="CC141" s="154" t="s">
        <v>227</v>
      </c>
      <c r="CD141" s="230" t="s">
        <v>228</v>
      </c>
      <c r="CE141" s="230"/>
      <c r="CF141" s="154" t="n">
        <v>1</v>
      </c>
      <c r="CG141" s="224" t="s">
        <v>841</v>
      </c>
      <c r="CH141" s="0"/>
    </row>
    <row r="142" customFormat="false" ht="12.75" hidden="false" customHeight="false" outlineLevel="0" collapsed="false">
      <c r="A142" s="258"/>
      <c r="B142" s="259" t="e">
        <f aca="false">NextMonth(B141)</f>
        <v>#VALUE!</v>
      </c>
      <c r="C142" s="215" t="n">
        <v>0.060524738720113</v>
      </c>
      <c r="D142" s="215" t="n">
        <v>0.5</v>
      </c>
      <c r="E142" s="215" t="n">
        <v>0.5</v>
      </c>
      <c r="F142" s="215" t="n">
        <v>0.1725</v>
      </c>
      <c r="G142" s="215" t="n">
        <v>0.18</v>
      </c>
      <c r="H142" s="215" t="n">
        <v>0.1875</v>
      </c>
      <c r="I142" s="239" t="n">
        <v>4.18</v>
      </c>
      <c r="J142" s="215" t="n">
        <v>4.185</v>
      </c>
      <c r="K142" s="215" t="n">
        <v>4.19</v>
      </c>
      <c r="L142" s="215" t="n">
        <v>0.5</v>
      </c>
      <c r="M142" s="215" t="n">
        <v>0.04</v>
      </c>
      <c r="O142" s="211"/>
      <c r="P142" s="260"/>
      <c r="Q142" s="260"/>
      <c r="R142" s="261" t="e">
        <f aca="false">B142</f>
        <v>#VALUE!</v>
      </c>
      <c r="S142" s="262" t="n">
        <f aca="false">T142-$S$16</f>
        <v>0.43</v>
      </c>
      <c r="T142" s="257" t="n">
        <f aca="false">D142</f>
        <v>0.5</v>
      </c>
      <c r="U142" s="263" t="n">
        <f aca="false">$U$16+T142</f>
        <v>0.57</v>
      </c>
      <c r="BP142" s="226" t="n">
        <f aca="false">BP141+BV142</f>
        <v>141</v>
      </c>
      <c r="BQ142" s="227" t="s">
        <v>842</v>
      </c>
      <c r="BR142" s="224" t="s">
        <v>226</v>
      </c>
      <c r="BS142" s="154" t="s">
        <v>359</v>
      </c>
      <c r="BT142" s="230" t="s">
        <v>228</v>
      </c>
      <c r="BU142" s="230"/>
      <c r="BV142" s="154" t="n">
        <v>1</v>
      </c>
      <c r="BW142" s="224" t="s">
        <v>843</v>
      </c>
      <c r="BX142" s="0"/>
      <c r="BZ142" s="226" t="n">
        <f aca="false">BZ141+CF142</f>
        <v>141</v>
      </c>
      <c r="CA142" s="84" t="s">
        <v>844</v>
      </c>
      <c r="CB142" s="224" t="s">
        <v>230</v>
      </c>
      <c r="CC142" s="154" t="s">
        <v>227</v>
      </c>
      <c r="CD142" s="230" t="s">
        <v>228</v>
      </c>
      <c r="CE142" s="230"/>
      <c r="CF142" s="154" t="n">
        <v>1</v>
      </c>
      <c r="CG142" s="224" t="s">
        <v>845</v>
      </c>
      <c r="CH142" s="0"/>
    </row>
    <row r="143" customFormat="false" ht="12.75" hidden="false" customHeight="false" outlineLevel="0" collapsed="false">
      <c r="A143" s="258"/>
      <c r="B143" s="259" t="e">
        <f aca="false">NextMonth(B142)</f>
        <v>#VALUE!</v>
      </c>
      <c r="C143" s="215" t="n">
        <v>0.060549244297002</v>
      </c>
      <c r="D143" s="215" t="n">
        <v>0.6</v>
      </c>
      <c r="E143" s="215" t="n">
        <v>0.6</v>
      </c>
      <c r="F143" s="215" t="n">
        <v>0.1725</v>
      </c>
      <c r="G143" s="215" t="n">
        <v>0.18</v>
      </c>
      <c r="H143" s="215" t="n">
        <v>0.1875</v>
      </c>
      <c r="I143" s="239" t="n">
        <v>4.2</v>
      </c>
      <c r="J143" s="215" t="n">
        <v>4.205</v>
      </c>
      <c r="K143" s="215" t="n">
        <v>4.21</v>
      </c>
      <c r="L143" s="215" t="n">
        <v>0.5</v>
      </c>
      <c r="M143" s="215" t="n">
        <v>0.04</v>
      </c>
      <c r="O143" s="211"/>
      <c r="P143" s="260"/>
      <c r="Q143" s="260"/>
      <c r="R143" s="261" t="e">
        <f aca="false">B143</f>
        <v>#VALUE!</v>
      </c>
      <c r="S143" s="262" t="n">
        <f aca="false">T143-$S$16</f>
        <v>0.53</v>
      </c>
      <c r="T143" s="257" t="n">
        <f aca="false">D143</f>
        <v>0.6</v>
      </c>
      <c r="U143" s="263" t="n">
        <f aca="false">$U$16+T143</f>
        <v>0.67</v>
      </c>
      <c r="BP143" s="226" t="n">
        <f aca="false">BP142+BV143</f>
        <v>142</v>
      </c>
      <c r="BQ143" s="227" t="s">
        <v>846</v>
      </c>
      <c r="BR143" s="224" t="s">
        <v>226</v>
      </c>
      <c r="BS143" s="154" t="s">
        <v>359</v>
      </c>
      <c r="BT143" s="230" t="s">
        <v>228</v>
      </c>
      <c r="BU143" s="230"/>
      <c r="BV143" s="154" t="n">
        <v>1</v>
      </c>
      <c r="BW143" s="224" t="s">
        <v>847</v>
      </c>
      <c r="BX143" s="0"/>
      <c r="BZ143" s="226" t="n">
        <f aca="false">BZ142+CF143</f>
        <v>142</v>
      </c>
      <c r="CA143" s="84" t="s">
        <v>848</v>
      </c>
      <c r="CB143" s="224" t="s">
        <v>230</v>
      </c>
      <c r="CC143" s="154" t="s">
        <v>227</v>
      </c>
      <c r="CD143" s="230" t="s">
        <v>228</v>
      </c>
      <c r="CE143" s="230"/>
      <c r="CF143" s="154" t="n">
        <v>1</v>
      </c>
      <c r="CG143" s="224" t="s">
        <v>849</v>
      </c>
      <c r="CH143" s="0"/>
    </row>
    <row r="144" customFormat="false" ht="12.75" hidden="false" customHeight="false" outlineLevel="0" collapsed="false">
      <c r="A144" s="258"/>
      <c r="B144" s="259" t="e">
        <f aca="false">NextMonth(B143)</f>
        <v>#VALUE!</v>
      </c>
      <c r="C144" s="215" t="n">
        <v>0.06057374987409</v>
      </c>
      <c r="D144" s="215" t="n">
        <v>0.6</v>
      </c>
      <c r="E144" s="215" t="n">
        <v>0.6</v>
      </c>
      <c r="F144" s="215" t="n">
        <v>0.1725</v>
      </c>
      <c r="G144" s="215" t="n">
        <v>0.18</v>
      </c>
      <c r="H144" s="215" t="n">
        <v>0.1875</v>
      </c>
      <c r="I144" s="239" t="n">
        <v>4.221</v>
      </c>
      <c r="J144" s="215" t="n">
        <v>4.226</v>
      </c>
      <c r="K144" s="215" t="n">
        <v>4.231</v>
      </c>
      <c r="L144" s="215" t="n">
        <v>0.46</v>
      </c>
      <c r="M144" s="215" t="n">
        <v>0.04</v>
      </c>
      <c r="O144" s="211"/>
      <c r="P144" s="260"/>
      <c r="Q144" s="260"/>
      <c r="R144" s="261" t="e">
        <f aca="false">B144</f>
        <v>#VALUE!</v>
      </c>
      <c r="S144" s="262" t="n">
        <f aca="false">T144-$S$16</f>
        <v>0.53</v>
      </c>
      <c r="T144" s="257" t="n">
        <f aca="false">D144</f>
        <v>0.6</v>
      </c>
      <c r="U144" s="263" t="n">
        <f aca="false">$U$16+T144</f>
        <v>0.67</v>
      </c>
      <c r="BP144" s="226" t="n">
        <f aca="false">BP143+BV144</f>
        <v>143</v>
      </c>
      <c r="BQ144" s="227" t="s">
        <v>850</v>
      </c>
      <c r="BR144" s="224" t="s">
        <v>226</v>
      </c>
      <c r="BS144" s="154" t="s">
        <v>359</v>
      </c>
      <c r="BT144" s="230" t="s">
        <v>228</v>
      </c>
      <c r="BU144" s="230"/>
      <c r="BV144" s="154" t="n">
        <v>1</v>
      </c>
      <c r="BW144" s="224" t="s">
        <v>851</v>
      </c>
      <c r="BX144" s="0"/>
      <c r="BZ144" s="226" t="n">
        <f aca="false">BZ143+CF144</f>
        <v>143</v>
      </c>
      <c r="CA144" s="84" t="s">
        <v>852</v>
      </c>
      <c r="CB144" s="224" t="s">
        <v>230</v>
      </c>
      <c r="CC144" s="154" t="s">
        <v>227</v>
      </c>
      <c r="CD144" s="230" t="s">
        <v>228</v>
      </c>
      <c r="CE144" s="230"/>
      <c r="CF144" s="154" t="n">
        <v>1</v>
      </c>
      <c r="CG144" s="224" t="s">
        <v>853</v>
      </c>
      <c r="CH144" s="0"/>
    </row>
    <row r="145" customFormat="false" ht="12.75" hidden="false" customHeight="false" outlineLevel="0" collapsed="false">
      <c r="A145" s="258"/>
      <c r="B145" s="259" t="e">
        <f aca="false">NextMonth(B144)</f>
        <v>#VALUE!</v>
      </c>
      <c r="C145" s="215" t="n">
        <v>0.060597464948881</v>
      </c>
      <c r="D145" s="215" t="n">
        <v>0.65</v>
      </c>
      <c r="E145" s="215" t="n">
        <v>0.65</v>
      </c>
      <c r="F145" s="215" t="n">
        <v>0.1725</v>
      </c>
      <c r="G145" s="215" t="n">
        <v>0.18</v>
      </c>
      <c r="H145" s="215" t="n">
        <v>0.1875</v>
      </c>
      <c r="I145" s="239" t="n">
        <v>4.251</v>
      </c>
      <c r="J145" s="215" t="n">
        <v>4.256</v>
      </c>
      <c r="K145" s="215" t="n">
        <v>4.261</v>
      </c>
      <c r="L145" s="215" t="n">
        <v>0.47</v>
      </c>
      <c r="M145" s="215" t="n">
        <v>0.04</v>
      </c>
      <c r="O145" s="211"/>
      <c r="P145" s="260"/>
      <c r="Q145" s="260"/>
      <c r="R145" s="261" t="e">
        <f aca="false">B145</f>
        <v>#VALUE!</v>
      </c>
      <c r="S145" s="262" t="n">
        <f aca="false">T145-$S$16</f>
        <v>0.58</v>
      </c>
      <c r="T145" s="257" t="n">
        <f aca="false">D145</f>
        <v>0.65</v>
      </c>
      <c r="U145" s="263" t="n">
        <f aca="false">$U$16+T145</f>
        <v>0.72</v>
      </c>
      <c r="BP145" s="226" t="n">
        <f aca="false">BP144+BV145</f>
        <v>144</v>
      </c>
      <c r="BQ145" s="227" t="s">
        <v>854</v>
      </c>
      <c r="BR145" s="224" t="s">
        <v>226</v>
      </c>
      <c r="BS145" s="154" t="s">
        <v>359</v>
      </c>
      <c r="BT145" s="230" t="s">
        <v>228</v>
      </c>
      <c r="BU145" s="230"/>
      <c r="BV145" s="154" t="n">
        <v>1</v>
      </c>
      <c r="BW145" s="224" t="s">
        <v>855</v>
      </c>
      <c r="BX145" s="0"/>
      <c r="BZ145" s="226" t="n">
        <f aca="false">BZ144+CF145</f>
        <v>144</v>
      </c>
      <c r="CA145" s="84" t="s">
        <v>856</v>
      </c>
      <c r="CB145" s="224" t="s">
        <v>230</v>
      </c>
      <c r="CC145" s="154" t="s">
        <v>227</v>
      </c>
      <c r="CD145" s="230" t="s">
        <v>228</v>
      </c>
      <c r="CE145" s="230"/>
      <c r="CF145" s="154" t="n">
        <v>1</v>
      </c>
      <c r="CG145" s="224" t="s">
        <v>857</v>
      </c>
      <c r="CH145" s="0"/>
    </row>
    <row r="146" customFormat="false" ht="12.75" hidden="false" customHeight="false" outlineLevel="0" collapsed="false">
      <c r="A146" s="258"/>
      <c r="B146" s="259" t="e">
        <f aca="false">NextMonth(B145)</f>
        <v>#VALUE!</v>
      </c>
      <c r="C146" s="215" t="n">
        <v>0.060621970526362</v>
      </c>
      <c r="D146" s="215" t="n">
        <v>0.95</v>
      </c>
      <c r="E146" s="215" t="n">
        <v>0.95</v>
      </c>
      <c r="F146" s="215" t="n">
        <v>0.1725</v>
      </c>
      <c r="G146" s="215" t="n">
        <v>0.18</v>
      </c>
      <c r="H146" s="215" t="n">
        <v>0.1875</v>
      </c>
      <c r="I146" s="239" t="n">
        <v>4.391</v>
      </c>
      <c r="J146" s="215" t="n">
        <v>4.396</v>
      </c>
      <c r="K146" s="215" t="n">
        <v>4.401</v>
      </c>
      <c r="L146" s="215" t="n">
        <v>0.86</v>
      </c>
      <c r="M146" s="215" t="n">
        <v>0.04</v>
      </c>
      <c r="O146" s="211"/>
      <c r="P146" s="260"/>
      <c r="Q146" s="260"/>
      <c r="R146" s="261" t="e">
        <f aca="false">B146</f>
        <v>#VALUE!</v>
      </c>
      <c r="S146" s="262" t="n">
        <f aca="false">T146-$S$16</f>
        <v>0.88</v>
      </c>
      <c r="T146" s="257" t="n">
        <f aca="false">D146</f>
        <v>0.95</v>
      </c>
      <c r="U146" s="263" t="n">
        <f aca="false">$U$16+T146</f>
        <v>1.02</v>
      </c>
      <c r="BP146" s="226" t="n">
        <f aca="false">BP145+BV146</f>
        <v>145</v>
      </c>
      <c r="BQ146" s="227" t="s">
        <v>858</v>
      </c>
      <c r="BR146" s="224" t="s">
        <v>226</v>
      </c>
      <c r="BS146" s="154" t="s">
        <v>359</v>
      </c>
      <c r="BT146" s="230" t="s">
        <v>228</v>
      </c>
      <c r="BU146" s="230"/>
      <c r="BV146" s="154" t="n">
        <v>1</v>
      </c>
      <c r="BW146" s="224" t="s">
        <v>859</v>
      </c>
      <c r="BX146" s="0"/>
      <c r="BZ146" s="226" t="n">
        <f aca="false">BZ145+CF146</f>
        <v>145</v>
      </c>
      <c r="CA146" s="84" t="s">
        <v>860</v>
      </c>
      <c r="CB146" s="224" t="s">
        <v>230</v>
      </c>
      <c r="CC146" s="154" t="s">
        <v>227</v>
      </c>
      <c r="CD146" s="230" t="s">
        <v>228</v>
      </c>
      <c r="CE146" s="230"/>
      <c r="CF146" s="154" t="n">
        <v>1</v>
      </c>
      <c r="CG146" s="224" t="s">
        <v>861</v>
      </c>
      <c r="CH146" s="0"/>
    </row>
    <row r="147" customFormat="false" ht="12.75" hidden="false" customHeight="false" outlineLevel="0" collapsed="false">
      <c r="A147" s="258"/>
      <c r="B147" s="259" t="e">
        <f aca="false">NextMonth(B146)</f>
        <v>#VALUE!</v>
      </c>
      <c r="C147" s="215" t="n">
        <v>0.060645685601532</v>
      </c>
      <c r="D147" s="215" t="n">
        <v>1.25</v>
      </c>
      <c r="E147" s="215" t="n">
        <v>1.25</v>
      </c>
      <c r="F147" s="215" t="n">
        <v>0.1725</v>
      </c>
      <c r="G147" s="215" t="n">
        <v>0.18</v>
      </c>
      <c r="H147" s="215" t="n">
        <v>0.1875</v>
      </c>
      <c r="I147" s="239" t="n">
        <v>4.516</v>
      </c>
      <c r="J147" s="215" t="n">
        <v>4.521</v>
      </c>
      <c r="K147" s="215" t="n">
        <v>4.526</v>
      </c>
      <c r="L147" s="215" t="n">
        <v>1.28</v>
      </c>
      <c r="M147" s="215" t="n">
        <v>0.04</v>
      </c>
      <c r="O147" s="211"/>
      <c r="P147" s="260"/>
      <c r="Q147" s="260"/>
      <c r="R147" s="261" t="e">
        <f aca="false">B147</f>
        <v>#VALUE!</v>
      </c>
      <c r="S147" s="262" t="n">
        <f aca="false">T147-$S$16</f>
        <v>1.18</v>
      </c>
      <c r="T147" s="257" t="n">
        <f aca="false">D147</f>
        <v>1.25</v>
      </c>
      <c r="U147" s="263" t="n">
        <f aca="false">$U$16+T147</f>
        <v>1.32</v>
      </c>
      <c r="BP147" s="226" t="n">
        <f aca="false">BP146+BV147</f>
        <v>146</v>
      </c>
      <c r="BQ147" s="227" t="s">
        <v>862</v>
      </c>
      <c r="BR147" s="224" t="s">
        <v>226</v>
      </c>
      <c r="BS147" s="154" t="s">
        <v>359</v>
      </c>
      <c r="BT147" s="230" t="s">
        <v>228</v>
      </c>
      <c r="BU147" s="230"/>
      <c r="BV147" s="154" t="n">
        <v>1</v>
      </c>
      <c r="BW147" s="224" t="s">
        <v>863</v>
      </c>
      <c r="BX147" s="0"/>
      <c r="BZ147" s="226" t="n">
        <f aca="false">BZ146+CF147</f>
        <v>146</v>
      </c>
      <c r="CA147" s="84" t="s">
        <v>864</v>
      </c>
      <c r="CB147" s="224" t="s">
        <v>230</v>
      </c>
      <c r="CC147" s="154" t="s">
        <v>227</v>
      </c>
      <c r="CD147" s="230" t="s">
        <v>228</v>
      </c>
      <c r="CE147" s="230"/>
      <c r="CF147" s="154" t="n">
        <v>1</v>
      </c>
      <c r="CG147" s="224" t="s">
        <v>865</v>
      </c>
      <c r="CH147" s="0"/>
    </row>
    <row r="148" customFormat="false" ht="12.75" hidden="false" customHeight="false" outlineLevel="0" collapsed="false">
      <c r="A148" s="258"/>
      <c r="B148" s="259" t="e">
        <f aca="false">NextMonth(B147)</f>
        <v>#VALUE!</v>
      </c>
      <c r="C148" s="215" t="n">
        <v>0.060670191179406</v>
      </c>
      <c r="D148" s="215" t="n">
        <v>1.45</v>
      </c>
      <c r="E148" s="215" t="n">
        <v>1.45</v>
      </c>
      <c r="F148" s="215" t="n">
        <v>0.1725</v>
      </c>
      <c r="G148" s="215" t="n">
        <v>0.18</v>
      </c>
      <c r="H148" s="215" t="n">
        <v>0.1875</v>
      </c>
      <c r="I148" s="239" t="n">
        <v>4.655</v>
      </c>
      <c r="J148" s="215" t="n">
        <v>4.66</v>
      </c>
      <c r="K148" s="215" t="n">
        <v>4.665</v>
      </c>
      <c r="L148" s="215" t="n">
        <v>1.61</v>
      </c>
      <c r="M148" s="215" t="n">
        <v>0.04</v>
      </c>
      <c r="O148" s="211"/>
      <c r="P148" s="260"/>
      <c r="Q148" s="260"/>
      <c r="R148" s="261" t="e">
        <f aca="false">B148</f>
        <v>#VALUE!</v>
      </c>
      <c r="S148" s="262" t="n">
        <f aca="false">T148-$S$16</f>
        <v>1.38</v>
      </c>
      <c r="T148" s="257" t="n">
        <f aca="false">D148</f>
        <v>1.45</v>
      </c>
      <c r="U148" s="263" t="n">
        <f aca="false">$U$16+T148</f>
        <v>1.52</v>
      </c>
      <c r="BP148" s="226" t="n">
        <f aca="false">BP147+BV148</f>
        <v>147</v>
      </c>
      <c r="BQ148" s="227" t="s">
        <v>866</v>
      </c>
      <c r="BR148" s="224" t="s">
        <v>226</v>
      </c>
      <c r="BS148" s="154" t="s">
        <v>359</v>
      </c>
      <c r="BT148" s="230" t="s">
        <v>228</v>
      </c>
      <c r="BU148" s="230"/>
      <c r="BV148" s="154" t="n">
        <v>1</v>
      </c>
      <c r="BW148" s="224" t="s">
        <v>867</v>
      </c>
      <c r="BX148" s="0"/>
      <c r="BZ148" s="226" t="n">
        <f aca="false">BZ147+CF148</f>
        <v>147</v>
      </c>
      <c r="CA148" s="84" t="s">
        <v>868</v>
      </c>
      <c r="CB148" s="224" t="s">
        <v>230</v>
      </c>
      <c r="CC148" s="154" t="s">
        <v>227</v>
      </c>
      <c r="CD148" s="230" t="s">
        <v>228</v>
      </c>
      <c r="CE148" s="230"/>
      <c r="CF148" s="154" t="n">
        <v>1</v>
      </c>
      <c r="CG148" s="224" t="s">
        <v>869</v>
      </c>
      <c r="CH148" s="0"/>
    </row>
    <row r="149" customFormat="false" ht="12.75" hidden="false" customHeight="false" outlineLevel="0" collapsed="false">
      <c r="A149" s="258"/>
      <c r="B149" s="259" t="e">
        <f aca="false">NextMonth(B148)</f>
        <v>#VALUE!</v>
      </c>
      <c r="C149" s="215" t="n">
        <v>0.060694696757479</v>
      </c>
      <c r="D149" s="215" t="n">
        <v>1.45</v>
      </c>
      <c r="E149" s="215" t="n">
        <v>1.45</v>
      </c>
      <c r="F149" s="215" t="n">
        <v>0.1675</v>
      </c>
      <c r="G149" s="215" t="n">
        <v>0.175</v>
      </c>
      <c r="H149" s="215" t="n">
        <v>0.1825</v>
      </c>
      <c r="I149" s="239" t="n">
        <v>4.559</v>
      </c>
      <c r="J149" s="215" t="n">
        <v>4.564</v>
      </c>
      <c r="K149" s="215" t="n">
        <v>4.569</v>
      </c>
      <c r="L149" s="215" t="n">
        <v>1.57</v>
      </c>
      <c r="M149" s="215" t="n">
        <v>0.04</v>
      </c>
      <c r="O149" s="211"/>
      <c r="P149" s="260"/>
      <c r="Q149" s="260"/>
      <c r="R149" s="261" t="e">
        <f aca="false">B149</f>
        <v>#VALUE!</v>
      </c>
      <c r="S149" s="262" t="n">
        <f aca="false">T149-$S$16</f>
        <v>1.38</v>
      </c>
      <c r="T149" s="257" t="n">
        <f aca="false">D149</f>
        <v>1.45</v>
      </c>
      <c r="U149" s="263" t="n">
        <f aca="false">$U$16+T149</f>
        <v>1.52</v>
      </c>
      <c r="BP149" s="226" t="n">
        <f aca="false">BP148+BV149</f>
        <v>148</v>
      </c>
      <c r="BQ149" s="227" t="s">
        <v>870</v>
      </c>
      <c r="BR149" s="224" t="s">
        <v>226</v>
      </c>
      <c r="BS149" s="154" t="s">
        <v>359</v>
      </c>
      <c r="BT149" s="230" t="s">
        <v>228</v>
      </c>
      <c r="BU149" s="230"/>
      <c r="BV149" s="154" t="n">
        <v>1</v>
      </c>
      <c r="BW149" s="224" t="s">
        <v>871</v>
      </c>
      <c r="BX149" s="0"/>
      <c r="BZ149" s="226" t="n">
        <f aca="false">BZ148+CF149</f>
        <v>148</v>
      </c>
      <c r="CA149" s="84" t="s">
        <v>872</v>
      </c>
      <c r="CB149" s="224" t="s">
        <v>230</v>
      </c>
      <c r="CC149" s="154" t="s">
        <v>227</v>
      </c>
      <c r="CD149" s="230" t="s">
        <v>228</v>
      </c>
      <c r="CE149" s="230"/>
      <c r="CF149" s="154" t="n">
        <v>1</v>
      </c>
      <c r="CG149" s="224" t="s">
        <v>873</v>
      </c>
      <c r="CH149" s="0"/>
    </row>
    <row r="150" customFormat="false" ht="12.75" hidden="false" customHeight="false" outlineLevel="0" collapsed="false">
      <c r="A150" s="258"/>
      <c r="B150" s="259" t="e">
        <f aca="false">NextMonth(B149)</f>
        <v>#VALUE!</v>
      </c>
      <c r="C150" s="215" t="n">
        <v>0.060717621330695</v>
      </c>
      <c r="D150" s="215" t="n">
        <v>1</v>
      </c>
      <c r="E150" s="215" t="n">
        <v>1</v>
      </c>
      <c r="F150" s="215" t="n">
        <v>0.1625</v>
      </c>
      <c r="G150" s="215" t="n">
        <v>0.17</v>
      </c>
      <c r="H150" s="215" t="n">
        <v>0.1775</v>
      </c>
      <c r="I150" s="239" t="n">
        <v>4.409</v>
      </c>
      <c r="J150" s="215" t="n">
        <v>4.414</v>
      </c>
      <c r="K150" s="215" t="n">
        <v>4.419</v>
      </c>
      <c r="L150" s="215" t="n">
        <v>0.93</v>
      </c>
      <c r="M150" s="215" t="n">
        <v>0.04</v>
      </c>
      <c r="O150" s="211"/>
      <c r="P150" s="260"/>
      <c r="Q150" s="260"/>
      <c r="R150" s="261" t="e">
        <f aca="false">B150</f>
        <v>#VALUE!</v>
      </c>
      <c r="S150" s="262" t="n">
        <f aca="false">T150-$S$16</f>
        <v>0.93</v>
      </c>
      <c r="T150" s="257" t="n">
        <f aca="false">D150</f>
        <v>1</v>
      </c>
      <c r="U150" s="263" t="n">
        <f aca="false">$U$16+T150</f>
        <v>1.07</v>
      </c>
      <c r="BP150" s="226" t="n">
        <f aca="false">BP149+BV150</f>
        <v>149</v>
      </c>
      <c r="BQ150" s="227" t="s">
        <v>874</v>
      </c>
      <c r="BR150" s="224" t="s">
        <v>226</v>
      </c>
      <c r="BS150" s="154" t="s">
        <v>359</v>
      </c>
      <c r="BT150" s="230" t="s">
        <v>228</v>
      </c>
      <c r="BU150" s="230"/>
      <c r="BV150" s="154" t="n">
        <v>1</v>
      </c>
      <c r="BW150" s="224" t="s">
        <v>875</v>
      </c>
      <c r="BX150" s="0"/>
      <c r="BZ150" s="226" t="n">
        <f aca="false">BZ149+CF150</f>
        <v>149</v>
      </c>
      <c r="CA150" s="84" t="s">
        <v>876</v>
      </c>
      <c r="CB150" s="224" t="s">
        <v>230</v>
      </c>
      <c r="CC150" s="154" t="s">
        <v>227</v>
      </c>
      <c r="CD150" s="230" t="s">
        <v>228</v>
      </c>
      <c r="CE150" s="230"/>
      <c r="CF150" s="154" t="n">
        <v>1</v>
      </c>
      <c r="CG150" s="224" t="s">
        <v>877</v>
      </c>
      <c r="CH150" s="0"/>
    </row>
    <row r="151" customFormat="false" ht="12.75" hidden="false" customHeight="false" outlineLevel="0" collapsed="false">
      <c r="A151" s="258"/>
      <c r="B151" s="259" t="e">
        <f aca="false">NextMonth(B150)</f>
        <v>#VALUE!</v>
      </c>
      <c r="C151" s="215" t="n">
        <v>0.060742126909153</v>
      </c>
      <c r="D151" s="215" t="n">
        <v>0.45</v>
      </c>
      <c r="E151" s="215" t="n">
        <v>0.45</v>
      </c>
      <c r="F151" s="215" t="n">
        <v>0.1625</v>
      </c>
      <c r="G151" s="215" t="n">
        <v>0.17</v>
      </c>
      <c r="H151" s="215" t="n">
        <v>0.1775</v>
      </c>
      <c r="I151" s="239" t="n">
        <v>4.226</v>
      </c>
      <c r="J151" s="215" t="n">
        <v>4.231</v>
      </c>
      <c r="K151" s="215" t="n">
        <v>4.236</v>
      </c>
      <c r="L151" s="215" t="n">
        <v>0.5</v>
      </c>
      <c r="M151" s="215" t="n">
        <v>0.04</v>
      </c>
      <c r="O151" s="211"/>
      <c r="P151" s="260"/>
      <c r="Q151" s="260"/>
      <c r="R151" s="261" t="e">
        <f aca="false">B151</f>
        <v>#VALUE!</v>
      </c>
      <c r="S151" s="262" t="n">
        <f aca="false">T151-$S$16</f>
        <v>0.38</v>
      </c>
      <c r="T151" s="257" t="n">
        <f aca="false">D151</f>
        <v>0.45</v>
      </c>
      <c r="U151" s="263" t="n">
        <f aca="false">$U$16+T151</f>
        <v>0.52</v>
      </c>
      <c r="BP151" s="226" t="n">
        <f aca="false">BP150+BV151</f>
        <v>150</v>
      </c>
      <c r="BQ151" s="227" t="s">
        <v>878</v>
      </c>
      <c r="BR151" s="224" t="s">
        <v>226</v>
      </c>
      <c r="BS151" s="154" t="s">
        <v>359</v>
      </c>
      <c r="BT151" s="230" t="s">
        <v>228</v>
      </c>
      <c r="BU151" s="230"/>
      <c r="BV151" s="154" t="n">
        <v>1</v>
      </c>
      <c r="BW151" s="224" t="s">
        <v>879</v>
      </c>
      <c r="BX151" s="0"/>
      <c r="BZ151" s="226" t="n">
        <f aca="false">BZ150+CF151</f>
        <v>150</v>
      </c>
      <c r="CA151" s="84" t="s">
        <v>880</v>
      </c>
      <c r="CB151" s="224" t="s">
        <v>230</v>
      </c>
      <c r="CC151" s="154" t="s">
        <v>227</v>
      </c>
      <c r="CD151" s="230" t="s">
        <v>228</v>
      </c>
      <c r="CE151" s="230"/>
      <c r="CF151" s="154" t="n">
        <v>1</v>
      </c>
      <c r="CG151" s="224" t="s">
        <v>881</v>
      </c>
      <c r="CH151" s="0"/>
    </row>
    <row r="152" customFormat="false" ht="12.75" hidden="false" customHeight="false" outlineLevel="0" collapsed="false">
      <c r="A152" s="258"/>
      <c r="B152" s="259" t="e">
        <f aca="false">NextMonth(B151)</f>
        <v>#VALUE!</v>
      </c>
      <c r="C152" s="215" t="n">
        <v>0.060765841985271</v>
      </c>
      <c r="D152" s="215" t="n">
        <v>0.5</v>
      </c>
      <c r="E152" s="215" t="n">
        <v>0.5</v>
      </c>
      <c r="F152" s="215" t="n">
        <v>0.1625</v>
      </c>
      <c r="G152" s="215" t="n">
        <v>0.17</v>
      </c>
      <c r="H152" s="215" t="n">
        <v>0.1775</v>
      </c>
      <c r="I152" s="239" t="n">
        <v>4.201</v>
      </c>
      <c r="J152" s="215" t="n">
        <v>4.206</v>
      </c>
      <c r="K152" s="215" t="n">
        <v>4.211</v>
      </c>
      <c r="L152" s="215" t="n">
        <v>0.44</v>
      </c>
      <c r="M152" s="215" t="n">
        <v>0.04</v>
      </c>
      <c r="O152" s="211"/>
      <c r="P152" s="260"/>
      <c r="Q152" s="260"/>
      <c r="R152" s="261" t="e">
        <f aca="false">B152</f>
        <v>#VALUE!</v>
      </c>
      <c r="S152" s="262" t="n">
        <f aca="false">T152-$S$16</f>
        <v>0.43</v>
      </c>
      <c r="T152" s="257" t="n">
        <f aca="false">D152</f>
        <v>0.5</v>
      </c>
      <c r="U152" s="263" t="n">
        <f aca="false">$U$16+T152</f>
        <v>0.57</v>
      </c>
      <c r="BP152" s="226" t="n">
        <f aca="false">BP151+BV152</f>
        <v>151</v>
      </c>
      <c r="BQ152" s="227" t="s">
        <v>882</v>
      </c>
      <c r="BR152" s="224" t="s">
        <v>226</v>
      </c>
      <c r="BS152" s="154" t="s">
        <v>359</v>
      </c>
      <c r="BT152" s="230" t="s">
        <v>228</v>
      </c>
      <c r="BU152" s="230"/>
      <c r="BV152" s="154" t="n">
        <v>1</v>
      </c>
      <c r="BW152" s="224" t="s">
        <v>883</v>
      </c>
      <c r="BX152" s="0"/>
      <c r="BZ152" s="226" t="n">
        <f aca="false">BZ151+CF152</f>
        <v>151</v>
      </c>
      <c r="CA152" s="84" t="s">
        <v>884</v>
      </c>
      <c r="CB152" s="224" t="s">
        <v>230</v>
      </c>
      <c r="CC152" s="154" t="s">
        <v>227</v>
      </c>
      <c r="CD152" s="230" t="s">
        <v>228</v>
      </c>
      <c r="CE152" s="230"/>
      <c r="CF152" s="154" t="n">
        <v>1</v>
      </c>
      <c r="CG152" s="224" t="s">
        <v>885</v>
      </c>
      <c r="CH152" s="0"/>
    </row>
    <row r="153" customFormat="false" ht="12.75" hidden="false" customHeight="false" outlineLevel="0" collapsed="false">
      <c r="A153" s="258"/>
      <c r="B153" s="259" t="e">
        <f aca="false">NextMonth(B152)</f>
        <v>#VALUE!</v>
      </c>
      <c r="C153" s="215" t="n">
        <v>0.060790347564122</v>
      </c>
      <c r="D153" s="215" t="n">
        <v>0.5</v>
      </c>
      <c r="E153" s="215" t="n">
        <v>0.5</v>
      </c>
      <c r="F153" s="215" t="n">
        <v>0.1625</v>
      </c>
      <c r="G153" s="215" t="n">
        <v>0.17</v>
      </c>
      <c r="H153" s="215" t="n">
        <v>0.1775</v>
      </c>
      <c r="I153" s="239" t="n">
        <v>4.23</v>
      </c>
      <c r="J153" s="215" t="n">
        <v>4.235</v>
      </c>
      <c r="K153" s="215" t="n">
        <v>4.24</v>
      </c>
      <c r="L153" s="215" t="n">
        <v>0.44</v>
      </c>
      <c r="M153" s="215" t="n">
        <v>0.04</v>
      </c>
      <c r="O153" s="211"/>
      <c r="P153" s="260"/>
      <c r="Q153" s="260"/>
      <c r="R153" s="261" t="e">
        <f aca="false">B153</f>
        <v>#VALUE!</v>
      </c>
      <c r="S153" s="262" t="n">
        <f aca="false">T153-$S$16</f>
        <v>0.43</v>
      </c>
      <c r="T153" s="257" t="n">
        <f aca="false">D153</f>
        <v>0.5</v>
      </c>
      <c r="U153" s="263" t="n">
        <f aca="false">$U$16+T153</f>
        <v>0.57</v>
      </c>
      <c r="BP153" s="226" t="n">
        <f aca="false">BP152+BV153</f>
        <v>152</v>
      </c>
      <c r="BQ153" s="227" t="s">
        <v>886</v>
      </c>
      <c r="BR153" s="224" t="s">
        <v>226</v>
      </c>
      <c r="BS153" s="154" t="s">
        <v>359</v>
      </c>
      <c r="BT153" s="230" t="s">
        <v>228</v>
      </c>
      <c r="BU153" s="230"/>
      <c r="BV153" s="154" t="n">
        <v>1</v>
      </c>
      <c r="BW153" s="224" t="s">
        <v>887</v>
      </c>
      <c r="BX153" s="0"/>
      <c r="BZ153" s="226" t="n">
        <f aca="false">BZ152+CF153</f>
        <v>152</v>
      </c>
      <c r="CA153" s="84" t="s">
        <v>888</v>
      </c>
      <c r="CB153" s="224" t="s">
        <v>230</v>
      </c>
      <c r="CC153" s="154" t="s">
        <v>227</v>
      </c>
      <c r="CD153" s="230" t="s">
        <v>228</v>
      </c>
      <c r="CE153" s="230"/>
      <c r="CF153" s="154" t="n">
        <v>1</v>
      </c>
      <c r="CG153" s="224" t="s">
        <v>889</v>
      </c>
      <c r="CH153" s="0"/>
    </row>
    <row r="154" customFormat="false" ht="12.75" hidden="false" customHeight="false" outlineLevel="0" collapsed="false">
      <c r="A154" s="258"/>
      <c r="B154" s="259" t="e">
        <f aca="false">NextMonth(B153)</f>
        <v>#VALUE!</v>
      </c>
      <c r="C154" s="215" t="n">
        <v>0.060814062640619</v>
      </c>
      <c r="D154" s="215" t="n">
        <v>0.5</v>
      </c>
      <c r="E154" s="215" t="n">
        <v>0.5</v>
      </c>
      <c r="F154" s="215" t="n">
        <v>0.1625</v>
      </c>
      <c r="G154" s="215" t="n">
        <v>0.17</v>
      </c>
      <c r="H154" s="215" t="n">
        <v>0.1775</v>
      </c>
      <c r="I154" s="239" t="n">
        <v>4.26</v>
      </c>
      <c r="J154" s="215" t="n">
        <v>4.265</v>
      </c>
      <c r="K154" s="215" t="n">
        <v>4.27</v>
      </c>
      <c r="L154" s="215" t="n">
        <v>0.5</v>
      </c>
      <c r="M154" s="215" t="n">
        <v>0.04</v>
      </c>
      <c r="O154" s="211"/>
      <c r="P154" s="260"/>
      <c r="Q154" s="260"/>
      <c r="R154" s="261" t="e">
        <f aca="false">B154</f>
        <v>#VALUE!</v>
      </c>
      <c r="S154" s="262" t="n">
        <f aca="false">T154-$S$16</f>
        <v>0.43</v>
      </c>
      <c r="T154" s="257" t="n">
        <f aca="false">D154</f>
        <v>0.5</v>
      </c>
      <c r="U154" s="263" t="n">
        <f aca="false">$U$16+T154</f>
        <v>0.57</v>
      </c>
      <c r="BP154" s="226" t="n">
        <f aca="false">BP153+BV154</f>
        <v>153</v>
      </c>
      <c r="BQ154" s="227" t="s">
        <v>890</v>
      </c>
      <c r="BR154" s="224" t="s">
        <v>226</v>
      </c>
      <c r="BS154" s="154" t="s">
        <v>359</v>
      </c>
      <c r="BT154" s="230" t="s">
        <v>228</v>
      </c>
      <c r="BU154" s="230"/>
      <c r="BV154" s="154" t="n">
        <v>1</v>
      </c>
      <c r="BW154" s="224" t="s">
        <v>891</v>
      </c>
      <c r="BX154" s="0"/>
      <c r="BZ154" s="226" t="n">
        <f aca="false">BZ153+CF154</f>
        <v>153</v>
      </c>
      <c r="CA154" s="84" t="s">
        <v>892</v>
      </c>
      <c r="CB154" s="224" t="s">
        <v>230</v>
      </c>
      <c r="CC154" s="154" t="s">
        <v>227</v>
      </c>
      <c r="CD154" s="230" t="s">
        <v>228</v>
      </c>
      <c r="CE154" s="230"/>
      <c r="CF154" s="154" t="n">
        <v>1</v>
      </c>
      <c r="CG154" s="224" t="s">
        <v>893</v>
      </c>
      <c r="CH154" s="0"/>
    </row>
    <row r="155" customFormat="false" ht="12.75" hidden="false" customHeight="false" outlineLevel="0" collapsed="false">
      <c r="A155" s="258"/>
      <c r="B155" s="259" t="e">
        <f aca="false">NextMonth(B154)</f>
        <v>#VALUE!</v>
      </c>
      <c r="C155" s="215" t="n">
        <v>0.060838568219863</v>
      </c>
      <c r="D155" s="215" t="n">
        <v>0.6</v>
      </c>
      <c r="E155" s="215" t="n">
        <v>0.6</v>
      </c>
      <c r="F155" s="215" t="n">
        <v>0.1625</v>
      </c>
      <c r="G155" s="215" t="n">
        <v>0.17</v>
      </c>
      <c r="H155" s="215" t="n">
        <v>0.1775</v>
      </c>
      <c r="I155" s="239" t="n">
        <v>4.28</v>
      </c>
      <c r="J155" s="215" t="n">
        <v>4.285</v>
      </c>
      <c r="K155" s="215" t="n">
        <v>4.29</v>
      </c>
      <c r="L155" s="215" t="n">
        <v>0.5</v>
      </c>
      <c r="M155" s="215" t="n">
        <v>0.04</v>
      </c>
      <c r="O155" s="211"/>
      <c r="P155" s="260"/>
      <c r="Q155" s="260"/>
      <c r="R155" s="261" t="e">
        <f aca="false">B155</f>
        <v>#VALUE!</v>
      </c>
      <c r="S155" s="262" t="n">
        <f aca="false">T155-$S$16</f>
        <v>0.53</v>
      </c>
      <c r="T155" s="257" t="n">
        <f aca="false">D155</f>
        <v>0.6</v>
      </c>
      <c r="U155" s="263" t="n">
        <f aca="false">$U$16+T155</f>
        <v>0.67</v>
      </c>
      <c r="BP155" s="226" t="n">
        <f aca="false">BP154+BV155</f>
        <v>154</v>
      </c>
      <c r="BQ155" s="227" t="s">
        <v>894</v>
      </c>
      <c r="BR155" s="224" t="s">
        <v>226</v>
      </c>
      <c r="BS155" s="154" t="s">
        <v>359</v>
      </c>
      <c r="BT155" s="230" t="s">
        <v>228</v>
      </c>
      <c r="BU155" s="230"/>
      <c r="BV155" s="154" t="n">
        <v>1</v>
      </c>
      <c r="BW155" s="224" t="s">
        <v>895</v>
      </c>
      <c r="BX155" s="0"/>
      <c r="BZ155" s="226" t="n">
        <f aca="false">BZ154+CF155</f>
        <v>154</v>
      </c>
      <c r="CA155" s="84" t="s">
        <v>896</v>
      </c>
      <c r="CB155" s="224" t="s">
        <v>230</v>
      </c>
      <c r="CC155" s="154" t="s">
        <v>227</v>
      </c>
      <c r="CD155" s="230" t="s">
        <v>228</v>
      </c>
      <c r="CE155" s="230"/>
      <c r="CF155" s="154" t="n">
        <v>1</v>
      </c>
      <c r="CG155" s="224" t="s">
        <v>897</v>
      </c>
      <c r="CH155" s="0"/>
    </row>
    <row r="156" customFormat="false" ht="12.75" hidden="false" customHeight="false" outlineLevel="0" collapsed="false">
      <c r="A156" s="258"/>
      <c r="B156" s="259" t="e">
        <f aca="false">NextMonth(B155)</f>
        <v>#VALUE!</v>
      </c>
      <c r="C156" s="215" t="n">
        <v>0.060863073799306</v>
      </c>
      <c r="D156" s="215" t="n">
        <v>0.6</v>
      </c>
      <c r="E156" s="215" t="n">
        <v>0.6</v>
      </c>
      <c r="F156" s="215" t="n">
        <v>0.1625</v>
      </c>
      <c r="G156" s="215" t="n">
        <v>0.17</v>
      </c>
      <c r="H156" s="215" t="n">
        <v>0.1775</v>
      </c>
      <c r="I156" s="239" t="n">
        <v>4.301</v>
      </c>
      <c r="J156" s="215" t="n">
        <v>4.306</v>
      </c>
      <c r="K156" s="215" t="n">
        <v>4.311</v>
      </c>
      <c r="L156" s="215" t="n">
        <v>0.46</v>
      </c>
      <c r="M156" s="215" t="n">
        <v>0.04</v>
      </c>
      <c r="O156" s="211"/>
      <c r="P156" s="260"/>
      <c r="Q156" s="260"/>
      <c r="R156" s="261" t="e">
        <f aca="false">B156</f>
        <v>#VALUE!</v>
      </c>
      <c r="S156" s="262" t="n">
        <f aca="false">T156-$S$16</f>
        <v>0.53</v>
      </c>
      <c r="T156" s="257" t="n">
        <f aca="false">D156</f>
        <v>0.6</v>
      </c>
      <c r="U156" s="263" t="n">
        <f aca="false">$U$16+T156</f>
        <v>0.67</v>
      </c>
      <c r="BP156" s="226" t="n">
        <f aca="false">BP155+BV156</f>
        <v>155</v>
      </c>
      <c r="BQ156" s="227" t="s">
        <v>898</v>
      </c>
      <c r="BR156" s="224" t="s">
        <v>226</v>
      </c>
      <c r="BS156" s="154" t="s">
        <v>359</v>
      </c>
      <c r="BT156" s="230" t="s">
        <v>228</v>
      </c>
      <c r="BU156" s="230"/>
      <c r="BV156" s="154" t="n">
        <v>1</v>
      </c>
      <c r="BW156" s="224" t="s">
        <v>899</v>
      </c>
      <c r="BX156" s="0"/>
      <c r="BZ156" s="226" t="n">
        <f aca="false">BZ155+CF156</f>
        <v>155</v>
      </c>
      <c r="CA156" s="84" t="s">
        <v>900</v>
      </c>
      <c r="CB156" s="224" t="s">
        <v>230</v>
      </c>
      <c r="CC156" s="154" t="s">
        <v>227</v>
      </c>
      <c r="CD156" s="230" t="s">
        <v>228</v>
      </c>
      <c r="CE156" s="230"/>
      <c r="CF156" s="154" t="n">
        <v>1</v>
      </c>
      <c r="CG156" s="224" t="s">
        <v>901</v>
      </c>
      <c r="CH156" s="0"/>
    </row>
    <row r="157" customFormat="false" ht="12.75" hidden="false" customHeight="false" outlineLevel="0" collapsed="false">
      <c r="A157" s="258"/>
      <c r="B157" s="259" t="e">
        <f aca="false">NextMonth(B156)</f>
        <v>#VALUE!</v>
      </c>
      <c r="C157" s="215" t="n">
        <v>0.060886788876376</v>
      </c>
      <c r="D157" s="215" t="n">
        <v>0.65</v>
      </c>
      <c r="E157" s="215" t="n">
        <v>0.65</v>
      </c>
      <c r="F157" s="215" t="n">
        <v>0.1625</v>
      </c>
      <c r="G157" s="215" t="n">
        <v>0.17</v>
      </c>
      <c r="H157" s="215" t="n">
        <v>0.1775</v>
      </c>
      <c r="I157" s="239" t="n">
        <v>4.331</v>
      </c>
      <c r="J157" s="215" t="n">
        <v>4.336</v>
      </c>
      <c r="K157" s="215" t="n">
        <v>4.341</v>
      </c>
      <c r="L157" s="215" t="n">
        <v>0.47</v>
      </c>
      <c r="M157" s="215" t="n">
        <v>0.04</v>
      </c>
      <c r="O157" s="211"/>
      <c r="P157" s="260"/>
      <c r="Q157" s="260"/>
      <c r="R157" s="261" t="e">
        <f aca="false">B157</f>
        <v>#VALUE!</v>
      </c>
      <c r="S157" s="262" t="n">
        <f aca="false">T157-$S$16</f>
        <v>0.58</v>
      </c>
      <c r="T157" s="257" t="n">
        <f aca="false">D157</f>
        <v>0.65</v>
      </c>
      <c r="U157" s="263" t="n">
        <f aca="false">$U$16+T157</f>
        <v>0.72</v>
      </c>
      <c r="BP157" s="226" t="n">
        <f aca="false">BP156+BV157</f>
        <v>156</v>
      </c>
      <c r="BQ157" s="227" t="s">
        <v>902</v>
      </c>
      <c r="BR157" s="224" t="s">
        <v>226</v>
      </c>
      <c r="BS157" s="154" t="s">
        <v>359</v>
      </c>
      <c r="BT157" s="230" t="s">
        <v>228</v>
      </c>
      <c r="BU157" s="230"/>
      <c r="BV157" s="154" t="n">
        <v>1</v>
      </c>
      <c r="BW157" s="224" t="s">
        <v>903</v>
      </c>
      <c r="BX157" s="0"/>
      <c r="BZ157" s="226" t="n">
        <f aca="false">BZ156+CF157</f>
        <v>156</v>
      </c>
      <c r="CA157" s="84" t="s">
        <v>904</v>
      </c>
      <c r="CB157" s="224" t="s">
        <v>230</v>
      </c>
      <c r="CC157" s="154" t="s">
        <v>227</v>
      </c>
      <c r="CD157" s="230" t="s">
        <v>228</v>
      </c>
      <c r="CE157" s="230"/>
      <c r="CF157" s="154" t="n">
        <v>1</v>
      </c>
      <c r="CG157" s="224" t="s">
        <v>905</v>
      </c>
      <c r="CH157" s="0"/>
    </row>
    <row r="158" customFormat="false" ht="12.75" hidden="false" customHeight="false" outlineLevel="0" collapsed="false">
      <c r="A158" s="258"/>
      <c r="B158" s="259" t="e">
        <f aca="false">NextMonth(B157)</f>
        <v>#VALUE!</v>
      </c>
      <c r="C158" s="215" t="n">
        <v>0.060911294456211</v>
      </c>
      <c r="D158" s="215" t="n">
        <v>0.95</v>
      </c>
      <c r="E158" s="215" t="n">
        <v>0.95</v>
      </c>
      <c r="F158" s="215" t="n">
        <v>0.1625</v>
      </c>
      <c r="G158" s="215" t="n">
        <v>0.17</v>
      </c>
      <c r="H158" s="215" t="n">
        <v>0.1775</v>
      </c>
      <c r="I158" s="239" t="n">
        <v>4.471</v>
      </c>
      <c r="J158" s="215" t="n">
        <v>4.476</v>
      </c>
      <c r="K158" s="215" t="n">
        <v>4.481</v>
      </c>
      <c r="L158" s="215" t="n">
        <v>0.86</v>
      </c>
      <c r="M158" s="215" t="n">
        <v>0.04</v>
      </c>
      <c r="O158" s="211"/>
      <c r="P158" s="260"/>
      <c r="Q158" s="260"/>
      <c r="R158" s="261" t="e">
        <f aca="false">B158</f>
        <v>#VALUE!</v>
      </c>
      <c r="S158" s="262" t="n">
        <f aca="false">T158-$S$16</f>
        <v>0.88</v>
      </c>
      <c r="T158" s="257" t="n">
        <f aca="false">D158</f>
        <v>0.95</v>
      </c>
      <c r="U158" s="263" t="n">
        <f aca="false">$U$16+T158</f>
        <v>1.02</v>
      </c>
      <c r="BP158" s="226" t="n">
        <f aca="false">BP157+BV158</f>
        <v>157</v>
      </c>
      <c r="BQ158" s="227" t="s">
        <v>906</v>
      </c>
      <c r="BR158" s="224" t="s">
        <v>226</v>
      </c>
      <c r="BS158" s="154" t="s">
        <v>359</v>
      </c>
      <c r="BT158" s="230" t="s">
        <v>228</v>
      </c>
      <c r="BU158" s="230"/>
      <c r="BV158" s="154" t="n">
        <v>1</v>
      </c>
      <c r="BW158" s="224" t="s">
        <v>907</v>
      </c>
      <c r="BX158" s="0"/>
      <c r="BZ158" s="226" t="n">
        <f aca="false">BZ157+CF158</f>
        <v>157</v>
      </c>
      <c r="CA158" s="84" t="s">
        <v>908</v>
      </c>
      <c r="CB158" s="224" t="s">
        <v>230</v>
      </c>
      <c r="CC158" s="154" t="s">
        <v>227</v>
      </c>
      <c r="CD158" s="230" t="s">
        <v>228</v>
      </c>
      <c r="CE158" s="230"/>
      <c r="CF158" s="154" t="n">
        <v>1</v>
      </c>
      <c r="CG158" s="224" t="s">
        <v>909</v>
      </c>
      <c r="CH158" s="0"/>
    </row>
    <row r="159" customFormat="false" ht="12.75" hidden="false" customHeight="false" outlineLevel="0" collapsed="false">
      <c r="A159" s="258"/>
      <c r="B159" s="259" t="e">
        <f aca="false">NextMonth(B158)</f>
        <v>#VALUE!</v>
      </c>
      <c r="C159" s="215" t="n">
        <v>0.060935009533661</v>
      </c>
      <c r="D159" s="215" t="n">
        <v>1.25</v>
      </c>
      <c r="E159" s="215" t="n">
        <v>1.25</v>
      </c>
      <c r="F159" s="215" t="n">
        <v>0.1625</v>
      </c>
      <c r="G159" s="215" t="n">
        <v>0.17</v>
      </c>
      <c r="H159" s="215" t="n">
        <v>0.1775</v>
      </c>
      <c r="I159" s="239" t="n">
        <v>4.596</v>
      </c>
      <c r="J159" s="215" t="n">
        <v>4.601</v>
      </c>
      <c r="K159" s="215" t="n">
        <v>4.606</v>
      </c>
      <c r="L159" s="215" t="n">
        <v>1.28</v>
      </c>
      <c r="M159" s="215" t="n">
        <v>0.04</v>
      </c>
      <c r="O159" s="211"/>
      <c r="P159" s="260"/>
      <c r="Q159" s="260"/>
      <c r="R159" s="261" t="e">
        <f aca="false">B159</f>
        <v>#VALUE!</v>
      </c>
      <c r="S159" s="262" t="n">
        <f aca="false">T159-$S$16</f>
        <v>1.18</v>
      </c>
      <c r="T159" s="257" t="n">
        <f aca="false">D159</f>
        <v>1.25</v>
      </c>
      <c r="U159" s="263" t="n">
        <f aca="false">$U$16+T159</f>
        <v>1.32</v>
      </c>
      <c r="BP159" s="226" t="n">
        <f aca="false">BP158+BV159</f>
        <v>158</v>
      </c>
      <c r="BQ159" s="227" t="s">
        <v>910</v>
      </c>
      <c r="BR159" s="224" t="s">
        <v>226</v>
      </c>
      <c r="BS159" s="154" t="s">
        <v>359</v>
      </c>
      <c r="BT159" s="230" t="s">
        <v>228</v>
      </c>
      <c r="BU159" s="230"/>
      <c r="BV159" s="154" t="n">
        <v>1</v>
      </c>
      <c r="BW159" s="224" t="s">
        <v>911</v>
      </c>
      <c r="BX159" s="0"/>
      <c r="BZ159" s="226" t="n">
        <f aca="false">BZ158+CF159</f>
        <v>158</v>
      </c>
      <c r="CA159" s="84" t="s">
        <v>912</v>
      </c>
      <c r="CB159" s="224" t="s">
        <v>230</v>
      </c>
      <c r="CC159" s="154" t="s">
        <v>227</v>
      </c>
      <c r="CD159" s="230" t="s">
        <v>228</v>
      </c>
      <c r="CE159" s="230"/>
      <c r="CF159" s="154" t="n">
        <v>1</v>
      </c>
      <c r="CG159" s="224" t="s">
        <v>913</v>
      </c>
      <c r="CH159" s="0"/>
    </row>
    <row r="160" customFormat="false" ht="12.75" hidden="false" customHeight="false" outlineLevel="0" collapsed="false">
      <c r="A160" s="258"/>
      <c r="B160" s="259" t="e">
        <f aca="false">NextMonth(B159)</f>
        <v>#VALUE!</v>
      </c>
      <c r="C160" s="215" t="n">
        <v>0.060959515113889</v>
      </c>
      <c r="D160" s="215" t="n">
        <v>1.45</v>
      </c>
      <c r="E160" s="215" t="n">
        <v>1.45</v>
      </c>
      <c r="F160" s="215" t="n">
        <v>0.1625</v>
      </c>
      <c r="G160" s="215" t="n">
        <v>0.17</v>
      </c>
      <c r="H160" s="215" t="n">
        <v>0.1775</v>
      </c>
      <c r="I160" s="239" t="n">
        <v>4.74</v>
      </c>
      <c r="J160" s="215" t="n">
        <v>4.745</v>
      </c>
      <c r="K160" s="215" t="n">
        <v>4.75</v>
      </c>
      <c r="L160" s="215" t="n">
        <v>1.61</v>
      </c>
      <c r="M160" s="215" t="n">
        <v>0.04</v>
      </c>
      <c r="O160" s="211"/>
      <c r="P160" s="260"/>
      <c r="Q160" s="260"/>
      <c r="R160" s="261" t="e">
        <f aca="false">B160</f>
        <v>#VALUE!</v>
      </c>
      <c r="S160" s="262" t="n">
        <f aca="false">T160-$S$16</f>
        <v>1.38</v>
      </c>
      <c r="T160" s="257" t="n">
        <f aca="false">D160</f>
        <v>1.45</v>
      </c>
      <c r="U160" s="263" t="n">
        <f aca="false">$U$16+T160</f>
        <v>1.52</v>
      </c>
      <c r="BP160" s="226" t="n">
        <f aca="false">BP159+BV160</f>
        <v>159</v>
      </c>
      <c r="BQ160" s="227" t="s">
        <v>914</v>
      </c>
      <c r="BR160" s="224" t="s">
        <v>226</v>
      </c>
      <c r="BS160" s="154" t="s">
        <v>359</v>
      </c>
      <c r="BT160" s="230" t="s">
        <v>228</v>
      </c>
      <c r="BU160" s="230"/>
      <c r="BV160" s="154" t="n">
        <v>1</v>
      </c>
      <c r="BW160" s="224" t="s">
        <v>915</v>
      </c>
      <c r="BX160" s="0"/>
      <c r="BZ160" s="226" t="n">
        <f aca="false">BZ159+CF160</f>
        <v>159</v>
      </c>
      <c r="CA160" s="84" t="s">
        <v>916</v>
      </c>
      <c r="CB160" s="224" t="s">
        <v>230</v>
      </c>
      <c r="CC160" s="154" t="s">
        <v>227</v>
      </c>
      <c r="CD160" s="230" t="s">
        <v>228</v>
      </c>
      <c r="CE160" s="230"/>
      <c r="CF160" s="154" t="n">
        <v>1</v>
      </c>
      <c r="CG160" s="224" t="s">
        <v>917</v>
      </c>
      <c r="CH160" s="0"/>
    </row>
    <row r="161" customFormat="false" ht="12.75" hidden="false" customHeight="false" outlineLevel="0" collapsed="false">
      <c r="A161" s="258"/>
      <c r="B161" s="259" t="e">
        <f aca="false">NextMonth(B160)</f>
        <v>#VALUE!</v>
      </c>
      <c r="C161" s="215" t="n">
        <v>0.060984020694317</v>
      </c>
      <c r="D161" s="215" t="n">
        <v>1.45</v>
      </c>
      <c r="E161" s="215" t="n">
        <v>1.45</v>
      </c>
      <c r="F161" s="215" t="n">
        <v>0.1625</v>
      </c>
      <c r="G161" s="215" t="n">
        <v>0.17</v>
      </c>
      <c r="H161" s="215" t="n">
        <v>0.1775</v>
      </c>
      <c r="I161" s="239" t="n">
        <v>4.644</v>
      </c>
      <c r="J161" s="215" t="n">
        <v>4.649</v>
      </c>
      <c r="K161" s="215" t="n">
        <v>4.654</v>
      </c>
      <c r="L161" s="215" t="n">
        <v>1.57</v>
      </c>
      <c r="M161" s="215" t="n">
        <v>0.04</v>
      </c>
      <c r="O161" s="211"/>
      <c r="P161" s="260"/>
      <c r="Q161" s="260"/>
      <c r="R161" s="261" t="e">
        <f aca="false">B161</f>
        <v>#VALUE!</v>
      </c>
      <c r="S161" s="262" t="n">
        <f aca="false">T161-$S$16</f>
        <v>1.38</v>
      </c>
      <c r="T161" s="257" t="n">
        <f aca="false">D161</f>
        <v>1.45</v>
      </c>
      <c r="U161" s="263" t="n">
        <f aca="false">$U$16+T161</f>
        <v>1.52</v>
      </c>
      <c r="BP161" s="226" t="n">
        <f aca="false">BP160+BV161</f>
        <v>160</v>
      </c>
      <c r="BQ161" s="227" t="s">
        <v>918</v>
      </c>
      <c r="BR161" s="224" t="s">
        <v>226</v>
      </c>
      <c r="BS161" s="154" t="s">
        <v>359</v>
      </c>
      <c r="BT161" s="230" t="s">
        <v>228</v>
      </c>
      <c r="BU161" s="230"/>
      <c r="BV161" s="154" t="n">
        <v>1</v>
      </c>
      <c r="BW161" s="224" t="s">
        <v>919</v>
      </c>
      <c r="BX161" s="0"/>
      <c r="BZ161" s="226" t="n">
        <f aca="false">BZ160+CF161</f>
        <v>160</v>
      </c>
      <c r="CA161" s="84" t="s">
        <v>920</v>
      </c>
      <c r="CB161" s="224" t="s">
        <v>230</v>
      </c>
      <c r="CC161" s="154" t="s">
        <v>227</v>
      </c>
      <c r="CD161" s="230" t="s">
        <v>228</v>
      </c>
      <c r="CE161" s="230"/>
      <c r="CF161" s="154" t="n">
        <v>1</v>
      </c>
      <c r="CG161" s="224" t="s">
        <v>921</v>
      </c>
      <c r="CH161" s="0"/>
    </row>
    <row r="162" customFormat="false" ht="12.75" hidden="false" customHeight="false" outlineLevel="0" collapsed="false">
      <c r="A162" s="258"/>
      <c r="B162" s="259" t="e">
        <f aca="false">NextMonth(B161)</f>
        <v>#VALUE!</v>
      </c>
      <c r="C162" s="215" t="n">
        <v>0.061006154767133</v>
      </c>
      <c r="D162" s="215" t="n">
        <v>1</v>
      </c>
      <c r="E162" s="215" t="n">
        <v>1</v>
      </c>
      <c r="F162" s="215" t="n">
        <v>0.1625</v>
      </c>
      <c r="G162" s="215" t="n">
        <v>0.17</v>
      </c>
      <c r="H162" s="215" t="n">
        <v>0.1775</v>
      </c>
      <c r="I162" s="239" t="n">
        <v>4.494</v>
      </c>
      <c r="J162" s="215" t="n">
        <v>4.499</v>
      </c>
      <c r="K162" s="215" t="n">
        <v>4.504</v>
      </c>
      <c r="L162" s="215" t="n">
        <v>0.93</v>
      </c>
      <c r="M162" s="215" t="n">
        <v>0.04</v>
      </c>
      <c r="O162" s="211"/>
      <c r="P162" s="260"/>
      <c r="Q162" s="260"/>
      <c r="R162" s="261" t="e">
        <f aca="false">B162</f>
        <v>#VALUE!</v>
      </c>
      <c r="S162" s="262" t="n">
        <f aca="false">T162-$S$16</f>
        <v>0.93</v>
      </c>
      <c r="T162" s="257" t="n">
        <f aca="false">D162</f>
        <v>1</v>
      </c>
      <c r="U162" s="263" t="n">
        <f aca="false">$U$16+T162</f>
        <v>1.07</v>
      </c>
      <c r="BP162" s="226" t="n">
        <f aca="false">BP161+BV162</f>
        <v>161</v>
      </c>
      <c r="BQ162" s="227" t="s">
        <v>922</v>
      </c>
      <c r="BR162" s="224" t="s">
        <v>226</v>
      </c>
      <c r="BS162" s="154" t="s">
        <v>359</v>
      </c>
      <c r="BT162" s="230" t="s">
        <v>228</v>
      </c>
      <c r="BU162" s="230"/>
      <c r="BV162" s="154" t="n">
        <v>1</v>
      </c>
      <c r="BW162" s="224" t="s">
        <v>923</v>
      </c>
      <c r="BX162" s="0"/>
      <c r="BZ162" s="226" t="n">
        <f aca="false">BZ161+CF162</f>
        <v>161</v>
      </c>
      <c r="CA162" s="84" t="s">
        <v>924</v>
      </c>
      <c r="CB162" s="224" t="s">
        <v>230</v>
      </c>
      <c r="CC162" s="154" t="s">
        <v>227</v>
      </c>
      <c r="CD162" s="230" t="s">
        <v>228</v>
      </c>
      <c r="CE162" s="230"/>
      <c r="CF162" s="154" t="n">
        <v>1</v>
      </c>
      <c r="CG162" s="224" t="s">
        <v>925</v>
      </c>
      <c r="CH162" s="0"/>
    </row>
    <row r="163" customFormat="false" ht="12.75" hidden="false" customHeight="false" outlineLevel="0" collapsed="false">
      <c r="A163" s="258"/>
      <c r="B163" s="259" t="e">
        <f aca="false">NextMonth(B162)</f>
        <v>#VALUE!</v>
      </c>
      <c r="C163" s="215" t="n">
        <v>0.061030660347939</v>
      </c>
      <c r="D163" s="215" t="n">
        <v>0.45</v>
      </c>
      <c r="E163" s="215" t="n">
        <v>0.45</v>
      </c>
      <c r="F163" s="215" t="n">
        <v>0.1625</v>
      </c>
      <c r="G163" s="215" t="n">
        <v>0.17</v>
      </c>
      <c r="H163" s="215" t="n">
        <v>0.1775</v>
      </c>
      <c r="I163" s="239" t="n">
        <v>4.311</v>
      </c>
      <c r="J163" s="215" t="n">
        <v>4.316</v>
      </c>
      <c r="K163" s="215" t="n">
        <v>4.321</v>
      </c>
      <c r="L163" s="215" t="n">
        <v>0.5</v>
      </c>
      <c r="M163" s="215" t="n">
        <v>0.04</v>
      </c>
      <c r="O163" s="211"/>
      <c r="P163" s="260"/>
      <c r="Q163" s="260"/>
      <c r="R163" s="261" t="e">
        <f aca="false">B163</f>
        <v>#VALUE!</v>
      </c>
      <c r="S163" s="262" t="n">
        <f aca="false">T163-$S$16</f>
        <v>0.38</v>
      </c>
      <c r="T163" s="257" t="n">
        <f aca="false">D163</f>
        <v>0.45</v>
      </c>
      <c r="U163" s="263" t="n">
        <f aca="false">$U$16+T163</f>
        <v>0.52</v>
      </c>
      <c r="BP163" s="226" t="n">
        <f aca="false">BP162+BV163</f>
        <v>162</v>
      </c>
      <c r="BQ163" s="227" t="s">
        <v>926</v>
      </c>
      <c r="BR163" s="224" t="s">
        <v>226</v>
      </c>
      <c r="BS163" s="154" t="s">
        <v>359</v>
      </c>
      <c r="BT163" s="230" t="s">
        <v>228</v>
      </c>
      <c r="BU163" s="230"/>
      <c r="BV163" s="154" t="n">
        <v>1</v>
      </c>
      <c r="BW163" s="224" t="s">
        <v>927</v>
      </c>
      <c r="BX163" s="0"/>
      <c r="BZ163" s="226" t="n">
        <f aca="false">BZ162+CF163</f>
        <v>162</v>
      </c>
      <c r="CA163" s="84" t="s">
        <v>928</v>
      </c>
      <c r="CB163" s="224" t="s">
        <v>230</v>
      </c>
      <c r="CC163" s="154" t="s">
        <v>227</v>
      </c>
      <c r="CD163" s="230" t="s">
        <v>228</v>
      </c>
      <c r="CE163" s="230"/>
      <c r="CF163" s="154" t="n">
        <v>1</v>
      </c>
      <c r="CG163" s="224" t="s">
        <v>929</v>
      </c>
      <c r="CH163" s="0"/>
    </row>
    <row r="164" customFormat="false" ht="12.75" hidden="false" customHeight="false" outlineLevel="0" collapsed="false">
      <c r="A164" s="258"/>
      <c r="B164" s="259" t="e">
        <f aca="false">NextMonth(B163)</f>
        <v>#VALUE!</v>
      </c>
      <c r="C164" s="215" t="n">
        <v>0.06105437542633</v>
      </c>
      <c r="D164" s="215" t="n">
        <v>0.5</v>
      </c>
      <c r="E164" s="215" t="n">
        <v>0.5</v>
      </c>
      <c r="F164" s="215" t="n">
        <v>0.1625</v>
      </c>
      <c r="G164" s="215" t="n">
        <v>0.17</v>
      </c>
      <c r="H164" s="215" t="n">
        <v>0.1775</v>
      </c>
      <c r="I164" s="239" t="n">
        <v>4.286</v>
      </c>
      <c r="J164" s="215" t="n">
        <v>4.291</v>
      </c>
      <c r="K164" s="215" t="n">
        <v>4.296</v>
      </c>
      <c r="L164" s="215" t="n">
        <v>0.44</v>
      </c>
      <c r="M164" s="215" t="n">
        <v>0.04</v>
      </c>
      <c r="O164" s="211"/>
      <c r="P164" s="260"/>
      <c r="Q164" s="260"/>
      <c r="R164" s="261" t="e">
        <f aca="false">B164</f>
        <v>#VALUE!</v>
      </c>
      <c r="S164" s="262" t="n">
        <f aca="false">T164-$S$16</f>
        <v>0.43</v>
      </c>
      <c r="T164" s="257" t="n">
        <f aca="false">D164</f>
        <v>0.5</v>
      </c>
      <c r="U164" s="263" t="n">
        <f aca="false">$U$16+T164</f>
        <v>0.57</v>
      </c>
      <c r="BP164" s="226" t="n">
        <f aca="false">BP163+BV164</f>
        <v>163</v>
      </c>
      <c r="BQ164" s="227" t="s">
        <v>930</v>
      </c>
      <c r="BR164" s="224" t="s">
        <v>226</v>
      </c>
      <c r="BS164" s="154" t="s">
        <v>359</v>
      </c>
      <c r="BT164" s="230" t="s">
        <v>228</v>
      </c>
      <c r="BU164" s="230"/>
      <c r="BV164" s="154" t="n">
        <v>1</v>
      </c>
      <c r="BW164" s="224" t="s">
        <v>931</v>
      </c>
      <c r="BX164" s="0"/>
      <c r="BZ164" s="226" t="n">
        <f aca="false">BZ163+CF164</f>
        <v>163</v>
      </c>
      <c r="CA164" s="84" t="s">
        <v>932</v>
      </c>
      <c r="CB164" s="224" t="s">
        <v>230</v>
      </c>
      <c r="CC164" s="154" t="s">
        <v>227</v>
      </c>
      <c r="CD164" s="230" t="s">
        <v>228</v>
      </c>
      <c r="CE164" s="230"/>
      <c r="CF164" s="154" t="n">
        <v>1</v>
      </c>
      <c r="CG164" s="224" t="s">
        <v>933</v>
      </c>
      <c r="CH164" s="0"/>
    </row>
    <row r="165" customFormat="false" ht="12.75" hidden="false" customHeight="false" outlineLevel="0" collapsed="false">
      <c r="A165" s="258"/>
      <c r="B165" s="259" t="e">
        <f aca="false">NextMonth(B164)</f>
        <v>#VALUE!</v>
      </c>
      <c r="C165" s="215" t="n">
        <v>0.061078881007529</v>
      </c>
      <c r="D165" s="215" t="n">
        <v>0.5</v>
      </c>
      <c r="E165" s="215" t="n">
        <v>0.5</v>
      </c>
      <c r="F165" s="215" t="n">
        <v>0.1625</v>
      </c>
      <c r="G165" s="215" t="n">
        <v>0.17</v>
      </c>
      <c r="H165" s="215" t="n">
        <v>0.1775</v>
      </c>
      <c r="I165" s="239" t="n">
        <v>4.315</v>
      </c>
      <c r="J165" s="215" t="n">
        <v>4.32</v>
      </c>
      <c r="K165" s="215" t="n">
        <v>4.325</v>
      </c>
      <c r="L165" s="215" t="n">
        <v>0.44</v>
      </c>
      <c r="M165" s="215" t="n">
        <v>0.04</v>
      </c>
      <c r="O165" s="211"/>
      <c r="P165" s="260"/>
      <c r="Q165" s="260"/>
      <c r="R165" s="261" t="e">
        <f aca="false">B165</f>
        <v>#VALUE!</v>
      </c>
      <c r="S165" s="262" t="n">
        <f aca="false">T165-$S$16</f>
        <v>0.43</v>
      </c>
      <c r="T165" s="257" t="n">
        <f aca="false">D165</f>
        <v>0.5</v>
      </c>
      <c r="U165" s="263" t="n">
        <f aca="false">$U$16+T165</f>
        <v>0.57</v>
      </c>
      <c r="BP165" s="226" t="n">
        <f aca="false">BP164+BV165</f>
        <v>164</v>
      </c>
      <c r="BQ165" s="227" t="s">
        <v>934</v>
      </c>
      <c r="BR165" s="224" t="s">
        <v>226</v>
      </c>
      <c r="BS165" s="154" t="s">
        <v>359</v>
      </c>
      <c r="BT165" s="230" t="s">
        <v>228</v>
      </c>
      <c r="BU165" s="230"/>
      <c r="BV165" s="154" t="n">
        <v>1</v>
      </c>
      <c r="BW165" s="224" t="s">
        <v>935</v>
      </c>
      <c r="BX165" s="0"/>
      <c r="BZ165" s="226" t="n">
        <f aca="false">BZ164+CF165</f>
        <v>164</v>
      </c>
      <c r="CA165" s="84" t="s">
        <v>936</v>
      </c>
      <c r="CB165" s="224" t="s">
        <v>230</v>
      </c>
      <c r="CC165" s="154" t="s">
        <v>227</v>
      </c>
      <c r="CD165" s="230" t="s">
        <v>228</v>
      </c>
      <c r="CE165" s="230"/>
      <c r="CF165" s="154" t="n">
        <v>1</v>
      </c>
      <c r="CG165" s="224" t="s">
        <v>937</v>
      </c>
      <c r="CH165" s="0"/>
    </row>
    <row r="166" customFormat="false" ht="12.75" hidden="false" customHeight="false" outlineLevel="0" collapsed="false">
      <c r="A166" s="258"/>
      <c r="B166" s="259" t="e">
        <f aca="false">NextMonth(B165)</f>
        <v>#VALUE!</v>
      </c>
      <c r="C166" s="215" t="n">
        <v>0.061102596086299</v>
      </c>
      <c r="D166" s="215" t="n">
        <v>0.5</v>
      </c>
      <c r="E166" s="215" t="n">
        <v>0.5</v>
      </c>
      <c r="F166" s="215" t="n">
        <v>0.1625</v>
      </c>
      <c r="G166" s="215" t="n">
        <v>0.17</v>
      </c>
      <c r="H166" s="215" t="n">
        <v>0.1775</v>
      </c>
      <c r="I166" s="239" t="n">
        <v>4.345</v>
      </c>
      <c r="J166" s="215" t="n">
        <v>4.35</v>
      </c>
      <c r="K166" s="215" t="n">
        <v>4.355</v>
      </c>
      <c r="L166" s="215" t="n">
        <v>0.5</v>
      </c>
      <c r="M166" s="215" t="n">
        <v>0.04</v>
      </c>
      <c r="O166" s="211"/>
      <c r="P166" s="260"/>
      <c r="Q166" s="260"/>
      <c r="R166" s="261" t="e">
        <f aca="false">B166</f>
        <v>#VALUE!</v>
      </c>
      <c r="S166" s="262" t="n">
        <f aca="false">T166-$S$16</f>
        <v>0.43</v>
      </c>
      <c r="T166" s="257" t="n">
        <f aca="false">D166</f>
        <v>0.5</v>
      </c>
      <c r="U166" s="263" t="n">
        <f aca="false">$U$16+T166</f>
        <v>0.57</v>
      </c>
      <c r="BP166" s="226" t="n">
        <f aca="false">BP165+BV166</f>
        <v>165</v>
      </c>
      <c r="BQ166" s="227" t="s">
        <v>938</v>
      </c>
      <c r="BR166" s="224" t="s">
        <v>226</v>
      </c>
      <c r="BS166" s="154" t="s">
        <v>359</v>
      </c>
      <c r="BT166" s="230" t="s">
        <v>228</v>
      </c>
      <c r="BU166" s="230"/>
      <c r="BV166" s="154" t="n">
        <v>1</v>
      </c>
      <c r="BW166" s="224" t="s">
        <v>939</v>
      </c>
      <c r="BX166" s="0"/>
      <c r="BZ166" s="226" t="n">
        <f aca="false">BZ165+CF166</f>
        <v>165</v>
      </c>
      <c r="CA166" s="84" t="s">
        <v>940</v>
      </c>
      <c r="CB166" s="224" t="s">
        <v>230</v>
      </c>
      <c r="CC166" s="154" t="s">
        <v>227</v>
      </c>
      <c r="CD166" s="230" t="s">
        <v>228</v>
      </c>
      <c r="CE166" s="230"/>
      <c r="CF166" s="154" t="n">
        <v>1</v>
      </c>
      <c r="CG166" s="224" t="s">
        <v>941</v>
      </c>
      <c r="CH166" s="0"/>
    </row>
    <row r="167" customFormat="false" ht="12.75" hidden="false" customHeight="false" outlineLevel="0" collapsed="false">
      <c r="A167" s="258"/>
      <c r="B167" s="259" t="e">
        <f aca="false">NextMonth(B166)</f>
        <v>#VALUE!</v>
      </c>
      <c r="C167" s="215" t="n">
        <v>0.06112710166789</v>
      </c>
      <c r="D167" s="215" t="n">
        <v>0.6</v>
      </c>
      <c r="E167" s="215" t="n">
        <v>0.6</v>
      </c>
      <c r="F167" s="215" t="n">
        <v>0.1625</v>
      </c>
      <c r="G167" s="215" t="n">
        <v>0.17</v>
      </c>
      <c r="H167" s="215" t="n">
        <v>0.1775</v>
      </c>
      <c r="I167" s="239" t="n">
        <v>4.365</v>
      </c>
      <c r="J167" s="215" t="n">
        <v>4.37</v>
      </c>
      <c r="K167" s="215" t="n">
        <v>4.375</v>
      </c>
      <c r="L167" s="215" t="n">
        <v>0.5</v>
      </c>
      <c r="M167" s="215" t="n">
        <v>0.04</v>
      </c>
      <c r="O167" s="211"/>
      <c r="P167" s="260"/>
      <c r="Q167" s="260"/>
      <c r="R167" s="261" t="e">
        <f aca="false">B167</f>
        <v>#VALUE!</v>
      </c>
      <c r="S167" s="262" t="n">
        <f aca="false">T167-$S$16</f>
        <v>0.53</v>
      </c>
      <c r="T167" s="257" t="n">
        <f aca="false">D167</f>
        <v>0.6</v>
      </c>
      <c r="U167" s="263" t="n">
        <f aca="false">$U$16+T167</f>
        <v>0.67</v>
      </c>
      <c r="BP167" s="226" t="n">
        <f aca="false">BP166+BV167</f>
        <v>166</v>
      </c>
      <c r="BQ167" s="227" t="s">
        <v>942</v>
      </c>
      <c r="BR167" s="224" t="s">
        <v>226</v>
      </c>
      <c r="BS167" s="154" t="s">
        <v>359</v>
      </c>
      <c r="BT167" s="230" t="s">
        <v>228</v>
      </c>
      <c r="BU167" s="230"/>
      <c r="BV167" s="154" t="n">
        <v>1</v>
      </c>
      <c r="BW167" s="224" t="s">
        <v>943</v>
      </c>
      <c r="BX167" s="0"/>
      <c r="BZ167" s="226" t="n">
        <f aca="false">BZ166+CF167</f>
        <v>166</v>
      </c>
      <c r="CA167" s="84" t="s">
        <v>944</v>
      </c>
      <c r="CB167" s="224" t="s">
        <v>230</v>
      </c>
      <c r="CC167" s="154" t="s">
        <v>227</v>
      </c>
      <c r="CD167" s="230" t="s">
        <v>228</v>
      </c>
      <c r="CE167" s="230"/>
      <c r="CF167" s="154" t="n">
        <v>1</v>
      </c>
      <c r="CG167" s="224" t="s">
        <v>945</v>
      </c>
      <c r="CH167" s="0"/>
    </row>
    <row r="168" customFormat="false" ht="12.75" hidden="false" customHeight="false" outlineLevel="0" collapsed="false">
      <c r="A168" s="258"/>
      <c r="B168" s="259" t="e">
        <f aca="false">NextMonth(B167)</f>
        <v>#VALUE!</v>
      </c>
      <c r="C168" s="215" t="n">
        <v>0.061151607249682</v>
      </c>
      <c r="D168" s="215" t="n">
        <v>0.6</v>
      </c>
      <c r="E168" s="215" t="n">
        <v>0.6</v>
      </c>
      <c r="F168" s="215" t="n">
        <v>0.1625</v>
      </c>
      <c r="G168" s="215" t="n">
        <v>0.17</v>
      </c>
      <c r="H168" s="215" t="n">
        <v>0.1775</v>
      </c>
      <c r="I168" s="239" t="n">
        <v>4.386</v>
      </c>
      <c r="J168" s="215" t="n">
        <v>4.391</v>
      </c>
      <c r="K168" s="215" t="n">
        <v>4.396</v>
      </c>
      <c r="L168" s="215" t="n">
        <v>0.46</v>
      </c>
      <c r="M168" s="215" t="n">
        <v>0.04</v>
      </c>
      <c r="O168" s="211"/>
      <c r="P168" s="260"/>
      <c r="Q168" s="260"/>
      <c r="R168" s="261" t="e">
        <f aca="false">B168</f>
        <v>#VALUE!</v>
      </c>
      <c r="S168" s="262" t="n">
        <f aca="false">T168-$S$16</f>
        <v>0.53</v>
      </c>
      <c r="T168" s="257" t="n">
        <f aca="false">D168</f>
        <v>0.6</v>
      </c>
      <c r="U168" s="263" t="n">
        <f aca="false">$U$16+T168</f>
        <v>0.67</v>
      </c>
      <c r="BP168" s="226" t="n">
        <f aca="false">BP167+BV168</f>
        <v>167</v>
      </c>
      <c r="BQ168" s="227" t="s">
        <v>946</v>
      </c>
      <c r="BR168" s="224" t="s">
        <v>226</v>
      </c>
      <c r="BS168" s="154" t="s">
        <v>359</v>
      </c>
      <c r="BT168" s="230" t="s">
        <v>228</v>
      </c>
      <c r="BU168" s="230"/>
      <c r="BV168" s="154" t="n">
        <v>1</v>
      </c>
      <c r="BW168" s="224" t="s">
        <v>947</v>
      </c>
      <c r="BX168" s="0"/>
      <c r="BZ168" s="226" t="n">
        <f aca="false">BZ167+CF168</f>
        <v>167</v>
      </c>
      <c r="CA168" s="84" t="s">
        <v>948</v>
      </c>
      <c r="CB168" s="224" t="s">
        <v>230</v>
      </c>
      <c r="CC168" s="154" t="s">
        <v>227</v>
      </c>
      <c r="CD168" s="230" t="s">
        <v>228</v>
      </c>
      <c r="CE168" s="230"/>
      <c r="CF168" s="154" t="n">
        <v>1</v>
      </c>
      <c r="CG168" s="224" t="s">
        <v>949</v>
      </c>
      <c r="CH168" s="0"/>
    </row>
    <row r="169" customFormat="false" ht="12.75" hidden="false" customHeight="false" outlineLevel="0" collapsed="false">
      <c r="A169" s="258"/>
      <c r="B169" s="259" t="e">
        <f aca="false">NextMonth(B168)</f>
        <v>#VALUE!</v>
      </c>
      <c r="C169" s="215" t="n">
        <v>0.061175322329025</v>
      </c>
      <c r="D169" s="215" t="n">
        <v>0.65</v>
      </c>
      <c r="E169" s="215" t="n">
        <v>0.65</v>
      </c>
      <c r="F169" s="215" t="n">
        <v>0.1625</v>
      </c>
      <c r="G169" s="215" t="n">
        <v>0.17</v>
      </c>
      <c r="H169" s="215" t="n">
        <v>0.1775</v>
      </c>
      <c r="I169" s="239" t="n">
        <v>4.416</v>
      </c>
      <c r="J169" s="215" t="n">
        <v>4.421</v>
      </c>
      <c r="K169" s="215" t="n">
        <v>4.426</v>
      </c>
      <c r="L169" s="215" t="n">
        <v>0.47</v>
      </c>
      <c r="M169" s="215" t="n">
        <v>0.04</v>
      </c>
      <c r="O169" s="211"/>
      <c r="P169" s="260"/>
      <c r="Q169" s="260"/>
      <c r="R169" s="261" t="e">
        <f aca="false">B169</f>
        <v>#VALUE!</v>
      </c>
      <c r="S169" s="262" t="n">
        <f aca="false">T169-$S$16</f>
        <v>0.58</v>
      </c>
      <c r="T169" s="257" t="n">
        <f aca="false">D169</f>
        <v>0.65</v>
      </c>
      <c r="U169" s="263" t="n">
        <f aca="false">$U$16+T169</f>
        <v>0.72</v>
      </c>
      <c r="BP169" s="226" t="n">
        <f aca="false">BP168+BV169</f>
        <v>168</v>
      </c>
      <c r="BQ169" s="227" t="s">
        <v>950</v>
      </c>
      <c r="BR169" s="224" t="s">
        <v>226</v>
      </c>
      <c r="BS169" s="154" t="s">
        <v>359</v>
      </c>
      <c r="BT169" s="230" t="s">
        <v>228</v>
      </c>
      <c r="BU169" s="230"/>
      <c r="BV169" s="154" t="n">
        <v>1</v>
      </c>
      <c r="BW169" s="224" t="s">
        <v>951</v>
      </c>
      <c r="BX169" s="0"/>
      <c r="BZ169" s="226" t="n">
        <f aca="false">BZ168+CF169</f>
        <v>168</v>
      </c>
      <c r="CA169" s="84" t="s">
        <v>952</v>
      </c>
      <c r="CB169" s="224" t="s">
        <v>230</v>
      </c>
      <c r="CC169" s="154" t="s">
        <v>227</v>
      </c>
      <c r="CD169" s="230" t="s">
        <v>228</v>
      </c>
      <c r="CE169" s="230"/>
      <c r="CF169" s="154" t="n">
        <v>1</v>
      </c>
      <c r="CG169" s="224" t="s">
        <v>953</v>
      </c>
      <c r="CH169" s="0"/>
    </row>
    <row r="170" customFormat="false" ht="12.75" hidden="false" customHeight="false" outlineLevel="0" collapsed="false">
      <c r="A170" s="258"/>
      <c r="B170" s="259" t="e">
        <f aca="false">NextMonth(B169)</f>
        <v>#VALUE!</v>
      </c>
      <c r="C170" s="215" t="n">
        <v>0.061199827911208</v>
      </c>
      <c r="D170" s="215" t="n">
        <v>0.95</v>
      </c>
      <c r="E170" s="215" t="n">
        <v>0.95</v>
      </c>
      <c r="F170" s="215" t="n">
        <v>0.1625</v>
      </c>
      <c r="G170" s="215" t="n">
        <v>0.17</v>
      </c>
      <c r="H170" s="215" t="n">
        <v>0.1775</v>
      </c>
      <c r="I170" s="239" t="n">
        <v>4.556</v>
      </c>
      <c r="J170" s="215" t="n">
        <v>4.561</v>
      </c>
      <c r="K170" s="215" t="n">
        <v>4.566</v>
      </c>
      <c r="L170" s="215" t="n">
        <v>0.86</v>
      </c>
      <c r="M170" s="215" t="n">
        <v>0.04</v>
      </c>
      <c r="O170" s="211"/>
      <c r="P170" s="260"/>
      <c r="Q170" s="260"/>
      <c r="R170" s="261" t="e">
        <f aca="false">B170</f>
        <v>#VALUE!</v>
      </c>
      <c r="S170" s="262" t="n">
        <f aca="false">T170-$S$16</f>
        <v>0.88</v>
      </c>
      <c r="T170" s="257" t="n">
        <f aca="false">D170</f>
        <v>0.95</v>
      </c>
      <c r="U170" s="263" t="n">
        <f aca="false">$U$16+T170</f>
        <v>1.02</v>
      </c>
      <c r="BP170" s="226" t="n">
        <f aca="false">BP169+BV170</f>
        <v>169</v>
      </c>
      <c r="BQ170" s="227" t="s">
        <v>954</v>
      </c>
      <c r="BR170" s="224" t="s">
        <v>226</v>
      </c>
      <c r="BS170" s="154" t="s">
        <v>359</v>
      </c>
      <c r="BT170" s="230" t="s">
        <v>228</v>
      </c>
      <c r="BU170" s="230"/>
      <c r="BV170" s="154" t="n">
        <v>1</v>
      </c>
      <c r="BW170" s="224" t="s">
        <v>955</v>
      </c>
      <c r="BX170" s="0"/>
      <c r="BZ170" s="226" t="n">
        <f aca="false">BZ169+CF170</f>
        <v>169</v>
      </c>
      <c r="CA170" s="84" t="s">
        <v>956</v>
      </c>
      <c r="CB170" s="224" t="s">
        <v>230</v>
      </c>
      <c r="CC170" s="154" t="s">
        <v>227</v>
      </c>
      <c r="CD170" s="230" t="s">
        <v>228</v>
      </c>
      <c r="CE170" s="230"/>
      <c r="CF170" s="154" t="n">
        <v>1</v>
      </c>
      <c r="CG170" s="224" t="s">
        <v>957</v>
      </c>
      <c r="CH170" s="0"/>
    </row>
    <row r="171" customFormat="false" ht="12.75" hidden="false" customHeight="false" outlineLevel="0" collapsed="false">
      <c r="A171" s="258"/>
      <c r="B171" s="259" t="e">
        <f aca="false">NextMonth(B170)</f>
        <v>#VALUE!</v>
      </c>
      <c r="C171" s="215" t="n">
        <v>0.06122354299093</v>
      </c>
      <c r="D171" s="215" t="n">
        <v>1.25</v>
      </c>
      <c r="E171" s="215" t="n">
        <v>1.25</v>
      </c>
      <c r="F171" s="215" t="n">
        <v>0.1625</v>
      </c>
      <c r="G171" s="215" t="n">
        <v>0.17</v>
      </c>
      <c r="H171" s="215" t="n">
        <v>0.1775</v>
      </c>
      <c r="I171" s="239" t="n">
        <v>4.681</v>
      </c>
      <c r="J171" s="215" t="n">
        <v>4.686</v>
      </c>
      <c r="K171" s="215" t="n">
        <v>4.691</v>
      </c>
      <c r="L171" s="215" t="n">
        <v>1.28</v>
      </c>
      <c r="M171" s="215" t="n">
        <v>0.04</v>
      </c>
      <c r="O171" s="211"/>
      <c r="P171" s="260"/>
      <c r="Q171" s="260"/>
      <c r="R171" s="261" t="e">
        <f aca="false">B171</f>
        <v>#VALUE!</v>
      </c>
      <c r="S171" s="262" t="n">
        <f aca="false">T171-$S$16</f>
        <v>1.18</v>
      </c>
      <c r="T171" s="257" t="n">
        <f aca="false">D171</f>
        <v>1.25</v>
      </c>
      <c r="U171" s="263" t="n">
        <f aca="false">$U$16+T171</f>
        <v>1.32</v>
      </c>
      <c r="BP171" s="226" t="n">
        <f aca="false">BP170+BV171</f>
        <v>170</v>
      </c>
      <c r="BQ171" s="227" t="s">
        <v>958</v>
      </c>
      <c r="BR171" s="224" t="s">
        <v>226</v>
      </c>
      <c r="BS171" s="154" t="s">
        <v>359</v>
      </c>
      <c r="BT171" s="230" t="s">
        <v>228</v>
      </c>
      <c r="BU171" s="230"/>
      <c r="BV171" s="154" t="n">
        <v>1</v>
      </c>
      <c r="BW171" s="224" t="s">
        <v>959</v>
      </c>
      <c r="BX171" s="0"/>
      <c r="BZ171" s="226" t="n">
        <f aca="false">BZ170+CF171</f>
        <v>170</v>
      </c>
      <c r="CA171" s="84" t="s">
        <v>960</v>
      </c>
      <c r="CB171" s="224" t="s">
        <v>230</v>
      </c>
      <c r="CC171" s="154" t="s">
        <v>227</v>
      </c>
      <c r="CD171" s="230" t="s">
        <v>228</v>
      </c>
      <c r="CE171" s="230"/>
      <c r="CF171" s="154" t="n">
        <v>1</v>
      </c>
      <c r="CG171" s="224" t="s">
        <v>961</v>
      </c>
      <c r="CH171" s="0"/>
    </row>
    <row r="172" customFormat="false" ht="12.75" hidden="false" customHeight="false" outlineLevel="0" collapsed="false">
      <c r="A172" s="258"/>
      <c r="B172" s="259" t="e">
        <f aca="false">NextMonth(B171)</f>
        <v>#VALUE!</v>
      </c>
      <c r="C172" s="215" t="n">
        <v>0.061248048573506</v>
      </c>
      <c r="D172" s="215" t="n">
        <v>1.45</v>
      </c>
      <c r="E172" s="215" t="n">
        <v>1.45</v>
      </c>
      <c r="F172" s="215" t="n">
        <v>0.1625</v>
      </c>
      <c r="G172" s="215" t="n">
        <v>0.17</v>
      </c>
      <c r="H172" s="215" t="n">
        <v>0.1775</v>
      </c>
      <c r="I172" s="239" t="n">
        <v>4.83</v>
      </c>
      <c r="J172" s="215" t="n">
        <v>4.835</v>
      </c>
      <c r="K172" s="215" t="n">
        <v>4.84</v>
      </c>
      <c r="L172" s="215" t="n">
        <v>1.61</v>
      </c>
      <c r="M172" s="215" t="n">
        <v>0.04</v>
      </c>
      <c r="O172" s="211"/>
      <c r="P172" s="260"/>
      <c r="Q172" s="260"/>
      <c r="R172" s="261" t="e">
        <f aca="false">B172</f>
        <v>#VALUE!</v>
      </c>
      <c r="S172" s="262" t="n">
        <f aca="false">T172-$S$16</f>
        <v>1.38</v>
      </c>
      <c r="T172" s="257" t="n">
        <f aca="false">D172</f>
        <v>1.45</v>
      </c>
      <c r="U172" s="263" t="n">
        <f aca="false">$U$16+T172</f>
        <v>1.52</v>
      </c>
      <c r="BP172" s="226" t="n">
        <f aca="false">BP171+BV172</f>
        <v>171</v>
      </c>
      <c r="BQ172" s="227" t="s">
        <v>962</v>
      </c>
      <c r="BR172" s="224" t="s">
        <v>226</v>
      </c>
      <c r="BS172" s="154" t="s">
        <v>359</v>
      </c>
      <c r="BT172" s="230" t="s">
        <v>228</v>
      </c>
      <c r="BU172" s="230"/>
      <c r="BV172" s="154" t="n">
        <v>1</v>
      </c>
      <c r="BW172" s="224" t="s">
        <v>963</v>
      </c>
      <c r="BX172" s="0"/>
      <c r="BZ172" s="226" t="n">
        <f aca="false">BZ171+CF172</f>
        <v>171</v>
      </c>
      <c r="CA172" s="84" t="s">
        <v>964</v>
      </c>
      <c r="CB172" s="224" t="s">
        <v>230</v>
      </c>
      <c r="CC172" s="154" t="s">
        <v>227</v>
      </c>
      <c r="CD172" s="230" t="s">
        <v>228</v>
      </c>
      <c r="CE172" s="230"/>
      <c r="CF172" s="154" t="n">
        <v>1</v>
      </c>
      <c r="CG172" s="224" t="s">
        <v>965</v>
      </c>
      <c r="CH172" s="0"/>
    </row>
    <row r="173" customFormat="false" ht="12.75" hidden="false" customHeight="false" outlineLevel="0" collapsed="false">
      <c r="A173" s="258"/>
      <c r="B173" s="259" t="e">
        <f aca="false">NextMonth(B172)</f>
        <v>#VALUE!</v>
      </c>
      <c r="C173" s="215" t="n">
        <v>0.061272554156282</v>
      </c>
      <c r="D173" s="215" t="n">
        <v>1.45</v>
      </c>
      <c r="E173" s="215" t="n">
        <v>1.45</v>
      </c>
      <c r="F173" s="215" t="n">
        <v>0.1625</v>
      </c>
      <c r="G173" s="215" t="n">
        <v>0.17</v>
      </c>
      <c r="H173" s="215" t="n">
        <v>0.1775</v>
      </c>
      <c r="I173" s="239" t="n">
        <v>4.734</v>
      </c>
      <c r="J173" s="215" t="n">
        <v>4.739</v>
      </c>
      <c r="K173" s="215" t="n">
        <v>4.744</v>
      </c>
      <c r="L173" s="215" t="n">
        <v>1.57</v>
      </c>
      <c r="M173" s="215" t="n">
        <v>0.04</v>
      </c>
      <c r="O173" s="211"/>
      <c r="P173" s="260"/>
      <c r="Q173" s="260"/>
      <c r="R173" s="261" t="e">
        <f aca="false">B173</f>
        <v>#VALUE!</v>
      </c>
      <c r="S173" s="262" t="n">
        <f aca="false">T173-$S$16</f>
        <v>1.38</v>
      </c>
      <c r="T173" s="257" t="n">
        <f aca="false">D173</f>
        <v>1.45</v>
      </c>
      <c r="U173" s="263" t="n">
        <f aca="false">$U$16+T173</f>
        <v>1.52</v>
      </c>
      <c r="BP173" s="226" t="n">
        <f aca="false">BP172+BV173</f>
        <v>172</v>
      </c>
      <c r="BQ173" s="227" t="s">
        <v>966</v>
      </c>
      <c r="BR173" s="224" t="s">
        <v>226</v>
      </c>
      <c r="BS173" s="154" t="s">
        <v>359</v>
      </c>
      <c r="BT173" s="230" t="s">
        <v>228</v>
      </c>
      <c r="BU173" s="230"/>
      <c r="BV173" s="154" t="n">
        <v>1</v>
      </c>
      <c r="BW173" s="224" t="s">
        <v>967</v>
      </c>
      <c r="BX173" s="0"/>
      <c r="BZ173" s="226" t="n">
        <f aca="false">BZ172+CF173</f>
        <v>172</v>
      </c>
      <c r="CA173" s="84" t="s">
        <v>968</v>
      </c>
      <c r="CB173" s="224" t="s">
        <v>230</v>
      </c>
      <c r="CC173" s="154" t="s">
        <v>227</v>
      </c>
      <c r="CD173" s="230" t="s">
        <v>228</v>
      </c>
      <c r="CE173" s="230"/>
      <c r="CF173" s="154" t="n">
        <v>1</v>
      </c>
      <c r="CG173" s="224" t="s">
        <v>969</v>
      </c>
      <c r="CH173" s="0"/>
    </row>
    <row r="174" customFormat="false" ht="12.75" hidden="false" customHeight="false" outlineLevel="0" collapsed="false">
      <c r="A174" s="258"/>
      <c r="B174" s="259" t="e">
        <f aca="false">NextMonth(B173)</f>
        <v>#VALUE!</v>
      </c>
      <c r="C174" s="215" t="n">
        <v>0.061294688231218</v>
      </c>
      <c r="D174" s="215" t="n">
        <v>1</v>
      </c>
      <c r="E174" s="215" t="n">
        <v>1</v>
      </c>
      <c r="F174" s="215" t="n">
        <v>0.1625</v>
      </c>
      <c r="G174" s="215" t="n">
        <v>0.17</v>
      </c>
      <c r="H174" s="215" t="n">
        <v>0.1775</v>
      </c>
      <c r="I174" s="239" t="n">
        <v>4.584</v>
      </c>
      <c r="J174" s="215" t="n">
        <v>4.589</v>
      </c>
      <c r="K174" s="215" t="n">
        <v>4.594</v>
      </c>
      <c r="L174" s="215" t="n">
        <v>0.93</v>
      </c>
      <c r="M174" s="215" t="n">
        <v>0.04</v>
      </c>
      <c r="O174" s="211"/>
      <c r="P174" s="260"/>
      <c r="Q174" s="260"/>
      <c r="R174" s="261" t="e">
        <f aca="false">B174</f>
        <v>#VALUE!</v>
      </c>
      <c r="S174" s="262" t="n">
        <f aca="false">T174-$S$16</f>
        <v>0.93</v>
      </c>
      <c r="T174" s="257" t="n">
        <f aca="false">D174</f>
        <v>1</v>
      </c>
      <c r="U174" s="263" t="n">
        <f aca="false">$U$16+T174</f>
        <v>1.07</v>
      </c>
      <c r="BP174" s="226" t="n">
        <f aca="false">BP173+BV174</f>
        <v>173</v>
      </c>
      <c r="BQ174" s="227" t="s">
        <v>970</v>
      </c>
      <c r="BR174" s="224" t="s">
        <v>226</v>
      </c>
      <c r="BS174" s="154" t="s">
        <v>359</v>
      </c>
      <c r="BT174" s="230" t="s">
        <v>228</v>
      </c>
      <c r="BU174" s="230"/>
      <c r="BV174" s="154" t="n">
        <v>1</v>
      </c>
      <c r="BW174" s="224" t="s">
        <v>971</v>
      </c>
      <c r="BX174" s="0"/>
      <c r="BZ174" s="226" t="n">
        <f aca="false">BZ173+CF174</f>
        <v>173</v>
      </c>
      <c r="CA174" s="84" t="s">
        <v>972</v>
      </c>
      <c r="CB174" s="224" t="s">
        <v>230</v>
      </c>
      <c r="CC174" s="154" t="s">
        <v>227</v>
      </c>
      <c r="CD174" s="230" t="s">
        <v>228</v>
      </c>
      <c r="CE174" s="230"/>
      <c r="CF174" s="154" t="n">
        <v>1</v>
      </c>
      <c r="CG174" s="224" t="s">
        <v>973</v>
      </c>
      <c r="CH174" s="0"/>
    </row>
    <row r="175" customFormat="false" ht="12.75" hidden="false" customHeight="false" outlineLevel="0" collapsed="false">
      <c r="A175" s="258"/>
      <c r="B175" s="259" t="e">
        <f aca="false">NextMonth(B174)</f>
        <v>#VALUE!</v>
      </c>
      <c r="C175" s="215" t="n">
        <v>0.061319193814373</v>
      </c>
      <c r="D175" s="215" t="n">
        <v>0.45</v>
      </c>
      <c r="E175" s="215" t="n">
        <v>0.45</v>
      </c>
      <c r="F175" s="215" t="n">
        <v>0.1625</v>
      </c>
      <c r="G175" s="215" t="n">
        <v>0.17</v>
      </c>
      <c r="H175" s="215" t="n">
        <v>0.1775</v>
      </c>
      <c r="I175" s="239" t="n">
        <v>4.401</v>
      </c>
      <c r="J175" s="215" t="n">
        <v>4.406</v>
      </c>
      <c r="K175" s="215" t="n">
        <v>4.411</v>
      </c>
      <c r="L175" s="215" t="n">
        <v>0.5</v>
      </c>
      <c r="M175" s="215" t="n">
        <v>0.04</v>
      </c>
      <c r="O175" s="211"/>
      <c r="P175" s="260"/>
      <c r="Q175" s="260"/>
      <c r="R175" s="261" t="e">
        <f aca="false">B175</f>
        <v>#VALUE!</v>
      </c>
      <c r="S175" s="262" t="n">
        <f aca="false">T175-$S$16</f>
        <v>0.38</v>
      </c>
      <c r="T175" s="257" t="n">
        <f aca="false">D175</f>
        <v>0.45</v>
      </c>
      <c r="U175" s="263" t="n">
        <f aca="false">$U$16+T175</f>
        <v>0.52</v>
      </c>
      <c r="BP175" s="226" t="n">
        <f aca="false">BP174+BV175</f>
        <v>174</v>
      </c>
      <c r="BQ175" s="227" t="s">
        <v>974</v>
      </c>
      <c r="BR175" s="224" t="s">
        <v>226</v>
      </c>
      <c r="BS175" s="154" t="s">
        <v>359</v>
      </c>
      <c r="BT175" s="230" t="s">
        <v>228</v>
      </c>
      <c r="BU175" s="230"/>
      <c r="BV175" s="154" t="n">
        <v>1</v>
      </c>
      <c r="BW175" s="224" t="s">
        <v>975</v>
      </c>
      <c r="BX175" s="0"/>
      <c r="BZ175" s="226" t="n">
        <f aca="false">BZ174+CF175</f>
        <v>174</v>
      </c>
      <c r="CA175" s="84" t="s">
        <v>976</v>
      </c>
      <c r="CB175" s="224" t="s">
        <v>230</v>
      </c>
      <c r="CC175" s="154" t="s">
        <v>227</v>
      </c>
      <c r="CD175" s="230" t="s">
        <v>228</v>
      </c>
      <c r="CE175" s="230"/>
      <c r="CF175" s="154" t="n">
        <v>1</v>
      </c>
      <c r="CG175" s="224" t="s">
        <v>977</v>
      </c>
      <c r="CH175" s="0"/>
    </row>
    <row r="176" customFormat="false" ht="12.75" hidden="false" customHeight="false" outlineLevel="0" collapsed="false">
      <c r="A176" s="258"/>
      <c r="B176" s="259" t="e">
        <f aca="false">NextMonth(B175)</f>
        <v>#VALUE!</v>
      </c>
      <c r="C176" s="215" t="n">
        <v>0.061342908895035</v>
      </c>
      <c r="D176" s="215" t="n">
        <v>0.5</v>
      </c>
      <c r="E176" s="215" t="n">
        <v>0.5</v>
      </c>
      <c r="F176" s="215" t="n">
        <v>0.1625</v>
      </c>
      <c r="G176" s="215" t="n">
        <v>0.17</v>
      </c>
      <c r="H176" s="215" t="n">
        <v>0.1775</v>
      </c>
      <c r="I176" s="239" t="n">
        <v>4.376</v>
      </c>
      <c r="J176" s="215" t="n">
        <v>4.381</v>
      </c>
      <c r="K176" s="215" t="n">
        <v>4.386</v>
      </c>
      <c r="L176" s="215" t="n">
        <v>0.44</v>
      </c>
      <c r="M176" s="215" t="n">
        <v>0.04</v>
      </c>
      <c r="O176" s="211"/>
      <c r="P176" s="260"/>
      <c r="Q176" s="260"/>
      <c r="R176" s="261" t="e">
        <f aca="false">B176</f>
        <v>#VALUE!</v>
      </c>
      <c r="S176" s="262" t="n">
        <f aca="false">T176-$S$16</f>
        <v>0.43</v>
      </c>
      <c r="T176" s="257" t="n">
        <f aca="false">D176</f>
        <v>0.5</v>
      </c>
      <c r="U176" s="263" t="n">
        <f aca="false">$U$16+T176</f>
        <v>0.57</v>
      </c>
      <c r="BP176" s="226" t="n">
        <f aca="false">BP175+BV176</f>
        <v>175</v>
      </c>
      <c r="BQ176" s="227" t="s">
        <v>978</v>
      </c>
      <c r="BR176" s="224" t="s">
        <v>226</v>
      </c>
      <c r="BS176" s="154" t="s">
        <v>359</v>
      </c>
      <c r="BT176" s="230" t="s">
        <v>228</v>
      </c>
      <c r="BU176" s="230"/>
      <c r="BV176" s="154" t="n">
        <v>1</v>
      </c>
      <c r="BW176" s="224" t="s">
        <v>979</v>
      </c>
      <c r="BX176" s="0"/>
      <c r="BZ176" s="226" t="n">
        <f aca="false">BZ175+CF176</f>
        <v>175</v>
      </c>
      <c r="CA176" s="84" t="s">
        <v>980</v>
      </c>
      <c r="CB176" s="224" t="s">
        <v>230</v>
      </c>
      <c r="CC176" s="154" t="s">
        <v>227</v>
      </c>
      <c r="CD176" s="230" t="s">
        <v>228</v>
      </c>
      <c r="CE176" s="230"/>
      <c r="CF176" s="154" t="n">
        <v>1</v>
      </c>
      <c r="CG176" s="224" t="s">
        <v>981</v>
      </c>
      <c r="CH176" s="0"/>
    </row>
    <row r="177" customFormat="false" ht="12.75" hidden="false" customHeight="false" outlineLevel="0" collapsed="false">
      <c r="A177" s="258"/>
      <c r="B177" s="259" t="e">
        <f aca="false">NextMonth(B176)</f>
        <v>#VALUE!</v>
      </c>
      <c r="C177" s="215" t="n">
        <v>0.061367414478583</v>
      </c>
      <c r="D177" s="215" t="n">
        <v>0.5</v>
      </c>
      <c r="E177" s="215" t="n">
        <v>0.5</v>
      </c>
      <c r="F177" s="215" t="n">
        <v>0.1625</v>
      </c>
      <c r="G177" s="215" t="n">
        <v>0.17</v>
      </c>
      <c r="H177" s="215" t="n">
        <v>0.1775</v>
      </c>
      <c r="I177" s="239" t="n">
        <v>4.405</v>
      </c>
      <c r="J177" s="215" t="n">
        <v>4.41</v>
      </c>
      <c r="K177" s="215" t="n">
        <v>4.415</v>
      </c>
      <c r="L177" s="215" t="n">
        <v>0.44</v>
      </c>
      <c r="M177" s="215" t="n">
        <v>0.04</v>
      </c>
      <c r="O177" s="211"/>
      <c r="P177" s="260"/>
      <c r="Q177" s="260"/>
      <c r="R177" s="261" t="e">
        <f aca="false">B177</f>
        <v>#VALUE!</v>
      </c>
      <c r="S177" s="262" t="n">
        <f aca="false">T177-$S$16</f>
        <v>0.43</v>
      </c>
      <c r="T177" s="257" t="n">
        <f aca="false">D177</f>
        <v>0.5</v>
      </c>
      <c r="U177" s="263" t="n">
        <f aca="false">$U$16+T177</f>
        <v>0.57</v>
      </c>
      <c r="BP177" s="226" t="n">
        <f aca="false">BP176+BV177</f>
        <v>176</v>
      </c>
      <c r="BQ177" s="227" t="s">
        <v>982</v>
      </c>
      <c r="BR177" s="224" t="s">
        <v>226</v>
      </c>
      <c r="BS177" s="154" t="s">
        <v>359</v>
      </c>
      <c r="BT177" s="230" t="s">
        <v>228</v>
      </c>
      <c r="BU177" s="230"/>
      <c r="BV177" s="154" t="n">
        <v>1</v>
      </c>
      <c r="BW177" s="224" t="s">
        <v>983</v>
      </c>
      <c r="BX177" s="0"/>
      <c r="BZ177" s="226" t="n">
        <f aca="false">BZ176+CF177</f>
        <v>176</v>
      </c>
      <c r="CA177" s="84" t="s">
        <v>984</v>
      </c>
      <c r="CB177" s="224" t="s">
        <v>230</v>
      </c>
      <c r="CC177" s="154" t="s">
        <v>227</v>
      </c>
      <c r="CD177" s="230" t="s">
        <v>228</v>
      </c>
      <c r="CE177" s="230"/>
      <c r="CF177" s="154" t="n">
        <v>1</v>
      </c>
      <c r="CG177" s="224" t="s">
        <v>985</v>
      </c>
      <c r="CH177" s="0"/>
    </row>
    <row r="178" customFormat="false" ht="12.75" hidden="false" customHeight="false" outlineLevel="0" collapsed="false">
      <c r="A178" s="258"/>
      <c r="B178" s="259" t="e">
        <f aca="false">NextMonth(B177)</f>
        <v>#VALUE!</v>
      </c>
      <c r="C178" s="215" t="n">
        <v>0.061391129559625</v>
      </c>
      <c r="D178" s="215" t="n">
        <v>0.5</v>
      </c>
      <c r="E178" s="215" t="n">
        <v>0.5</v>
      </c>
      <c r="F178" s="215" t="n">
        <v>0.1625</v>
      </c>
      <c r="G178" s="215" t="n">
        <v>0.17</v>
      </c>
      <c r="H178" s="215" t="n">
        <v>0.1775</v>
      </c>
      <c r="I178" s="239" t="n">
        <v>4.435</v>
      </c>
      <c r="J178" s="215" t="n">
        <v>4.44</v>
      </c>
      <c r="K178" s="215" t="n">
        <v>4.445</v>
      </c>
      <c r="L178" s="215" t="n">
        <v>0.5</v>
      </c>
      <c r="M178" s="215" t="n">
        <v>0.04</v>
      </c>
      <c r="O178" s="211"/>
      <c r="P178" s="260"/>
      <c r="Q178" s="260"/>
      <c r="R178" s="261" t="e">
        <f aca="false">B178</f>
        <v>#VALUE!</v>
      </c>
      <c r="S178" s="262" t="n">
        <f aca="false">T178-$S$16</f>
        <v>0.43</v>
      </c>
      <c r="T178" s="257" t="n">
        <f aca="false">D178</f>
        <v>0.5</v>
      </c>
      <c r="U178" s="263" t="n">
        <f aca="false">$U$16+T178</f>
        <v>0.57</v>
      </c>
      <c r="BP178" s="226" t="n">
        <f aca="false">BP177+BV178</f>
        <v>177</v>
      </c>
      <c r="BQ178" s="227" t="s">
        <v>986</v>
      </c>
      <c r="BR178" s="224" t="s">
        <v>226</v>
      </c>
      <c r="BS178" s="154" t="s">
        <v>359</v>
      </c>
      <c r="BT178" s="230" t="s">
        <v>228</v>
      </c>
      <c r="BU178" s="230"/>
      <c r="BV178" s="154" t="n">
        <v>1</v>
      </c>
      <c r="BW178" s="224" t="s">
        <v>987</v>
      </c>
      <c r="BX178" s="0"/>
      <c r="BZ178" s="226" t="n">
        <f aca="false">BZ177+CF178</f>
        <v>177</v>
      </c>
      <c r="CA178" s="84" t="s">
        <v>988</v>
      </c>
      <c r="CB178" s="224" t="s">
        <v>230</v>
      </c>
      <c r="CC178" s="154" t="s">
        <v>227</v>
      </c>
      <c r="CD178" s="230" t="s">
        <v>228</v>
      </c>
      <c r="CE178" s="230"/>
      <c r="CF178" s="154" t="n">
        <v>1</v>
      </c>
      <c r="CG178" s="224" t="s">
        <v>989</v>
      </c>
      <c r="CH178" s="0"/>
    </row>
    <row r="179" customFormat="false" ht="12.75" hidden="false" customHeight="false" outlineLevel="0" collapsed="false">
      <c r="A179" s="258"/>
      <c r="B179" s="259" t="e">
        <f aca="false">NextMonth(B178)</f>
        <v>#VALUE!</v>
      </c>
      <c r="C179" s="215" t="n">
        <v>0.061415635143565</v>
      </c>
      <c r="D179" s="215" t="n">
        <v>0.6</v>
      </c>
      <c r="E179" s="215" t="n">
        <v>0.6</v>
      </c>
      <c r="F179" s="215" t="n">
        <v>0.1625</v>
      </c>
      <c r="G179" s="215" t="n">
        <v>0.17</v>
      </c>
      <c r="H179" s="215" t="n">
        <v>0.1775</v>
      </c>
      <c r="I179" s="239" t="n">
        <v>4.455</v>
      </c>
      <c r="J179" s="215" t="n">
        <v>4.46</v>
      </c>
      <c r="K179" s="215" t="n">
        <v>4.465</v>
      </c>
      <c r="L179" s="215" t="n">
        <v>0.5</v>
      </c>
      <c r="M179" s="215" t="n">
        <v>0.04</v>
      </c>
      <c r="O179" s="211"/>
      <c r="P179" s="260"/>
      <c r="Q179" s="260"/>
      <c r="R179" s="261" t="e">
        <f aca="false">B179</f>
        <v>#VALUE!</v>
      </c>
      <c r="S179" s="262" t="n">
        <f aca="false">T179-$S$16</f>
        <v>0.53</v>
      </c>
      <c r="T179" s="257" t="n">
        <f aca="false">D179</f>
        <v>0.6</v>
      </c>
      <c r="U179" s="263" t="n">
        <f aca="false">$U$16+T179</f>
        <v>0.67</v>
      </c>
      <c r="BP179" s="226" t="n">
        <f aca="false">BP178+BV179</f>
        <v>178</v>
      </c>
      <c r="BQ179" s="227" t="s">
        <v>990</v>
      </c>
      <c r="BR179" s="224" t="s">
        <v>226</v>
      </c>
      <c r="BS179" s="154" t="s">
        <v>359</v>
      </c>
      <c r="BT179" s="230" t="s">
        <v>228</v>
      </c>
      <c r="BU179" s="230"/>
      <c r="BV179" s="154" t="n">
        <v>1</v>
      </c>
      <c r="BW179" s="224" t="s">
        <v>991</v>
      </c>
      <c r="BX179" s="0"/>
      <c r="BZ179" s="226" t="n">
        <f aca="false">BZ178+CF179</f>
        <v>178</v>
      </c>
      <c r="CA179" s="84" t="s">
        <v>992</v>
      </c>
      <c r="CB179" s="224" t="s">
        <v>230</v>
      </c>
      <c r="CC179" s="154" t="s">
        <v>227</v>
      </c>
      <c r="CD179" s="230" t="s">
        <v>228</v>
      </c>
      <c r="CE179" s="230"/>
      <c r="CF179" s="154" t="n">
        <v>1</v>
      </c>
      <c r="CG179" s="224" t="s">
        <v>993</v>
      </c>
      <c r="CH179" s="0"/>
    </row>
    <row r="180" customFormat="false" ht="12.75" hidden="false" customHeight="false" outlineLevel="0" collapsed="false">
      <c r="A180" s="258"/>
      <c r="B180" s="259" t="e">
        <f aca="false">NextMonth(B179)</f>
        <v>#VALUE!</v>
      </c>
      <c r="C180" s="215" t="n">
        <v>0.061440140727704</v>
      </c>
      <c r="D180" s="215" t="n">
        <v>0.6</v>
      </c>
      <c r="E180" s="215" t="n">
        <v>0.6</v>
      </c>
      <c r="F180" s="215" t="n">
        <v>0.1625</v>
      </c>
      <c r="G180" s="215" t="n">
        <v>0.17</v>
      </c>
      <c r="H180" s="215" t="n">
        <v>0.1775</v>
      </c>
      <c r="I180" s="239" t="n">
        <v>4.476</v>
      </c>
      <c r="J180" s="215" t="n">
        <v>4.481</v>
      </c>
      <c r="K180" s="215" t="n">
        <v>4.486</v>
      </c>
      <c r="L180" s="215" t="n">
        <v>0.46</v>
      </c>
      <c r="M180" s="215" t="n">
        <v>0.04</v>
      </c>
      <c r="O180" s="211"/>
      <c r="P180" s="260"/>
      <c r="Q180" s="260"/>
      <c r="R180" s="261" t="e">
        <f aca="false">B180</f>
        <v>#VALUE!</v>
      </c>
      <c r="S180" s="262" t="n">
        <f aca="false">T180-$S$16</f>
        <v>0.53</v>
      </c>
      <c r="T180" s="257" t="n">
        <f aca="false">D180</f>
        <v>0.6</v>
      </c>
      <c r="U180" s="263" t="n">
        <f aca="false">$U$16+T180</f>
        <v>0.67</v>
      </c>
      <c r="BP180" s="226" t="n">
        <f aca="false">BP179+BV180</f>
        <v>179</v>
      </c>
      <c r="BQ180" s="227" t="s">
        <v>994</v>
      </c>
      <c r="BR180" s="224" t="s">
        <v>226</v>
      </c>
      <c r="BS180" s="154" t="s">
        <v>359</v>
      </c>
      <c r="BT180" s="230" t="s">
        <v>228</v>
      </c>
      <c r="BU180" s="230"/>
      <c r="BV180" s="154" t="n">
        <v>1</v>
      </c>
      <c r="BW180" s="224" t="s">
        <v>995</v>
      </c>
      <c r="BX180" s="0"/>
      <c r="BZ180" s="226" t="n">
        <f aca="false">BZ179+CF180</f>
        <v>179</v>
      </c>
      <c r="CA180" s="84" t="s">
        <v>996</v>
      </c>
      <c r="CB180" s="224" t="s">
        <v>230</v>
      </c>
      <c r="CC180" s="154" t="s">
        <v>227</v>
      </c>
      <c r="CD180" s="230" t="s">
        <v>228</v>
      </c>
      <c r="CE180" s="230"/>
      <c r="CF180" s="154" t="n">
        <v>1</v>
      </c>
      <c r="CG180" s="224" t="s">
        <v>997</v>
      </c>
      <c r="CH180" s="0"/>
    </row>
    <row r="181" customFormat="false" ht="12.75" hidden="false" customHeight="false" outlineLevel="0" collapsed="false">
      <c r="A181" s="258"/>
      <c r="B181" s="259" t="e">
        <f aca="false">NextMonth(B180)</f>
        <v>#VALUE!</v>
      </c>
      <c r="C181" s="215" t="n">
        <v>0.061463855809319</v>
      </c>
      <c r="D181" s="215" t="n">
        <v>0.65</v>
      </c>
      <c r="E181" s="215" t="n">
        <v>0.65</v>
      </c>
      <c r="F181" s="215" t="n">
        <v>0.1625</v>
      </c>
      <c r="G181" s="215" t="n">
        <v>0.17</v>
      </c>
      <c r="H181" s="215" t="n">
        <v>0.1775</v>
      </c>
      <c r="I181" s="239" t="n">
        <v>4.506</v>
      </c>
      <c r="J181" s="215" t="n">
        <v>4.511</v>
      </c>
      <c r="K181" s="215" t="n">
        <v>4.516</v>
      </c>
      <c r="L181" s="215" t="n">
        <v>0.47</v>
      </c>
      <c r="M181" s="215" t="n">
        <v>0.04</v>
      </c>
      <c r="O181" s="211"/>
      <c r="P181" s="260"/>
      <c r="Q181" s="260"/>
      <c r="R181" s="261" t="e">
        <f aca="false">B181</f>
        <v>#VALUE!</v>
      </c>
      <c r="S181" s="262" t="n">
        <f aca="false">T181-$S$16</f>
        <v>0.58</v>
      </c>
      <c r="T181" s="257" t="n">
        <f aca="false">D181</f>
        <v>0.65</v>
      </c>
      <c r="U181" s="263" t="n">
        <f aca="false">$U$16+T181</f>
        <v>0.72</v>
      </c>
      <c r="BP181" s="226" t="n">
        <f aca="false">BP180+BV181</f>
        <v>180</v>
      </c>
      <c r="BQ181" s="227" t="s">
        <v>998</v>
      </c>
      <c r="BR181" s="224" t="s">
        <v>226</v>
      </c>
      <c r="BS181" s="154" t="s">
        <v>359</v>
      </c>
      <c r="BT181" s="230" t="s">
        <v>228</v>
      </c>
      <c r="BU181" s="230"/>
      <c r="BV181" s="154" t="n">
        <v>1</v>
      </c>
      <c r="BW181" s="224" t="s">
        <v>999</v>
      </c>
      <c r="BX181" s="0"/>
      <c r="BZ181" s="226" t="n">
        <f aca="false">BZ180+CF181</f>
        <v>180</v>
      </c>
      <c r="CA181" s="84" t="s">
        <v>1000</v>
      </c>
      <c r="CB181" s="224" t="s">
        <v>230</v>
      </c>
      <c r="CC181" s="154" t="s">
        <v>227</v>
      </c>
      <c r="CD181" s="230" t="s">
        <v>228</v>
      </c>
      <c r="CE181" s="230"/>
      <c r="CF181" s="154" t="n">
        <v>1</v>
      </c>
      <c r="CG181" s="224" t="s">
        <v>1001</v>
      </c>
      <c r="CH181" s="0"/>
    </row>
    <row r="182" customFormat="false" ht="12.75" hidden="false" customHeight="false" outlineLevel="0" collapsed="false">
      <c r="A182" s="258"/>
      <c r="B182" s="259" t="e">
        <f aca="false">NextMonth(B181)</f>
        <v>#VALUE!</v>
      </c>
      <c r="C182" s="215" t="n">
        <v>0.06148836139385</v>
      </c>
      <c r="D182" s="215" t="n">
        <v>0.95</v>
      </c>
      <c r="E182" s="215" t="n">
        <v>0.95</v>
      </c>
      <c r="F182" s="215" t="n">
        <v>0.1625</v>
      </c>
      <c r="G182" s="215" t="n">
        <v>0.17</v>
      </c>
      <c r="H182" s="215" t="n">
        <v>0.1775</v>
      </c>
      <c r="I182" s="239" t="n">
        <v>4.646</v>
      </c>
      <c r="J182" s="215" t="n">
        <v>4.651</v>
      </c>
      <c r="K182" s="215" t="n">
        <v>4.656</v>
      </c>
      <c r="L182" s="215" t="n">
        <v>0.86</v>
      </c>
      <c r="M182" s="215" t="n">
        <v>0.04</v>
      </c>
      <c r="O182" s="211"/>
      <c r="P182" s="260"/>
      <c r="Q182" s="260"/>
      <c r="R182" s="261" t="e">
        <f aca="false">B182</f>
        <v>#VALUE!</v>
      </c>
      <c r="S182" s="262" t="n">
        <f aca="false">T182-$S$16</f>
        <v>0.88</v>
      </c>
      <c r="T182" s="257" t="n">
        <f aca="false">D182</f>
        <v>0.95</v>
      </c>
      <c r="U182" s="263" t="n">
        <f aca="false">$U$16+T182</f>
        <v>1.02</v>
      </c>
      <c r="BP182" s="226" t="n">
        <f aca="false">BP181+BV182</f>
        <v>181</v>
      </c>
      <c r="BQ182" s="227" t="s">
        <v>1002</v>
      </c>
      <c r="BR182" s="224" t="s">
        <v>226</v>
      </c>
      <c r="BS182" s="154" t="s">
        <v>359</v>
      </c>
      <c r="BT182" s="230" t="s">
        <v>228</v>
      </c>
      <c r="BU182" s="230"/>
      <c r="BV182" s="154" t="n">
        <v>1</v>
      </c>
      <c r="BW182" s="224" t="s">
        <v>1003</v>
      </c>
      <c r="BX182" s="0"/>
      <c r="BZ182" s="226" t="n">
        <f aca="false">BZ181+CF182</f>
        <v>181</v>
      </c>
      <c r="CA182" s="84" t="s">
        <v>1004</v>
      </c>
      <c r="CB182" s="224" t="s">
        <v>230</v>
      </c>
      <c r="CC182" s="154" t="s">
        <v>227</v>
      </c>
      <c r="CD182" s="230" t="s">
        <v>228</v>
      </c>
      <c r="CE182" s="230"/>
      <c r="CF182" s="154" t="n">
        <v>1</v>
      </c>
      <c r="CG182" s="224" t="s">
        <v>1005</v>
      </c>
      <c r="CH182" s="0"/>
    </row>
    <row r="183" customFormat="false" ht="12.75" hidden="false" customHeight="false" outlineLevel="0" collapsed="false">
      <c r="A183" s="258"/>
      <c r="B183" s="259" t="e">
        <f aca="false">NextMonth(B182)</f>
        <v>#VALUE!</v>
      </c>
      <c r="C183" s="215" t="n">
        <v>0.061512076475844</v>
      </c>
      <c r="D183" s="215" t="n">
        <v>1.25</v>
      </c>
      <c r="E183" s="215" t="n">
        <v>1.25</v>
      </c>
      <c r="F183" s="215" t="n">
        <v>0.1625</v>
      </c>
      <c r="G183" s="215" t="n">
        <v>0.17</v>
      </c>
      <c r="H183" s="215" t="n">
        <v>0.1775</v>
      </c>
      <c r="I183" s="239" t="n">
        <v>4.771</v>
      </c>
      <c r="J183" s="215" t="n">
        <v>4.776</v>
      </c>
      <c r="K183" s="215" t="n">
        <v>4.781</v>
      </c>
      <c r="L183" s="215" t="n">
        <v>1.28</v>
      </c>
      <c r="M183" s="215" t="n">
        <v>0.04</v>
      </c>
      <c r="O183" s="211"/>
      <c r="P183" s="260"/>
      <c r="Q183" s="260"/>
      <c r="R183" s="261" t="e">
        <f aca="false">B183</f>
        <v>#VALUE!</v>
      </c>
      <c r="S183" s="262" t="n">
        <f aca="false">T183-$S$16</f>
        <v>1.18</v>
      </c>
      <c r="T183" s="257" t="n">
        <f aca="false">D183</f>
        <v>1.25</v>
      </c>
      <c r="U183" s="263" t="n">
        <f aca="false">$U$16+T183</f>
        <v>1.32</v>
      </c>
      <c r="BP183" s="226" t="n">
        <f aca="false">BP182+BV183</f>
        <v>182</v>
      </c>
      <c r="BQ183" s="227" t="s">
        <v>1006</v>
      </c>
      <c r="BR183" s="224" t="s">
        <v>226</v>
      </c>
      <c r="BS183" s="154" t="s">
        <v>359</v>
      </c>
      <c r="BT183" s="230" t="s">
        <v>228</v>
      </c>
      <c r="BU183" s="230"/>
      <c r="BV183" s="154" t="n">
        <v>1</v>
      </c>
      <c r="BW183" s="224" t="s">
        <v>1007</v>
      </c>
      <c r="BX183" s="0"/>
      <c r="BZ183" s="226" t="n">
        <f aca="false">BZ182+CF183</f>
        <v>182</v>
      </c>
      <c r="CA183" s="84" t="s">
        <v>1008</v>
      </c>
      <c r="CB183" s="224" t="s">
        <v>230</v>
      </c>
      <c r="CC183" s="154" t="s">
        <v>227</v>
      </c>
      <c r="CD183" s="230" t="s">
        <v>228</v>
      </c>
      <c r="CE183" s="230"/>
      <c r="CF183" s="154" t="n">
        <v>1</v>
      </c>
      <c r="CG183" s="224" t="s">
        <v>1009</v>
      </c>
      <c r="CH183" s="0"/>
    </row>
    <row r="184" customFormat="false" ht="12.75" hidden="false" customHeight="false" outlineLevel="0" collapsed="false">
      <c r="A184" s="258"/>
      <c r="B184" s="259" t="e">
        <f aca="false">NextMonth(B183)</f>
        <v>#VALUE!</v>
      </c>
      <c r="C184" s="215" t="n">
        <v>0.061536582060768</v>
      </c>
      <c r="D184" s="215" t="n">
        <v>1.45</v>
      </c>
      <c r="E184" s="215" t="n">
        <v>1.45</v>
      </c>
      <c r="F184" s="215" t="n">
        <v>0.1625</v>
      </c>
      <c r="G184" s="215" t="n">
        <v>0.17</v>
      </c>
      <c r="H184" s="215" t="n">
        <v>0.1775</v>
      </c>
      <c r="I184" s="239" t="n">
        <v>4.925</v>
      </c>
      <c r="J184" s="215" t="n">
        <v>4.93</v>
      </c>
      <c r="K184" s="215" t="n">
        <v>4.935</v>
      </c>
      <c r="L184" s="215" t="n">
        <v>1.61</v>
      </c>
      <c r="M184" s="215" t="n">
        <v>0.04</v>
      </c>
      <c r="O184" s="211"/>
      <c r="P184" s="260"/>
      <c r="Q184" s="260"/>
      <c r="R184" s="261" t="e">
        <f aca="false">B184</f>
        <v>#VALUE!</v>
      </c>
      <c r="S184" s="262" t="n">
        <f aca="false">T184-$S$16</f>
        <v>1.38</v>
      </c>
      <c r="T184" s="257" t="n">
        <f aca="false">D184</f>
        <v>1.45</v>
      </c>
      <c r="U184" s="263" t="n">
        <f aca="false">$U$16+T184</f>
        <v>1.52</v>
      </c>
      <c r="BP184" s="226" t="n">
        <f aca="false">BP183+BV184</f>
        <v>183</v>
      </c>
      <c r="BQ184" s="227" t="s">
        <v>1010</v>
      </c>
      <c r="BR184" s="224" t="s">
        <v>226</v>
      </c>
      <c r="BS184" s="154" t="s">
        <v>359</v>
      </c>
      <c r="BT184" s="230" t="s">
        <v>228</v>
      </c>
      <c r="BU184" s="230"/>
      <c r="BV184" s="154" t="n">
        <v>1</v>
      </c>
      <c r="BW184" s="224" t="s">
        <v>1011</v>
      </c>
      <c r="BX184" s="0"/>
      <c r="BZ184" s="226" t="n">
        <f aca="false">BZ183+CF184</f>
        <v>183</v>
      </c>
      <c r="CA184" s="84" t="s">
        <v>1012</v>
      </c>
      <c r="CB184" s="224" t="s">
        <v>230</v>
      </c>
      <c r="CC184" s="154" t="s">
        <v>227</v>
      </c>
      <c r="CD184" s="230" t="s">
        <v>228</v>
      </c>
      <c r="CE184" s="230"/>
      <c r="CF184" s="154" t="n">
        <v>1</v>
      </c>
      <c r="CG184" s="224" t="s">
        <v>1013</v>
      </c>
      <c r="CH184" s="0"/>
    </row>
    <row r="185" customFormat="false" ht="12.75" hidden="false" customHeight="false" outlineLevel="0" collapsed="false">
      <c r="A185" s="258"/>
      <c r="B185" s="259" t="e">
        <f aca="false">NextMonth(B184)</f>
        <v>#VALUE!</v>
      </c>
      <c r="C185" s="215" t="n">
        <v>0.061561087645891</v>
      </c>
      <c r="D185" s="215" t="n">
        <v>1.45</v>
      </c>
      <c r="E185" s="215" t="n">
        <v>1.45</v>
      </c>
      <c r="F185" s="215" t="n">
        <v>0.1625</v>
      </c>
      <c r="G185" s="215" t="n">
        <v>0.17</v>
      </c>
      <c r="H185" s="215" t="n">
        <v>0.1775</v>
      </c>
      <c r="I185" s="239" t="n">
        <v>4.829</v>
      </c>
      <c r="J185" s="215" t="n">
        <v>4.834</v>
      </c>
      <c r="K185" s="215" t="n">
        <v>4.839</v>
      </c>
      <c r="L185" s="215" t="n">
        <v>1.57</v>
      </c>
      <c r="M185" s="215" t="n">
        <v>0.04</v>
      </c>
      <c r="O185" s="211"/>
      <c r="P185" s="260"/>
      <c r="Q185" s="260"/>
      <c r="R185" s="261" t="e">
        <f aca="false">B185</f>
        <v>#VALUE!</v>
      </c>
      <c r="S185" s="262" t="n">
        <f aca="false">T185-$S$16</f>
        <v>1.38</v>
      </c>
      <c r="T185" s="257" t="n">
        <f aca="false">D185</f>
        <v>1.45</v>
      </c>
      <c r="U185" s="263" t="n">
        <f aca="false">$U$16+T185</f>
        <v>1.52</v>
      </c>
      <c r="BP185" s="226" t="n">
        <f aca="false">BP184+BV185</f>
        <v>184</v>
      </c>
      <c r="BQ185" s="227" t="s">
        <v>1014</v>
      </c>
      <c r="BR185" s="224" t="s">
        <v>226</v>
      </c>
      <c r="BS185" s="154" t="s">
        <v>359</v>
      </c>
      <c r="BT185" s="230" t="s">
        <v>228</v>
      </c>
      <c r="BU185" s="230"/>
      <c r="BV185" s="154" t="n">
        <v>1</v>
      </c>
      <c r="BW185" s="224" t="s">
        <v>1015</v>
      </c>
      <c r="BX185" s="0"/>
      <c r="BZ185" s="226" t="n">
        <f aca="false">BZ184+CF185</f>
        <v>184</v>
      </c>
      <c r="CA185" s="84" t="s">
        <v>1016</v>
      </c>
      <c r="CB185" s="224" t="s">
        <v>230</v>
      </c>
      <c r="CC185" s="154" t="s">
        <v>227</v>
      </c>
      <c r="CD185" s="230" t="s">
        <v>228</v>
      </c>
      <c r="CE185" s="230"/>
      <c r="CF185" s="154" t="n">
        <v>1</v>
      </c>
      <c r="CG185" s="224" t="s">
        <v>1017</v>
      </c>
      <c r="CH185" s="0"/>
    </row>
    <row r="186" customFormat="false" ht="12.75" hidden="false" customHeight="false" outlineLevel="0" collapsed="false">
      <c r="A186" s="258"/>
      <c r="B186" s="259" t="e">
        <f aca="false">NextMonth(B185)</f>
        <v>#VALUE!</v>
      </c>
      <c r="C186" s="215" t="n">
        <v>0.061583221722948</v>
      </c>
      <c r="D186" s="215" t="n">
        <v>1</v>
      </c>
      <c r="E186" s="215" t="n">
        <v>1</v>
      </c>
      <c r="F186" s="215" t="n">
        <v>0.1625</v>
      </c>
      <c r="G186" s="215" t="n">
        <v>0.17</v>
      </c>
      <c r="H186" s="215" t="n">
        <v>0.1775</v>
      </c>
      <c r="I186" s="239" t="n">
        <v>4.679</v>
      </c>
      <c r="J186" s="215" t="n">
        <v>4.684</v>
      </c>
      <c r="K186" s="215" t="n">
        <v>4.689</v>
      </c>
      <c r="L186" s="215" t="n">
        <v>0.93</v>
      </c>
      <c r="M186" s="215" t="n">
        <v>0.04</v>
      </c>
      <c r="O186" s="211"/>
      <c r="P186" s="260"/>
      <c r="Q186" s="260"/>
      <c r="R186" s="261" t="e">
        <f aca="false">B186</f>
        <v>#VALUE!</v>
      </c>
      <c r="S186" s="262" t="n">
        <f aca="false">T186-$S$16</f>
        <v>0.93</v>
      </c>
      <c r="T186" s="257" t="n">
        <f aca="false">D186</f>
        <v>1</v>
      </c>
      <c r="U186" s="263" t="n">
        <f aca="false">$U$16+T186</f>
        <v>1.07</v>
      </c>
      <c r="BP186" s="226" t="n">
        <f aca="false">BP185+BV186</f>
        <v>185</v>
      </c>
      <c r="BQ186" s="227" t="s">
        <v>1018</v>
      </c>
      <c r="BR186" s="224" t="s">
        <v>226</v>
      </c>
      <c r="BS186" s="154" t="s">
        <v>359</v>
      </c>
      <c r="BT186" s="230" t="s">
        <v>228</v>
      </c>
      <c r="BU186" s="230"/>
      <c r="BV186" s="154" t="n">
        <v>1</v>
      </c>
      <c r="BW186" s="224" t="s">
        <v>1019</v>
      </c>
      <c r="BX186" s="0"/>
      <c r="BZ186" s="226" t="n">
        <f aca="false">BZ185+CF186</f>
        <v>185</v>
      </c>
      <c r="CA186" s="84" t="s">
        <v>1020</v>
      </c>
      <c r="CB186" s="224" t="s">
        <v>230</v>
      </c>
      <c r="CC186" s="154" t="s">
        <v>227</v>
      </c>
      <c r="CD186" s="230" t="s">
        <v>228</v>
      </c>
      <c r="CE186" s="230"/>
      <c r="CF186" s="154" t="n">
        <v>1</v>
      </c>
      <c r="CG186" s="224" t="s">
        <v>1021</v>
      </c>
      <c r="CH186" s="0"/>
    </row>
    <row r="187" customFormat="false" ht="12.75" hidden="false" customHeight="false" outlineLevel="0" collapsed="false">
      <c r="A187" s="258"/>
      <c r="B187" s="259" t="e">
        <f aca="false">NextMonth(B186)</f>
        <v>#VALUE!</v>
      </c>
      <c r="C187" s="215" t="n">
        <v>0.061607727308451</v>
      </c>
      <c r="D187" s="215" t="n">
        <v>0.45</v>
      </c>
      <c r="E187" s="215" t="n">
        <v>0.45</v>
      </c>
      <c r="F187" s="215" t="n">
        <v>0.1625</v>
      </c>
      <c r="G187" s="215" t="n">
        <v>0.17</v>
      </c>
      <c r="H187" s="215" t="n">
        <v>0.1775</v>
      </c>
      <c r="I187" s="239" t="n">
        <v>4.496</v>
      </c>
      <c r="J187" s="215" t="n">
        <v>4.501</v>
      </c>
      <c r="K187" s="215" t="n">
        <v>4.506</v>
      </c>
      <c r="L187" s="215" t="n">
        <v>0.5</v>
      </c>
      <c r="M187" s="215" t="n">
        <v>0.04</v>
      </c>
      <c r="O187" s="211"/>
      <c r="P187" s="260"/>
      <c r="Q187" s="260"/>
      <c r="R187" s="261" t="e">
        <f aca="false">B187</f>
        <v>#VALUE!</v>
      </c>
      <c r="S187" s="262" t="n">
        <f aca="false">T187-$S$16</f>
        <v>0.38</v>
      </c>
      <c r="T187" s="257" t="n">
        <f aca="false">D187</f>
        <v>0.45</v>
      </c>
      <c r="U187" s="263" t="n">
        <f aca="false">$U$16+T187</f>
        <v>0.52</v>
      </c>
      <c r="BP187" s="226" t="n">
        <f aca="false">BP186+BV187</f>
        <v>186</v>
      </c>
      <c r="BQ187" s="227" t="s">
        <v>1022</v>
      </c>
      <c r="BR187" s="224" t="s">
        <v>226</v>
      </c>
      <c r="BS187" s="154" t="s">
        <v>359</v>
      </c>
      <c r="BT187" s="230" t="s">
        <v>228</v>
      </c>
      <c r="BU187" s="230"/>
      <c r="BV187" s="154" t="n">
        <v>1</v>
      </c>
      <c r="BW187" s="224" t="s">
        <v>1023</v>
      </c>
      <c r="BX187" s="0"/>
    </row>
    <row r="188" customFormat="false" ht="12.75" hidden="false" customHeight="false" outlineLevel="0" collapsed="false">
      <c r="A188" s="258"/>
      <c r="B188" s="259" t="e">
        <f aca="false">NextMonth(B187)</f>
        <v>#VALUE!</v>
      </c>
      <c r="C188" s="215" t="n">
        <v>0.061631442391386</v>
      </c>
      <c r="D188" s="215" t="n">
        <v>0.5</v>
      </c>
      <c r="E188" s="215" t="n">
        <v>0.5</v>
      </c>
      <c r="F188" s="215" t="n">
        <v>0.1625</v>
      </c>
      <c r="G188" s="215" t="n">
        <v>0.17</v>
      </c>
      <c r="H188" s="215" t="n">
        <v>0.1775</v>
      </c>
      <c r="I188" s="239" t="n">
        <v>4.471</v>
      </c>
      <c r="J188" s="215" t="n">
        <v>4.476</v>
      </c>
      <c r="K188" s="215" t="n">
        <v>4.481</v>
      </c>
      <c r="L188" s="215" t="n">
        <v>0.44</v>
      </c>
      <c r="M188" s="215" t="n">
        <v>0.04</v>
      </c>
      <c r="O188" s="211"/>
      <c r="P188" s="260"/>
      <c r="Q188" s="260"/>
      <c r="R188" s="261" t="e">
        <f aca="false">B188</f>
        <v>#VALUE!</v>
      </c>
      <c r="S188" s="262" t="n">
        <f aca="false">T188-$S$16</f>
        <v>0.43</v>
      </c>
      <c r="T188" s="257" t="n">
        <f aca="false">D188</f>
        <v>0.5</v>
      </c>
      <c r="U188" s="263" t="n">
        <f aca="false">$U$16+T188</f>
        <v>0.57</v>
      </c>
      <c r="BP188" s="226" t="n">
        <f aca="false">BP187+BV188</f>
        <v>187</v>
      </c>
      <c r="BQ188" s="227" t="s">
        <v>1024</v>
      </c>
      <c r="BR188" s="224" t="s">
        <v>226</v>
      </c>
      <c r="BS188" s="154" t="s">
        <v>359</v>
      </c>
      <c r="BT188" s="230" t="s">
        <v>228</v>
      </c>
      <c r="BU188" s="230"/>
      <c r="BV188" s="154" t="n">
        <v>1</v>
      </c>
      <c r="BW188" s="224" t="s">
        <v>1025</v>
      </c>
      <c r="BX188" s="0"/>
    </row>
    <row r="189" customFormat="false" ht="12.75" hidden="false" customHeight="false" outlineLevel="0" collapsed="false">
      <c r="A189" s="258"/>
      <c r="B189" s="259" t="e">
        <f aca="false">NextMonth(B188)</f>
        <v>#VALUE!</v>
      </c>
      <c r="C189" s="215" t="n">
        <v>0.06165594797728</v>
      </c>
      <c r="D189" s="215" t="n">
        <v>0.5</v>
      </c>
      <c r="E189" s="215" t="n">
        <v>0.5</v>
      </c>
      <c r="F189" s="215" t="n">
        <v>0.1625</v>
      </c>
      <c r="G189" s="215" t="n">
        <v>0.17</v>
      </c>
      <c r="H189" s="215" t="n">
        <v>0.1775</v>
      </c>
      <c r="I189" s="239" t="n">
        <v>4.5</v>
      </c>
      <c r="J189" s="215" t="n">
        <v>4.505</v>
      </c>
      <c r="K189" s="215" t="n">
        <v>4.51</v>
      </c>
      <c r="L189" s="215" t="n">
        <v>0.44</v>
      </c>
      <c r="M189" s="215" t="n">
        <v>0.04</v>
      </c>
      <c r="O189" s="211"/>
      <c r="P189" s="260"/>
      <c r="Q189" s="260"/>
      <c r="R189" s="261" t="e">
        <f aca="false">B189</f>
        <v>#VALUE!</v>
      </c>
      <c r="S189" s="262" t="n">
        <f aca="false">T189-$S$16</f>
        <v>0.43</v>
      </c>
      <c r="T189" s="257" t="n">
        <f aca="false">D189</f>
        <v>0.5</v>
      </c>
      <c r="U189" s="263" t="n">
        <f aca="false">$U$16+T189</f>
        <v>0.57</v>
      </c>
      <c r="BP189" s="226" t="n">
        <f aca="false">BP188+BV189</f>
        <v>188</v>
      </c>
      <c r="BQ189" s="227" t="s">
        <v>1026</v>
      </c>
      <c r="BR189" s="224" t="s">
        <v>226</v>
      </c>
      <c r="BS189" s="154" t="s">
        <v>359</v>
      </c>
      <c r="BT189" s="230" t="s">
        <v>228</v>
      </c>
      <c r="BU189" s="230"/>
      <c r="BV189" s="154" t="n">
        <v>1</v>
      </c>
      <c r="BW189" s="224" t="s">
        <v>1027</v>
      </c>
      <c r="BX189" s="0"/>
    </row>
    <row r="190" customFormat="false" ht="12.75" hidden="false" customHeight="false" outlineLevel="0" collapsed="false">
      <c r="A190" s="258"/>
      <c r="B190" s="259" t="e">
        <f aca="false">NextMonth(B189)</f>
        <v>#VALUE!</v>
      </c>
      <c r="C190" s="215" t="n">
        <v>0.061679663060594</v>
      </c>
      <c r="D190" s="215" t="n">
        <v>0.5</v>
      </c>
      <c r="E190" s="215" t="n">
        <v>0.5</v>
      </c>
      <c r="F190" s="215" t="n">
        <v>0.1625</v>
      </c>
      <c r="G190" s="215" t="n">
        <v>0.17</v>
      </c>
      <c r="H190" s="215" t="n">
        <v>0.1775</v>
      </c>
      <c r="I190" s="239" t="n">
        <v>4.53</v>
      </c>
      <c r="J190" s="215" t="n">
        <v>4.535</v>
      </c>
      <c r="K190" s="215" t="n">
        <v>4.54</v>
      </c>
      <c r="L190" s="215" t="n">
        <v>0.5</v>
      </c>
      <c r="M190" s="215" t="n">
        <v>0.04</v>
      </c>
      <c r="O190" s="211"/>
      <c r="P190" s="260"/>
      <c r="Q190" s="260"/>
      <c r="R190" s="261" t="e">
        <f aca="false">B190</f>
        <v>#VALUE!</v>
      </c>
      <c r="S190" s="262" t="n">
        <f aca="false">T190-$S$16</f>
        <v>0.43</v>
      </c>
      <c r="T190" s="257" t="n">
        <f aca="false">D190</f>
        <v>0.5</v>
      </c>
      <c r="U190" s="263" t="n">
        <f aca="false">$U$16+T190</f>
        <v>0.57</v>
      </c>
      <c r="BP190" s="226" t="n">
        <f aca="false">BP189+BV190</f>
        <v>189</v>
      </c>
      <c r="BQ190" s="227" t="s">
        <v>1028</v>
      </c>
      <c r="BR190" s="224" t="s">
        <v>226</v>
      </c>
      <c r="BS190" s="154" t="s">
        <v>359</v>
      </c>
      <c r="BT190" s="230" t="s">
        <v>228</v>
      </c>
      <c r="BU190" s="230"/>
      <c r="BV190" s="154" t="n">
        <v>1</v>
      </c>
      <c r="BW190" s="224" t="s">
        <v>1029</v>
      </c>
      <c r="BX190" s="0"/>
    </row>
    <row r="191" customFormat="false" ht="12.75" hidden="false" customHeight="false" outlineLevel="0" collapsed="false">
      <c r="A191" s="258"/>
      <c r="B191" s="259" t="e">
        <f aca="false">NextMonth(B190)</f>
        <v>#VALUE!</v>
      </c>
      <c r="C191" s="215" t="n">
        <v>0.061704168646881</v>
      </c>
      <c r="D191" s="215" t="n">
        <v>0.6</v>
      </c>
      <c r="E191" s="215" t="n">
        <v>0.6</v>
      </c>
      <c r="F191" s="215" t="n">
        <v>0.1625</v>
      </c>
      <c r="G191" s="215" t="n">
        <v>0.17</v>
      </c>
      <c r="H191" s="215" t="n">
        <v>0.1775</v>
      </c>
      <c r="I191" s="239" t="n">
        <v>4.55</v>
      </c>
      <c r="J191" s="215" t="n">
        <v>4.555</v>
      </c>
      <c r="K191" s="215" t="n">
        <v>4.56</v>
      </c>
      <c r="L191" s="215" t="n">
        <v>0.5</v>
      </c>
      <c r="M191" s="215" t="n">
        <v>0.03</v>
      </c>
      <c r="O191" s="211"/>
      <c r="P191" s="260"/>
      <c r="Q191" s="260"/>
      <c r="R191" s="261" t="e">
        <f aca="false">B191</f>
        <v>#VALUE!</v>
      </c>
      <c r="S191" s="262" t="n">
        <f aca="false">T191-$S$16</f>
        <v>0.53</v>
      </c>
      <c r="T191" s="257" t="n">
        <f aca="false">D191</f>
        <v>0.6</v>
      </c>
      <c r="U191" s="263" t="n">
        <f aca="false">$U$16+T191</f>
        <v>0.67</v>
      </c>
      <c r="BP191" s="226" t="n">
        <f aca="false">BP190+BV191</f>
        <v>190</v>
      </c>
      <c r="BQ191" s="227" t="s">
        <v>1030</v>
      </c>
      <c r="BR191" s="224" t="s">
        <v>226</v>
      </c>
      <c r="BS191" s="154" t="s">
        <v>359</v>
      </c>
      <c r="BT191" s="230" t="s">
        <v>228</v>
      </c>
      <c r="BU191" s="230"/>
      <c r="BV191" s="154" t="n">
        <v>1</v>
      </c>
      <c r="BW191" s="224" t="s">
        <v>1031</v>
      </c>
      <c r="BX191" s="0"/>
    </row>
    <row r="192" customFormat="false" ht="12.75" hidden="false" customHeight="false" outlineLevel="0" collapsed="false">
      <c r="A192" s="258"/>
      <c r="B192" s="259" t="e">
        <f aca="false">NextMonth(B191)</f>
        <v>#VALUE!</v>
      </c>
      <c r="C192" s="215" t="n">
        <v>0.061728674233368</v>
      </c>
      <c r="D192" s="215" t="n">
        <v>0.6</v>
      </c>
      <c r="E192" s="215" t="n">
        <v>0.6</v>
      </c>
      <c r="F192" s="215" t="n">
        <v>0.1625</v>
      </c>
      <c r="G192" s="215" t="n">
        <v>0.17</v>
      </c>
      <c r="H192" s="215" t="n">
        <v>0.1775</v>
      </c>
      <c r="I192" s="239" t="n">
        <v>4.571</v>
      </c>
      <c r="J192" s="215" t="n">
        <v>4.576</v>
      </c>
      <c r="K192" s="215" t="n">
        <v>4.581</v>
      </c>
      <c r="L192" s="215" t="n">
        <v>0.46</v>
      </c>
      <c r="M192" s="215" t="n">
        <v>0.03</v>
      </c>
      <c r="O192" s="211"/>
      <c r="P192" s="260"/>
      <c r="Q192" s="260"/>
      <c r="R192" s="261" t="e">
        <f aca="false">B192</f>
        <v>#VALUE!</v>
      </c>
      <c r="S192" s="262" t="n">
        <f aca="false">T192-$S$16</f>
        <v>0.53</v>
      </c>
      <c r="T192" s="257" t="n">
        <f aca="false">D192</f>
        <v>0.6</v>
      </c>
      <c r="U192" s="263" t="n">
        <f aca="false">$U$16+T192</f>
        <v>0.67</v>
      </c>
      <c r="BP192" s="226" t="n">
        <f aca="false">BP191+BV192</f>
        <v>191</v>
      </c>
      <c r="BQ192" s="227" t="s">
        <v>1032</v>
      </c>
      <c r="BR192" s="224" t="s">
        <v>226</v>
      </c>
      <c r="BS192" s="154" t="s">
        <v>359</v>
      </c>
      <c r="BT192" s="230" t="s">
        <v>228</v>
      </c>
      <c r="BU192" s="230"/>
      <c r="BV192" s="154" t="n">
        <v>1</v>
      </c>
      <c r="BW192" s="224" t="s">
        <v>1033</v>
      </c>
      <c r="BX192" s="0"/>
    </row>
    <row r="193" customFormat="false" ht="12.75" hidden="false" customHeight="false" outlineLevel="0" collapsed="false">
      <c r="A193" s="258"/>
      <c r="B193" s="259" t="e">
        <f aca="false">NextMonth(B192)</f>
        <v>#VALUE!</v>
      </c>
      <c r="C193" s="215" t="n">
        <v>0.061752389317255</v>
      </c>
      <c r="D193" s="215" t="n">
        <v>0.65</v>
      </c>
      <c r="E193" s="215" t="n">
        <v>0.65</v>
      </c>
      <c r="F193" s="215" t="n">
        <v>0.1625</v>
      </c>
      <c r="G193" s="215" t="n">
        <v>0.17</v>
      </c>
      <c r="H193" s="215" t="n">
        <v>0.1775</v>
      </c>
      <c r="I193" s="239" t="n">
        <v>4.601</v>
      </c>
      <c r="J193" s="215" t="n">
        <v>4.606</v>
      </c>
      <c r="K193" s="215" t="n">
        <v>4.611</v>
      </c>
      <c r="L193" s="215" t="n">
        <v>0.47</v>
      </c>
      <c r="M193" s="215" t="n">
        <v>0.03</v>
      </c>
      <c r="O193" s="211"/>
      <c r="P193" s="260"/>
      <c r="Q193" s="260"/>
      <c r="R193" s="261" t="e">
        <f aca="false">B193</f>
        <v>#VALUE!</v>
      </c>
      <c r="S193" s="262" t="n">
        <f aca="false">T193-$S$16</f>
        <v>0.58</v>
      </c>
      <c r="T193" s="257" t="n">
        <f aca="false">D193</f>
        <v>0.65</v>
      </c>
      <c r="U193" s="263" t="n">
        <f aca="false">$U$16+T193</f>
        <v>0.72</v>
      </c>
      <c r="BP193" s="226" t="n">
        <f aca="false">BP192+BV193</f>
        <v>192</v>
      </c>
      <c r="BQ193" s="227" t="s">
        <v>1034</v>
      </c>
      <c r="BR193" s="224" t="s">
        <v>226</v>
      </c>
      <c r="BS193" s="154" t="s">
        <v>359</v>
      </c>
      <c r="BT193" s="230" t="s">
        <v>228</v>
      </c>
      <c r="BU193" s="230"/>
      <c r="BV193" s="154" t="n">
        <v>1</v>
      </c>
      <c r="BW193" s="224" t="s">
        <v>1035</v>
      </c>
      <c r="BX193" s="0"/>
    </row>
    <row r="194" customFormat="false" ht="12.75" hidden="false" customHeight="false" outlineLevel="0" collapsed="false">
      <c r="A194" s="258"/>
      <c r="B194" s="259" t="e">
        <f aca="false">NextMonth(B193)</f>
        <v>#VALUE!</v>
      </c>
      <c r="C194" s="215" t="n">
        <v>0.061776894904134</v>
      </c>
      <c r="D194" s="215" t="n">
        <v>0.95</v>
      </c>
      <c r="E194" s="215" t="n">
        <v>0.95</v>
      </c>
      <c r="F194" s="215" t="n">
        <v>0.1625</v>
      </c>
      <c r="G194" s="215" t="n">
        <v>0.17</v>
      </c>
      <c r="H194" s="215" t="n">
        <v>0.1775</v>
      </c>
      <c r="I194" s="239" t="n">
        <v>4.741</v>
      </c>
      <c r="J194" s="215" t="n">
        <v>4.746</v>
      </c>
      <c r="K194" s="215" t="n">
        <v>4.751</v>
      </c>
      <c r="L194" s="215" t="n">
        <v>0.86</v>
      </c>
      <c r="M194" s="215" t="n">
        <v>0.03</v>
      </c>
      <c r="O194" s="211"/>
      <c r="P194" s="260"/>
      <c r="Q194" s="260"/>
      <c r="R194" s="261" t="e">
        <f aca="false">B194</f>
        <v>#VALUE!</v>
      </c>
      <c r="S194" s="262" t="n">
        <f aca="false">T194-$S$16</f>
        <v>0.88</v>
      </c>
      <c r="T194" s="257" t="n">
        <f aca="false">D194</f>
        <v>0.95</v>
      </c>
      <c r="U194" s="263" t="n">
        <f aca="false">$U$16+T194</f>
        <v>1.02</v>
      </c>
      <c r="BP194" s="226" t="n">
        <f aca="false">BP193+BV194</f>
        <v>193</v>
      </c>
      <c r="BQ194" s="227" t="s">
        <v>1036</v>
      </c>
      <c r="BR194" s="224" t="s">
        <v>226</v>
      </c>
      <c r="BS194" s="154" t="s">
        <v>359</v>
      </c>
      <c r="BT194" s="230" t="s">
        <v>228</v>
      </c>
      <c r="BU194" s="230"/>
      <c r="BV194" s="154" t="n">
        <v>1</v>
      </c>
      <c r="BW194" s="224" t="s">
        <v>1037</v>
      </c>
      <c r="BX194" s="0"/>
    </row>
    <row r="195" customFormat="false" ht="12.75" hidden="false" customHeight="false" outlineLevel="0" collapsed="false">
      <c r="A195" s="258"/>
      <c r="B195" s="259" t="e">
        <f aca="false">NextMonth(B194)</f>
        <v>#VALUE!</v>
      </c>
      <c r="C195" s="215" t="n">
        <v>0.061800609988399</v>
      </c>
      <c r="D195" s="215" t="n">
        <v>1.25</v>
      </c>
      <c r="E195" s="215" t="n">
        <v>1.25</v>
      </c>
      <c r="F195" s="215" t="n">
        <v>0.1625</v>
      </c>
      <c r="G195" s="215" t="n">
        <v>0.17</v>
      </c>
      <c r="H195" s="215" t="n">
        <v>0.1775</v>
      </c>
      <c r="I195" s="239" t="n">
        <v>4.866</v>
      </c>
      <c r="J195" s="215" t="n">
        <v>4.871</v>
      </c>
      <c r="K195" s="215" t="n">
        <v>4.876</v>
      </c>
      <c r="L195" s="215" t="n">
        <v>1.28</v>
      </c>
      <c r="M195" s="215" t="n">
        <v>0.03</v>
      </c>
      <c r="O195" s="211"/>
      <c r="P195" s="260"/>
      <c r="Q195" s="260"/>
      <c r="R195" s="261" t="e">
        <f aca="false">B195</f>
        <v>#VALUE!</v>
      </c>
      <c r="S195" s="262" t="n">
        <f aca="false">T195-$S$16</f>
        <v>1.18</v>
      </c>
      <c r="T195" s="257" t="n">
        <f aca="false">D195</f>
        <v>1.25</v>
      </c>
      <c r="U195" s="263" t="n">
        <f aca="false">$U$16+T195</f>
        <v>1.32</v>
      </c>
      <c r="BP195" s="226" t="n">
        <f aca="false">BP194+BV195</f>
        <v>194</v>
      </c>
      <c r="BQ195" s="227" t="s">
        <v>1038</v>
      </c>
      <c r="BR195" s="224" t="s">
        <v>226</v>
      </c>
      <c r="BS195" s="154" t="s">
        <v>359</v>
      </c>
      <c r="BT195" s="230" t="s">
        <v>228</v>
      </c>
      <c r="BU195" s="230"/>
      <c r="BV195" s="154" t="n">
        <v>1</v>
      </c>
      <c r="BW195" s="224" t="s">
        <v>1039</v>
      </c>
      <c r="BX195" s="0"/>
    </row>
    <row r="196" customFormat="false" ht="12.75" hidden="false" customHeight="false" outlineLevel="0" collapsed="false">
      <c r="A196" s="258"/>
      <c r="B196" s="259" t="e">
        <f aca="false">NextMonth(B195)</f>
        <v>#VALUE!</v>
      </c>
      <c r="C196" s="215" t="n">
        <v>0.061825115575671</v>
      </c>
      <c r="D196" s="215" t="n">
        <v>1.45</v>
      </c>
      <c r="E196" s="215" t="n">
        <v>1.45</v>
      </c>
      <c r="F196" s="215" t="n">
        <v>0.1625</v>
      </c>
      <c r="G196" s="215" t="n">
        <v>0.17</v>
      </c>
      <c r="H196" s="215" t="n">
        <v>0.1775</v>
      </c>
      <c r="I196" s="239" t="n">
        <v>5.025</v>
      </c>
      <c r="J196" s="215" t="n">
        <v>5.03</v>
      </c>
      <c r="K196" s="215" t="n">
        <v>5.035</v>
      </c>
      <c r="L196" s="215" t="n">
        <v>1.61</v>
      </c>
      <c r="M196" s="215" t="n">
        <v>0.03</v>
      </c>
      <c r="O196" s="211"/>
      <c r="P196" s="260"/>
      <c r="Q196" s="260"/>
      <c r="R196" s="261" t="e">
        <f aca="false">B196</f>
        <v>#VALUE!</v>
      </c>
      <c r="S196" s="262" t="n">
        <f aca="false">T196-$S$16</f>
        <v>1.38</v>
      </c>
      <c r="T196" s="257" t="n">
        <f aca="false">D196</f>
        <v>1.45</v>
      </c>
      <c r="U196" s="263" t="n">
        <f aca="false">$U$16+T196</f>
        <v>1.52</v>
      </c>
      <c r="BP196" s="226" t="n">
        <f aca="false">BP195+BV196</f>
        <v>195</v>
      </c>
      <c r="BQ196" s="227" t="s">
        <v>1040</v>
      </c>
      <c r="BR196" s="224" t="s">
        <v>226</v>
      </c>
      <c r="BS196" s="154" t="s">
        <v>359</v>
      </c>
      <c r="BT196" s="230" t="s">
        <v>228</v>
      </c>
      <c r="BU196" s="230"/>
      <c r="BV196" s="154" t="n">
        <v>1</v>
      </c>
      <c r="BW196" s="224" t="s">
        <v>1041</v>
      </c>
      <c r="BX196" s="0"/>
    </row>
    <row r="197" customFormat="false" ht="12.75" hidden="false" customHeight="false" outlineLevel="0" collapsed="false">
      <c r="A197" s="258"/>
      <c r="B197" s="259" t="e">
        <f aca="false">NextMonth(B196)</f>
        <v>#VALUE!</v>
      </c>
      <c r="C197" s="215" t="n">
        <v>0.061849621163141</v>
      </c>
      <c r="D197" s="215" t="n">
        <v>1.45</v>
      </c>
      <c r="E197" s="215" t="n">
        <v>1.45</v>
      </c>
      <c r="F197" s="215" t="n">
        <v>0.1625</v>
      </c>
      <c r="G197" s="215" t="n">
        <v>0.17</v>
      </c>
      <c r="H197" s="215" t="n">
        <v>0.1775</v>
      </c>
      <c r="I197" s="239" t="n">
        <v>4.929</v>
      </c>
      <c r="J197" s="215" t="n">
        <v>4.934</v>
      </c>
      <c r="K197" s="215" t="n">
        <v>4.939</v>
      </c>
      <c r="L197" s="215" t="n">
        <v>1.57</v>
      </c>
      <c r="M197" s="215" t="n">
        <v>0.03</v>
      </c>
      <c r="O197" s="211"/>
      <c r="P197" s="260"/>
      <c r="Q197" s="260"/>
      <c r="R197" s="261" t="e">
        <f aca="false">B197</f>
        <v>#VALUE!</v>
      </c>
      <c r="S197" s="262" t="n">
        <f aca="false">T197-$S$16</f>
        <v>1.38</v>
      </c>
      <c r="T197" s="257" t="n">
        <f aca="false">D197</f>
        <v>1.45</v>
      </c>
      <c r="U197" s="263" t="n">
        <f aca="false">$U$16+T197</f>
        <v>1.52</v>
      </c>
      <c r="BP197" s="226" t="n">
        <f aca="false">BP196+BV197</f>
        <v>196</v>
      </c>
      <c r="BQ197" s="227" t="s">
        <v>1042</v>
      </c>
      <c r="BR197" s="224" t="s">
        <v>226</v>
      </c>
      <c r="BS197" s="154" t="s">
        <v>359</v>
      </c>
      <c r="BT197" s="230" t="s">
        <v>228</v>
      </c>
      <c r="BU197" s="230"/>
      <c r="BV197" s="154" t="n">
        <v>1</v>
      </c>
      <c r="BW197" s="224" t="s">
        <v>1043</v>
      </c>
      <c r="BX197" s="0"/>
    </row>
    <row r="198" customFormat="false" ht="12.75" hidden="false" customHeight="false" outlineLevel="0" collapsed="false">
      <c r="A198" s="258"/>
      <c r="B198" s="259" t="e">
        <f aca="false">NextMonth(B197)</f>
        <v>#VALUE!</v>
      </c>
      <c r="C198" s="215" t="n">
        <v>0.061872545745149</v>
      </c>
      <c r="D198" s="215" t="n">
        <v>1</v>
      </c>
      <c r="E198" s="215" t="n">
        <v>1</v>
      </c>
      <c r="F198" s="215" t="n">
        <v>0.1625</v>
      </c>
      <c r="G198" s="215" t="n">
        <v>0.17</v>
      </c>
      <c r="H198" s="215" t="n">
        <v>0.1775</v>
      </c>
      <c r="I198" s="239" t="n">
        <v>4.779</v>
      </c>
      <c r="J198" s="215" t="n">
        <v>4.784</v>
      </c>
      <c r="K198" s="215" t="n">
        <v>4.789</v>
      </c>
      <c r="L198" s="215" t="n">
        <v>0.93</v>
      </c>
      <c r="M198" s="215" t="n">
        <v>0.03</v>
      </c>
      <c r="O198" s="211"/>
      <c r="P198" s="260"/>
      <c r="Q198" s="260"/>
      <c r="R198" s="261" t="e">
        <f aca="false">B198</f>
        <v>#VALUE!</v>
      </c>
      <c r="S198" s="262" t="n">
        <f aca="false">T198-$S$16</f>
        <v>0.93</v>
      </c>
      <c r="T198" s="257" t="n">
        <f aca="false">D198</f>
        <v>1</v>
      </c>
      <c r="U198" s="263" t="n">
        <f aca="false">$U$16+T198</f>
        <v>1.07</v>
      </c>
      <c r="BP198" s="226" t="n">
        <f aca="false">BP197+BV198</f>
        <v>197</v>
      </c>
      <c r="BQ198" s="227" t="s">
        <v>1044</v>
      </c>
      <c r="BR198" s="224" t="s">
        <v>226</v>
      </c>
      <c r="BS198" s="154" t="s">
        <v>359</v>
      </c>
      <c r="BT198" s="230" t="s">
        <v>228</v>
      </c>
      <c r="BU198" s="230"/>
      <c r="BV198" s="154" t="n">
        <v>1</v>
      </c>
      <c r="BW198" s="224" t="s">
        <v>1045</v>
      </c>
      <c r="BX198" s="0"/>
    </row>
    <row r="199" customFormat="false" ht="12.75" hidden="false" customHeight="false" outlineLevel="0" collapsed="false">
      <c r="A199" s="258"/>
      <c r="B199" s="259" t="e">
        <f aca="false">NextMonth(B198)</f>
        <v>#VALUE!</v>
      </c>
      <c r="C199" s="215" t="n">
        <v>0.061897051333005</v>
      </c>
      <c r="D199" s="215" t="n">
        <v>0.45</v>
      </c>
      <c r="E199" s="215" t="n">
        <v>0.45</v>
      </c>
      <c r="F199" s="215" t="n">
        <v>0.1625</v>
      </c>
      <c r="G199" s="215" t="n">
        <v>0.17</v>
      </c>
      <c r="H199" s="215" t="n">
        <v>0.1775</v>
      </c>
      <c r="I199" s="239" t="n">
        <v>4.596</v>
      </c>
      <c r="J199" s="215" t="n">
        <v>4.601</v>
      </c>
      <c r="K199" s="215" t="n">
        <v>4.606</v>
      </c>
      <c r="L199" s="215" t="n">
        <v>0.5</v>
      </c>
      <c r="M199" s="215" t="n">
        <v>0.03</v>
      </c>
      <c r="O199" s="211"/>
      <c r="P199" s="260"/>
      <c r="Q199" s="260"/>
      <c r="R199" s="261" t="e">
        <f aca="false">B199</f>
        <v>#VALUE!</v>
      </c>
      <c r="S199" s="262" t="n">
        <f aca="false">T199-$S$16</f>
        <v>0.38</v>
      </c>
      <c r="T199" s="257" t="n">
        <f aca="false">D199</f>
        <v>0.45</v>
      </c>
      <c r="U199" s="263" t="n">
        <f aca="false">$U$16+T199</f>
        <v>0.52</v>
      </c>
      <c r="BP199" s="226" t="n">
        <f aca="false">BP198+BV199</f>
        <v>198</v>
      </c>
      <c r="BQ199" s="227" t="s">
        <v>1046</v>
      </c>
      <c r="BR199" s="224" t="s">
        <v>226</v>
      </c>
      <c r="BS199" s="154" t="s">
        <v>359</v>
      </c>
      <c r="BT199" s="230" t="s">
        <v>228</v>
      </c>
      <c r="BU199" s="230"/>
      <c r="BV199" s="154" t="n">
        <v>1</v>
      </c>
      <c r="BW199" s="224" t="s">
        <v>1047</v>
      </c>
      <c r="BX199" s="0"/>
    </row>
    <row r="200" customFormat="false" ht="12.75" hidden="false" customHeight="false" outlineLevel="0" collapsed="false">
      <c r="A200" s="258"/>
      <c r="B200" s="259" t="e">
        <f aca="false">NextMonth(B199)</f>
        <v>#VALUE!</v>
      </c>
      <c r="C200" s="215" t="n">
        <v>0.061920766418217</v>
      </c>
      <c r="D200" s="215" t="n">
        <v>0.5</v>
      </c>
      <c r="E200" s="215" t="n">
        <v>0.5</v>
      </c>
      <c r="F200" s="215" t="n">
        <v>0.1625</v>
      </c>
      <c r="G200" s="215" t="n">
        <v>0.17</v>
      </c>
      <c r="H200" s="215" t="n">
        <v>0.1775</v>
      </c>
      <c r="I200" s="239" t="n">
        <v>4.571</v>
      </c>
      <c r="J200" s="215" t="n">
        <v>4.576</v>
      </c>
      <c r="K200" s="215" t="n">
        <v>4.581</v>
      </c>
      <c r="L200" s="215" t="n">
        <v>0.44</v>
      </c>
      <c r="M200" s="215" t="n">
        <v>0.03</v>
      </c>
      <c r="O200" s="211"/>
      <c r="P200" s="260"/>
      <c r="Q200" s="260"/>
      <c r="R200" s="261" t="e">
        <f aca="false">B200</f>
        <v>#VALUE!</v>
      </c>
      <c r="S200" s="262" t="n">
        <f aca="false">T200-$S$16</f>
        <v>0.43</v>
      </c>
      <c r="T200" s="257" t="n">
        <f aca="false">D200</f>
        <v>0.5</v>
      </c>
      <c r="U200" s="263" t="n">
        <f aca="false">$U$16+T200</f>
        <v>0.57</v>
      </c>
      <c r="BP200" s="226" t="n">
        <f aca="false">BP199+BV200</f>
        <v>199</v>
      </c>
      <c r="BQ200" s="227" t="s">
        <v>1048</v>
      </c>
      <c r="BR200" s="224" t="s">
        <v>226</v>
      </c>
      <c r="BS200" s="154" t="s">
        <v>359</v>
      </c>
      <c r="BT200" s="230" t="s">
        <v>228</v>
      </c>
      <c r="BU200" s="230"/>
      <c r="BV200" s="154" t="n">
        <v>1</v>
      </c>
      <c r="BW200" s="224" t="s">
        <v>1049</v>
      </c>
      <c r="BX200" s="0"/>
    </row>
    <row r="201" customFormat="false" ht="12.75" hidden="false" customHeight="false" outlineLevel="0" collapsed="false">
      <c r="A201" s="258"/>
      <c r="B201" s="259" t="e">
        <f aca="false">NextMonth(B200)</f>
        <v>#VALUE!</v>
      </c>
      <c r="C201" s="215" t="n">
        <v>0.061945272006466</v>
      </c>
      <c r="D201" s="215" t="n">
        <v>0.5</v>
      </c>
      <c r="E201" s="215" t="n">
        <v>0.5</v>
      </c>
      <c r="F201" s="215" t="n">
        <v>0.1625</v>
      </c>
      <c r="G201" s="215" t="n">
        <v>0.17</v>
      </c>
      <c r="H201" s="215" t="n">
        <v>0.1775</v>
      </c>
      <c r="I201" s="239" t="n">
        <v>4.6</v>
      </c>
      <c r="J201" s="215" t="n">
        <v>4.605</v>
      </c>
      <c r="K201" s="215" t="n">
        <v>4.61</v>
      </c>
      <c r="L201" s="215" t="n">
        <v>0.44</v>
      </c>
      <c r="M201" s="215" t="n">
        <v>0.03</v>
      </c>
      <c r="O201" s="211"/>
      <c r="P201" s="260"/>
      <c r="Q201" s="260"/>
      <c r="R201" s="261" t="e">
        <f aca="false">B201</f>
        <v>#VALUE!</v>
      </c>
      <c r="S201" s="262" t="n">
        <f aca="false">T201-$S$16</f>
        <v>0.43</v>
      </c>
      <c r="T201" s="257" t="n">
        <f aca="false">D201</f>
        <v>0.5</v>
      </c>
      <c r="U201" s="263" t="n">
        <f aca="false">$U$16+T201</f>
        <v>0.57</v>
      </c>
      <c r="BP201" s="226" t="n">
        <f aca="false">BP200+BV201</f>
        <v>200</v>
      </c>
      <c r="BQ201" s="227" t="s">
        <v>1050</v>
      </c>
      <c r="BR201" s="224" t="s">
        <v>226</v>
      </c>
      <c r="BS201" s="154" t="s">
        <v>359</v>
      </c>
      <c r="BT201" s="230" t="s">
        <v>228</v>
      </c>
      <c r="BU201" s="230"/>
      <c r="BV201" s="154" t="n">
        <v>1</v>
      </c>
      <c r="BW201" s="224" t="s">
        <v>1051</v>
      </c>
      <c r="BX201" s="0"/>
    </row>
    <row r="202" customFormat="false" ht="12.75" hidden="false" customHeight="false" outlineLevel="0" collapsed="false">
      <c r="A202" s="258"/>
      <c r="B202" s="259" t="e">
        <f aca="false">NextMonth(B201)</f>
        <v>#VALUE!</v>
      </c>
      <c r="C202" s="215" t="n">
        <v>0.061968987092058</v>
      </c>
      <c r="D202" s="215" t="n">
        <v>0.5</v>
      </c>
      <c r="E202" s="215" t="n">
        <v>0.5</v>
      </c>
      <c r="F202" s="215" t="n">
        <v>0.1625</v>
      </c>
      <c r="G202" s="215" t="n">
        <v>0.17</v>
      </c>
      <c r="H202" s="215" t="n">
        <v>0.1775</v>
      </c>
      <c r="I202" s="239" t="n">
        <v>4.63</v>
      </c>
      <c r="J202" s="215" t="n">
        <v>4.635</v>
      </c>
      <c r="K202" s="215" t="n">
        <v>4.64</v>
      </c>
      <c r="L202" s="215" t="n">
        <v>0.5</v>
      </c>
      <c r="M202" s="215" t="n">
        <v>0.03</v>
      </c>
      <c r="O202" s="211"/>
      <c r="P202" s="260"/>
      <c r="Q202" s="260"/>
      <c r="R202" s="261" t="e">
        <f aca="false">B202</f>
        <v>#VALUE!</v>
      </c>
      <c r="S202" s="262" t="n">
        <f aca="false">T202-$S$16</f>
        <v>0.43</v>
      </c>
      <c r="T202" s="257" t="n">
        <f aca="false">D202</f>
        <v>0.5</v>
      </c>
      <c r="U202" s="263" t="n">
        <f aca="false">$U$16+T202</f>
        <v>0.57</v>
      </c>
      <c r="BP202" s="226" t="n">
        <f aca="false">BP201+BV202</f>
        <v>201</v>
      </c>
      <c r="BQ202" s="227" t="s">
        <v>1052</v>
      </c>
      <c r="BR202" s="224" t="s">
        <v>226</v>
      </c>
      <c r="BS202" s="154" t="s">
        <v>359</v>
      </c>
      <c r="BT202" s="230" t="s">
        <v>228</v>
      </c>
      <c r="BU202" s="230"/>
      <c r="BV202" s="154" t="n">
        <v>1</v>
      </c>
      <c r="BW202" s="224" t="s">
        <v>1053</v>
      </c>
      <c r="BX202" s="0"/>
    </row>
    <row r="203" customFormat="false" ht="12.75" hidden="false" customHeight="false" outlineLevel="0" collapsed="false">
      <c r="A203" s="258"/>
      <c r="B203" s="259" t="e">
        <f aca="false">NextMonth(B202)</f>
        <v>#VALUE!</v>
      </c>
      <c r="C203" s="215" t="n">
        <v>0.061993492680699</v>
      </c>
      <c r="D203" s="215" t="n">
        <v>0.6</v>
      </c>
      <c r="E203" s="215" t="n">
        <v>0.6</v>
      </c>
      <c r="F203" s="215" t="n">
        <v>0.1625</v>
      </c>
      <c r="G203" s="215" t="n">
        <v>0.17</v>
      </c>
      <c r="H203" s="215" t="n">
        <v>0.1775</v>
      </c>
      <c r="I203" s="239" t="n">
        <v>4.65</v>
      </c>
      <c r="J203" s="215" t="n">
        <v>4.655</v>
      </c>
      <c r="K203" s="215" t="n">
        <v>4.66</v>
      </c>
      <c r="L203" s="215" t="n">
        <v>0.5</v>
      </c>
      <c r="M203" s="215" t="n">
        <v>0.03</v>
      </c>
      <c r="O203" s="211"/>
      <c r="P203" s="260"/>
      <c r="Q203" s="260"/>
      <c r="R203" s="261" t="e">
        <f aca="false">B203</f>
        <v>#VALUE!</v>
      </c>
      <c r="S203" s="262" t="n">
        <f aca="false">T203-$S$16</f>
        <v>0.53</v>
      </c>
      <c r="T203" s="257" t="n">
        <f aca="false">D203</f>
        <v>0.6</v>
      </c>
      <c r="U203" s="263" t="n">
        <f aca="false">$U$16+T203</f>
        <v>0.67</v>
      </c>
      <c r="BP203" s="226" t="n">
        <f aca="false">BP202+BV203</f>
        <v>202</v>
      </c>
      <c r="BQ203" s="227" t="s">
        <v>1054</v>
      </c>
      <c r="BR203" s="224" t="s">
        <v>226</v>
      </c>
      <c r="BS203" s="154" t="s">
        <v>359</v>
      </c>
      <c r="BT203" s="230" t="s">
        <v>228</v>
      </c>
      <c r="BU203" s="230"/>
      <c r="BV203" s="154" t="n">
        <v>1</v>
      </c>
      <c r="BW203" s="224" t="s">
        <v>1055</v>
      </c>
      <c r="BX203" s="0"/>
    </row>
    <row r="204" customFormat="false" ht="12.75" hidden="false" customHeight="false" outlineLevel="0" collapsed="false">
      <c r="A204" s="258"/>
      <c r="B204" s="259" t="e">
        <f aca="false">NextMonth(B203)</f>
        <v>#VALUE!</v>
      </c>
      <c r="C204" s="215" t="n">
        <v>0.062017998269539</v>
      </c>
      <c r="D204" s="215" t="n">
        <v>0.6</v>
      </c>
      <c r="E204" s="215" t="n">
        <v>0.6</v>
      </c>
      <c r="F204" s="215" t="n">
        <v>0.1625</v>
      </c>
      <c r="G204" s="215" t="n">
        <v>0.17</v>
      </c>
      <c r="H204" s="215" t="n">
        <v>0.1775</v>
      </c>
      <c r="I204" s="239" t="n">
        <v>4.671</v>
      </c>
      <c r="J204" s="215" t="n">
        <v>4.676</v>
      </c>
      <c r="K204" s="215" t="n">
        <v>4.681</v>
      </c>
      <c r="L204" s="215" t="n">
        <v>0.46</v>
      </c>
      <c r="M204" s="215" t="n">
        <v>0.03</v>
      </c>
      <c r="O204" s="211"/>
      <c r="P204" s="260"/>
      <c r="Q204" s="260"/>
      <c r="R204" s="261" t="e">
        <f aca="false">B204</f>
        <v>#VALUE!</v>
      </c>
      <c r="S204" s="262" t="n">
        <f aca="false">T204-$S$16</f>
        <v>0.53</v>
      </c>
      <c r="T204" s="257" t="n">
        <f aca="false">D204</f>
        <v>0.6</v>
      </c>
      <c r="U204" s="263" t="n">
        <f aca="false">$U$16+T204</f>
        <v>0.67</v>
      </c>
      <c r="BP204" s="226" t="n">
        <f aca="false">BP203+BV204</f>
        <v>203</v>
      </c>
      <c r="BQ204" s="227" t="s">
        <v>1056</v>
      </c>
      <c r="BR204" s="224" t="s">
        <v>226</v>
      </c>
      <c r="BS204" s="154" t="s">
        <v>359</v>
      </c>
      <c r="BT204" s="230" t="s">
        <v>228</v>
      </c>
      <c r="BU204" s="230"/>
      <c r="BV204" s="154" t="n">
        <v>1</v>
      </c>
      <c r="BW204" s="224" t="s">
        <v>1057</v>
      </c>
      <c r="BX204" s="0"/>
    </row>
    <row r="205" customFormat="false" ht="12.75" hidden="false" customHeight="false" outlineLevel="0" collapsed="false">
      <c r="A205" s="258"/>
      <c r="B205" s="259" t="e">
        <f aca="false">NextMonth(B204)</f>
        <v>#VALUE!</v>
      </c>
      <c r="C205" s="215" t="n">
        <v>0.062041713355704</v>
      </c>
      <c r="D205" s="215" t="n">
        <v>0.65</v>
      </c>
      <c r="E205" s="215" t="n">
        <v>0.65</v>
      </c>
      <c r="F205" s="215" t="n">
        <v>0.1625</v>
      </c>
      <c r="G205" s="215" t="n">
        <v>0.17</v>
      </c>
      <c r="H205" s="215" t="n">
        <v>0.1775</v>
      </c>
      <c r="I205" s="239" t="n">
        <v>4.701</v>
      </c>
      <c r="J205" s="215" t="n">
        <v>4.706</v>
      </c>
      <c r="K205" s="215" t="n">
        <v>4.711</v>
      </c>
      <c r="L205" s="215" t="n">
        <v>0.47</v>
      </c>
      <c r="M205" s="215" t="n">
        <v>0.03</v>
      </c>
      <c r="O205" s="211"/>
      <c r="P205" s="260"/>
      <c r="Q205" s="260"/>
      <c r="R205" s="261" t="e">
        <f aca="false">B205</f>
        <v>#VALUE!</v>
      </c>
      <c r="S205" s="262" t="n">
        <f aca="false">T205-$S$16</f>
        <v>0.58</v>
      </c>
      <c r="T205" s="257" t="n">
        <f aca="false">D205</f>
        <v>0.65</v>
      </c>
      <c r="U205" s="263" t="n">
        <f aca="false">$U$16+T205</f>
        <v>0.72</v>
      </c>
      <c r="BP205" s="226" t="n">
        <f aca="false">BP204+BV205</f>
        <v>204</v>
      </c>
      <c r="BQ205" s="227" t="s">
        <v>1058</v>
      </c>
      <c r="BR205" s="224" t="s">
        <v>226</v>
      </c>
      <c r="BS205" s="154" t="s">
        <v>359</v>
      </c>
      <c r="BT205" s="230" t="s">
        <v>228</v>
      </c>
      <c r="BU205" s="230"/>
      <c r="BV205" s="154" t="n">
        <v>1</v>
      </c>
      <c r="BW205" s="224" t="s">
        <v>1059</v>
      </c>
      <c r="BX205" s="0"/>
    </row>
    <row r="206" customFormat="false" ht="12.75" hidden="false" customHeight="false" outlineLevel="0" collapsed="false">
      <c r="A206" s="258"/>
      <c r="B206" s="259" t="e">
        <f aca="false">NextMonth(B205)</f>
        <v>#VALUE!</v>
      </c>
      <c r="C206" s="215" t="n">
        <v>0.062066218944936</v>
      </c>
      <c r="D206" s="215" t="n">
        <v>0.95</v>
      </c>
      <c r="E206" s="215" t="n">
        <v>0.95</v>
      </c>
      <c r="F206" s="215" t="n">
        <v>0.1625</v>
      </c>
      <c r="G206" s="215" t="n">
        <v>0.17</v>
      </c>
      <c r="H206" s="215" t="n">
        <v>0.1775</v>
      </c>
      <c r="I206" s="239" t="n">
        <v>4.841</v>
      </c>
      <c r="J206" s="215" t="n">
        <v>4.846</v>
      </c>
      <c r="K206" s="215" t="n">
        <v>4.851</v>
      </c>
      <c r="L206" s="215" t="n">
        <v>0.86</v>
      </c>
      <c r="M206" s="215" t="n">
        <v>0.03</v>
      </c>
      <c r="O206" s="211"/>
      <c r="P206" s="260"/>
      <c r="Q206" s="260"/>
      <c r="R206" s="261" t="e">
        <f aca="false">B206</f>
        <v>#VALUE!</v>
      </c>
      <c r="S206" s="262" t="n">
        <f aca="false">T206-$S$16</f>
        <v>0.88</v>
      </c>
      <c r="T206" s="257" t="n">
        <f aca="false">D206</f>
        <v>0.95</v>
      </c>
      <c r="U206" s="263" t="n">
        <f aca="false">$U$16+T206</f>
        <v>1.02</v>
      </c>
      <c r="BP206" s="226" t="n">
        <f aca="false">BP205+BV206</f>
        <v>205</v>
      </c>
      <c r="BQ206" s="227" t="s">
        <v>1060</v>
      </c>
      <c r="BR206" s="224" t="s">
        <v>226</v>
      </c>
      <c r="BS206" s="154" t="s">
        <v>359</v>
      </c>
      <c r="BT206" s="230" t="s">
        <v>228</v>
      </c>
      <c r="BU206" s="230"/>
      <c r="BV206" s="154" t="n">
        <v>1</v>
      </c>
      <c r="BW206" s="224" t="s">
        <v>1061</v>
      </c>
      <c r="BX206" s="0"/>
    </row>
    <row r="207" customFormat="false" ht="12.75" hidden="false" customHeight="false" outlineLevel="0" collapsed="false">
      <c r="A207" s="258"/>
      <c r="B207" s="259" t="e">
        <f aca="false">NextMonth(B206)</f>
        <v>#VALUE!</v>
      </c>
      <c r="C207" s="215" t="n">
        <v>0.062089934031479</v>
      </c>
      <c r="D207" s="215" t="n">
        <v>1.25</v>
      </c>
      <c r="E207" s="215" t="n">
        <v>1.25</v>
      </c>
      <c r="F207" s="215" t="n">
        <v>0.1625</v>
      </c>
      <c r="G207" s="215" t="n">
        <v>0.17</v>
      </c>
      <c r="H207" s="215" t="n">
        <v>0.1775</v>
      </c>
      <c r="I207" s="239" t="n">
        <v>4.966</v>
      </c>
      <c r="J207" s="215" t="n">
        <v>4.971</v>
      </c>
      <c r="K207" s="215" t="n">
        <v>4.976</v>
      </c>
      <c r="L207" s="215" t="n">
        <v>1.28</v>
      </c>
      <c r="M207" s="215" t="n">
        <v>0.03</v>
      </c>
      <c r="O207" s="211"/>
      <c r="P207" s="260"/>
      <c r="Q207" s="260"/>
      <c r="R207" s="261" t="e">
        <f aca="false">B207</f>
        <v>#VALUE!</v>
      </c>
      <c r="S207" s="262" t="n">
        <f aca="false">T207-$S$16</f>
        <v>1.18</v>
      </c>
      <c r="T207" s="257" t="n">
        <f aca="false">D207</f>
        <v>1.25</v>
      </c>
      <c r="U207" s="263" t="n">
        <f aca="false">$U$16+T207</f>
        <v>1.32</v>
      </c>
      <c r="BP207" s="226" t="n">
        <f aca="false">BP206+BV207</f>
        <v>206</v>
      </c>
      <c r="BQ207" s="227" t="s">
        <v>1062</v>
      </c>
      <c r="BR207" s="224" t="s">
        <v>226</v>
      </c>
      <c r="BS207" s="154" t="s">
        <v>359</v>
      </c>
      <c r="BT207" s="230" t="s">
        <v>228</v>
      </c>
      <c r="BU207" s="230"/>
      <c r="BV207" s="154" t="n">
        <v>1</v>
      </c>
      <c r="BW207" s="224" t="s">
        <v>1063</v>
      </c>
      <c r="BX207" s="0"/>
    </row>
    <row r="208" customFormat="false" ht="12.75" hidden="false" customHeight="false" outlineLevel="0" collapsed="false">
      <c r="A208" s="258"/>
      <c r="B208" s="259" t="e">
        <f aca="false">NextMonth(B207)</f>
        <v>#VALUE!</v>
      </c>
      <c r="C208" s="215" t="n">
        <v>0.062114439621104</v>
      </c>
      <c r="D208" s="215" t="n">
        <v>1.45</v>
      </c>
      <c r="E208" s="215" t="n">
        <v>1.45</v>
      </c>
      <c r="F208" s="215" t="n">
        <v>0.1625</v>
      </c>
      <c r="G208" s="215" t="n">
        <v>0.17</v>
      </c>
      <c r="H208" s="215" t="n">
        <v>0.1775</v>
      </c>
      <c r="I208" s="239" t="n">
        <v>5.13</v>
      </c>
      <c r="J208" s="215" t="n">
        <v>5.135</v>
      </c>
      <c r="K208" s="215" t="n">
        <v>5.14</v>
      </c>
      <c r="L208" s="215" t="n">
        <v>1.61</v>
      </c>
      <c r="M208" s="215" t="n">
        <v>0</v>
      </c>
      <c r="O208" s="211"/>
      <c r="P208" s="260"/>
      <c r="Q208" s="260"/>
      <c r="R208" s="261" t="e">
        <f aca="false">B208</f>
        <v>#VALUE!</v>
      </c>
      <c r="S208" s="262" t="n">
        <f aca="false">T208-$S$16</f>
        <v>1.38</v>
      </c>
      <c r="T208" s="257" t="n">
        <f aca="false">D208</f>
        <v>1.45</v>
      </c>
      <c r="U208" s="263" t="n">
        <f aca="false">$U$16+T208</f>
        <v>1.52</v>
      </c>
      <c r="BP208" s="226" t="n">
        <f aca="false">BP207+BV208</f>
        <v>207</v>
      </c>
      <c r="BQ208" s="227" t="s">
        <v>1064</v>
      </c>
      <c r="BR208" s="224" t="s">
        <v>226</v>
      </c>
      <c r="BS208" s="154" t="s">
        <v>359</v>
      </c>
      <c r="BT208" s="230" t="s">
        <v>228</v>
      </c>
      <c r="BU208" s="230"/>
      <c r="BV208" s="154" t="n">
        <v>1</v>
      </c>
      <c r="BW208" s="224" t="s">
        <v>1065</v>
      </c>
      <c r="BX208" s="0"/>
    </row>
    <row r="209" customFormat="false" ht="12.75" hidden="false" customHeight="false" outlineLevel="0" collapsed="false">
      <c r="A209" s="258"/>
      <c r="B209" s="259" t="e">
        <f aca="false">NextMonth(B208)</f>
        <v>#VALUE!</v>
      </c>
      <c r="C209" s="215" t="n">
        <v>0.062138945210928</v>
      </c>
      <c r="D209" s="215" t="n">
        <v>1.45</v>
      </c>
      <c r="E209" s="215" t="n">
        <v>1.45</v>
      </c>
      <c r="F209" s="215" t="n">
        <v>0.1625</v>
      </c>
      <c r="G209" s="215" t="n">
        <v>0.17</v>
      </c>
      <c r="H209" s="215" t="n">
        <v>0.1775</v>
      </c>
      <c r="I209" s="239" t="n">
        <v>5.034</v>
      </c>
      <c r="J209" s="215" t="n">
        <v>5.039</v>
      </c>
      <c r="K209" s="215" t="n">
        <v>5.044</v>
      </c>
      <c r="L209" s="215" t="n">
        <v>1.57</v>
      </c>
      <c r="M209" s="215" t="n">
        <v>0</v>
      </c>
      <c r="O209" s="211"/>
      <c r="P209" s="260"/>
      <c r="Q209" s="260"/>
      <c r="R209" s="261" t="e">
        <f aca="false">B209</f>
        <v>#VALUE!</v>
      </c>
      <c r="S209" s="262" t="n">
        <f aca="false">T209-$S$16</f>
        <v>1.38</v>
      </c>
      <c r="T209" s="257" t="n">
        <f aca="false">D209</f>
        <v>1.45</v>
      </c>
      <c r="U209" s="263" t="n">
        <f aca="false">$U$16+T209</f>
        <v>1.52</v>
      </c>
      <c r="BP209" s="226" t="n">
        <f aca="false">BP208+BV209</f>
        <v>208</v>
      </c>
      <c r="BQ209" s="227" t="s">
        <v>1066</v>
      </c>
      <c r="BR209" s="224" t="s">
        <v>226</v>
      </c>
      <c r="BS209" s="154" t="s">
        <v>359</v>
      </c>
      <c r="BT209" s="230" t="s">
        <v>228</v>
      </c>
      <c r="BU209" s="230"/>
      <c r="BV209" s="154" t="n">
        <v>1</v>
      </c>
      <c r="BW209" s="224" t="s">
        <v>1067</v>
      </c>
      <c r="BX209" s="0"/>
    </row>
    <row r="210" customFormat="false" ht="12.75" hidden="false" customHeight="false" outlineLevel="0" collapsed="false">
      <c r="A210" s="258"/>
      <c r="B210" s="259" t="e">
        <f aca="false">NextMonth(B209)</f>
        <v>#VALUE!</v>
      </c>
      <c r="C210" s="215" t="n">
        <v>0.062161079292231</v>
      </c>
      <c r="D210" s="215" t="n">
        <v>1</v>
      </c>
      <c r="E210" s="215" t="n">
        <v>1</v>
      </c>
      <c r="F210" s="215" t="n">
        <v>0.1625</v>
      </c>
      <c r="G210" s="215" t="n">
        <v>0.17</v>
      </c>
      <c r="H210" s="215" t="n">
        <v>0.1775</v>
      </c>
      <c r="I210" s="239" t="n">
        <v>4.884</v>
      </c>
      <c r="J210" s="215" t="n">
        <v>4.889</v>
      </c>
      <c r="K210" s="215" t="n">
        <v>4.894</v>
      </c>
      <c r="L210" s="215" t="n">
        <v>0.93</v>
      </c>
      <c r="M210" s="215" t="n">
        <v>0</v>
      </c>
      <c r="O210" s="211"/>
      <c r="P210" s="260"/>
      <c r="Q210" s="260"/>
      <c r="R210" s="261" t="e">
        <f aca="false">B210</f>
        <v>#VALUE!</v>
      </c>
      <c r="S210" s="262" t="n">
        <f aca="false">T210-$S$16</f>
        <v>0.93</v>
      </c>
      <c r="T210" s="257" t="n">
        <f aca="false">D210</f>
        <v>1</v>
      </c>
      <c r="U210" s="263" t="n">
        <f aca="false">$U$16+T210</f>
        <v>1.07</v>
      </c>
      <c r="BP210" s="226" t="n">
        <f aca="false">BP209+BV210</f>
        <v>209</v>
      </c>
      <c r="BQ210" s="227" t="s">
        <v>1068</v>
      </c>
      <c r="BR210" s="224" t="s">
        <v>226</v>
      </c>
      <c r="BS210" s="154" t="s">
        <v>359</v>
      </c>
      <c r="BT210" s="230" t="s">
        <v>228</v>
      </c>
      <c r="BU210" s="230"/>
      <c r="BV210" s="154" t="n">
        <v>1</v>
      </c>
      <c r="BW210" s="224" t="s">
        <v>1069</v>
      </c>
      <c r="BX210" s="0"/>
    </row>
    <row r="211" customFormat="false" ht="12.75" hidden="false" customHeight="false" outlineLevel="0" collapsed="false">
      <c r="A211" s="258"/>
      <c r="B211" s="259" t="e">
        <f aca="false">NextMonth(B210)</f>
        <v>#VALUE!</v>
      </c>
      <c r="C211" s="215" t="n">
        <v>0.062185584882435</v>
      </c>
      <c r="D211" s="215" t="n">
        <v>0.45</v>
      </c>
      <c r="E211" s="215" t="n">
        <v>0.45</v>
      </c>
      <c r="F211" s="215" t="n">
        <v>0.1625</v>
      </c>
      <c r="G211" s="215" t="n">
        <v>0.17</v>
      </c>
      <c r="H211" s="215" t="n">
        <v>0.1775</v>
      </c>
      <c r="I211" s="239" t="n">
        <v>4.701</v>
      </c>
      <c r="J211" s="215" t="n">
        <v>4.706</v>
      </c>
      <c r="K211" s="215" t="n">
        <v>4.711</v>
      </c>
      <c r="L211" s="215" t="n">
        <v>0.5</v>
      </c>
      <c r="M211" s="215" t="n">
        <v>0</v>
      </c>
      <c r="O211" s="211"/>
      <c r="P211" s="260"/>
      <c r="Q211" s="260"/>
      <c r="R211" s="261" t="e">
        <f aca="false">B211</f>
        <v>#VALUE!</v>
      </c>
      <c r="S211" s="262" t="n">
        <f aca="false">T211-$S$16</f>
        <v>0.38</v>
      </c>
      <c r="T211" s="257" t="n">
        <f aca="false">D211</f>
        <v>0.45</v>
      </c>
      <c r="U211" s="263" t="n">
        <f aca="false">$U$16+T211</f>
        <v>0.52</v>
      </c>
      <c r="BP211" s="226" t="n">
        <f aca="false">BP210+BV211</f>
        <v>210</v>
      </c>
      <c r="BQ211" s="227" t="s">
        <v>1070</v>
      </c>
      <c r="BR211" s="224" t="s">
        <v>226</v>
      </c>
      <c r="BS211" s="154" t="s">
        <v>359</v>
      </c>
      <c r="BT211" s="230" t="s">
        <v>228</v>
      </c>
      <c r="BU211" s="230"/>
      <c r="BV211" s="154" t="n">
        <v>1</v>
      </c>
      <c r="BW211" s="224" t="s">
        <v>1071</v>
      </c>
      <c r="BX211" s="0"/>
    </row>
    <row r="212" customFormat="false" ht="12.75" hidden="false" customHeight="false" outlineLevel="0" collapsed="false">
      <c r="A212" s="258"/>
      <c r="B212" s="259" t="e">
        <f aca="false">NextMonth(B211)</f>
        <v>#VALUE!</v>
      </c>
      <c r="C212" s="215" t="n">
        <v>0.062209299969918</v>
      </c>
      <c r="D212" s="215" t="n">
        <v>0.5</v>
      </c>
      <c r="E212" s="215" t="n">
        <v>0.5</v>
      </c>
      <c r="F212" s="215" t="n">
        <v>0.1625</v>
      </c>
      <c r="G212" s="215" t="n">
        <v>0.17</v>
      </c>
      <c r="H212" s="215" t="n">
        <v>0.1775</v>
      </c>
      <c r="I212" s="239" t="n">
        <v>4.676</v>
      </c>
      <c r="J212" s="215" t="n">
        <v>4.681</v>
      </c>
      <c r="K212" s="215" t="n">
        <v>4.686</v>
      </c>
      <c r="L212" s="215" t="n">
        <v>0.44</v>
      </c>
      <c r="M212" s="215" t="n">
        <v>0</v>
      </c>
      <c r="O212" s="211"/>
      <c r="P212" s="260"/>
      <c r="Q212" s="260"/>
      <c r="R212" s="261" t="e">
        <f aca="false">B212</f>
        <v>#VALUE!</v>
      </c>
      <c r="S212" s="262" t="n">
        <f aca="false">T212-$S$16</f>
        <v>0.43</v>
      </c>
      <c r="T212" s="257" t="n">
        <f aca="false">D212</f>
        <v>0.5</v>
      </c>
      <c r="U212" s="263" t="n">
        <f aca="false">$U$16+T212</f>
        <v>0.57</v>
      </c>
      <c r="BP212" s="226" t="n">
        <f aca="false">BP211+BV212</f>
        <v>211</v>
      </c>
      <c r="BQ212" s="227" t="s">
        <v>1072</v>
      </c>
      <c r="BR212" s="224" t="s">
        <v>226</v>
      </c>
      <c r="BS212" s="154" t="s">
        <v>359</v>
      </c>
      <c r="BT212" s="230" t="s">
        <v>228</v>
      </c>
      <c r="BU212" s="230"/>
      <c r="BV212" s="154" t="n">
        <v>1</v>
      </c>
      <c r="BW212" s="224" t="s">
        <v>1073</v>
      </c>
      <c r="BX212" s="0"/>
    </row>
    <row r="213" customFormat="false" ht="12.75" hidden="false" customHeight="false" outlineLevel="0" collapsed="false">
      <c r="A213" s="258"/>
      <c r="B213" s="259" t="e">
        <f aca="false">NextMonth(B212)</f>
        <v>#VALUE!</v>
      </c>
      <c r="C213" s="215" t="n">
        <v>0.062233805560513</v>
      </c>
      <c r="D213" s="215" t="n">
        <v>0.5</v>
      </c>
      <c r="E213" s="215" t="n">
        <v>0.5</v>
      </c>
      <c r="F213" s="215" t="n">
        <v>0.1625</v>
      </c>
      <c r="G213" s="215" t="n">
        <v>0.17</v>
      </c>
      <c r="H213" s="215" t="n">
        <v>0.1775</v>
      </c>
      <c r="I213" s="239" t="n">
        <v>4.705</v>
      </c>
      <c r="J213" s="215" t="n">
        <v>4.71</v>
      </c>
      <c r="K213" s="215" t="n">
        <v>4.715</v>
      </c>
      <c r="L213" s="215" t="n">
        <v>0.44</v>
      </c>
      <c r="M213" s="215" t="n">
        <v>0</v>
      </c>
      <c r="O213" s="211"/>
      <c r="P213" s="260"/>
      <c r="Q213" s="260"/>
      <c r="R213" s="261" t="e">
        <f aca="false">B213</f>
        <v>#VALUE!</v>
      </c>
      <c r="S213" s="262" t="n">
        <f aca="false">T213-$S$16</f>
        <v>0.43</v>
      </c>
      <c r="T213" s="257" t="n">
        <f aca="false">D213</f>
        <v>0.5</v>
      </c>
      <c r="U213" s="263" t="n">
        <f aca="false">$U$16+T213</f>
        <v>0.57</v>
      </c>
      <c r="BP213" s="226" t="n">
        <f aca="false">BP212+BV213</f>
        <v>212</v>
      </c>
      <c r="BQ213" s="227" t="s">
        <v>1074</v>
      </c>
      <c r="BR213" s="224" t="s">
        <v>226</v>
      </c>
      <c r="BS213" s="154" t="s">
        <v>359</v>
      </c>
      <c r="BT213" s="230" t="s">
        <v>228</v>
      </c>
      <c r="BU213" s="230"/>
      <c r="BV213" s="154" t="n">
        <v>1</v>
      </c>
      <c r="BW213" s="224" t="s">
        <v>1075</v>
      </c>
      <c r="BX213" s="0"/>
    </row>
    <row r="214" customFormat="false" ht="12.75" hidden="false" customHeight="false" outlineLevel="0" collapsed="false">
      <c r="A214" s="258"/>
      <c r="B214" s="259" t="e">
        <f aca="false">NextMonth(B213)</f>
        <v>#VALUE!</v>
      </c>
      <c r="C214" s="215" t="n">
        <v>0.062257520648377</v>
      </c>
      <c r="D214" s="215" t="n">
        <v>0.5</v>
      </c>
      <c r="E214" s="215" t="n">
        <v>0.5</v>
      </c>
      <c r="F214" s="215" t="n">
        <v>0.1625</v>
      </c>
      <c r="G214" s="215" t="n">
        <v>0.17</v>
      </c>
      <c r="H214" s="215" t="n">
        <v>0.1775</v>
      </c>
      <c r="I214" s="239" t="n">
        <v>4.735</v>
      </c>
      <c r="J214" s="215" t="n">
        <v>4.74</v>
      </c>
      <c r="K214" s="215" t="n">
        <v>4.745</v>
      </c>
      <c r="L214" s="215" t="n">
        <v>0.5</v>
      </c>
      <c r="M214" s="215" t="n">
        <v>0</v>
      </c>
      <c r="O214" s="211"/>
      <c r="P214" s="260"/>
      <c r="Q214" s="260"/>
      <c r="R214" s="261" t="e">
        <f aca="false">B214</f>
        <v>#VALUE!</v>
      </c>
      <c r="S214" s="262" t="n">
        <f aca="false">T214-$S$16</f>
        <v>0.43</v>
      </c>
      <c r="T214" s="257" t="n">
        <f aca="false">D214</f>
        <v>0.5</v>
      </c>
      <c r="U214" s="263" t="n">
        <f aca="false">$U$16+T214</f>
        <v>0.57</v>
      </c>
      <c r="BP214" s="226" t="n">
        <f aca="false">BP213+BV214</f>
        <v>213</v>
      </c>
      <c r="BQ214" s="227" t="s">
        <v>1076</v>
      </c>
      <c r="BR214" s="224" t="s">
        <v>226</v>
      </c>
      <c r="BS214" s="154" t="s">
        <v>359</v>
      </c>
      <c r="BT214" s="230" t="s">
        <v>228</v>
      </c>
      <c r="BU214" s="230"/>
      <c r="BV214" s="154" t="n">
        <v>1</v>
      </c>
      <c r="BW214" s="224" t="s">
        <v>1077</v>
      </c>
      <c r="BX214" s="0"/>
    </row>
    <row r="215" customFormat="false" ht="12.75" hidden="false" customHeight="false" outlineLevel="0" collapsed="false">
      <c r="A215" s="258"/>
      <c r="B215" s="259" t="e">
        <f aca="false">NextMonth(B214)</f>
        <v>#VALUE!</v>
      </c>
      <c r="C215" s="215" t="n">
        <v>0.062282026239365</v>
      </c>
      <c r="D215" s="215" t="n">
        <v>0.6</v>
      </c>
      <c r="E215" s="215" t="n">
        <v>0.6</v>
      </c>
      <c r="F215" s="215" t="n">
        <v>0.1625</v>
      </c>
      <c r="G215" s="215" t="n">
        <v>0.17</v>
      </c>
      <c r="H215" s="215" t="n">
        <v>0.1775</v>
      </c>
      <c r="I215" s="239" t="n">
        <v>4.755</v>
      </c>
      <c r="J215" s="215" t="n">
        <v>4.76</v>
      </c>
      <c r="K215" s="215" t="n">
        <v>4.765</v>
      </c>
      <c r="L215" s="215" t="n">
        <v>0.5</v>
      </c>
      <c r="M215" s="215" t="n">
        <v>0</v>
      </c>
      <c r="O215" s="211"/>
      <c r="P215" s="260"/>
      <c r="Q215" s="260"/>
      <c r="R215" s="261" t="e">
        <f aca="false">B215</f>
        <v>#VALUE!</v>
      </c>
      <c r="S215" s="262" t="n">
        <f aca="false">T215-$S$16</f>
        <v>0.53</v>
      </c>
      <c r="T215" s="257" t="n">
        <f aca="false">D215</f>
        <v>0.6</v>
      </c>
      <c r="U215" s="263" t="n">
        <f aca="false">$U$16+T215</f>
        <v>0.67</v>
      </c>
      <c r="BP215" s="226" t="n">
        <f aca="false">BP214+BV215</f>
        <v>214</v>
      </c>
      <c r="BQ215" s="227" t="s">
        <v>1078</v>
      </c>
      <c r="BR215" s="224" t="s">
        <v>226</v>
      </c>
      <c r="BS215" s="154" t="s">
        <v>359</v>
      </c>
      <c r="BT215" s="230" t="s">
        <v>228</v>
      </c>
      <c r="BU215" s="230"/>
      <c r="BV215" s="154" t="n">
        <v>1</v>
      </c>
      <c r="BW215" s="224" t="s">
        <v>1079</v>
      </c>
      <c r="BX215" s="0"/>
    </row>
    <row r="216" customFormat="false" ht="12.75" hidden="false" customHeight="false" outlineLevel="0" collapsed="false">
      <c r="A216" s="258"/>
      <c r="B216" s="259" t="e">
        <f aca="false">NextMonth(B215)</f>
        <v>#VALUE!</v>
      </c>
      <c r="C216" s="215" t="n">
        <v>0.062306531830551</v>
      </c>
      <c r="D216" s="215" t="n">
        <v>0.6</v>
      </c>
      <c r="E216" s="215" t="n">
        <v>0.6</v>
      </c>
      <c r="F216" s="215" t="n">
        <v>0.1625</v>
      </c>
      <c r="G216" s="215" t="n">
        <v>0.17</v>
      </c>
      <c r="H216" s="215" t="n">
        <v>0.1775</v>
      </c>
      <c r="I216" s="239" t="n">
        <v>4.776</v>
      </c>
      <c r="J216" s="215" t="n">
        <v>4.781</v>
      </c>
      <c r="K216" s="215" t="n">
        <v>4.786</v>
      </c>
      <c r="L216" s="215" t="n">
        <v>0.46</v>
      </c>
      <c r="M216" s="215" t="n">
        <v>0</v>
      </c>
      <c r="O216" s="211"/>
      <c r="P216" s="260"/>
      <c r="Q216" s="260"/>
      <c r="R216" s="261" t="e">
        <f aca="false">B216</f>
        <v>#VALUE!</v>
      </c>
      <c r="S216" s="262" t="n">
        <f aca="false">T216-$S$16</f>
        <v>0.53</v>
      </c>
      <c r="T216" s="257" t="n">
        <f aca="false">D216</f>
        <v>0.6</v>
      </c>
      <c r="U216" s="263" t="n">
        <f aca="false">$U$16+T216</f>
        <v>0.67</v>
      </c>
      <c r="BP216" s="226" t="n">
        <f aca="false">BP215+BV216</f>
        <v>215</v>
      </c>
      <c r="BQ216" s="227" t="s">
        <v>1080</v>
      </c>
      <c r="BR216" s="224" t="s">
        <v>226</v>
      </c>
      <c r="BS216" s="154" t="s">
        <v>359</v>
      </c>
      <c r="BT216" s="230" t="s">
        <v>228</v>
      </c>
      <c r="BU216" s="230"/>
      <c r="BV216" s="154" t="n">
        <v>1</v>
      </c>
      <c r="BW216" s="224" t="s">
        <v>1081</v>
      </c>
      <c r="BX216" s="0"/>
    </row>
    <row r="217" customFormat="false" ht="12.75" hidden="false" customHeight="false" outlineLevel="0" collapsed="false">
      <c r="A217" s="258"/>
      <c r="B217" s="259" t="e">
        <f aca="false">NextMonth(B216)</f>
        <v>#VALUE!</v>
      </c>
      <c r="C217" s="215" t="n">
        <v>0.062330246918987</v>
      </c>
      <c r="D217" s="215" t="n">
        <v>0.65</v>
      </c>
      <c r="E217" s="215" t="n">
        <v>0.65</v>
      </c>
      <c r="F217" s="215" t="n">
        <v>0.1625</v>
      </c>
      <c r="G217" s="215" t="n">
        <v>0.17</v>
      </c>
      <c r="H217" s="215" t="n">
        <v>0.1775</v>
      </c>
      <c r="I217" s="239" t="n">
        <v>4.806</v>
      </c>
      <c r="J217" s="215" t="n">
        <v>4.811</v>
      </c>
      <c r="K217" s="215" t="n">
        <v>4.816</v>
      </c>
      <c r="L217" s="215" t="n">
        <v>0.47</v>
      </c>
      <c r="M217" s="215" t="n">
        <v>0</v>
      </c>
      <c r="O217" s="211"/>
      <c r="P217" s="260"/>
      <c r="Q217" s="260"/>
      <c r="R217" s="261" t="e">
        <f aca="false">B217</f>
        <v>#VALUE!</v>
      </c>
      <c r="S217" s="262" t="n">
        <f aca="false">T217-$S$16</f>
        <v>0.58</v>
      </c>
      <c r="T217" s="257" t="n">
        <f aca="false">D217</f>
        <v>0.65</v>
      </c>
      <c r="U217" s="263" t="n">
        <f aca="false">$U$16+T217</f>
        <v>0.72</v>
      </c>
      <c r="BP217" s="226" t="n">
        <f aca="false">BP216+BV217</f>
        <v>216</v>
      </c>
      <c r="BQ217" s="227" t="s">
        <v>1082</v>
      </c>
      <c r="BR217" s="224" t="s">
        <v>226</v>
      </c>
      <c r="BS217" s="154" t="s">
        <v>359</v>
      </c>
      <c r="BT217" s="230" t="s">
        <v>228</v>
      </c>
      <c r="BU217" s="230"/>
      <c r="BV217" s="154" t="n">
        <v>1</v>
      </c>
      <c r="BW217" s="224" t="s">
        <v>1083</v>
      </c>
      <c r="BX217" s="0"/>
    </row>
    <row r="218" customFormat="false" ht="12.75" hidden="false" customHeight="false" outlineLevel="0" collapsed="false">
      <c r="A218" s="258"/>
      <c r="B218" s="259" t="e">
        <f aca="false">NextMonth(B217)</f>
        <v>#VALUE!</v>
      </c>
      <c r="C218" s="215" t="n">
        <v>0.062354752510566</v>
      </c>
      <c r="D218" s="215" t="n">
        <v>0.95</v>
      </c>
      <c r="E218" s="215" t="n">
        <v>0.95</v>
      </c>
      <c r="F218" s="215" t="n">
        <v>0.1625</v>
      </c>
      <c r="G218" s="215" t="n">
        <v>0.17</v>
      </c>
      <c r="H218" s="215" t="n">
        <v>0.1775</v>
      </c>
      <c r="I218" s="239" t="n">
        <v>4.946</v>
      </c>
      <c r="J218" s="215" t="n">
        <v>4.951</v>
      </c>
      <c r="K218" s="215" t="n">
        <v>4.956</v>
      </c>
      <c r="L218" s="215" t="n">
        <v>0.86</v>
      </c>
      <c r="M218" s="215" t="n">
        <v>0</v>
      </c>
      <c r="O218" s="211"/>
      <c r="P218" s="260"/>
      <c r="Q218" s="260"/>
      <c r="R218" s="261" t="e">
        <f aca="false">B218</f>
        <v>#VALUE!</v>
      </c>
      <c r="S218" s="262" t="n">
        <f aca="false">T218-$S$16</f>
        <v>0.88</v>
      </c>
      <c r="T218" s="257" t="n">
        <f aca="false">D218</f>
        <v>0.95</v>
      </c>
      <c r="U218" s="263" t="n">
        <f aca="false">$U$16+T218</f>
        <v>1.02</v>
      </c>
      <c r="BP218" s="226" t="n">
        <f aca="false">BP217+BV218</f>
        <v>217</v>
      </c>
      <c r="BQ218" s="227" t="s">
        <v>1084</v>
      </c>
      <c r="BR218" s="224" t="s">
        <v>226</v>
      </c>
      <c r="BS218" s="154" t="s">
        <v>359</v>
      </c>
      <c r="BT218" s="230" t="s">
        <v>228</v>
      </c>
      <c r="BU218" s="230"/>
      <c r="BV218" s="154" t="n">
        <v>1</v>
      </c>
      <c r="BW218" s="224" t="s">
        <v>1085</v>
      </c>
      <c r="BX218" s="0"/>
    </row>
    <row r="219" customFormat="false" ht="12.75" hidden="false" customHeight="false" outlineLevel="0" collapsed="false">
      <c r="A219" s="258"/>
      <c r="B219" s="259" t="e">
        <f aca="false">NextMonth(B218)</f>
        <v>#VALUE!</v>
      </c>
      <c r="C219" s="215" t="n">
        <v>0.062378467599381</v>
      </c>
      <c r="D219" s="215" t="n">
        <v>1.25</v>
      </c>
      <c r="E219" s="215" t="n">
        <v>1.25</v>
      </c>
      <c r="F219" s="215" t="n">
        <v>0.1625</v>
      </c>
      <c r="G219" s="215" t="n">
        <v>0.17</v>
      </c>
      <c r="H219" s="215" t="n">
        <v>0.1775</v>
      </c>
      <c r="I219" s="239" t="n">
        <v>5.071</v>
      </c>
      <c r="J219" s="215" t="n">
        <v>5.076</v>
      </c>
      <c r="K219" s="215" t="n">
        <v>5.081</v>
      </c>
      <c r="L219" s="215" t="n">
        <v>1.28</v>
      </c>
      <c r="M219" s="215" t="n">
        <v>0</v>
      </c>
      <c r="O219" s="211"/>
      <c r="P219" s="260"/>
      <c r="Q219" s="260"/>
      <c r="R219" s="261" t="e">
        <f aca="false">B219</f>
        <v>#VALUE!</v>
      </c>
      <c r="S219" s="262" t="n">
        <f aca="false">T219-$S$16</f>
        <v>1.18</v>
      </c>
      <c r="T219" s="257" t="n">
        <f aca="false">D219</f>
        <v>1.25</v>
      </c>
      <c r="U219" s="263" t="n">
        <f aca="false">$U$16+T219</f>
        <v>1.32</v>
      </c>
      <c r="BP219" s="226" t="n">
        <f aca="false">BP218+BV219</f>
        <v>218</v>
      </c>
      <c r="BQ219" s="227" t="s">
        <v>1086</v>
      </c>
      <c r="BR219" s="224" t="s">
        <v>226</v>
      </c>
      <c r="BS219" s="154" t="s">
        <v>359</v>
      </c>
      <c r="BT219" s="230" t="s">
        <v>228</v>
      </c>
      <c r="BU219" s="230"/>
      <c r="BV219" s="154" t="n">
        <v>1</v>
      </c>
      <c r="BW219" s="224" t="s">
        <v>1087</v>
      </c>
      <c r="BX219" s="0"/>
    </row>
    <row r="220" customFormat="false" ht="12.75" hidden="false" customHeight="false" outlineLevel="0" collapsed="false">
      <c r="A220" s="258"/>
      <c r="B220" s="259" t="e">
        <f aca="false">NextMonth(B219)</f>
        <v>#VALUE!</v>
      </c>
      <c r="C220" s="215" t="n">
        <v>0.062402973191352</v>
      </c>
      <c r="D220" s="215" t="n">
        <v>1.45</v>
      </c>
      <c r="E220" s="215" t="n">
        <v>1.45</v>
      </c>
      <c r="F220" s="215" t="n">
        <v>0.1625</v>
      </c>
      <c r="G220" s="215" t="n">
        <v>0.17</v>
      </c>
      <c r="H220" s="215" t="n">
        <v>0.1775</v>
      </c>
      <c r="I220" s="239" t="n">
        <v>5.24</v>
      </c>
      <c r="J220" s="215" t="n">
        <v>5.245</v>
      </c>
      <c r="K220" s="215" t="n">
        <v>5.25</v>
      </c>
      <c r="L220" s="215" t="n">
        <v>1.61</v>
      </c>
      <c r="M220" s="215" t="n">
        <v>0</v>
      </c>
      <c r="O220" s="211"/>
      <c r="P220" s="260"/>
      <c r="Q220" s="260"/>
      <c r="R220" s="261" t="e">
        <f aca="false">B220</f>
        <v>#VALUE!</v>
      </c>
      <c r="S220" s="262" t="n">
        <f aca="false">T220-$S$16</f>
        <v>1.38</v>
      </c>
      <c r="T220" s="257" t="n">
        <f aca="false">D220</f>
        <v>1.45</v>
      </c>
      <c r="U220" s="263" t="n">
        <f aca="false">$U$16+T220</f>
        <v>1.52</v>
      </c>
      <c r="BP220" s="226" t="n">
        <f aca="false">BP219+BV220</f>
        <v>219</v>
      </c>
      <c r="BQ220" s="227" t="s">
        <v>1088</v>
      </c>
      <c r="BR220" s="224" t="s">
        <v>226</v>
      </c>
      <c r="BS220" s="154" t="s">
        <v>359</v>
      </c>
      <c r="BT220" s="230" t="s">
        <v>228</v>
      </c>
      <c r="BU220" s="230"/>
      <c r="BV220" s="154" t="n">
        <v>1</v>
      </c>
      <c r="BW220" s="224" t="s">
        <v>1089</v>
      </c>
      <c r="BX220" s="0"/>
    </row>
    <row r="221" customFormat="false" ht="12.75" hidden="false" customHeight="false" outlineLevel="0" collapsed="false">
      <c r="A221" s="258"/>
      <c r="B221" s="259" t="e">
        <f aca="false">NextMonth(B220)</f>
        <v>#VALUE!</v>
      </c>
      <c r="C221" s="215" t="n">
        <v>0.062427478783523</v>
      </c>
      <c r="D221" s="215" t="n">
        <v>1.45</v>
      </c>
      <c r="E221" s="215" t="n">
        <v>1.45</v>
      </c>
      <c r="F221" s="215" t="n">
        <v>0.1625</v>
      </c>
      <c r="G221" s="215" t="n">
        <v>0.17</v>
      </c>
      <c r="H221" s="215" t="n">
        <v>0.1775</v>
      </c>
      <c r="I221" s="239" t="n">
        <v>5.144</v>
      </c>
      <c r="J221" s="215" t="n">
        <v>5.149</v>
      </c>
      <c r="K221" s="215" t="n">
        <v>5.154</v>
      </c>
      <c r="L221" s="215" t="n">
        <v>1.57</v>
      </c>
      <c r="M221" s="215" t="n">
        <v>0</v>
      </c>
      <c r="O221" s="211"/>
      <c r="P221" s="260"/>
      <c r="Q221" s="260"/>
      <c r="R221" s="261" t="e">
        <f aca="false">B221</f>
        <v>#VALUE!</v>
      </c>
      <c r="S221" s="262" t="n">
        <f aca="false">T221-$S$16</f>
        <v>1.38</v>
      </c>
      <c r="T221" s="257" t="n">
        <f aca="false">D221</f>
        <v>1.45</v>
      </c>
      <c r="U221" s="263" t="n">
        <f aca="false">$U$16+T221</f>
        <v>1.52</v>
      </c>
      <c r="BP221" s="226" t="n">
        <f aca="false">BP220+BV221</f>
        <v>220</v>
      </c>
      <c r="BQ221" s="227" t="s">
        <v>1090</v>
      </c>
      <c r="BR221" s="224" t="s">
        <v>226</v>
      </c>
      <c r="BS221" s="154" t="s">
        <v>359</v>
      </c>
      <c r="BT221" s="230" t="s">
        <v>228</v>
      </c>
      <c r="BU221" s="230"/>
      <c r="BV221" s="154" t="n">
        <v>1</v>
      </c>
      <c r="BW221" s="224" t="s">
        <v>1091</v>
      </c>
      <c r="BX221" s="0"/>
    </row>
    <row r="222" customFormat="false" ht="12.75" hidden="false" customHeight="false" outlineLevel="0" collapsed="false">
      <c r="A222" s="258"/>
      <c r="B222" s="259" t="e">
        <f aca="false">NextMonth(B221)</f>
        <v>#VALUE!</v>
      </c>
      <c r="C222" s="215" t="n">
        <v>0.062449612866946</v>
      </c>
      <c r="D222" s="215" t="n">
        <v>1</v>
      </c>
      <c r="E222" s="215" t="n">
        <v>1</v>
      </c>
      <c r="F222" s="215" t="n">
        <v>0.1625</v>
      </c>
      <c r="G222" s="215" t="n">
        <v>0.17</v>
      </c>
      <c r="H222" s="215" t="n">
        <v>0.1775</v>
      </c>
      <c r="I222" s="239" t="n">
        <v>4.994</v>
      </c>
      <c r="J222" s="215" t="n">
        <v>4.999</v>
      </c>
      <c r="K222" s="215" t="n">
        <v>5.004</v>
      </c>
      <c r="L222" s="215" t="n">
        <v>0.93</v>
      </c>
      <c r="M222" s="215" t="n">
        <v>0</v>
      </c>
      <c r="O222" s="211"/>
      <c r="P222" s="260"/>
      <c r="Q222" s="260"/>
      <c r="R222" s="261" t="e">
        <f aca="false">B222</f>
        <v>#VALUE!</v>
      </c>
      <c r="S222" s="262" t="n">
        <f aca="false">T222-$S$16</f>
        <v>0.93</v>
      </c>
      <c r="T222" s="257" t="n">
        <f aca="false">D222</f>
        <v>1</v>
      </c>
      <c r="U222" s="263" t="n">
        <f aca="false">$U$16+T222</f>
        <v>1.07</v>
      </c>
      <c r="BP222" s="226" t="n">
        <f aca="false">BP221+BV222</f>
        <v>221</v>
      </c>
      <c r="BQ222" s="227" t="s">
        <v>1092</v>
      </c>
      <c r="BR222" s="224" t="s">
        <v>226</v>
      </c>
      <c r="BS222" s="154" t="s">
        <v>359</v>
      </c>
      <c r="BT222" s="230" t="s">
        <v>228</v>
      </c>
      <c r="BU222" s="230"/>
      <c r="BV222" s="154" t="n">
        <v>1</v>
      </c>
      <c r="BW222" s="224" t="s">
        <v>1093</v>
      </c>
      <c r="BX222" s="0"/>
    </row>
    <row r="223" customFormat="false" ht="12.75" hidden="false" customHeight="false" outlineLevel="0" collapsed="false">
      <c r="A223" s="258"/>
      <c r="B223" s="259" t="e">
        <f aca="false">NextMonth(B222)</f>
        <v>#VALUE!</v>
      </c>
      <c r="C223" s="215" t="n">
        <v>0.062474118459496</v>
      </c>
      <c r="D223" s="215" t="n">
        <v>0.45</v>
      </c>
      <c r="E223" s="215" t="n">
        <v>0.45</v>
      </c>
      <c r="F223" s="215" t="n">
        <v>0.1625</v>
      </c>
      <c r="G223" s="215" t="n">
        <v>0.17</v>
      </c>
      <c r="H223" s="215" t="n">
        <v>0.1775</v>
      </c>
      <c r="I223" s="239" t="n">
        <v>4.811</v>
      </c>
      <c r="J223" s="215" t="n">
        <v>4.816</v>
      </c>
      <c r="K223" s="215" t="n">
        <v>4.821</v>
      </c>
      <c r="L223" s="215" t="n">
        <v>0.5</v>
      </c>
      <c r="M223" s="215" t="n">
        <v>0</v>
      </c>
      <c r="O223" s="211"/>
      <c r="P223" s="260"/>
      <c r="Q223" s="260"/>
      <c r="R223" s="261" t="e">
        <f aca="false">B223</f>
        <v>#VALUE!</v>
      </c>
      <c r="S223" s="262" t="n">
        <f aca="false">T223-$S$16</f>
        <v>0.38</v>
      </c>
      <c r="T223" s="257" t="n">
        <f aca="false">D223</f>
        <v>0.45</v>
      </c>
      <c r="U223" s="263" t="n">
        <f aca="false">$U$16+T223</f>
        <v>0.52</v>
      </c>
      <c r="BP223" s="226" t="n">
        <f aca="false">BP222+BV223</f>
        <v>222</v>
      </c>
      <c r="BQ223" s="227" t="s">
        <v>1094</v>
      </c>
      <c r="BR223" s="224" t="s">
        <v>226</v>
      </c>
      <c r="BS223" s="154" t="s">
        <v>359</v>
      </c>
      <c r="BT223" s="230" t="s">
        <v>228</v>
      </c>
      <c r="BU223" s="230"/>
      <c r="BV223" s="154" t="n">
        <v>1</v>
      </c>
      <c r="BW223" s="224" t="s">
        <v>1095</v>
      </c>
      <c r="BX223" s="0"/>
    </row>
    <row r="224" customFormat="false" ht="12.75" hidden="false" customHeight="false" outlineLevel="0" collapsed="false">
      <c r="A224" s="258"/>
      <c r="B224" s="259" t="e">
        <f aca="false">NextMonth(B223)</f>
        <v>#VALUE!</v>
      </c>
      <c r="C224" s="215" t="n">
        <v>0.06249783354925</v>
      </c>
      <c r="D224" s="215" t="n">
        <v>0.5</v>
      </c>
      <c r="E224" s="215" t="n">
        <v>0.5</v>
      </c>
      <c r="F224" s="215" t="n">
        <v>0.1625</v>
      </c>
      <c r="G224" s="215" t="n">
        <v>0.17</v>
      </c>
      <c r="H224" s="215" t="n">
        <v>0.1775</v>
      </c>
      <c r="I224" s="239" t="n">
        <v>4.786</v>
      </c>
      <c r="J224" s="215" t="n">
        <v>4.791</v>
      </c>
      <c r="K224" s="215" t="n">
        <v>4.796</v>
      </c>
      <c r="L224" s="215" t="n">
        <v>0.44</v>
      </c>
      <c r="M224" s="215" t="n">
        <v>0</v>
      </c>
      <c r="O224" s="211"/>
      <c r="P224" s="260"/>
      <c r="Q224" s="260"/>
      <c r="R224" s="261" t="e">
        <f aca="false">B224</f>
        <v>#VALUE!</v>
      </c>
      <c r="S224" s="262" t="n">
        <f aca="false">T224-$S$16</f>
        <v>0.43</v>
      </c>
      <c r="T224" s="257" t="n">
        <f aca="false">D224</f>
        <v>0.5</v>
      </c>
      <c r="U224" s="263" t="n">
        <f aca="false">$U$16+T224</f>
        <v>0.57</v>
      </c>
      <c r="BP224" s="226" t="n">
        <f aca="false">BP223+BV224</f>
        <v>223</v>
      </c>
      <c r="BQ224" s="227" t="s">
        <v>1096</v>
      </c>
      <c r="BR224" s="224" t="s">
        <v>226</v>
      </c>
      <c r="BS224" s="154" t="s">
        <v>359</v>
      </c>
      <c r="BT224" s="230" t="s">
        <v>228</v>
      </c>
      <c r="BU224" s="230"/>
      <c r="BV224" s="154" t="n">
        <v>1</v>
      </c>
      <c r="BW224" s="224" t="s">
        <v>1097</v>
      </c>
      <c r="BX224" s="0"/>
    </row>
    <row r="225" customFormat="false" ht="12.75" hidden="false" customHeight="false" outlineLevel="0" collapsed="false">
      <c r="A225" s="258"/>
      <c r="B225" s="259" t="e">
        <f aca="false">NextMonth(B224)</f>
        <v>#VALUE!</v>
      </c>
      <c r="C225" s="215" t="n">
        <v>0.062522339142193</v>
      </c>
      <c r="D225" s="215" t="n">
        <v>0.5</v>
      </c>
      <c r="E225" s="215" t="n">
        <v>0.5</v>
      </c>
      <c r="F225" s="215" t="n">
        <v>0.1625</v>
      </c>
      <c r="G225" s="215" t="n">
        <v>0.17</v>
      </c>
      <c r="H225" s="215" t="n">
        <v>0.1775</v>
      </c>
      <c r="I225" s="239" t="n">
        <v>4.815</v>
      </c>
      <c r="J225" s="215" t="n">
        <v>4.82</v>
      </c>
      <c r="K225" s="215" t="n">
        <v>4.825</v>
      </c>
      <c r="L225" s="215" t="n">
        <v>0.44</v>
      </c>
      <c r="M225" s="215" t="n">
        <v>0</v>
      </c>
      <c r="O225" s="211"/>
      <c r="P225" s="260"/>
      <c r="Q225" s="260"/>
      <c r="R225" s="261" t="e">
        <f aca="false">B225</f>
        <v>#VALUE!</v>
      </c>
      <c r="S225" s="262" t="n">
        <f aca="false">T225-$S$16</f>
        <v>0.43</v>
      </c>
      <c r="T225" s="257" t="n">
        <f aca="false">D225</f>
        <v>0.5</v>
      </c>
      <c r="U225" s="263" t="n">
        <f aca="false">$U$16+T225</f>
        <v>0.57</v>
      </c>
      <c r="BP225" s="226" t="n">
        <f aca="false">BP224+BV225</f>
        <v>224</v>
      </c>
      <c r="BQ225" s="227" t="s">
        <v>1098</v>
      </c>
      <c r="BR225" s="224" t="s">
        <v>226</v>
      </c>
      <c r="BS225" s="154" t="s">
        <v>359</v>
      </c>
      <c r="BT225" s="230" t="s">
        <v>228</v>
      </c>
      <c r="BU225" s="230"/>
      <c r="BV225" s="154" t="n">
        <v>1</v>
      </c>
      <c r="BW225" s="224" t="s">
        <v>1099</v>
      </c>
      <c r="BX225" s="0"/>
    </row>
    <row r="226" customFormat="false" ht="12.75" hidden="false" customHeight="false" outlineLevel="0" collapsed="false">
      <c r="A226" s="258"/>
      <c r="B226" s="259" t="e">
        <f aca="false">NextMonth(B225)</f>
        <v>#VALUE!</v>
      </c>
      <c r="C226" s="215" t="n">
        <v>0.062546054232326</v>
      </c>
      <c r="D226" s="215" t="n">
        <v>0.5</v>
      </c>
      <c r="E226" s="215" t="n">
        <v>0.5</v>
      </c>
      <c r="F226" s="215" t="n">
        <v>0.1625</v>
      </c>
      <c r="G226" s="215" t="n">
        <v>0.17</v>
      </c>
      <c r="H226" s="215" t="n">
        <v>0.1775</v>
      </c>
      <c r="I226" s="239" t="n">
        <v>4.845</v>
      </c>
      <c r="J226" s="215" t="n">
        <v>4.85</v>
      </c>
      <c r="K226" s="215" t="n">
        <v>4.855</v>
      </c>
      <c r="L226" s="215" t="n">
        <v>0.5</v>
      </c>
      <c r="M226" s="215" t="n">
        <v>0</v>
      </c>
      <c r="O226" s="211"/>
      <c r="P226" s="260"/>
      <c r="Q226" s="260"/>
      <c r="R226" s="261" t="e">
        <f aca="false">B226</f>
        <v>#VALUE!</v>
      </c>
      <c r="S226" s="262" t="n">
        <f aca="false">T226-$S$16</f>
        <v>0.43</v>
      </c>
      <c r="T226" s="257" t="n">
        <f aca="false">D226</f>
        <v>0.5</v>
      </c>
      <c r="U226" s="263" t="n">
        <f aca="false">$U$16+T226</f>
        <v>0.57</v>
      </c>
      <c r="BP226" s="226" t="n">
        <f aca="false">BP225+BV226</f>
        <v>225</v>
      </c>
      <c r="BQ226" s="227" t="s">
        <v>1100</v>
      </c>
      <c r="BR226" s="224" t="s">
        <v>226</v>
      </c>
      <c r="BS226" s="154" t="s">
        <v>359</v>
      </c>
      <c r="BT226" s="230" t="s">
        <v>228</v>
      </c>
      <c r="BU226" s="230"/>
      <c r="BV226" s="154" t="n">
        <v>1</v>
      </c>
      <c r="BW226" s="224" t="s">
        <v>1101</v>
      </c>
      <c r="BX226" s="0"/>
    </row>
    <row r="227" customFormat="false" ht="12.75" hidden="false" customHeight="false" outlineLevel="0" collapsed="false">
      <c r="A227" s="258"/>
      <c r="B227" s="259" t="e">
        <f aca="false">NextMonth(B226)</f>
        <v>#VALUE!</v>
      </c>
      <c r="C227" s="215" t="n">
        <v>0.062570559825661</v>
      </c>
      <c r="D227" s="215" t="n">
        <v>0.6</v>
      </c>
      <c r="E227" s="215" t="n">
        <v>0.6</v>
      </c>
      <c r="F227" s="215" t="n">
        <v>0.1625</v>
      </c>
      <c r="G227" s="215" t="n">
        <v>0.17</v>
      </c>
      <c r="H227" s="215" t="n">
        <v>0.1775</v>
      </c>
      <c r="I227" s="239" t="n">
        <v>4.865</v>
      </c>
      <c r="J227" s="215" t="n">
        <v>4.87</v>
      </c>
      <c r="K227" s="215" t="n">
        <v>4.875</v>
      </c>
      <c r="L227" s="215" t="n">
        <v>0.5</v>
      </c>
      <c r="M227" s="215" t="n">
        <v>0</v>
      </c>
      <c r="O227" s="211"/>
      <c r="P227" s="260"/>
      <c r="Q227" s="260"/>
      <c r="R227" s="261" t="e">
        <f aca="false">B227</f>
        <v>#VALUE!</v>
      </c>
      <c r="S227" s="262" t="n">
        <f aca="false">T227-$S$16</f>
        <v>0.53</v>
      </c>
      <c r="T227" s="257" t="n">
        <f aca="false">D227</f>
        <v>0.6</v>
      </c>
      <c r="U227" s="263" t="n">
        <f aca="false">$U$16+T227</f>
        <v>0.67</v>
      </c>
      <c r="BP227" s="226" t="n">
        <f aca="false">BP226+BV227</f>
        <v>226</v>
      </c>
      <c r="BQ227" s="227" t="s">
        <v>1102</v>
      </c>
      <c r="BR227" s="224" t="s">
        <v>226</v>
      </c>
      <c r="BS227" s="154" t="s">
        <v>359</v>
      </c>
      <c r="BT227" s="230" t="s">
        <v>228</v>
      </c>
      <c r="BU227" s="230"/>
      <c r="BV227" s="154" t="n">
        <v>1</v>
      </c>
      <c r="BW227" s="224" t="s">
        <v>1103</v>
      </c>
      <c r="BX227" s="0"/>
    </row>
    <row r="228" customFormat="false" ht="12.75" hidden="false" customHeight="false" outlineLevel="0" collapsed="false">
      <c r="A228" s="258"/>
      <c r="B228" s="259" t="e">
        <f aca="false">NextMonth(B227)</f>
        <v>#VALUE!</v>
      </c>
      <c r="C228" s="215" t="n">
        <v>0.062595065419194</v>
      </c>
      <c r="D228" s="215" t="n">
        <v>0.6</v>
      </c>
      <c r="E228" s="215" t="n">
        <v>0.6</v>
      </c>
      <c r="F228" s="215" t="n">
        <v>0.1625</v>
      </c>
      <c r="G228" s="215" t="n">
        <v>0.17</v>
      </c>
      <c r="H228" s="215" t="n">
        <v>0.1775</v>
      </c>
      <c r="I228" s="239" t="n">
        <v>4.886</v>
      </c>
      <c r="J228" s="215" t="n">
        <v>4.891</v>
      </c>
      <c r="K228" s="215" t="n">
        <v>4.896</v>
      </c>
      <c r="L228" s="215" t="n">
        <v>0.46</v>
      </c>
      <c r="M228" s="215" t="n">
        <v>0</v>
      </c>
      <c r="O228" s="211"/>
      <c r="P228" s="260"/>
      <c r="Q228" s="260"/>
      <c r="R228" s="261" t="e">
        <f aca="false">B228</f>
        <v>#VALUE!</v>
      </c>
      <c r="S228" s="262" t="n">
        <f aca="false">T228-$S$16</f>
        <v>0.53</v>
      </c>
      <c r="T228" s="257" t="n">
        <f aca="false">D228</f>
        <v>0.6</v>
      </c>
      <c r="U228" s="263" t="n">
        <f aca="false">$U$16+T228</f>
        <v>0.67</v>
      </c>
      <c r="BP228" s="226" t="n">
        <f aca="false">BP227+BV228</f>
        <v>227</v>
      </c>
      <c r="BQ228" s="227" t="s">
        <v>1104</v>
      </c>
      <c r="BR228" s="224" t="s">
        <v>226</v>
      </c>
      <c r="BS228" s="154" t="s">
        <v>359</v>
      </c>
      <c r="BT228" s="230" t="s">
        <v>228</v>
      </c>
      <c r="BU228" s="230"/>
      <c r="BV228" s="154" t="n">
        <v>1</v>
      </c>
      <c r="BW228" s="224" t="s">
        <v>1105</v>
      </c>
      <c r="BX228" s="0"/>
    </row>
    <row r="229" customFormat="false" ht="12.75" hidden="false" customHeight="false" outlineLevel="0" collapsed="false">
      <c r="A229" s="258"/>
      <c r="B229" s="259" t="e">
        <f aca="false">NextMonth(B228)</f>
        <v>#VALUE!</v>
      </c>
      <c r="C229" s="215" t="n">
        <v>0.062618780509901</v>
      </c>
      <c r="D229" s="215" t="n">
        <v>0.65</v>
      </c>
      <c r="E229" s="215" t="n">
        <v>0.65</v>
      </c>
      <c r="F229" s="215" t="n">
        <v>0.1625</v>
      </c>
      <c r="G229" s="215" t="n">
        <v>0.17</v>
      </c>
      <c r="H229" s="215" t="n">
        <v>0.1775</v>
      </c>
      <c r="I229" s="239" t="n">
        <v>4.916</v>
      </c>
      <c r="J229" s="215" t="n">
        <v>4.921</v>
      </c>
      <c r="K229" s="215" t="n">
        <v>4.926</v>
      </c>
      <c r="L229" s="215" t="n">
        <v>0.47</v>
      </c>
      <c r="M229" s="215" t="n">
        <v>0</v>
      </c>
      <c r="O229" s="211"/>
      <c r="P229" s="260"/>
      <c r="Q229" s="260"/>
      <c r="R229" s="261" t="e">
        <f aca="false">B229</f>
        <v>#VALUE!</v>
      </c>
      <c r="S229" s="262" t="n">
        <f aca="false">T229-$S$16</f>
        <v>0.58</v>
      </c>
      <c r="T229" s="257" t="n">
        <f aca="false">D229</f>
        <v>0.65</v>
      </c>
      <c r="U229" s="263" t="n">
        <f aca="false">$U$16+T229</f>
        <v>0.72</v>
      </c>
      <c r="BP229" s="226" t="n">
        <f aca="false">BP228+BV229</f>
        <v>228</v>
      </c>
      <c r="BQ229" s="227" t="s">
        <v>1106</v>
      </c>
      <c r="BR229" s="224" t="s">
        <v>226</v>
      </c>
      <c r="BS229" s="154" t="s">
        <v>359</v>
      </c>
      <c r="BT229" s="230" t="s">
        <v>228</v>
      </c>
      <c r="BU229" s="230"/>
      <c r="BV229" s="154" t="n">
        <v>1</v>
      </c>
      <c r="BW229" s="224" t="s">
        <v>1107</v>
      </c>
      <c r="BX229" s="0"/>
    </row>
    <row r="230" customFormat="false" ht="12.75" hidden="false" customHeight="false" outlineLevel="0" collapsed="false">
      <c r="A230" s="258"/>
      <c r="B230" s="259" t="e">
        <f aca="false">NextMonth(B229)</f>
        <v>#VALUE!</v>
      </c>
      <c r="C230" s="215" t="n">
        <v>0.062643286103827</v>
      </c>
      <c r="D230" s="215" t="n">
        <v>0.95</v>
      </c>
      <c r="E230" s="215" t="n">
        <v>0.95</v>
      </c>
      <c r="F230" s="215" t="n">
        <v>0.1625</v>
      </c>
      <c r="G230" s="215" t="n">
        <v>0.17</v>
      </c>
      <c r="H230" s="215" t="n">
        <v>0.1775</v>
      </c>
      <c r="I230" s="239" t="n">
        <v>5.056</v>
      </c>
      <c r="J230" s="215" t="n">
        <v>5.061</v>
      </c>
      <c r="K230" s="215" t="n">
        <v>5.066</v>
      </c>
      <c r="L230" s="215" t="n">
        <v>0.86</v>
      </c>
      <c r="M230" s="215" t="n">
        <v>0</v>
      </c>
      <c r="O230" s="211"/>
      <c r="P230" s="260"/>
      <c r="Q230" s="260"/>
      <c r="R230" s="261" t="e">
        <f aca="false">B230</f>
        <v>#VALUE!</v>
      </c>
      <c r="S230" s="262" t="n">
        <f aca="false">T230-$S$16</f>
        <v>0.88</v>
      </c>
      <c r="T230" s="257" t="n">
        <f aca="false">D230</f>
        <v>0.95</v>
      </c>
      <c r="U230" s="263" t="n">
        <f aca="false">$U$16+T230</f>
        <v>1.02</v>
      </c>
      <c r="BP230" s="226" t="n">
        <f aca="false">BP229+BV230</f>
        <v>229</v>
      </c>
      <c r="BQ230" s="227" t="s">
        <v>1108</v>
      </c>
      <c r="BR230" s="224" t="s">
        <v>226</v>
      </c>
      <c r="BS230" s="154" t="s">
        <v>359</v>
      </c>
      <c r="BT230" s="230" t="s">
        <v>228</v>
      </c>
      <c r="BU230" s="230"/>
      <c r="BV230" s="154" t="n">
        <v>1</v>
      </c>
      <c r="BW230" s="224" t="s">
        <v>1109</v>
      </c>
      <c r="BX230" s="0"/>
    </row>
    <row r="231" customFormat="false" ht="12.75" hidden="false" customHeight="false" outlineLevel="0" collapsed="false">
      <c r="A231" s="258"/>
      <c r="B231" s="259" t="e">
        <f aca="false">NextMonth(B230)</f>
        <v>#VALUE!</v>
      </c>
      <c r="C231" s="215" t="n">
        <v>0.062667001194912</v>
      </c>
      <c r="D231" s="215" t="n">
        <v>1.25</v>
      </c>
      <c r="E231" s="215" t="n">
        <v>1.25</v>
      </c>
      <c r="F231" s="215" t="n">
        <v>0.1625</v>
      </c>
      <c r="G231" s="215" t="n">
        <v>0.17</v>
      </c>
      <c r="H231" s="215" t="n">
        <v>0.1775</v>
      </c>
      <c r="I231" s="239" t="n">
        <v>5.181</v>
      </c>
      <c r="J231" s="215" t="n">
        <v>5.186</v>
      </c>
      <c r="K231" s="215" t="n">
        <v>5.191</v>
      </c>
      <c r="L231" s="215" t="n">
        <v>1.28</v>
      </c>
      <c r="M231" s="215" t="n">
        <v>0</v>
      </c>
      <c r="O231" s="211"/>
      <c r="P231" s="260"/>
      <c r="Q231" s="260"/>
      <c r="R231" s="261" t="e">
        <f aca="false">B231</f>
        <v>#VALUE!</v>
      </c>
      <c r="S231" s="262" t="n">
        <f aca="false">T231-$S$16</f>
        <v>1.18</v>
      </c>
      <c r="T231" s="257" t="n">
        <f aca="false">D231</f>
        <v>1.25</v>
      </c>
      <c r="U231" s="263" t="n">
        <f aca="false">$U$16+T231</f>
        <v>1.32</v>
      </c>
      <c r="BP231" s="226" t="n">
        <f aca="false">BP230+BV231</f>
        <v>230</v>
      </c>
      <c r="BQ231" s="227" t="s">
        <v>1110</v>
      </c>
      <c r="BR231" s="224" t="s">
        <v>226</v>
      </c>
      <c r="BS231" s="154" t="s">
        <v>359</v>
      </c>
      <c r="BT231" s="230" t="s">
        <v>228</v>
      </c>
      <c r="BU231" s="230"/>
      <c r="BV231" s="154" t="n">
        <v>1</v>
      </c>
      <c r="BW231" s="224" t="s">
        <v>1111</v>
      </c>
      <c r="BX231" s="0"/>
    </row>
    <row r="232" customFormat="false" ht="12.75" hidden="false" customHeight="false" outlineLevel="0" collapsed="false">
      <c r="A232" s="258"/>
      <c r="B232" s="259" t="e">
        <f aca="false">NextMonth(B231)</f>
        <v>#VALUE!</v>
      </c>
      <c r="C232" s="215" t="n">
        <v>0.062691506789231</v>
      </c>
      <c r="D232" s="215" t="n">
        <v>1.45</v>
      </c>
      <c r="E232" s="215" t="n">
        <v>1.45</v>
      </c>
      <c r="F232" s="215" t="n">
        <v>0.1625</v>
      </c>
      <c r="G232" s="215" t="n">
        <v>0.17</v>
      </c>
      <c r="H232" s="215" t="n">
        <v>0.1775</v>
      </c>
      <c r="I232" s="239" t="n">
        <v>5.35</v>
      </c>
      <c r="J232" s="215" t="n">
        <v>5.355</v>
      </c>
      <c r="K232" s="215" t="n">
        <v>5.36</v>
      </c>
      <c r="L232" s="215" t="n">
        <v>1.61</v>
      </c>
      <c r="M232" s="215" t="n">
        <v>0</v>
      </c>
      <c r="O232" s="211"/>
      <c r="P232" s="260"/>
      <c r="Q232" s="260"/>
      <c r="R232" s="261" t="e">
        <f aca="false">B232</f>
        <v>#VALUE!</v>
      </c>
      <c r="S232" s="262" t="n">
        <f aca="false">T232-$S$16</f>
        <v>1.38</v>
      </c>
      <c r="T232" s="257" t="n">
        <f aca="false">D232</f>
        <v>1.45</v>
      </c>
      <c r="U232" s="263" t="n">
        <f aca="false">$U$16+T232</f>
        <v>1.52</v>
      </c>
      <c r="BP232" s="226" t="n">
        <f aca="false">BP231+BV232</f>
        <v>231</v>
      </c>
      <c r="BQ232" s="227" t="s">
        <v>1112</v>
      </c>
      <c r="BR232" s="224" t="s">
        <v>226</v>
      </c>
      <c r="BS232" s="154" t="s">
        <v>359</v>
      </c>
      <c r="BT232" s="230" t="s">
        <v>228</v>
      </c>
      <c r="BU232" s="230"/>
      <c r="BV232" s="154" t="n">
        <v>1</v>
      </c>
      <c r="BW232" s="224" t="s">
        <v>1113</v>
      </c>
      <c r="BX232" s="0"/>
    </row>
    <row r="233" customFormat="false" ht="12.75" hidden="false" customHeight="false" outlineLevel="0" collapsed="false">
      <c r="A233" s="258"/>
      <c r="B233" s="259" t="e">
        <f aca="false">NextMonth(B232)</f>
        <v>#VALUE!</v>
      </c>
      <c r="C233" s="215" t="n">
        <v>0.062716012383748</v>
      </c>
      <c r="D233" s="215" t="n">
        <v>1.45</v>
      </c>
      <c r="E233" s="215" t="n">
        <v>1.45</v>
      </c>
      <c r="F233" s="215" t="n">
        <v>0.1625</v>
      </c>
      <c r="G233" s="215" t="n">
        <v>0.17</v>
      </c>
      <c r="H233" s="215" t="n">
        <v>0.1775</v>
      </c>
      <c r="I233" s="239" t="n">
        <v>5.254</v>
      </c>
      <c r="J233" s="215" t="n">
        <v>5.259</v>
      </c>
      <c r="K233" s="215" t="n">
        <v>5.264</v>
      </c>
      <c r="L233" s="215" t="n">
        <v>1.57</v>
      </c>
      <c r="M233" s="215" t="n">
        <v>0</v>
      </c>
      <c r="O233" s="211"/>
      <c r="P233" s="260"/>
      <c r="Q233" s="260"/>
      <c r="R233" s="261" t="e">
        <f aca="false">B233</f>
        <v>#VALUE!</v>
      </c>
      <c r="S233" s="262" t="n">
        <f aca="false">T233-$S$16</f>
        <v>1.38</v>
      </c>
      <c r="T233" s="257" t="n">
        <f aca="false">D233</f>
        <v>1.45</v>
      </c>
      <c r="U233" s="263" t="n">
        <f aca="false">$U$16+T233</f>
        <v>1.52</v>
      </c>
      <c r="BP233" s="226" t="n">
        <f aca="false">BP232+BV233</f>
        <v>232</v>
      </c>
      <c r="BQ233" s="227" t="s">
        <v>1114</v>
      </c>
      <c r="BR233" s="224" t="s">
        <v>226</v>
      </c>
      <c r="BS233" s="154" t="s">
        <v>359</v>
      </c>
      <c r="BT233" s="230" t="s">
        <v>228</v>
      </c>
      <c r="BU233" s="230"/>
      <c r="BV233" s="154" t="n">
        <v>1</v>
      </c>
      <c r="BW233" s="224" t="s">
        <v>1115</v>
      </c>
      <c r="BX233" s="0"/>
    </row>
    <row r="234" customFormat="false" ht="12.75" hidden="false" customHeight="false" outlineLevel="0" collapsed="false">
      <c r="A234" s="258"/>
      <c r="B234" s="259" t="e">
        <f aca="false">NextMonth(B233)</f>
        <v>#VALUE!</v>
      </c>
      <c r="C234" s="215" t="n">
        <v>0.062738146469289</v>
      </c>
      <c r="D234" s="215" t="n">
        <v>1</v>
      </c>
      <c r="E234" s="215" t="n">
        <v>1</v>
      </c>
      <c r="F234" s="215" t="n">
        <v>0.1625</v>
      </c>
      <c r="G234" s="215" t="n">
        <v>0.17</v>
      </c>
      <c r="H234" s="215" t="n">
        <v>0.1775</v>
      </c>
      <c r="I234" s="239" t="n">
        <v>5.104</v>
      </c>
      <c r="J234" s="215" t="n">
        <v>5.109</v>
      </c>
      <c r="K234" s="215" t="n">
        <v>5.114</v>
      </c>
      <c r="L234" s="215" t="n">
        <v>0.93</v>
      </c>
      <c r="M234" s="215" t="n">
        <v>0</v>
      </c>
      <c r="O234" s="211"/>
      <c r="P234" s="260"/>
      <c r="Q234" s="260"/>
      <c r="R234" s="261" t="e">
        <f aca="false">B234</f>
        <v>#VALUE!</v>
      </c>
      <c r="S234" s="262" t="n">
        <f aca="false">T234-$S$16</f>
        <v>0.93</v>
      </c>
      <c r="T234" s="257" t="n">
        <f aca="false">D234</f>
        <v>1</v>
      </c>
      <c r="U234" s="263" t="n">
        <f aca="false">$U$16+T234</f>
        <v>1.07</v>
      </c>
      <c r="BP234" s="226" t="n">
        <f aca="false">BP233+BV234</f>
        <v>233</v>
      </c>
      <c r="BQ234" s="227" t="s">
        <v>1116</v>
      </c>
      <c r="BR234" s="224" t="s">
        <v>226</v>
      </c>
      <c r="BS234" s="154" t="s">
        <v>359</v>
      </c>
      <c r="BT234" s="230" t="s">
        <v>228</v>
      </c>
      <c r="BU234" s="230"/>
      <c r="BV234" s="154" t="n">
        <v>1</v>
      </c>
      <c r="BW234" s="224" t="s">
        <v>1117</v>
      </c>
      <c r="BX234" s="0"/>
    </row>
    <row r="235" customFormat="false" ht="12.75" hidden="false" customHeight="false" outlineLevel="0" collapsed="false">
      <c r="A235" s="258"/>
      <c r="B235" s="259" t="e">
        <f aca="false">NextMonth(B234)</f>
        <v>#VALUE!</v>
      </c>
      <c r="C235" s="215" t="n">
        <v>0.062762652064186</v>
      </c>
      <c r="D235" s="215" t="n">
        <v>0.45</v>
      </c>
      <c r="E235" s="215" t="n">
        <v>0.45</v>
      </c>
      <c r="F235" s="215" t="n">
        <v>0.1625</v>
      </c>
      <c r="G235" s="215" t="n">
        <v>0.17</v>
      </c>
      <c r="H235" s="215" t="n">
        <v>0.1775</v>
      </c>
      <c r="I235" s="239" t="n">
        <v>4.921</v>
      </c>
      <c r="J235" s="215" t="n">
        <v>4.926</v>
      </c>
      <c r="K235" s="215" t="n">
        <v>4.931</v>
      </c>
      <c r="L235" s="215" t="n">
        <v>0.5</v>
      </c>
      <c r="M235" s="215" t="n">
        <v>0</v>
      </c>
      <c r="O235" s="211"/>
      <c r="P235" s="260"/>
      <c r="Q235" s="260"/>
      <c r="R235" s="261" t="e">
        <f aca="false">B235</f>
        <v>#VALUE!</v>
      </c>
      <c r="S235" s="262" t="n">
        <f aca="false">T235-$S$16</f>
        <v>0.38</v>
      </c>
      <c r="T235" s="257" t="n">
        <f aca="false">D235</f>
        <v>0.45</v>
      </c>
      <c r="U235" s="263" t="n">
        <f aca="false">$U$16+T235</f>
        <v>0.52</v>
      </c>
      <c r="BP235" s="226" t="n">
        <f aca="false">BP234+BV235</f>
        <v>234</v>
      </c>
      <c r="BQ235" s="227" t="s">
        <v>1118</v>
      </c>
      <c r="BR235" s="224" t="s">
        <v>226</v>
      </c>
      <c r="BS235" s="154" t="s">
        <v>359</v>
      </c>
      <c r="BT235" s="230" t="s">
        <v>228</v>
      </c>
      <c r="BU235" s="230"/>
      <c r="BV235" s="154" t="n">
        <v>1</v>
      </c>
      <c r="BW235" s="224" t="s">
        <v>1119</v>
      </c>
      <c r="BX235" s="0"/>
    </row>
    <row r="236" customFormat="false" ht="12.75" hidden="false" customHeight="false" outlineLevel="0" collapsed="false">
      <c r="A236" s="258"/>
      <c r="B236" s="259" t="e">
        <f aca="false">NextMonth(B235)</f>
        <v>#VALUE!</v>
      </c>
      <c r="C236" s="215" t="n">
        <v>0.062786367156211</v>
      </c>
      <c r="D236" s="215" t="n">
        <v>0.5</v>
      </c>
      <c r="E236" s="215" t="n">
        <v>0.5</v>
      </c>
      <c r="F236" s="215" t="n">
        <v>0.1625</v>
      </c>
      <c r="G236" s="215" t="n">
        <v>0.17</v>
      </c>
      <c r="H236" s="215" t="n">
        <v>0.1775</v>
      </c>
      <c r="I236" s="239" t="n">
        <v>4.896</v>
      </c>
      <c r="J236" s="215" t="n">
        <v>4.901</v>
      </c>
      <c r="K236" s="215" t="n">
        <v>4.906</v>
      </c>
      <c r="L236" s="215" t="n">
        <v>0.44</v>
      </c>
      <c r="M236" s="215" t="n">
        <v>0</v>
      </c>
      <c r="O236" s="211"/>
      <c r="P236" s="260"/>
      <c r="Q236" s="260"/>
      <c r="R236" s="261" t="e">
        <f aca="false">B236</f>
        <v>#VALUE!</v>
      </c>
      <c r="S236" s="262" t="n">
        <f aca="false">T236-$S$16</f>
        <v>0.43</v>
      </c>
      <c r="T236" s="257" t="n">
        <f aca="false">D236</f>
        <v>0.5</v>
      </c>
      <c r="U236" s="263" t="n">
        <f aca="false">$U$16+T236</f>
        <v>0.57</v>
      </c>
      <c r="BP236" s="226" t="n">
        <f aca="false">BP235+BV236</f>
        <v>235</v>
      </c>
      <c r="BQ236" s="227" t="s">
        <v>1120</v>
      </c>
      <c r="BR236" s="224" t="s">
        <v>226</v>
      </c>
      <c r="BS236" s="154" t="s">
        <v>359</v>
      </c>
      <c r="BT236" s="230" t="s">
        <v>228</v>
      </c>
      <c r="BU236" s="230"/>
      <c r="BV236" s="154" t="n">
        <v>1</v>
      </c>
      <c r="BW236" s="224" t="s">
        <v>1121</v>
      </c>
      <c r="BX236" s="0"/>
    </row>
    <row r="237" customFormat="false" ht="12.75" hidden="false" customHeight="false" outlineLevel="0" collapsed="false">
      <c r="A237" s="258"/>
      <c r="B237" s="259" t="e">
        <f aca="false">NextMonth(B236)</f>
        <v>#VALUE!</v>
      </c>
      <c r="C237" s="215" t="n">
        <v>0.062810872751499</v>
      </c>
      <c r="D237" s="215" t="n">
        <v>0.5</v>
      </c>
      <c r="E237" s="215" t="n">
        <v>0.5</v>
      </c>
      <c r="F237" s="215" t="n">
        <v>0.1625</v>
      </c>
      <c r="G237" s="215" t="n">
        <v>0.17</v>
      </c>
      <c r="H237" s="215" t="n">
        <v>0.1775</v>
      </c>
      <c r="I237" s="239" t="n">
        <v>4.925</v>
      </c>
      <c r="J237" s="215" t="n">
        <v>4.93</v>
      </c>
      <c r="K237" s="215" t="n">
        <v>4.935</v>
      </c>
      <c r="L237" s="215" t="n">
        <v>0.44</v>
      </c>
      <c r="M237" s="215" t="n">
        <v>0</v>
      </c>
      <c r="O237" s="211"/>
      <c r="P237" s="260"/>
      <c r="Q237" s="260"/>
      <c r="R237" s="261" t="e">
        <f aca="false">B237</f>
        <v>#VALUE!</v>
      </c>
      <c r="S237" s="262" t="n">
        <f aca="false">T237-$S$16</f>
        <v>0.43</v>
      </c>
      <c r="T237" s="257" t="n">
        <f aca="false">D237</f>
        <v>0.5</v>
      </c>
      <c r="U237" s="263" t="n">
        <f aca="false">$U$16+T237</f>
        <v>0.57</v>
      </c>
      <c r="BP237" s="226" t="n">
        <f aca="false">BP236+BV237</f>
        <v>236</v>
      </c>
      <c r="BQ237" s="227" t="s">
        <v>1122</v>
      </c>
      <c r="BR237" s="224" t="s">
        <v>226</v>
      </c>
      <c r="BS237" s="154" t="s">
        <v>359</v>
      </c>
      <c r="BT237" s="230" t="s">
        <v>228</v>
      </c>
      <c r="BU237" s="230"/>
      <c r="BV237" s="154" t="n">
        <v>1</v>
      </c>
      <c r="BW237" s="224" t="s">
        <v>1123</v>
      </c>
      <c r="BX237" s="0"/>
    </row>
    <row r="238" customFormat="false" ht="12.75" hidden="false" customHeight="false" outlineLevel="0" collapsed="false">
      <c r="A238" s="258"/>
      <c r="B238" s="259" t="e">
        <f aca="false">NextMonth(B237)</f>
        <v>#VALUE!</v>
      </c>
      <c r="C238" s="215" t="n">
        <v>0.062834587843904</v>
      </c>
      <c r="D238" s="215" t="n">
        <v>0.5</v>
      </c>
      <c r="E238" s="215" t="n">
        <v>0.5</v>
      </c>
      <c r="F238" s="215" t="n">
        <v>0.1625</v>
      </c>
      <c r="G238" s="215" t="n">
        <v>0.17</v>
      </c>
      <c r="H238" s="215" t="n">
        <v>0.1775</v>
      </c>
      <c r="I238" s="239" t="n">
        <v>4.955</v>
      </c>
      <c r="J238" s="215" t="n">
        <v>4.96</v>
      </c>
      <c r="K238" s="215" t="n">
        <v>4.965</v>
      </c>
      <c r="L238" s="215" t="n">
        <v>0.5</v>
      </c>
      <c r="M238" s="215" t="n">
        <v>0</v>
      </c>
      <c r="O238" s="211"/>
      <c r="P238" s="260"/>
      <c r="Q238" s="260"/>
      <c r="R238" s="261" t="e">
        <f aca="false">B238</f>
        <v>#VALUE!</v>
      </c>
      <c r="S238" s="262" t="n">
        <f aca="false">T238-$S$16</f>
        <v>0.43</v>
      </c>
      <c r="T238" s="257" t="n">
        <f aca="false">D238</f>
        <v>0.5</v>
      </c>
      <c r="U238" s="263" t="n">
        <f aca="false">$U$16+T238</f>
        <v>0.57</v>
      </c>
      <c r="BP238" s="226" t="n">
        <f aca="false">BP237+BV238</f>
        <v>237</v>
      </c>
      <c r="BQ238" s="227" t="s">
        <v>1124</v>
      </c>
      <c r="BR238" s="224" t="s">
        <v>226</v>
      </c>
      <c r="BS238" s="154" t="s">
        <v>359</v>
      </c>
      <c r="BT238" s="230" t="s">
        <v>228</v>
      </c>
      <c r="BU238" s="230"/>
      <c r="BV238" s="154" t="n">
        <v>1</v>
      </c>
      <c r="BW238" s="224" t="s">
        <v>1125</v>
      </c>
      <c r="BX238" s="0"/>
    </row>
    <row r="239" customFormat="false" ht="12.75" hidden="false" customHeight="false" outlineLevel="0" collapsed="false">
      <c r="A239" s="258"/>
      <c r="B239" s="259" t="e">
        <f aca="false">NextMonth(B238)</f>
        <v>#VALUE!</v>
      </c>
      <c r="C239" s="215" t="n">
        <v>0.062859093439584</v>
      </c>
      <c r="D239" s="215" t="n">
        <v>0.6</v>
      </c>
      <c r="E239" s="215" t="n">
        <v>0.6</v>
      </c>
      <c r="F239" s="215" t="n">
        <v>0.1625</v>
      </c>
      <c r="G239" s="215" t="n">
        <v>0.17</v>
      </c>
      <c r="H239" s="215" t="n">
        <v>0.1775</v>
      </c>
      <c r="I239" s="239" t="n">
        <v>4.975</v>
      </c>
      <c r="J239" s="215" t="n">
        <v>4.98</v>
      </c>
      <c r="K239" s="215" t="n">
        <v>4.985</v>
      </c>
      <c r="L239" s="215" t="n">
        <v>0.5</v>
      </c>
      <c r="M239" s="215" t="n">
        <v>0</v>
      </c>
      <c r="O239" s="211"/>
      <c r="P239" s="260"/>
      <c r="Q239" s="260"/>
      <c r="R239" s="261" t="e">
        <f aca="false">B239</f>
        <v>#VALUE!</v>
      </c>
      <c r="S239" s="262" t="n">
        <f aca="false">T239-$S$16</f>
        <v>0.53</v>
      </c>
      <c r="T239" s="257" t="n">
        <f aca="false">D239</f>
        <v>0.6</v>
      </c>
      <c r="U239" s="263" t="n">
        <f aca="false">$U$16+T239</f>
        <v>0.67</v>
      </c>
      <c r="BP239" s="226" t="n">
        <f aca="false">BP238+BV239</f>
        <v>238</v>
      </c>
      <c r="BQ239" s="227" t="s">
        <v>1126</v>
      </c>
      <c r="BR239" s="224" t="s">
        <v>226</v>
      </c>
      <c r="BS239" s="154" t="s">
        <v>359</v>
      </c>
      <c r="BT239" s="230" t="s">
        <v>228</v>
      </c>
      <c r="BU239" s="230"/>
      <c r="BV239" s="154" t="n">
        <v>1</v>
      </c>
      <c r="BW239" s="224" t="s">
        <v>1127</v>
      </c>
      <c r="BX239" s="0"/>
    </row>
    <row r="240" customFormat="false" ht="12.75" hidden="false" customHeight="false" outlineLevel="0" collapsed="false">
      <c r="A240" s="258"/>
      <c r="B240" s="259" t="e">
        <f aca="false">NextMonth(B239)</f>
        <v>#VALUE!</v>
      </c>
      <c r="C240" s="215" t="n">
        <v>0.062883599035464</v>
      </c>
      <c r="D240" s="215" t="n">
        <v>0.6</v>
      </c>
      <c r="E240" s="215" t="n">
        <v>0.6</v>
      </c>
      <c r="F240" s="215" t="n">
        <v>0.1625</v>
      </c>
      <c r="G240" s="215" t="n">
        <v>0.17</v>
      </c>
      <c r="H240" s="215" t="n">
        <v>0.1775</v>
      </c>
      <c r="I240" s="239" t="n">
        <v>4.996</v>
      </c>
      <c r="J240" s="215" t="n">
        <v>5.001</v>
      </c>
      <c r="K240" s="215" t="n">
        <v>5.006</v>
      </c>
      <c r="L240" s="215" t="n">
        <v>0.46</v>
      </c>
      <c r="M240" s="215" t="n">
        <v>0</v>
      </c>
      <c r="O240" s="211"/>
      <c r="P240" s="260"/>
      <c r="Q240" s="260"/>
      <c r="R240" s="261" t="e">
        <f aca="false">B240</f>
        <v>#VALUE!</v>
      </c>
      <c r="S240" s="262" t="n">
        <f aca="false">T240-$S$16</f>
        <v>0.53</v>
      </c>
      <c r="T240" s="257" t="n">
        <f aca="false">D240</f>
        <v>0.6</v>
      </c>
      <c r="U240" s="263" t="n">
        <f aca="false">$U$16+T240</f>
        <v>0.67</v>
      </c>
      <c r="BP240" s="226" t="n">
        <f aca="false">BP239+BV240</f>
        <v>239</v>
      </c>
      <c r="BQ240" s="227" t="s">
        <v>1128</v>
      </c>
      <c r="BR240" s="224" t="s">
        <v>226</v>
      </c>
      <c r="BS240" s="154" t="s">
        <v>359</v>
      </c>
      <c r="BT240" s="230" t="s">
        <v>228</v>
      </c>
      <c r="BU240" s="230"/>
      <c r="BV240" s="154" t="n">
        <v>1</v>
      </c>
      <c r="BW240" s="224" t="s">
        <v>1129</v>
      </c>
      <c r="BX240" s="0"/>
    </row>
    <row r="241" customFormat="false" ht="12.75" hidden="false" customHeight="false" outlineLevel="0" collapsed="false">
      <c r="A241" s="258"/>
      <c r="B241" s="259" t="e">
        <f aca="false">NextMonth(B240)</f>
        <v>#VALUE!</v>
      </c>
      <c r="C241" s="215" t="n">
        <v>0.062907314128441</v>
      </c>
      <c r="D241" s="215" t="n">
        <v>0.65</v>
      </c>
      <c r="E241" s="215" t="n">
        <v>0.65</v>
      </c>
      <c r="F241" s="215" t="n">
        <v>0.1625</v>
      </c>
      <c r="G241" s="215" t="n">
        <v>0.17</v>
      </c>
      <c r="H241" s="215" t="n">
        <v>0.1775</v>
      </c>
      <c r="I241" s="239" t="n">
        <v>5.026</v>
      </c>
      <c r="J241" s="215" t="n">
        <v>5.031</v>
      </c>
      <c r="K241" s="215" t="n">
        <v>5.036</v>
      </c>
      <c r="L241" s="215" t="n">
        <v>0.47</v>
      </c>
      <c r="M241" s="215" t="n">
        <v>0</v>
      </c>
      <c r="O241" s="211"/>
      <c r="P241" s="260"/>
      <c r="Q241" s="260"/>
      <c r="R241" s="261" t="e">
        <f aca="false">B241</f>
        <v>#VALUE!</v>
      </c>
      <c r="S241" s="262" t="n">
        <f aca="false">T241-$S$16</f>
        <v>0.58</v>
      </c>
      <c r="T241" s="257" t="n">
        <f aca="false">D241</f>
        <v>0.65</v>
      </c>
      <c r="U241" s="263" t="n">
        <f aca="false">$U$16+T241</f>
        <v>0.72</v>
      </c>
      <c r="BP241" s="226" t="n">
        <f aca="false">BP240+BV241</f>
        <v>240</v>
      </c>
      <c r="BQ241" s="227" t="s">
        <v>1130</v>
      </c>
      <c r="BR241" s="224" t="s">
        <v>226</v>
      </c>
      <c r="BS241" s="154" t="s">
        <v>359</v>
      </c>
      <c r="BT241" s="230" t="s">
        <v>228</v>
      </c>
      <c r="BU241" s="230"/>
      <c r="BV241" s="154" t="n">
        <v>1</v>
      </c>
      <c r="BW241" s="224" t="s">
        <v>1131</v>
      </c>
      <c r="BX241" s="0"/>
    </row>
    <row r="242" customFormat="false" ht="12.75" hidden="false" customHeight="false" outlineLevel="0" collapsed="false">
      <c r="A242" s="258"/>
      <c r="B242" s="259" t="e">
        <f aca="false">NextMonth(B241)</f>
        <v>#VALUE!</v>
      </c>
      <c r="C242" s="215" t="n">
        <v>0.062931819724713</v>
      </c>
      <c r="D242" s="215" t="n">
        <v>0.95</v>
      </c>
      <c r="E242" s="215" t="n">
        <v>0.95</v>
      </c>
      <c r="F242" s="215" t="n">
        <v>0.1625</v>
      </c>
      <c r="G242" s="215" t="n">
        <v>0.17</v>
      </c>
      <c r="H242" s="215" t="n">
        <v>0.1775</v>
      </c>
      <c r="I242" s="239" t="n">
        <v>5.166</v>
      </c>
      <c r="J242" s="215" t="n">
        <v>5.171</v>
      </c>
      <c r="K242" s="215" t="n">
        <v>5.176</v>
      </c>
      <c r="L242" s="215" t="n">
        <v>0.86</v>
      </c>
      <c r="M242" s="215" t="n">
        <v>0</v>
      </c>
      <c r="O242" s="211"/>
      <c r="P242" s="260"/>
      <c r="Q242" s="260"/>
      <c r="R242" s="261" t="e">
        <f aca="false">B242</f>
        <v>#VALUE!</v>
      </c>
      <c r="S242" s="262" t="n">
        <f aca="false">T242-$S$16</f>
        <v>0.88</v>
      </c>
      <c r="T242" s="257" t="n">
        <f aca="false">D242</f>
        <v>0.95</v>
      </c>
      <c r="U242" s="263" t="n">
        <f aca="false">$U$16+T242</f>
        <v>1.02</v>
      </c>
      <c r="BP242" s="226" t="n">
        <f aca="false">BP241+BV242</f>
        <v>241</v>
      </c>
      <c r="BQ242" s="227" t="s">
        <v>1132</v>
      </c>
      <c r="BR242" s="224" t="s">
        <v>226</v>
      </c>
      <c r="BS242" s="154" t="s">
        <v>359</v>
      </c>
      <c r="BT242" s="230" t="s">
        <v>228</v>
      </c>
      <c r="BU242" s="230"/>
      <c r="BV242" s="154" t="n">
        <v>1</v>
      </c>
      <c r="BW242" s="224" t="s">
        <v>1133</v>
      </c>
      <c r="BX242" s="0"/>
    </row>
    <row r="243" customFormat="false" ht="12.75" hidden="false" customHeight="false" outlineLevel="0" collapsed="false">
      <c r="A243" s="258"/>
      <c r="B243" s="259" t="e">
        <f aca="false">NextMonth(B242)</f>
        <v>#VALUE!</v>
      </c>
      <c r="C243" s="215" t="n">
        <v>0.062955534818069</v>
      </c>
      <c r="D243" s="215" t="n">
        <v>1.25</v>
      </c>
      <c r="E243" s="215" t="n">
        <v>1.25</v>
      </c>
      <c r="F243" s="215" t="n">
        <v>0.1625</v>
      </c>
      <c r="G243" s="215" t="n">
        <v>0.17</v>
      </c>
      <c r="H243" s="215" t="n">
        <v>0.1775</v>
      </c>
      <c r="I243" s="239" t="n">
        <v>5.291</v>
      </c>
      <c r="J243" s="215" t="n">
        <v>5.296</v>
      </c>
      <c r="K243" s="215" t="n">
        <v>5.301</v>
      </c>
      <c r="L243" s="215" t="n">
        <v>1.28</v>
      </c>
      <c r="M243" s="215" t="n">
        <v>0</v>
      </c>
      <c r="O243" s="211"/>
      <c r="P243" s="260"/>
      <c r="Q243" s="260"/>
      <c r="R243" s="261" t="e">
        <f aca="false">B243</f>
        <v>#VALUE!</v>
      </c>
      <c r="S243" s="262" t="n">
        <f aca="false">T243-$S$16</f>
        <v>1.18</v>
      </c>
      <c r="T243" s="257" t="n">
        <f aca="false">D243</f>
        <v>1.25</v>
      </c>
      <c r="U243" s="263" t="n">
        <f aca="false">$U$16+T243</f>
        <v>1.32</v>
      </c>
      <c r="BP243" s="226" t="n">
        <f aca="false">BP242+BV243</f>
        <v>242</v>
      </c>
      <c r="BQ243" s="227" t="s">
        <v>1134</v>
      </c>
      <c r="BR243" s="224" t="s">
        <v>226</v>
      </c>
      <c r="BS243" s="154" t="s">
        <v>359</v>
      </c>
      <c r="BT243" s="230" t="s">
        <v>228</v>
      </c>
      <c r="BU243" s="230"/>
      <c r="BV243" s="154" t="n">
        <v>1</v>
      </c>
      <c r="BW243" s="224" t="s">
        <v>1135</v>
      </c>
      <c r="BX243" s="0"/>
    </row>
    <row r="244" customFormat="false" ht="12.75" hidden="false" customHeight="false" outlineLevel="0" collapsed="false">
      <c r="A244" s="258"/>
      <c r="B244" s="259" t="e">
        <f aca="false">NextMonth(B243)</f>
        <v>#VALUE!</v>
      </c>
      <c r="C244" s="215" t="n">
        <v>0.062980040414733</v>
      </c>
      <c r="D244" s="215" t="n">
        <v>1.45</v>
      </c>
      <c r="E244" s="215" t="n">
        <v>1.45</v>
      </c>
      <c r="F244" s="215" t="n">
        <v>0.1625</v>
      </c>
      <c r="G244" s="215" t="n">
        <v>0.17</v>
      </c>
      <c r="H244" s="215" t="n">
        <v>0.1775</v>
      </c>
      <c r="I244" s="239" t="n">
        <v>5.46</v>
      </c>
      <c r="J244" s="215" t="n">
        <v>5.465</v>
      </c>
      <c r="K244" s="215" t="n">
        <v>5.47</v>
      </c>
      <c r="L244" s="215" t="n">
        <v>1.61</v>
      </c>
      <c r="M244" s="215" t="n">
        <v>0</v>
      </c>
      <c r="O244" s="211"/>
      <c r="P244" s="260"/>
      <c r="Q244" s="260"/>
      <c r="R244" s="261" t="e">
        <f aca="false">B244</f>
        <v>#VALUE!</v>
      </c>
      <c r="S244" s="262" t="n">
        <f aca="false">T244-$S$16</f>
        <v>1.38</v>
      </c>
      <c r="T244" s="257" t="n">
        <f aca="false">D244</f>
        <v>1.45</v>
      </c>
      <c r="U244" s="263" t="n">
        <f aca="false">$U$16+T244</f>
        <v>1.52</v>
      </c>
      <c r="BP244" s="226" t="n">
        <f aca="false">BP243+BV244</f>
        <v>243</v>
      </c>
      <c r="BQ244" s="227" t="s">
        <v>1136</v>
      </c>
      <c r="BR244" s="224" t="s">
        <v>226</v>
      </c>
      <c r="BS244" s="154" t="s">
        <v>359</v>
      </c>
      <c r="BT244" s="230" t="s">
        <v>228</v>
      </c>
      <c r="BU244" s="230"/>
      <c r="BV244" s="154" t="n">
        <v>1</v>
      </c>
      <c r="BW244" s="224" t="s">
        <v>1137</v>
      </c>
      <c r="BX244" s="0"/>
    </row>
    <row r="245" customFormat="false" ht="12.75" hidden="false" customHeight="false" outlineLevel="0" collapsed="false">
      <c r="A245" s="258"/>
      <c r="B245" s="259" t="e">
        <f aca="false">NextMonth(B244)</f>
        <v>#VALUE!</v>
      </c>
      <c r="C245" s="215" t="n">
        <v>0.063004546011597</v>
      </c>
      <c r="D245" s="215" t="n">
        <v>1.45</v>
      </c>
      <c r="E245" s="215" t="n">
        <v>1.45</v>
      </c>
      <c r="F245" s="215" t="n">
        <v>0.1625</v>
      </c>
      <c r="G245" s="215" t="n">
        <v>0.17</v>
      </c>
      <c r="H245" s="215" t="n">
        <v>0.1775</v>
      </c>
      <c r="I245" s="239" t="n">
        <v>5.364</v>
      </c>
      <c r="J245" s="215" t="n">
        <v>5.369</v>
      </c>
      <c r="K245" s="215" t="n">
        <v>5.374</v>
      </c>
      <c r="L245" s="215" t="n">
        <v>1.57</v>
      </c>
      <c r="M245" s="215" t="n">
        <v>0</v>
      </c>
      <c r="O245" s="211"/>
      <c r="P245" s="260"/>
      <c r="Q245" s="260"/>
      <c r="R245" s="261" t="e">
        <f aca="false">B245</f>
        <v>#VALUE!</v>
      </c>
      <c r="S245" s="262" t="n">
        <f aca="false">T245-$S$16</f>
        <v>1.38</v>
      </c>
      <c r="T245" s="257" t="n">
        <f aca="false">D245</f>
        <v>1.45</v>
      </c>
      <c r="U245" s="263" t="n">
        <f aca="false">$U$16+T245</f>
        <v>1.52</v>
      </c>
      <c r="BP245" s="226" t="n">
        <f aca="false">BP244+BV245</f>
        <v>244</v>
      </c>
      <c r="BQ245" s="227" t="s">
        <v>1138</v>
      </c>
      <c r="BR245" s="224" t="s">
        <v>226</v>
      </c>
      <c r="BS245" s="154" t="s">
        <v>359</v>
      </c>
      <c r="BT245" s="230" t="s">
        <v>228</v>
      </c>
      <c r="BU245" s="230"/>
      <c r="BV245" s="154" t="n">
        <v>1</v>
      </c>
      <c r="BW245" s="224" t="s">
        <v>1139</v>
      </c>
      <c r="BX245" s="0"/>
    </row>
    <row r="246" customFormat="false" ht="12.75" hidden="false" customHeight="false" outlineLevel="0" collapsed="false">
      <c r="A246" s="258"/>
      <c r="B246" s="259" t="e">
        <f aca="false">NextMonth(B245)</f>
        <v>#VALUE!</v>
      </c>
      <c r="C246" s="215" t="n">
        <v>0.063027470602391</v>
      </c>
      <c r="D246" s="215" t="n">
        <v>1</v>
      </c>
      <c r="E246" s="215" t="n">
        <v>1</v>
      </c>
      <c r="F246" s="215" t="n">
        <v>0.1625</v>
      </c>
      <c r="G246" s="215" t="n">
        <v>0.17</v>
      </c>
      <c r="H246" s="215" t="n">
        <v>0.1775</v>
      </c>
      <c r="I246" s="239" t="n">
        <v>5.214</v>
      </c>
      <c r="J246" s="215" t="n">
        <v>5.219</v>
      </c>
      <c r="K246" s="215" t="n">
        <v>5.224</v>
      </c>
      <c r="L246" s="215" t="n">
        <v>0.93</v>
      </c>
      <c r="M246" s="215" t="n">
        <v>0</v>
      </c>
      <c r="O246" s="211"/>
      <c r="P246" s="260"/>
      <c r="Q246" s="260"/>
      <c r="R246" s="261" t="e">
        <f aca="false">B246</f>
        <v>#VALUE!</v>
      </c>
      <c r="S246" s="262" t="n">
        <f aca="false">T246-$S$16</f>
        <v>0.93</v>
      </c>
      <c r="T246" s="257" t="n">
        <f aca="false">D246</f>
        <v>1</v>
      </c>
      <c r="U246" s="263" t="n">
        <f aca="false">$U$16+T246</f>
        <v>1.07</v>
      </c>
      <c r="BP246" s="226" t="n">
        <f aca="false">BP245+BV246</f>
        <v>245</v>
      </c>
      <c r="BQ246" s="227" t="s">
        <v>1140</v>
      </c>
      <c r="BR246" s="224" t="s">
        <v>226</v>
      </c>
      <c r="BS246" s="154" t="s">
        <v>359</v>
      </c>
      <c r="BT246" s="230" t="s">
        <v>228</v>
      </c>
      <c r="BU246" s="230"/>
      <c r="BV246" s="154" t="n">
        <v>1</v>
      </c>
      <c r="BW246" s="224" t="s">
        <v>1141</v>
      </c>
      <c r="BX246" s="0"/>
    </row>
    <row r="247" customFormat="false" ht="12.75" hidden="false" customHeight="false" outlineLevel="0" collapsed="false">
      <c r="A247" s="258"/>
      <c r="B247" s="259" t="e">
        <f aca="false">NextMonth(B246)</f>
        <v>#VALUE!</v>
      </c>
      <c r="C247" s="215" t="n">
        <v>0.06305197619964</v>
      </c>
      <c r="D247" s="215" t="n">
        <v>0.45</v>
      </c>
      <c r="E247" s="215" t="n">
        <v>0.45</v>
      </c>
      <c r="F247" s="215" t="n">
        <v>0.1625</v>
      </c>
      <c r="G247" s="215" t="n">
        <v>0.17</v>
      </c>
      <c r="H247" s="215" t="n">
        <v>0.1775</v>
      </c>
      <c r="I247" s="239" t="n">
        <v>5.031</v>
      </c>
      <c r="J247" s="215" t="n">
        <v>5.036</v>
      </c>
      <c r="K247" s="215" t="n">
        <v>5.041</v>
      </c>
      <c r="L247" s="215" t="n">
        <v>0.5</v>
      </c>
      <c r="M247" s="215" t="n">
        <v>0</v>
      </c>
      <c r="O247" s="211"/>
      <c r="P247" s="260"/>
      <c r="Q247" s="260"/>
      <c r="R247" s="261" t="e">
        <f aca="false">B247</f>
        <v>#VALUE!</v>
      </c>
      <c r="S247" s="262" t="n">
        <f aca="false">T247-$S$16</f>
        <v>0.38</v>
      </c>
      <c r="T247" s="257" t="n">
        <f aca="false">D247</f>
        <v>0.45</v>
      </c>
      <c r="U247" s="263" t="n">
        <f aca="false">$U$16+T247</f>
        <v>0.52</v>
      </c>
      <c r="BP247" s="226" t="n">
        <f aca="false">BP246+BV247</f>
        <v>246</v>
      </c>
      <c r="BQ247" s="227" t="s">
        <v>373</v>
      </c>
      <c r="BR247" s="224" t="s">
        <v>226</v>
      </c>
      <c r="BS247" s="154" t="s">
        <v>227</v>
      </c>
      <c r="BT247" s="230" t="s">
        <v>228</v>
      </c>
      <c r="BU247" s="230"/>
      <c r="BV247" s="154" t="n">
        <v>1</v>
      </c>
      <c r="BW247" s="224" t="s">
        <v>1142</v>
      </c>
      <c r="BX247" s="0"/>
    </row>
    <row r="248" customFormat="false" ht="12.75" hidden="false" customHeight="false" outlineLevel="0" collapsed="false">
      <c r="A248" s="258"/>
      <c r="B248" s="259" t="e">
        <f aca="false">NextMonth(B247)</f>
        <v>#VALUE!</v>
      </c>
      <c r="C248" s="215" t="n">
        <v>0.063075691293941</v>
      </c>
      <c r="D248" s="215" t="n">
        <v>0.5</v>
      </c>
      <c r="E248" s="215" t="n">
        <v>0.5</v>
      </c>
      <c r="F248" s="215" t="n">
        <v>0.1625</v>
      </c>
      <c r="G248" s="215" t="n">
        <v>0.17</v>
      </c>
      <c r="H248" s="215" t="n">
        <v>0.1775</v>
      </c>
      <c r="I248" s="239" t="n">
        <v>5.006</v>
      </c>
      <c r="J248" s="215" t="n">
        <v>5.011</v>
      </c>
      <c r="K248" s="215" t="n">
        <v>5.016</v>
      </c>
      <c r="L248" s="215" t="n">
        <v>0.44</v>
      </c>
      <c r="M248" s="215" t="n">
        <v>0</v>
      </c>
      <c r="O248" s="211"/>
      <c r="P248" s="260"/>
      <c r="Q248" s="260"/>
      <c r="R248" s="261" t="e">
        <f aca="false">B248</f>
        <v>#VALUE!</v>
      </c>
      <c r="S248" s="262" t="n">
        <f aca="false">T248-$S$16</f>
        <v>0.43</v>
      </c>
      <c r="T248" s="257" t="n">
        <f aca="false">D248</f>
        <v>0.5</v>
      </c>
      <c r="U248" s="263" t="n">
        <f aca="false">$U$16+T248</f>
        <v>0.57</v>
      </c>
      <c r="BP248" s="226" t="n">
        <f aca="false">BP247+BV248</f>
        <v>247</v>
      </c>
      <c r="BQ248" s="227" t="s">
        <v>377</v>
      </c>
      <c r="BR248" s="224" t="s">
        <v>226</v>
      </c>
      <c r="BS248" s="154" t="s">
        <v>227</v>
      </c>
      <c r="BT248" s="230" t="s">
        <v>228</v>
      </c>
      <c r="BU248" s="230"/>
      <c r="BV248" s="154" t="n">
        <v>1</v>
      </c>
      <c r="BW248" s="224" t="s">
        <v>1143</v>
      </c>
      <c r="BX248" s="0"/>
    </row>
    <row r="249" customFormat="false" ht="12.75" hidden="false" customHeight="false" outlineLevel="0" collapsed="false">
      <c r="A249" s="258"/>
      <c r="B249" s="259" t="e">
        <f aca="false">NextMonth(B248)</f>
        <v>#VALUE!</v>
      </c>
      <c r="C249" s="215" t="n">
        <v>0.063100196891582</v>
      </c>
      <c r="D249" s="215" t="n">
        <v>0.5</v>
      </c>
      <c r="E249" s="215" t="n">
        <v>0.5</v>
      </c>
      <c r="F249" s="215" t="n">
        <v>0.1625</v>
      </c>
      <c r="G249" s="215" t="n">
        <v>0.17</v>
      </c>
      <c r="H249" s="215" t="n">
        <v>0.1775</v>
      </c>
      <c r="I249" s="239" t="n">
        <v>5.035</v>
      </c>
      <c r="J249" s="215" t="n">
        <v>5.04</v>
      </c>
      <c r="K249" s="215" t="n">
        <v>5.045</v>
      </c>
      <c r="L249" s="215" t="n">
        <v>0.44</v>
      </c>
      <c r="M249" s="215" t="n">
        <v>0</v>
      </c>
      <c r="O249" s="211"/>
      <c r="P249" s="260"/>
      <c r="Q249" s="260"/>
      <c r="R249" s="261" t="e">
        <f aca="false">B249</f>
        <v>#VALUE!</v>
      </c>
      <c r="S249" s="262" t="n">
        <f aca="false">T249-$S$16</f>
        <v>0.43</v>
      </c>
      <c r="T249" s="257" t="n">
        <f aca="false">D249</f>
        <v>0.5</v>
      </c>
      <c r="U249" s="263" t="n">
        <f aca="false">$U$16+T249</f>
        <v>0.57</v>
      </c>
      <c r="BP249" s="226" t="n">
        <f aca="false">BP248+BV249</f>
        <v>248</v>
      </c>
      <c r="BQ249" s="227" t="s">
        <v>381</v>
      </c>
      <c r="BR249" s="224" t="s">
        <v>226</v>
      </c>
      <c r="BS249" s="154" t="s">
        <v>227</v>
      </c>
      <c r="BT249" s="230" t="s">
        <v>228</v>
      </c>
      <c r="BU249" s="230"/>
      <c r="BV249" s="154" t="n">
        <v>1</v>
      </c>
      <c r="BW249" s="224" t="s">
        <v>1144</v>
      </c>
      <c r="BX249" s="0"/>
    </row>
    <row r="250" customFormat="false" ht="12.75" hidden="false" customHeight="false" outlineLevel="0" collapsed="false">
      <c r="A250" s="258"/>
      <c r="B250" s="259" t="e">
        <f aca="false">NextMonth(B249)</f>
        <v>#VALUE!</v>
      </c>
      <c r="C250" s="215" t="n">
        <v>0.063123911986263</v>
      </c>
      <c r="D250" s="215" t="n">
        <v>0.5</v>
      </c>
      <c r="E250" s="215" t="n">
        <v>0.5</v>
      </c>
      <c r="F250" s="215" t="n">
        <v>0.1625</v>
      </c>
      <c r="G250" s="215" t="n">
        <v>0.17</v>
      </c>
      <c r="H250" s="215" t="n">
        <v>0.1775</v>
      </c>
      <c r="I250" s="239" t="n">
        <v>5.065</v>
      </c>
      <c r="J250" s="215" t="n">
        <v>5.07</v>
      </c>
      <c r="K250" s="215" t="n">
        <v>5.075</v>
      </c>
      <c r="L250" s="215" t="n">
        <v>0.5</v>
      </c>
      <c r="M250" s="215" t="n">
        <v>0</v>
      </c>
      <c r="O250" s="211"/>
      <c r="P250" s="260"/>
      <c r="Q250" s="260"/>
      <c r="R250" s="261" t="e">
        <f aca="false">B250</f>
        <v>#VALUE!</v>
      </c>
      <c r="S250" s="262" t="n">
        <f aca="false">T250-$S$16</f>
        <v>0.43</v>
      </c>
      <c r="T250" s="257" t="n">
        <f aca="false">D250</f>
        <v>0.5</v>
      </c>
      <c r="U250" s="263" t="n">
        <f aca="false">$U$16+T250</f>
        <v>0.57</v>
      </c>
      <c r="BP250" s="226" t="n">
        <f aca="false">BP249+BV250</f>
        <v>249</v>
      </c>
      <c r="BQ250" s="227" t="s">
        <v>385</v>
      </c>
      <c r="BR250" s="224" t="s">
        <v>226</v>
      </c>
      <c r="BS250" s="154" t="s">
        <v>227</v>
      </c>
      <c r="BT250" s="230" t="s">
        <v>228</v>
      </c>
      <c r="BU250" s="230"/>
      <c r="BV250" s="154" t="n">
        <v>1</v>
      </c>
      <c r="BW250" s="224" t="s">
        <v>1145</v>
      </c>
      <c r="BX250" s="0"/>
    </row>
    <row r="251" customFormat="false" ht="12.75" hidden="false" customHeight="false" outlineLevel="0" collapsed="false">
      <c r="A251" s="258"/>
      <c r="B251" s="259" t="e">
        <f aca="false">NextMonth(B250)</f>
        <v>#VALUE!</v>
      </c>
      <c r="C251" s="215" t="n">
        <v>0.063148417584296</v>
      </c>
      <c r="D251" s="215" t="n">
        <v>0.6</v>
      </c>
      <c r="E251" s="215" t="n">
        <v>0.6</v>
      </c>
      <c r="F251" s="215" t="n">
        <v>0.1625</v>
      </c>
      <c r="G251" s="215" t="n">
        <v>0.17</v>
      </c>
      <c r="H251" s="215" t="n">
        <v>0.1775</v>
      </c>
      <c r="I251" s="239" t="n">
        <v>5.085</v>
      </c>
      <c r="J251" s="215" t="n">
        <v>5.09</v>
      </c>
      <c r="K251" s="215" t="n">
        <v>5.095</v>
      </c>
      <c r="L251" s="215" t="n">
        <v>0.5</v>
      </c>
      <c r="M251" s="215" t="n">
        <v>0</v>
      </c>
      <c r="O251" s="211"/>
      <c r="P251" s="260"/>
      <c r="Q251" s="260"/>
      <c r="R251" s="261" t="e">
        <f aca="false">B251</f>
        <v>#VALUE!</v>
      </c>
      <c r="S251" s="262" t="n">
        <f aca="false">T251-$S$16</f>
        <v>0.53</v>
      </c>
      <c r="T251" s="257" t="n">
        <f aca="false">D251</f>
        <v>0.6</v>
      </c>
      <c r="U251" s="263" t="n">
        <f aca="false">$U$16+T251</f>
        <v>0.67</v>
      </c>
      <c r="BP251" s="226" t="n">
        <f aca="false">BP250+BV251</f>
        <v>250</v>
      </c>
      <c r="BQ251" s="227" t="s">
        <v>389</v>
      </c>
      <c r="BR251" s="224" t="s">
        <v>226</v>
      </c>
      <c r="BS251" s="154" t="s">
        <v>227</v>
      </c>
      <c r="BT251" s="230" t="s">
        <v>228</v>
      </c>
      <c r="BU251" s="230"/>
      <c r="BV251" s="154" t="n">
        <v>1</v>
      </c>
      <c r="BW251" s="224" t="s">
        <v>1146</v>
      </c>
      <c r="BX251" s="0"/>
    </row>
    <row r="252" customFormat="false" ht="12.75" hidden="false" customHeight="false" outlineLevel="0" collapsed="false">
      <c r="A252" s="258"/>
      <c r="B252" s="259" t="e">
        <f aca="false">NextMonth(B251)</f>
        <v>#VALUE!</v>
      </c>
      <c r="C252" s="215" t="n">
        <v>0.063172923182529</v>
      </c>
      <c r="D252" s="215" t="n">
        <v>0.6</v>
      </c>
      <c r="E252" s="215" t="n">
        <v>0.6</v>
      </c>
      <c r="F252" s="215" t="n">
        <v>0.1625</v>
      </c>
      <c r="G252" s="215" t="n">
        <v>0.17</v>
      </c>
      <c r="H252" s="215" t="n">
        <v>0.1775</v>
      </c>
      <c r="I252" s="239" t="n">
        <v>5.106</v>
      </c>
      <c r="J252" s="215" t="n">
        <v>5.111</v>
      </c>
      <c r="K252" s="215" t="n">
        <v>5.116</v>
      </c>
      <c r="L252" s="215" t="n">
        <v>0.46</v>
      </c>
      <c r="M252" s="215" t="n">
        <v>0</v>
      </c>
      <c r="O252" s="211"/>
      <c r="P252" s="260"/>
      <c r="Q252" s="260"/>
      <c r="R252" s="261" t="e">
        <f aca="false">B252</f>
        <v>#VALUE!</v>
      </c>
      <c r="S252" s="262" t="n">
        <f aca="false">T252-$S$16</f>
        <v>0.53</v>
      </c>
      <c r="T252" s="257" t="n">
        <f aca="false">D252</f>
        <v>0.6</v>
      </c>
      <c r="U252" s="263" t="n">
        <f aca="false">$U$16+T252</f>
        <v>0.67</v>
      </c>
      <c r="BP252" s="226" t="n">
        <f aca="false">BP251+BV252</f>
        <v>251</v>
      </c>
      <c r="BQ252" s="227" t="s">
        <v>393</v>
      </c>
      <c r="BR252" s="224" t="s">
        <v>226</v>
      </c>
      <c r="BS252" s="154" t="s">
        <v>227</v>
      </c>
      <c r="BT252" s="230" t="s">
        <v>228</v>
      </c>
      <c r="BU252" s="230"/>
      <c r="BV252" s="154" t="n">
        <v>1</v>
      </c>
      <c r="BW252" s="224" t="s">
        <v>1147</v>
      </c>
      <c r="BX252" s="0"/>
    </row>
    <row r="253" customFormat="false" ht="12.75" hidden="false" customHeight="false" outlineLevel="0" collapsed="false">
      <c r="A253" s="258"/>
      <c r="B253" s="259" t="e">
        <f aca="false">NextMonth(B252)</f>
        <v>#VALUE!</v>
      </c>
      <c r="C253" s="215" t="n">
        <v>0.063196638277782</v>
      </c>
      <c r="D253" s="215" t="n">
        <v>0.65</v>
      </c>
      <c r="E253" s="215" t="n">
        <v>0.65</v>
      </c>
      <c r="F253" s="215" t="n">
        <v>0.1625</v>
      </c>
      <c r="G253" s="215" t="n">
        <v>0.17</v>
      </c>
      <c r="H253" s="215" t="n">
        <v>0.1775</v>
      </c>
      <c r="I253" s="239" t="n">
        <v>5.136</v>
      </c>
      <c r="J253" s="215" t="n">
        <v>5.141</v>
      </c>
      <c r="K253" s="215" t="n">
        <v>5.146</v>
      </c>
      <c r="L253" s="215" t="n">
        <v>0.47</v>
      </c>
      <c r="M253" s="215" t="n">
        <v>0</v>
      </c>
      <c r="O253" s="211"/>
      <c r="P253" s="260"/>
      <c r="Q253" s="260"/>
      <c r="R253" s="261" t="e">
        <f aca="false">B253</f>
        <v>#VALUE!</v>
      </c>
      <c r="S253" s="262" t="n">
        <f aca="false">T253-$S$16</f>
        <v>0.58</v>
      </c>
      <c r="T253" s="257" t="n">
        <f aca="false">D253</f>
        <v>0.65</v>
      </c>
      <c r="U253" s="263" t="n">
        <f aca="false">$U$16+T253</f>
        <v>0.72</v>
      </c>
      <c r="BP253" s="226" t="n">
        <f aca="false">BP252+BV253</f>
        <v>252</v>
      </c>
      <c r="BQ253" s="227" t="s">
        <v>397</v>
      </c>
      <c r="BR253" s="224" t="s">
        <v>226</v>
      </c>
      <c r="BS253" s="154" t="s">
        <v>227</v>
      </c>
      <c r="BT253" s="230" t="s">
        <v>228</v>
      </c>
      <c r="BU253" s="230"/>
      <c r="BV253" s="154" t="n">
        <v>1</v>
      </c>
      <c r="BW253" s="224" t="s">
        <v>1148</v>
      </c>
      <c r="BX253" s="0"/>
    </row>
    <row r="254" customFormat="false" ht="12.75" hidden="false" customHeight="false" outlineLevel="0" collapsed="false">
      <c r="A254" s="258"/>
      <c r="B254" s="259" t="e">
        <f aca="false">NextMonth(B253)</f>
        <v>#VALUE!</v>
      </c>
      <c r="C254" s="215" t="n">
        <v>0.063221143876406</v>
      </c>
      <c r="D254" s="215" t="n">
        <v>0.95</v>
      </c>
      <c r="E254" s="215" t="n">
        <v>0.95</v>
      </c>
      <c r="F254" s="215" t="n">
        <v>0.1625</v>
      </c>
      <c r="G254" s="215" t="n">
        <v>0.17</v>
      </c>
      <c r="H254" s="215" t="n">
        <v>0.1775</v>
      </c>
      <c r="I254" s="239" t="n">
        <v>5.276</v>
      </c>
      <c r="J254" s="215" t="n">
        <v>5.281</v>
      </c>
      <c r="K254" s="215" t="n">
        <v>5.286</v>
      </c>
      <c r="L254" s="215" t="n">
        <v>0.86</v>
      </c>
      <c r="M254" s="215" t="n">
        <v>0</v>
      </c>
      <c r="O254" s="211"/>
      <c r="P254" s="260"/>
      <c r="Q254" s="260"/>
      <c r="R254" s="261" t="e">
        <f aca="false">B254</f>
        <v>#VALUE!</v>
      </c>
      <c r="S254" s="262" t="n">
        <f aca="false">T254-$S$16</f>
        <v>0.88</v>
      </c>
      <c r="T254" s="257" t="n">
        <f aca="false">D254</f>
        <v>0.95</v>
      </c>
      <c r="U254" s="263" t="n">
        <f aca="false">$U$16+T254</f>
        <v>1.02</v>
      </c>
      <c r="BP254" s="226" t="n">
        <f aca="false">BP253+BV254</f>
        <v>253</v>
      </c>
      <c r="BQ254" s="227" t="s">
        <v>401</v>
      </c>
      <c r="BR254" s="224" t="s">
        <v>226</v>
      </c>
      <c r="BS254" s="154" t="s">
        <v>227</v>
      </c>
      <c r="BT254" s="230" t="s">
        <v>228</v>
      </c>
      <c r="BU254" s="230"/>
      <c r="BV254" s="154" t="n">
        <v>1</v>
      </c>
      <c r="BW254" s="224" t="s">
        <v>1149</v>
      </c>
      <c r="BX254" s="0"/>
    </row>
    <row r="255" customFormat="false" ht="12.75" hidden="false" customHeight="false" outlineLevel="0" collapsed="false">
      <c r="A255" s="258"/>
      <c r="B255" s="259" t="e">
        <f aca="false">NextMonth(B254)</f>
        <v>#VALUE!</v>
      </c>
      <c r="C255" s="215" t="n">
        <v>0.063244858972038</v>
      </c>
      <c r="D255" s="215" t="n">
        <v>1.25</v>
      </c>
      <c r="E255" s="215" t="n">
        <v>1.25</v>
      </c>
      <c r="F255" s="215" t="n">
        <v>0.1625</v>
      </c>
      <c r="G255" s="215" t="n">
        <v>0.17</v>
      </c>
      <c r="H255" s="215" t="n">
        <v>0.1775</v>
      </c>
      <c r="I255" s="239" t="n">
        <v>5.401</v>
      </c>
      <c r="J255" s="215" t="n">
        <v>5.406</v>
      </c>
      <c r="K255" s="215" t="n">
        <v>5.411</v>
      </c>
      <c r="L255" s="215" t="n">
        <v>1.28</v>
      </c>
      <c r="M255" s="215" t="n">
        <v>0</v>
      </c>
      <c r="O255" s="211"/>
      <c r="P255" s="260"/>
      <c r="Q255" s="260"/>
      <c r="R255" s="261" t="e">
        <f aca="false">B255</f>
        <v>#VALUE!</v>
      </c>
      <c r="S255" s="262" t="n">
        <f aca="false">T255-$S$16</f>
        <v>1.18</v>
      </c>
      <c r="T255" s="257" t="n">
        <f aca="false">D255</f>
        <v>1.25</v>
      </c>
      <c r="U255" s="263" t="n">
        <f aca="false">$U$16+T255</f>
        <v>1.32</v>
      </c>
      <c r="BP255" s="226" t="n">
        <f aca="false">BP254+BV255</f>
        <v>254</v>
      </c>
      <c r="BQ255" s="227" t="s">
        <v>405</v>
      </c>
      <c r="BR255" s="224" t="s">
        <v>226</v>
      </c>
      <c r="BS255" s="154" t="s">
        <v>227</v>
      </c>
      <c r="BT255" s="230" t="s">
        <v>228</v>
      </c>
      <c r="BU255" s="230"/>
      <c r="BV255" s="154" t="n">
        <v>1</v>
      </c>
      <c r="BW255" s="224" t="s">
        <v>1150</v>
      </c>
      <c r="BX255" s="0"/>
    </row>
    <row r="256" customFormat="false" ht="12.75" hidden="false" customHeight="false" outlineLevel="0" collapsed="false">
      <c r="A256" s="258"/>
      <c r="B256" s="259" t="e">
        <f aca="false">NextMonth(B255)</f>
        <v>#VALUE!</v>
      </c>
      <c r="C256" s="215" t="n">
        <v>0.063269364571055</v>
      </c>
      <c r="D256" s="215" t="n">
        <v>1.45</v>
      </c>
      <c r="E256" s="215" t="n">
        <v>1.45</v>
      </c>
      <c r="F256" s="215" t="n">
        <v>0.1625</v>
      </c>
      <c r="G256" s="215" t="n">
        <v>0.17</v>
      </c>
      <c r="H256" s="215" t="n">
        <v>0.1775</v>
      </c>
      <c r="I256" s="239" t="n">
        <v>5.57</v>
      </c>
      <c r="J256" s="215" t="n">
        <v>5.575</v>
      </c>
      <c r="K256" s="215" t="n">
        <v>5.58</v>
      </c>
      <c r="L256" s="215" t="n">
        <v>1.61</v>
      </c>
      <c r="M256" s="215" t="n">
        <v>0</v>
      </c>
      <c r="O256" s="211"/>
      <c r="P256" s="260"/>
      <c r="Q256" s="260"/>
      <c r="R256" s="261" t="e">
        <f aca="false">B256</f>
        <v>#VALUE!</v>
      </c>
      <c r="S256" s="262" t="n">
        <f aca="false">T256-$S$16</f>
        <v>1.38</v>
      </c>
      <c r="T256" s="257" t="n">
        <f aca="false">D256</f>
        <v>1.45</v>
      </c>
      <c r="U256" s="263" t="n">
        <f aca="false">$U$16+T256</f>
        <v>1.52</v>
      </c>
      <c r="BP256" s="226" t="n">
        <f aca="false">BP255+BV256</f>
        <v>255</v>
      </c>
      <c r="BQ256" s="227" t="s">
        <v>409</v>
      </c>
      <c r="BR256" s="224" t="s">
        <v>226</v>
      </c>
      <c r="BS256" s="154" t="s">
        <v>227</v>
      </c>
      <c r="BT256" s="230" t="s">
        <v>228</v>
      </c>
      <c r="BU256" s="230"/>
      <c r="BV256" s="154" t="n">
        <v>1</v>
      </c>
      <c r="BW256" s="224" t="s">
        <v>1151</v>
      </c>
      <c r="BX256" s="0"/>
    </row>
    <row r="257" customFormat="false" ht="12.75" hidden="false" customHeight="false" outlineLevel="0" collapsed="false">
      <c r="A257" s="258"/>
      <c r="B257" s="259" t="e">
        <f aca="false">NextMonth(B256)</f>
        <v>#VALUE!</v>
      </c>
      <c r="C257" s="215" t="n">
        <v>0.063276697538158</v>
      </c>
      <c r="D257" s="215" t="n">
        <v>1.45</v>
      </c>
      <c r="E257" s="215" t="n">
        <v>1.45</v>
      </c>
      <c r="F257" s="215" t="n">
        <v>0.1625</v>
      </c>
      <c r="G257" s="215" t="n">
        <v>0.17</v>
      </c>
      <c r="H257" s="215" t="n">
        <v>0.1775</v>
      </c>
      <c r="I257" s="239" t="n">
        <v>5.474</v>
      </c>
      <c r="J257" s="215" t="n">
        <v>5.479</v>
      </c>
      <c r="K257" s="215" t="n">
        <v>5.484</v>
      </c>
      <c r="L257" s="215" t="n">
        <v>1.57</v>
      </c>
      <c r="M257" s="215" t="n">
        <v>0</v>
      </c>
      <c r="O257" s="211"/>
      <c r="P257" s="260"/>
      <c r="Q257" s="260"/>
      <c r="R257" s="261" t="e">
        <f aca="false">B257</f>
        <v>#VALUE!</v>
      </c>
      <c r="S257" s="262" t="n">
        <f aca="false">T257-$S$16</f>
        <v>1.38</v>
      </c>
      <c r="T257" s="257" t="n">
        <f aca="false">D257</f>
        <v>1.45</v>
      </c>
      <c r="U257" s="263" t="n">
        <f aca="false">$U$16+T257</f>
        <v>1.52</v>
      </c>
      <c r="BP257" s="226" t="n">
        <f aca="false">BP256+BV257</f>
        <v>256</v>
      </c>
      <c r="BQ257" s="227" t="s">
        <v>413</v>
      </c>
      <c r="BR257" s="224" t="s">
        <v>226</v>
      </c>
      <c r="BS257" s="154" t="s">
        <v>227</v>
      </c>
      <c r="BT257" s="230" t="s">
        <v>228</v>
      </c>
      <c r="BU257" s="230"/>
      <c r="BV257" s="154" t="n">
        <v>1</v>
      </c>
      <c r="BW257" s="224" t="s">
        <v>1152</v>
      </c>
      <c r="BX257" s="0"/>
    </row>
    <row r="258" customFormat="false" ht="12.75" hidden="false" customHeight="false" outlineLevel="0" collapsed="false">
      <c r="A258" s="258"/>
      <c r="B258" s="259" t="e">
        <f aca="false">NextMonth(B257)</f>
        <v>#VALUE!</v>
      </c>
      <c r="C258" s="215" t="n">
        <v>0.063274789942849</v>
      </c>
      <c r="D258" s="215" t="n">
        <v>1</v>
      </c>
      <c r="E258" s="215" t="n">
        <v>1</v>
      </c>
      <c r="F258" s="215" t="n">
        <v>0.1625</v>
      </c>
      <c r="G258" s="215" t="n">
        <v>0.17</v>
      </c>
      <c r="H258" s="215" t="n">
        <v>0.1775</v>
      </c>
      <c r="I258" s="239" t="n">
        <v>5.324</v>
      </c>
      <c r="J258" s="215" t="n">
        <v>5.329</v>
      </c>
      <c r="K258" s="215" t="n">
        <v>5.334</v>
      </c>
      <c r="L258" s="215" t="n">
        <v>0.93</v>
      </c>
      <c r="M258" s="215" t="n">
        <v>0</v>
      </c>
      <c r="O258" s="211"/>
      <c r="P258" s="260"/>
      <c r="Q258" s="260"/>
      <c r="R258" s="261" t="e">
        <f aca="false">B258</f>
        <v>#VALUE!</v>
      </c>
      <c r="S258" s="262" t="n">
        <f aca="false">T258-$S$16</f>
        <v>0.93</v>
      </c>
      <c r="T258" s="257" t="n">
        <f aca="false">D258</f>
        <v>1</v>
      </c>
      <c r="U258" s="263" t="n">
        <f aca="false">$U$16+T258</f>
        <v>1.07</v>
      </c>
      <c r="BP258" s="226" t="n">
        <f aca="false">BP257+BV258</f>
        <v>257</v>
      </c>
      <c r="BQ258" s="227" t="s">
        <v>417</v>
      </c>
      <c r="BR258" s="224" t="s">
        <v>226</v>
      </c>
      <c r="BS258" s="154" t="s">
        <v>227</v>
      </c>
      <c r="BT258" s="230" t="s">
        <v>228</v>
      </c>
      <c r="BU258" s="230"/>
      <c r="BV258" s="154" t="n">
        <v>1</v>
      </c>
      <c r="BW258" s="224" t="s">
        <v>1153</v>
      </c>
      <c r="BX258" s="0"/>
    </row>
    <row r="259" customFormat="false" ht="12.75" hidden="false" customHeight="false" outlineLevel="0" collapsed="false">
      <c r="A259" s="258"/>
      <c r="B259" s="259" t="e">
        <f aca="false">NextMonth(B258)</f>
        <v>#VALUE!</v>
      </c>
      <c r="C259" s="215" t="n">
        <v>0.063272677962329</v>
      </c>
      <c r="D259" s="215" t="n">
        <v>0.45</v>
      </c>
      <c r="E259" s="215" t="n">
        <v>0.45</v>
      </c>
      <c r="F259" s="215" t="n">
        <v>0.1625</v>
      </c>
      <c r="G259" s="215" t="n">
        <v>0.17</v>
      </c>
      <c r="H259" s="215" t="n">
        <v>0.1775</v>
      </c>
      <c r="I259" s="239" t="n">
        <v>5.141</v>
      </c>
      <c r="J259" s="215" t="n">
        <v>5.146</v>
      </c>
      <c r="K259" s="215" t="n">
        <v>5.151</v>
      </c>
      <c r="L259" s="215" t="n">
        <v>0.5</v>
      </c>
      <c r="M259" s="215" t="n">
        <v>0</v>
      </c>
      <c r="O259" s="211"/>
      <c r="P259" s="260"/>
      <c r="Q259" s="260"/>
      <c r="R259" s="261" t="e">
        <f aca="false">B259</f>
        <v>#VALUE!</v>
      </c>
      <c r="S259" s="262" t="n">
        <f aca="false">T259-$S$16</f>
        <v>0.38</v>
      </c>
      <c r="T259" s="257" t="n">
        <f aca="false">D259</f>
        <v>0.45</v>
      </c>
      <c r="U259" s="263" t="n">
        <f aca="false">$U$16+T259</f>
        <v>0.52</v>
      </c>
      <c r="BP259" s="226" t="n">
        <f aca="false">BP258+BV259</f>
        <v>258</v>
      </c>
      <c r="BQ259" s="227" t="s">
        <v>421</v>
      </c>
      <c r="BR259" s="224" t="s">
        <v>226</v>
      </c>
      <c r="BS259" s="154" t="s">
        <v>227</v>
      </c>
      <c r="BT259" s="230" t="s">
        <v>228</v>
      </c>
      <c r="BU259" s="230"/>
      <c r="BV259" s="154" t="n">
        <v>1</v>
      </c>
      <c r="BW259" s="224" t="s">
        <v>1154</v>
      </c>
      <c r="BX259" s="0"/>
    </row>
    <row r="260" customFormat="false" ht="12.75" hidden="false" customHeight="false" outlineLevel="0" collapsed="false">
      <c r="A260" s="258"/>
      <c r="B260" s="259" t="e">
        <f aca="false">NextMonth(B259)</f>
        <v>#VALUE!</v>
      </c>
      <c r="C260" s="215" t="n">
        <v>0.063270634110214</v>
      </c>
      <c r="D260" s="215" t="n">
        <v>0.5</v>
      </c>
      <c r="E260" s="215" t="n">
        <v>0.5</v>
      </c>
      <c r="F260" s="215" t="n">
        <v>0.1625</v>
      </c>
      <c r="G260" s="215" t="n">
        <v>0.17</v>
      </c>
      <c r="H260" s="215" t="n">
        <v>0.1775</v>
      </c>
      <c r="I260" s="239" t="n">
        <v>5.116</v>
      </c>
      <c r="J260" s="215" t="n">
        <v>5.121</v>
      </c>
      <c r="K260" s="215" t="n">
        <v>5.126</v>
      </c>
      <c r="L260" s="215" t="n">
        <v>0.44</v>
      </c>
      <c r="M260" s="215" t="n">
        <v>0</v>
      </c>
      <c r="O260" s="211"/>
      <c r="P260" s="260"/>
      <c r="Q260" s="260"/>
      <c r="R260" s="261" t="e">
        <f aca="false">B260</f>
        <v>#VALUE!</v>
      </c>
      <c r="S260" s="262" t="n">
        <f aca="false">T260-$S$16</f>
        <v>0.43</v>
      </c>
      <c r="T260" s="257" t="n">
        <f aca="false">D260</f>
        <v>0.5</v>
      </c>
      <c r="U260" s="263" t="n">
        <f aca="false">$U$16+T260</f>
        <v>0.57</v>
      </c>
      <c r="BP260" s="226" t="n">
        <f aca="false">BP259+BV260</f>
        <v>259</v>
      </c>
      <c r="BQ260" s="227" t="s">
        <v>425</v>
      </c>
      <c r="BR260" s="224" t="s">
        <v>226</v>
      </c>
      <c r="BS260" s="154" t="s">
        <v>227</v>
      </c>
      <c r="BT260" s="230" t="s">
        <v>228</v>
      </c>
      <c r="BU260" s="230"/>
      <c r="BV260" s="154" t="n">
        <v>1</v>
      </c>
      <c r="BW260" s="224" t="s">
        <v>1155</v>
      </c>
      <c r="BX260" s="0"/>
    </row>
    <row r="261" customFormat="false" ht="12.75" hidden="false" customHeight="false" outlineLevel="0" collapsed="false">
      <c r="A261" s="258"/>
      <c r="B261" s="259" t="e">
        <f aca="false">NextMonth(B260)</f>
        <v>#VALUE!</v>
      </c>
      <c r="C261" s="215" t="n">
        <v>0.063268522129697</v>
      </c>
      <c r="D261" s="215" t="n">
        <v>0.5</v>
      </c>
      <c r="E261" s="215" t="n">
        <v>0.5</v>
      </c>
      <c r="F261" s="215" t="n">
        <v>0.1625</v>
      </c>
      <c r="G261" s="215" t="n">
        <v>0.17</v>
      </c>
      <c r="H261" s="215" t="n">
        <v>0.1775</v>
      </c>
      <c r="I261" s="239" t="n">
        <v>5.145</v>
      </c>
      <c r="J261" s="215" t="n">
        <v>5.15</v>
      </c>
      <c r="K261" s="215" t="n">
        <v>5.155</v>
      </c>
      <c r="L261" s="215" t="n">
        <v>0.44</v>
      </c>
      <c r="M261" s="215" t="n">
        <v>0</v>
      </c>
      <c r="O261" s="211"/>
      <c r="P261" s="260"/>
      <c r="Q261" s="260"/>
      <c r="R261" s="261" t="e">
        <f aca="false">B261</f>
        <v>#VALUE!</v>
      </c>
      <c r="S261" s="262" t="n">
        <f aca="false">T261-$S$16</f>
        <v>0.43</v>
      </c>
      <c r="T261" s="257" t="n">
        <f aca="false">D261</f>
        <v>0.5</v>
      </c>
      <c r="U261" s="263" t="n">
        <f aca="false">$U$16+T261</f>
        <v>0.57</v>
      </c>
      <c r="BP261" s="226" t="n">
        <f aca="false">BP260+BV261</f>
        <v>260</v>
      </c>
      <c r="BQ261" s="227" t="s">
        <v>429</v>
      </c>
      <c r="BR261" s="224" t="s">
        <v>226</v>
      </c>
      <c r="BS261" s="154" t="s">
        <v>227</v>
      </c>
      <c r="BT261" s="230" t="s">
        <v>228</v>
      </c>
      <c r="BU261" s="230"/>
      <c r="BV261" s="154" t="n">
        <v>1</v>
      </c>
      <c r="BW261" s="224" t="s">
        <v>1156</v>
      </c>
      <c r="BX261" s="0"/>
    </row>
    <row r="262" customFormat="false" ht="12.75" hidden="false" customHeight="false" outlineLevel="0" collapsed="false">
      <c r="A262" s="258"/>
      <c r="B262" s="259" t="e">
        <f aca="false">NextMonth(B261)</f>
        <v>#VALUE!</v>
      </c>
      <c r="C262" s="215" t="n">
        <v>0.063266478277585</v>
      </c>
      <c r="D262" s="215" t="n">
        <v>0.5</v>
      </c>
      <c r="E262" s="215" t="n">
        <v>0.5</v>
      </c>
      <c r="F262" s="215" t="n">
        <v>0.1625</v>
      </c>
      <c r="G262" s="215" t="n">
        <v>0.17</v>
      </c>
      <c r="H262" s="215" t="n">
        <v>0.1775</v>
      </c>
      <c r="I262" s="239" t="n">
        <v>5.175</v>
      </c>
      <c r="J262" s="215" t="n">
        <v>5.18</v>
      </c>
      <c r="K262" s="215" t="n">
        <v>5.185</v>
      </c>
      <c r="L262" s="215" t="n">
        <v>0.5</v>
      </c>
      <c r="M262" s="215" t="n">
        <v>0</v>
      </c>
      <c r="O262" s="211"/>
      <c r="P262" s="260"/>
      <c r="Q262" s="260"/>
      <c r="R262" s="261" t="e">
        <f aca="false">B262</f>
        <v>#VALUE!</v>
      </c>
      <c r="S262" s="262" t="n">
        <f aca="false">T262-$S$16</f>
        <v>0.43</v>
      </c>
      <c r="T262" s="257" t="n">
        <f aca="false">D262</f>
        <v>0.5</v>
      </c>
      <c r="U262" s="263" t="n">
        <f aca="false">$U$16+T262</f>
        <v>0.57</v>
      </c>
      <c r="BP262" s="226" t="n">
        <f aca="false">BP261+BV262</f>
        <v>261</v>
      </c>
      <c r="BQ262" s="227" t="s">
        <v>433</v>
      </c>
      <c r="BR262" s="224" t="s">
        <v>226</v>
      </c>
      <c r="BS262" s="154" t="s">
        <v>227</v>
      </c>
      <c r="BT262" s="230" t="s">
        <v>228</v>
      </c>
      <c r="BU262" s="230"/>
      <c r="BV262" s="154" t="n">
        <v>1</v>
      </c>
      <c r="BW262" s="224" t="s">
        <v>1157</v>
      </c>
      <c r="BX262" s="0"/>
    </row>
    <row r="263" customFormat="false" ht="12.75" hidden="false" customHeight="false" outlineLevel="0" collapsed="false">
      <c r="A263" s="258"/>
      <c r="B263" s="259" t="e">
        <f aca="false">NextMonth(B262)</f>
        <v>#VALUE!</v>
      </c>
      <c r="C263" s="215" t="n">
        <v>0.063264366297071</v>
      </c>
      <c r="D263" s="215" t="n">
        <v>0.6</v>
      </c>
      <c r="E263" s="215" t="n">
        <v>0.6</v>
      </c>
      <c r="F263" s="215" t="n">
        <v>0.1625</v>
      </c>
      <c r="G263" s="215" t="n">
        <v>0.17</v>
      </c>
      <c r="H263" s="215" t="n">
        <v>0.1775</v>
      </c>
      <c r="I263" s="239" t="n">
        <v>5.195</v>
      </c>
      <c r="J263" s="215" t="n">
        <v>5.2</v>
      </c>
      <c r="K263" s="215" t="n">
        <v>5.205</v>
      </c>
      <c r="L263" s="215" t="n">
        <v>0.5</v>
      </c>
      <c r="M263" s="215" t="n">
        <v>0</v>
      </c>
      <c r="O263" s="211"/>
      <c r="P263" s="260"/>
      <c r="Q263" s="260"/>
      <c r="R263" s="261" t="e">
        <f aca="false">B263</f>
        <v>#VALUE!</v>
      </c>
      <c r="S263" s="262" t="n">
        <f aca="false">T263-$S$16</f>
        <v>0.53</v>
      </c>
      <c r="T263" s="257" t="n">
        <f aca="false">D263</f>
        <v>0.6</v>
      </c>
      <c r="U263" s="263" t="n">
        <f aca="false">$U$16+T263</f>
        <v>0.67</v>
      </c>
      <c r="BP263" s="226" t="n">
        <f aca="false">BP262+BV263</f>
        <v>262</v>
      </c>
      <c r="BQ263" s="227" t="s">
        <v>437</v>
      </c>
      <c r="BR263" s="224" t="s">
        <v>226</v>
      </c>
      <c r="BS263" s="154" t="s">
        <v>227</v>
      </c>
      <c r="BT263" s="230" t="s">
        <v>228</v>
      </c>
      <c r="BU263" s="230"/>
      <c r="BV263" s="154" t="n">
        <v>1</v>
      </c>
      <c r="BW263" s="224" t="s">
        <v>1158</v>
      </c>
      <c r="BX263" s="0"/>
    </row>
    <row r="264" customFormat="false" ht="12.75" hidden="false" customHeight="false" outlineLevel="0" collapsed="false">
      <c r="A264" s="258"/>
      <c r="B264" s="259" t="e">
        <f aca="false">NextMonth(B263)</f>
        <v>#VALUE!</v>
      </c>
      <c r="C264" s="215" t="n">
        <v>0.063262254316558</v>
      </c>
      <c r="D264" s="215" t="n">
        <v>0.6</v>
      </c>
      <c r="E264" s="215" t="n">
        <v>0.6</v>
      </c>
      <c r="F264" s="215" t="n">
        <v>0.1625</v>
      </c>
      <c r="G264" s="215" t="n">
        <v>0.17</v>
      </c>
      <c r="H264" s="215" t="n">
        <v>0.1775</v>
      </c>
      <c r="I264" s="239" t="n">
        <v>5.216</v>
      </c>
      <c r="J264" s="215" t="n">
        <v>5.221</v>
      </c>
      <c r="K264" s="215" t="n">
        <v>5.226</v>
      </c>
      <c r="L264" s="215" t="n">
        <v>0.46</v>
      </c>
      <c r="M264" s="215" t="n">
        <v>0</v>
      </c>
      <c r="O264" s="211"/>
      <c r="P264" s="260"/>
      <c r="Q264" s="260"/>
      <c r="R264" s="261" t="e">
        <f aca="false">B264</f>
        <v>#VALUE!</v>
      </c>
      <c r="S264" s="262" t="n">
        <f aca="false">T264-$S$16</f>
        <v>0.53</v>
      </c>
      <c r="T264" s="257" t="n">
        <f aca="false">D264</f>
        <v>0.6</v>
      </c>
      <c r="U264" s="263" t="n">
        <f aca="false">$U$16+T264</f>
        <v>0.67</v>
      </c>
      <c r="BP264" s="226" t="n">
        <f aca="false">BP263+BV264</f>
        <v>263</v>
      </c>
      <c r="BQ264" s="227" t="s">
        <v>441</v>
      </c>
      <c r="BR264" s="224" t="s">
        <v>226</v>
      </c>
      <c r="BS264" s="154" t="s">
        <v>227</v>
      </c>
      <c r="BT264" s="230" t="s">
        <v>228</v>
      </c>
      <c r="BU264" s="230"/>
      <c r="BV264" s="154" t="n">
        <v>1</v>
      </c>
      <c r="BW264" s="224" t="s">
        <v>1159</v>
      </c>
      <c r="BX264" s="0"/>
    </row>
    <row r="265" customFormat="false" ht="12.75" hidden="false" customHeight="false" outlineLevel="0" collapsed="false">
      <c r="A265" s="258"/>
      <c r="B265" s="259" t="e">
        <f aca="false">NextMonth(B264)</f>
        <v>#VALUE!</v>
      </c>
      <c r="C265" s="215" t="n">
        <v>0.06326021046445</v>
      </c>
      <c r="D265" s="215" t="n">
        <v>0.65</v>
      </c>
      <c r="E265" s="215" t="n">
        <v>0.65</v>
      </c>
      <c r="F265" s="215" t="n">
        <v>0.1625</v>
      </c>
      <c r="G265" s="215" t="n">
        <v>0.17</v>
      </c>
      <c r="H265" s="215" t="n">
        <v>0.1775</v>
      </c>
      <c r="I265" s="239" t="n">
        <v>5.246</v>
      </c>
      <c r="J265" s="215" t="n">
        <v>5.251</v>
      </c>
      <c r="K265" s="215" t="n">
        <v>5.256</v>
      </c>
      <c r="L265" s="215" t="n">
        <v>0.47</v>
      </c>
      <c r="M265" s="215" t="n">
        <v>0</v>
      </c>
      <c r="O265" s="211"/>
      <c r="P265" s="260"/>
      <c r="Q265" s="260"/>
      <c r="R265" s="261" t="e">
        <f aca="false">B265</f>
        <v>#VALUE!</v>
      </c>
      <c r="S265" s="262" t="n">
        <f aca="false">T265-$S$16</f>
        <v>0.58</v>
      </c>
      <c r="T265" s="257" t="n">
        <f aca="false">D265</f>
        <v>0.65</v>
      </c>
      <c r="U265" s="263" t="n">
        <f aca="false">$U$16+T265</f>
        <v>0.72</v>
      </c>
      <c r="BP265" s="226" t="n">
        <f aca="false">BP264+BV265</f>
        <v>264</v>
      </c>
      <c r="BQ265" s="227" t="s">
        <v>445</v>
      </c>
      <c r="BR265" s="224" t="s">
        <v>226</v>
      </c>
      <c r="BS265" s="154" t="s">
        <v>227</v>
      </c>
      <c r="BT265" s="230" t="s">
        <v>228</v>
      </c>
      <c r="BU265" s="230"/>
      <c r="BV265" s="154" t="n">
        <v>1</v>
      </c>
      <c r="BW265" s="224" t="s">
        <v>1160</v>
      </c>
      <c r="BX265" s="0"/>
    </row>
    <row r="266" customFormat="false" ht="12.75" hidden="false" customHeight="false" outlineLevel="0" collapsed="false">
      <c r="A266" s="258"/>
      <c r="B266" s="259" t="e">
        <f aca="false">NextMonth(B265)</f>
        <v>#VALUE!</v>
      </c>
      <c r="C266" s="215" t="n">
        <v>0.06325809848394</v>
      </c>
      <c r="D266" s="215" t="n">
        <v>0.95</v>
      </c>
      <c r="E266" s="215" t="n">
        <v>0.95</v>
      </c>
      <c r="F266" s="215" t="n">
        <v>0.1625</v>
      </c>
      <c r="G266" s="215" t="n">
        <v>0.17</v>
      </c>
      <c r="H266" s="215" t="n">
        <v>0.1775</v>
      </c>
      <c r="I266" s="239" t="n">
        <v>5.386</v>
      </c>
      <c r="J266" s="215" t="n">
        <v>5.391</v>
      </c>
      <c r="K266" s="215" t="n">
        <v>5.396</v>
      </c>
      <c r="L266" s="215" t="n">
        <v>0.86</v>
      </c>
      <c r="M266" s="215" t="n">
        <v>0</v>
      </c>
      <c r="O266" s="211"/>
      <c r="P266" s="260"/>
      <c r="Q266" s="260"/>
      <c r="R266" s="261" t="e">
        <f aca="false">B266</f>
        <v>#VALUE!</v>
      </c>
      <c r="S266" s="262" t="n">
        <f aca="false">T266-$S$16</f>
        <v>0.88</v>
      </c>
      <c r="T266" s="257" t="n">
        <f aca="false">D266</f>
        <v>0.95</v>
      </c>
      <c r="U266" s="263" t="n">
        <f aca="false">$U$16+T266</f>
        <v>1.02</v>
      </c>
      <c r="BP266" s="226" t="n">
        <f aca="false">BP265+BV266</f>
        <v>265</v>
      </c>
      <c r="BQ266" s="227" t="s">
        <v>449</v>
      </c>
      <c r="BR266" s="224" t="s">
        <v>226</v>
      </c>
      <c r="BS266" s="154" t="s">
        <v>227</v>
      </c>
      <c r="BT266" s="230" t="s">
        <v>228</v>
      </c>
      <c r="BU266" s="230"/>
      <c r="BV266" s="154" t="n">
        <v>1</v>
      </c>
      <c r="BW266" s="224" t="s">
        <v>1161</v>
      </c>
      <c r="BX266" s="0"/>
    </row>
    <row r="267" customFormat="false" ht="12.75" hidden="false" customHeight="false" outlineLevel="0" collapsed="false">
      <c r="A267" s="258"/>
      <c r="B267" s="259" t="e">
        <f aca="false">NextMonth(B266)</f>
        <v>#VALUE!</v>
      </c>
      <c r="C267" s="215" t="n">
        <v>0.063256054631835</v>
      </c>
      <c r="D267" s="215" t="n">
        <v>1.25</v>
      </c>
      <c r="E267" s="215" t="n">
        <v>1.25</v>
      </c>
      <c r="F267" s="215" t="n">
        <v>0.1625</v>
      </c>
      <c r="G267" s="215" t="n">
        <v>0.17</v>
      </c>
      <c r="H267" s="215" t="n">
        <v>0.1775</v>
      </c>
      <c r="I267" s="239" t="n">
        <v>5.511</v>
      </c>
      <c r="J267" s="215" t="n">
        <v>5.516</v>
      </c>
      <c r="K267" s="215" t="n">
        <v>5.521</v>
      </c>
      <c r="L267" s="215" t="n">
        <v>1.28</v>
      </c>
      <c r="M267" s="215" t="n">
        <v>0</v>
      </c>
      <c r="O267" s="211"/>
      <c r="P267" s="260"/>
      <c r="Q267" s="260"/>
      <c r="R267" s="261" t="e">
        <f aca="false">B267</f>
        <v>#VALUE!</v>
      </c>
      <c r="S267" s="262" t="n">
        <f aca="false">T267-$S$16</f>
        <v>1.18</v>
      </c>
      <c r="T267" s="257" t="n">
        <f aca="false">D267</f>
        <v>1.25</v>
      </c>
      <c r="U267" s="263" t="n">
        <f aca="false">$U$16+T267</f>
        <v>1.32</v>
      </c>
      <c r="BP267" s="226" t="n">
        <f aca="false">BP266+BV267</f>
        <v>266</v>
      </c>
      <c r="BQ267" s="227" t="s">
        <v>453</v>
      </c>
      <c r="BR267" s="224" t="s">
        <v>226</v>
      </c>
      <c r="BS267" s="154" t="s">
        <v>227</v>
      </c>
      <c r="BT267" s="230" t="s">
        <v>228</v>
      </c>
      <c r="BU267" s="230"/>
      <c r="BV267" s="154" t="n">
        <v>1</v>
      </c>
      <c r="BW267" s="224" t="s">
        <v>1162</v>
      </c>
      <c r="BX267" s="0"/>
    </row>
    <row r="268" customFormat="false" ht="12.75" hidden="false" customHeight="false" outlineLevel="0" collapsed="false">
      <c r="A268" s="258"/>
      <c r="B268" s="259" t="e">
        <f aca="false">NextMonth(B267)</f>
        <v>#VALUE!</v>
      </c>
      <c r="C268" s="215" t="n">
        <v>0.063253942651328</v>
      </c>
      <c r="D268" s="215" t="n">
        <v>1.45</v>
      </c>
      <c r="E268" s="215" t="n">
        <v>1.45</v>
      </c>
      <c r="F268" s="215" t="n">
        <v>0.1625</v>
      </c>
      <c r="G268" s="215" t="n">
        <v>0.17</v>
      </c>
      <c r="H268" s="215" t="n">
        <v>0.1775</v>
      </c>
      <c r="I268" s="239" t="n">
        <v>5.68</v>
      </c>
      <c r="J268" s="215" t="n">
        <v>5.685</v>
      </c>
      <c r="K268" s="215" t="n">
        <v>5.69</v>
      </c>
      <c r="L268" s="215" t="n">
        <v>1.61</v>
      </c>
      <c r="M268" s="215" t="n">
        <v>0</v>
      </c>
      <c r="O268" s="211"/>
      <c r="P268" s="260"/>
      <c r="Q268" s="260"/>
      <c r="R268" s="261" t="e">
        <f aca="false">B268</f>
        <v>#VALUE!</v>
      </c>
      <c r="S268" s="262" t="n">
        <f aca="false">T268-$S$16</f>
        <v>1.38</v>
      </c>
      <c r="T268" s="257" t="n">
        <f aca="false">D268</f>
        <v>1.45</v>
      </c>
      <c r="U268" s="263" t="n">
        <f aca="false">$U$16+T268</f>
        <v>1.52</v>
      </c>
      <c r="BP268" s="226" t="n">
        <f aca="false">BP267+BV268</f>
        <v>267</v>
      </c>
      <c r="BQ268" s="227" t="s">
        <v>457</v>
      </c>
      <c r="BR268" s="224" t="s">
        <v>226</v>
      </c>
      <c r="BS268" s="154" t="s">
        <v>227</v>
      </c>
      <c r="BT268" s="230" t="s">
        <v>228</v>
      </c>
      <c r="BU268" s="230"/>
      <c r="BV268" s="154" t="n">
        <v>1</v>
      </c>
      <c r="BW268" s="224" t="s">
        <v>1163</v>
      </c>
      <c r="BX268" s="0"/>
    </row>
    <row r="269" customFormat="false" ht="12.75" hidden="false" customHeight="false" outlineLevel="0" collapsed="false">
      <c r="A269" s="258"/>
      <c r="B269" s="259" t="e">
        <f aca="false">NextMonth(B268)</f>
        <v>#VALUE!</v>
      </c>
      <c r="C269" s="215" t="n">
        <v>0.063251830670823</v>
      </c>
      <c r="D269" s="215" t="n">
        <v>1.45</v>
      </c>
      <c r="E269" s="215" t="n">
        <v>1.45</v>
      </c>
      <c r="F269" s="215" t="n">
        <v>0.1625</v>
      </c>
      <c r="G269" s="215" t="n">
        <v>0.17</v>
      </c>
      <c r="H269" s="215" t="n">
        <v>0.1775</v>
      </c>
      <c r="I269" s="239" t="n">
        <v>5.584</v>
      </c>
      <c r="J269" s="215" t="n">
        <v>5.589</v>
      </c>
      <c r="K269" s="215" t="n">
        <v>5.594</v>
      </c>
      <c r="L269" s="215" t="n">
        <v>1.57</v>
      </c>
      <c r="M269" s="215" t="n">
        <v>0</v>
      </c>
      <c r="O269" s="211"/>
      <c r="P269" s="260"/>
      <c r="Q269" s="260"/>
      <c r="R269" s="261" t="e">
        <f aca="false">B269</f>
        <v>#VALUE!</v>
      </c>
      <c r="S269" s="262" t="n">
        <f aca="false">T269-$S$16</f>
        <v>1.38</v>
      </c>
      <c r="T269" s="257" t="n">
        <f aca="false">D269</f>
        <v>1.45</v>
      </c>
      <c r="U269" s="263" t="n">
        <f aca="false">$U$16+T269</f>
        <v>1.52</v>
      </c>
      <c r="BP269" s="226" t="n">
        <f aca="false">BP268+BV269</f>
        <v>268</v>
      </c>
      <c r="BQ269" s="227" t="s">
        <v>460</v>
      </c>
      <c r="BR269" s="224" t="s">
        <v>226</v>
      </c>
      <c r="BS269" s="154" t="s">
        <v>227</v>
      </c>
      <c r="BT269" s="230" t="s">
        <v>228</v>
      </c>
      <c r="BU269" s="230"/>
      <c r="BV269" s="154" t="n">
        <v>1</v>
      </c>
      <c r="BW269" s="224" t="s">
        <v>1164</v>
      </c>
      <c r="BX269" s="0"/>
    </row>
    <row r="270" customFormat="false" ht="12.75" hidden="false" customHeight="false" outlineLevel="0" collapsed="false">
      <c r="A270" s="258"/>
      <c r="B270" s="259" t="e">
        <f aca="false">NextMonth(B269)</f>
        <v>#VALUE!</v>
      </c>
      <c r="C270" s="215" t="n">
        <v>0.063249923075529</v>
      </c>
      <c r="D270" s="215" t="n">
        <v>1</v>
      </c>
      <c r="E270" s="215" t="n">
        <v>1</v>
      </c>
      <c r="F270" s="215" t="n">
        <v>0.1625</v>
      </c>
      <c r="G270" s="215" t="n">
        <v>0.17</v>
      </c>
      <c r="H270" s="215" t="n">
        <v>0.1775</v>
      </c>
      <c r="I270" s="239" t="n">
        <v>5.434</v>
      </c>
      <c r="J270" s="215" t="n">
        <v>5.439</v>
      </c>
      <c r="K270" s="215" t="n">
        <v>5.444</v>
      </c>
      <c r="L270" s="215" t="n">
        <v>0.93</v>
      </c>
      <c r="M270" s="215" t="n">
        <v>0</v>
      </c>
      <c r="O270" s="211"/>
      <c r="P270" s="260"/>
      <c r="Q270" s="260"/>
      <c r="R270" s="261" t="e">
        <f aca="false">B270</f>
        <v>#VALUE!</v>
      </c>
      <c r="S270" s="262" t="n">
        <f aca="false">T270-$S$16</f>
        <v>0.93</v>
      </c>
      <c r="T270" s="257" t="n">
        <f aca="false">D270</f>
        <v>1</v>
      </c>
      <c r="U270" s="263" t="n">
        <f aca="false">$U$16+T270</f>
        <v>1.07</v>
      </c>
      <c r="BP270" s="226" t="n">
        <f aca="false">BP269+BV270</f>
        <v>269</v>
      </c>
      <c r="BQ270" s="227" t="s">
        <v>463</v>
      </c>
      <c r="BR270" s="224" t="s">
        <v>226</v>
      </c>
      <c r="BS270" s="154" t="s">
        <v>227</v>
      </c>
      <c r="BT270" s="230" t="s">
        <v>228</v>
      </c>
      <c r="BU270" s="230"/>
      <c r="BV270" s="154" t="n">
        <v>1</v>
      </c>
      <c r="BW270" s="224" t="s">
        <v>1165</v>
      </c>
      <c r="BX270" s="0"/>
    </row>
    <row r="271" customFormat="false" ht="12.75" hidden="false" customHeight="false" outlineLevel="0" collapsed="false">
      <c r="A271" s="258"/>
      <c r="B271" s="259" t="e">
        <f aca="false">NextMonth(B270)</f>
        <v>#VALUE!</v>
      </c>
      <c r="C271" s="215" t="n">
        <v>0.063247811095026</v>
      </c>
      <c r="D271" s="215" t="n">
        <v>0.45</v>
      </c>
      <c r="E271" s="215" t="n">
        <v>0.45</v>
      </c>
      <c r="F271" s="215" t="n">
        <v>0.1625</v>
      </c>
      <c r="G271" s="215" t="n">
        <v>0.17</v>
      </c>
      <c r="H271" s="215" t="n">
        <v>0.1775</v>
      </c>
      <c r="I271" s="239" t="n">
        <v>5.251</v>
      </c>
      <c r="J271" s="215" t="n">
        <v>5.256</v>
      </c>
      <c r="K271" s="215" t="n">
        <v>5.261</v>
      </c>
      <c r="L271" s="215" t="n">
        <v>0.5</v>
      </c>
      <c r="M271" s="215" t="n">
        <v>0</v>
      </c>
      <c r="O271" s="211"/>
      <c r="P271" s="260"/>
      <c r="Q271" s="260"/>
      <c r="R271" s="261" t="e">
        <f aca="false">B271</f>
        <v>#VALUE!</v>
      </c>
      <c r="S271" s="262" t="n">
        <f aca="false">T271-$S$16</f>
        <v>0.38</v>
      </c>
      <c r="T271" s="257" t="n">
        <f aca="false">D271</f>
        <v>0.45</v>
      </c>
      <c r="U271" s="263" t="n">
        <f aca="false">$U$16+T271</f>
        <v>0.52</v>
      </c>
      <c r="BP271" s="226" t="n">
        <f aca="false">BP270+BV271</f>
        <v>270</v>
      </c>
      <c r="BQ271" s="227" t="s">
        <v>467</v>
      </c>
      <c r="BR271" s="224" t="s">
        <v>226</v>
      </c>
      <c r="BS271" s="154" t="s">
        <v>227</v>
      </c>
      <c r="BT271" s="230" t="s">
        <v>228</v>
      </c>
      <c r="BU271" s="230"/>
      <c r="BV271" s="154" t="n">
        <v>1</v>
      </c>
      <c r="BW271" s="224" t="s">
        <v>1166</v>
      </c>
      <c r="BX271" s="0"/>
    </row>
    <row r="272" customFormat="false" ht="12.75" hidden="false" customHeight="false" outlineLevel="0" collapsed="false">
      <c r="A272" s="258"/>
      <c r="B272" s="259" t="e">
        <f aca="false">NextMonth(B271)</f>
        <v>#VALUE!</v>
      </c>
      <c r="C272" s="215" t="n">
        <v>0.063245767242928</v>
      </c>
      <c r="D272" s="215" t="n">
        <v>0.5</v>
      </c>
      <c r="E272" s="215" t="n">
        <v>0.5</v>
      </c>
      <c r="F272" s="215" t="n">
        <v>0.1625</v>
      </c>
      <c r="G272" s="215" t="n">
        <v>0.17</v>
      </c>
      <c r="H272" s="215" t="n">
        <v>0.1775</v>
      </c>
      <c r="I272" s="239" t="n">
        <v>5.226</v>
      </c>
      <c r="J272" s="215" t="n">
        <v>5.231</v>
      </c>
      <c r="K272" s="215" t="n">
        <v>5.236</v>
      </c>
      <c r="L272" s="215" t="n">
        <v>0.44</v>
      </c>
      <c r="M272" s="215" t="n">
        <v>0</v>
      </c>
      <c r="O272" s="211"/>
      <c r="P272" s="260"/>
      <c r="Q272" s="260"/>
      <c r="R272" s="261" t="e">
        <f aca="false">B272</f>
        <v>#VALUE!</v>
      </c>
      <c r="S272" s="262" t="n">
        <f aca="false">T272-$S$16</f>
        <v>0.43</v>
      </c>
      <c r="T272" s="257" t="n">
        <f aca="false">D272</f>
        <v>0.5</v>
      </c>
      <c r="U272" s="263" t="n">
        <f aca="false">$U$16+T272</f>
        <v>0.57</v>
      </c>
      <c r="BP272" s="226" t="n">
        <f aca="false">BP271+BV272</f>
        <v>271</v>
      </c>
      <c r="BQ272" s="227" t="s">
        <v>471</v>
      </c>
      <c r="BR272" s="224" t="s">
        <v>226</v>
      </c>
      <c r="BS272" s="154" t="s">
        <v>227</v>
      </c>
      <c r="BT272" s="230" t="s">
        <v>228</v>
      </c>
      <c r="BU272" s="230"/>
      <c r="BV272" s="154" t="n">
        <v>1</v>
      </c>
      <c r="BW272" s="224" t="s">
        <v>1167</v>
      </c>
      <c r="BX272" s="0"/>
    </row>
    <row r="273" customFormat="false" ht="12.75" hidden="false" customHeight="false" outlineLevel="0" collapsed="false">
      <c r="A273" s="258"/>
      <c r="B273" s="259" t="e">
        <f aca="false">NextMonth(B272)</f>
        <v>#VALUE!</v>
      </c>
      <c r="C273" s="215" t="n">
        <v>0.071107836399509</v>
      </c>
      <c r="D273" s="215" t="n">
        <v>1.45</v>
      </c>
      <c r="E273" s="215" t="n">
        <v>1.45</v>
      </c>
      <c r="F273" s="215" t="n">
        <v>0.1425</v>
      </c>
      <c r="G273" s="215" t="n">
        <v>0.15</v>
      </c>
      <c r="H273" s="215" t="n">
        <v>0.1575</v>
      </c>
      <c r="I273" s="239" t="n">
        <v>4.7295</v>
      </c>
      <c r="J273" s="215" t="n">
        <v>4.7345</v>
      </c>
      <c r="K273" s="215" t="n">
        <v>4.7395</v>
      </c>
      <c r="L273" s="215" t="n">
        <v>1.595</v>
      </c>
      <c r="M273" s="215" t="n">
        <v>1.595</v>
      </c>
      <c r="O273" s="211"/>
      <c r="P273" s="260"/>
      <c r="Q273" s="260"/>
      <c r="R273" s="261" t="e">
        <f aca="false">B273</f>
        <v>#VALUE!</v>
      </c>
      <c r="S273" s="262" t="n">
        <f aca="false">T273-$S$16</f>
        <v>1.38</v>
      </c>
      <c r="T273" s="257" t="n">
        <f aca="false">D273</f>
        <v>1.45</v>
      </c>
      <c r="U273" s="263" t="n">
        <f aca="false">$U$16+T273</f>
        <v>1.52</v>
      </c>
      <c r="BP273" s="226" t="n">
        <f aca="false">BP272+BV273</f>
        <v>272</v>
      </c>
      <c r="BQ273" s="227" t="s">
        <v>475</v>
      </c>
      <c r="BR273" s="224" t="s">
        <v>226</v>
      </c>
      <c r="BS273" s="154" t="s">
        <v>227</v>
      </c>
      <c r="BT273" s="230" t="s">
        <v>228</v>
      </c>
      <c r="BU273" s="230"/>
      <c r="BV273" s="154" t="n">
        <v>1</v>
      </c>
      <c r="BW273" s="224" t="s">
        <v>1168</v>
      </c>
      <c r="BX273" s="0"/>
    </row>
    <row r="274" customFormat="false" ht="12.75" hidden="false" customHeight="false" outlineLevel="0" collapsed="false">
      <c r="A274" s="258"/>
      <c r="B274" s="259" t="e">
        <f aca="false">NextMonth(B273)</f>
        <v>#VALUE!</v>
      </c>
      <c r="C274" s="215" t="n">
        <v>0.071096411821189</v>
      </c>
      <c r="D274" s="215" t="n">
        <v>1</v>
      </c>
      <c r="E274" s="215" t="n">
        <v>1</v>
      </c>
      <c r="F274" s="215" t="n">
        <v>0.1425</v>
      </c>
      <c r="G274" s="215" t="n">
        <v>0.15</v>
      </c>
      <c r="H274" s="215" t="n">
        <v>0.1575</v>
      </c>
      <c r="I274" s="239" t="n">
        <v>4.6065</v>
      </c>
      <c r="J274" s="215" t="n">
        <v>4.6115</v>
      </c>
      <c r="K274" s="215" t="n">
        <v>4.6165</v>
      </c>
      <c r="L274" s="215" t="n">
        <v>0.965</v>
      </c>
      <c r="M274" s="215" t="n">
        <v>0.965</v>
      </c>
      <c r="O274" s="211"/>
      <c r="P274" s="260"/>
      <c r="Q274" s="260"/>
      <c r="R274" s="261" t="e">
        <f aca="false">B274</f>
        <v>#VALUE!</v>
      </c>
      <c r="S274" s="262" t="n">
        <f aca="false">T274-$S$16</f>
        <v>0.93</v>
      </c>
      <c r="T274" s="257" t="n">
        <f aca="false">D274</f>
        <v>1</v>
      </c>
      <c r="U274" s="263" t="n">
        <f aca="false">$U$16+T274</f>
        <v>1.07</v>
      </c>
      <c r="BP274" s="226" t="n">
        <f aca="false">BP273+BV274</f>
        <v>273</v>
      </c>
      <c r="BQ274" s="227" t="s">
        <v>478</v>
      </c>
      <c r="BR274" s="224" t="s">
        <v>226</v>
      </c>
      <c r="BS274" s="154" t="s">
        <v>227</v>
      </c>
      <c r="BT274" s="230" t="s">
        <v>228</v>
      </c>
      <c r="BU274" s="230"/>
      <c r="BV274" s="154" t="n">
        <v>1</v>
      </c>
      <c r="BW274" s="224" t="s">
        <v>1169</v>
      </c>
      <c r="BX274" s="0"/>
    </row>
    <row r="275" customFormat="false" ht="12.75" hidden="false" customHeight="false" outlineLevel="0" collapsed="false">
      <c r="A275" s="258"/>
      <c r="B275" s="259" t="e">
        <f aca="false">NextMonth(B274)</f>
        <v>#VALUE!</v>
      </c>
      <c r="C275" s="215" t="n">
        <v>0.071083763180955</v>
      </c>
      <c r="D275" s="215" t="n">
        <v>0.45</v>
      </c>
      <c r="E275" s="215" t="n">
        <v>0.45</v>
      </c>
      <c r="F275" s="215" t="n">
        <v>0.1425</v>
      </c>
      <c r="G275" s="215" t="n">
        <v>0.15</v>
      </c>
      <c r="H275" s="215" t="n">
        <v>0.1575</v>
      </c>
      <c r="I275" s="239" t="n">
        <v>4.4755</v>
      </c>
      <c r="J275" s="215" t="n">
        <v>4.4805</v>
      </c>
      <c r="K275" s="215" t="n">
        <v>4.4855</v>
      </c>
      <c r="L275" s="215" t="n">
        <v>0.45</v>
      </c>
      <c r="M275" s="215" t="n">
        <v>0.45</v>
      </c>
      <c r="O275" s="211"/>
      <c r="P275" s="260"/>
      <c r="Q275" s="260"/>
      <c r="R275" s="261" t="e">
        <f aca="false">B275</f>
        <v>#VALUE!</v>
      </c>
      <c r="S275" s="262" t="n">
        <f aca="false">T275-$S$16</f>
        <v>0.38</v>
      </c>
      <c r="T275" s="257" t="n">
        <f aca="false">D275</f>
        <v>0.45</v>
      </c>
      <c r="U275" s="263" t="n">
        <f aca="false">$U$16+T275</f>
        <v>0.52</v>
      </c>
      <c r="BP275" s="226" t="n">
        <f aca="false">BP274+BV275</f>
        <v>274</v>
      </c>
      <c r="BQ275" s="227" t="s">
        <v>482</v>
      </c>
      <c r="BR275" s="224" t="s">
        <v>226</v>
      </c>
      <c r="BS275" s="154" t="s">
        <v>227</v>
      </c>
      <c r="BT275" s="230" t="s">
        <v>228</v>
      </c>
      <c r="BU275" s="230"/>
      <c r="BV275" s="154" t="n">
        <v>1</v>
      </c>
      <c r="BW275" s="224" t="s">
        <v>1170</v>
      </c>
      <c r="BX275" s="0"/>
    </row>
    <row r="276" customFormat="false" ht="12.75" hidden="false" customHeight="false" outlineLevel="0" collapsed="false">
      <c r="A276" s="258"/>
      <c r="B276" s="259" t="e">
        <f aca="false">NextMonth(B275)</f>
        <v>#VALUE!</v>
      </c>
      <c r="C276" s="215" t="n">
        <v>0.071071522561424</v>
      </c>
      <c r="D276" s="215" t="n">
        <v>0.5</v>
      </c>
      <c r="E276" s="215" t="n">
        <v>0.5</v>
      </c>
      <c r="F276" s="215" t="n">
        <v>0.1425</v>
      </c>
      <c r="G276" s="215" t="n">
        <v>0.15</v>
      </c>
      <c r="H276" s="215" t="n">
        <v>0.1575</v>
      </c>
      <c r="I276" s="239" t="n">
        <v>4.4375</v>
      </c>
      <c r="J276" s="215" t="n">
        <v>4.4425</v>
      </c>
      <c r="K276" s="215" t="n">
        <v>4.4475</v>
      </c>
      <c r="L276" s="215" t="n">
        <v>0.405</v>
      </c>
      <c r="M276" s="215" t="n">
        <v>0.405</v>
      </c>
      <c r="O276" s="211"/>
      <c r="P276" s="260"/>
      <c r="Q276" s="260"/>
      <c r="R276" s="261" t="e">
        <f aca="false">B276</f>
        <v>#VALUE!</v>
      </c>
      <c r="S276" s="262" t="n">
        <f aca="false">T276-$S$16</f>
        <v>0.43</v>
      </c>
      <c r="T276" s="257" t="n">
        <f aca="false">D276</f>
        <v>0.5</v>
      </c>
      <c r="U276" s="263" t="n">
        <f aca="false">$U$16+T276</f>
        <v>0.57</v>
      </c>
      <c r="BP276" s="226" t="n">
        <f aca="false">BP275+BV276</f>
        <v>275</v>
      </c>
      <c r="BQ276" s="227" t="s">
        <v>486</v>
      </c>
      <c r="BR276" s="224" t="s">
        <v>226</v>
      </c>
      <c r="BS276" s="154" t="s">
        <v>227</v>
      </c>
      <c r="BT276" s="230" t="s">
        <v>228</v>
      </c>
      <c r="BU276" s="230"/>
      <c r="BV276" s="154" t="n">
        <v>1</v>
      </c>
      <c r="BW276" s="224" t="s">
        <v>1171</v>
      </c>
      <c r="BX276" s="0"/>
    </row>
    <row r="277" customFormat="false" ht="12.75" hidden="false" customHeight="false" outlineLevel="0" collapsed="false">
      <c r="A277" s="258"/>
      <c r="B277" s="259" t="e">
        <f aca="false">NextMonth(B276)</f>
        <v>#VALUE!</v>
      </c>
      <c r="C277" s="215" t="n">
        <v>0.071058873921295</v>
      </c>
      <c r="D277" s="215" t="n">
        <v>0.5</v>
      </c>
      <c r="E277" s="215" t="n">
        <v>0.5</v>
      </c>
      <c r="F277" s="215" t="n">
        <v>0.1425</v>
      </c>
      <c r="G277" s="215" t="n">
        <v>0.15</v>
      </c>
      <c r="H277" s="215" t="n">
        <v>0.1575</v>
      </c>
      <c r="I277" s="239" t="n">
        <v>4.4615</v>
      </c>
      <c r="J277" s="215" t="n">
        <v>4.4665</v>
      </c>
      <c r="K277" s="215" t="n">
        <v>4.4715</v>
      </c>
      <c r="L277" s="215" t="n">
        <v>0.395</v>
      </c>
      <c r="M277" s="215" t="n">
        <v>0.395</v>
      </c>
      <c r="O277" s="211"/>
      <c r="P277" s="260"/>
      <c r="Q277" s="260"/>
      <c r="R277" s="261" t="e">
        <f aca="false">B277</f>
        <v>#VALUE!</v>
      </c>
      <c r="S277" s="262" t="n">
        <f aca="false">T277-$S$16</f>
        <v>0.43</v>
      </c>
      <c r="T277" s="257" t="n">
        <f aca="false">D277</f>
        <v>0.5</v>
      </c>
      <c r="U277" s="263" t="n">
        <f aca="false">$U$16+T277</f>
        <v>0.57</v>
      </c>
      <c r="BP277" s="226" t="n">
        <f aca="false">BP276+BV277</f>
        <v>276</v>
      </c>
      <c r="BQ277" s="227" t="s">
        <v>490</v>
      </c>
      <c r="BR277" s="224" t="s">
        <v>226</v>
      </c>
      <c r="BS277" s="154" t="s">
        <v>227</v>
      </c>
      <c r="BT277" s="230" t="s">
        <v>228</v>
      </c>
      <c r="BU277" s="230"/>
      <c r="BV277" s="154" t="n">
        <v>1</v>
      </c>
      <c r="BW277" s="224" t="s">
        <v>1172</v>
      </c>
      <c r="BX277" s="0"/>
    </row>
    <row r="278" customFormat="false" ht="12.75" hidden="false" customHeight="false" outlineLevel="0" collapsed="false">
      <c r="A278" s="258"/>
      <c r="B278" s="259" t="e">
        <f aca="false">NextMonth(B277)</f>
        <v>#VALUE!</v>
      </c>
      <c r="C278" s="215" t="n">
        <v>0.071046633301865</v>
      </c>
      <c r="D278" s="215" t="n">
        <v>0.5</v>
      </c>
      <c r="E278" s="215" t="n">
        <v>0.5</v>
      </c>
      <c r="F278" s="215" t="n">
        <v>0.1425</v>
      </c>
      <c r="G278" s="215" t="n">
        <v>0.15</v>
      </c>
      <c r="H278" s="215" t="n">
        <v>0.1575</v>
      </c>
      <c r="I278" s="239" t="n">
        <v>4.4695</v>
      </c>
      <c r="J278" s="215" t="n">
        <v>4.4745</v>
      </c>
      <c r="K278" s="215" t="n">
        <v>4.4795</v>
      </c>
      <c r="L278" s="215" t="n">
        <v>0.43</v>
      </c>
      <c r="M278" s="215" t="n">
        <v>0.43</v>
      </c>
      <c r="O278" s="211"/>
      <c r="P278" s="260"/>
      <c r="Q278" s="260"/>
      <c r="R278" s="261" t="e">
        <f aca="false">B278</f>
        <v>#VALUE!</v>
      </c>
      <c r="S278" s="262" t="n">
        <f aca="false">T278-$S$16</f>
        <v>0.43</v>
      </c>
      <c r="T278" s="257" t="n">
        <f aca="false">D278</f>
        <v>0.5</v>
      </c>
      <c r="U278" s="263" t="n">
        <f aca="false">$U$16+T278</f>
        <v>0.57</v>
      </c>
      <c r="BP278" s="226" t="n">
        <f aca="false">BP277+BV278</f>
        <v>277</v>
      </c>
      <c r="BQ278" s="227" t="s">
        <v>494</v>
      </c>
      <c r="BR278" s="224" t="s">
        <v>226</v>
      </c>
      <c r="BS278" s="154" t="s">
        <v>227</v>
      </c>
      <c r="BT278" s="230" t="s">
        <v>228</v>
      </c>
      <c r="BU278" s="230"/>
      <c r="BV278" s="154" t="n">
        <v>1</v>
      </c>
      <c r="BW278" s="224" t="s">
        <v>1173</v>
      </c>
      <c r="BX278" s="0"/>
    </row>
    <row r="279" customFormat="false" ht="12.75" hidden="false" customHeight="false" outlineLevel="0" collapsed="false">
      <c r="A279" s="258"/>
      <c r="B279" s="259" t="e">
        <f aca="false">NextMonth(B278)</f>
        <v>#VALUE!</v>
      </c>
      <c r="C279" s="215" t="n">
        <v>0.071033984661839</v>
      </c>
      <c r="D279" s="215" t="n">
        <v>0.6</v>
      </c>
      <c r="E279" s="215" t="n">
        <v>0.6</v>
      </c>
      <c r="F279" s="215" t="n">
        <v>0.1425</v>
      </c>
      <c r="G279" s="215" t="n">
        <v>0.15</v>
      </c>
      <c r="H279" s="215" t="n">
        <v>0.1575</v>
      </c>
      <c r="I279" s="239" t="n">
        <v>4.4735</v>
      </c>
      <c r="J279" s="215" t="n">
        <v>4.4785</v>
      </c>
      <c r="K279" s="215" t="n">
        <v>4.4835</v>
      </c>
      <c r="L279" s="215" t="n">
        <v>0.495</v>
      </c>
      <c r="M279" s="215" t="n">
        <v>0.495</v>
      </c>
      <c r="O279" s="211"/>
      <c r="P279" s="260"/>
      <c r="Q279" s="260"/>
      <c r="R279" s="261" t="e">
        <f aca="false">B279</f>
        <v>#VALUE!</v>
      </c>
      <c r="S279" s="262" t="n">
        <f aca="false">T279-$S$16</f>
        <v>0.53</v>
      </c>
      <c r="T279" s="257" t="n">
        <f aca="false">D279</f>
        <v>0.6</v>
      </c>
      <c r="U279" s="263" t="n">
        <f aca="false">$U$16+T279</f>
        <v>0.67</v>
      </c>
      <c r="BP279" s="226" t="n">
        <f aca="false">BP278+BV279</f>
        <v>278</v>
      </c>
      <c r="BQ279" s="227" t="s">
        <v>498</v>
      </c>
      <c r="BR279" s="224" t="s">
        <v>226</v>
      </c>
      <c r="BS279" s="154" t="s">
        <v>227</v>
      </c>
      <c r="BT279" s="230" t="s">
        <v>228</v>
      </c>
      <c r="BU279" s="230"/>
      <c r="BV279" s="154" t="n">
        <v>1</v>
      </c>
      <c r="BW279" s="224" t="s">
        <v>1174</v>
      </c>
      <c r="BX279" s="0"/>
    </row>
    <row r="280" customFormat="false" ht="12.75" hidden="false" customHeight="false" outlineLevel="0" collapsed="false">
      <c r="A280" s="258"/>
      <c r="B280" s="259" t="e">
        <f aca="false">NextMonth(B279)</f>
        <v>#VALUE!</v>
      </c>
      <c r="C280" s="215" t="n">
        <v>0.071021336021867</v>
      </c>
      <c r="D280" s="215" t="n">
        <v>0.6</v>
      </c>
      <c r="E280" s="215" t="n">
        <v>0.6</v>
      </c>
      <c r="F280" s="215" t="n">
        <v>0.1425</v>
      </c>
      <c r="G280" s="215" t="n">
        <v>0.15</v>
      </c>
      <c r="H280" s="215" t="n">
        <v>0.1575</v>
      </c>
      <c r="I280" s="239" t="n">
        <v>4.4435</v>
      </c>
      <c r="J280" s="215" t="n">
        <v>4.4485</v>
      </c>
      <c r="K280" s="215" t="n">
        <v>4.4535</v>
      </c>
      <c r="L280" s="215" t="n">
        <v>0.395</v>
      </c>
      <c r="M280" s="215" t="n">
        <v>0.395</v>
      </c>
      <c r="O280" s="211"/>
      <c r="P280" s="260"/>
      <c r="Q280" s="260"/>
      <c r="R280" s="261" t="e">
        <f aca="false">B280</f>
        <v>#VALUE!</v>
      </c>
      <c r="S280" s="262" t="n">
        <f aca="false">T280-$S$16</f>
        <v>0.53</v>
      </c>
      <c r="T280" s="257" t="n">
        <f aca="false">D280</f>
        <v>0.6</v>
      </c>
      <c r="U280" s="263" t="n">
        <f aca="false">$U$16+T280</f>
        <v>0.67</v>
      </c>
      <c r="BP280" s="226" t="n">
        <f aca="false">BP279+BV280</f>
        <v>279</v>
      </c>
      <c r="BQ280" s="227" t="s">
        <v>502</v>
      </c>
      <c r="BR280" s="224" t="s">
        <v>226</v>
      </c>
      <c r="BS280" s="154" t="s">
        <v>227</v>
      </c>
      <c r="BT280" s="230" t="s">
        <v>228</v>
      </c>
      <c r="BU280" s="230"/>
      <c r="BV280" s="154" t="n">
        <v>1</v>
      </c>
      <c r="BW280" s="224" t="s">
        <v>1175</v>
      </c>
      <c r="BX280" s="0"/>
    </row>
    <row r="281" customFormat="false" ht="12.75" hidden="false" customHeight="false" outlineLevel="0" collapsed="false">
      <c r="A281" s="258"/>
      <c r="B281" s="259" t="e">
        <f aca="false">NextMonth(B280)</f>
        <v>#VALUE!</v>
      </c>
      <c r="C281" s="215" t="n">
        <v>0.071009095402589</v>
      </c>
      <c r="D281" s="215" t="n">
        <v>0.65</v>
      </c>
      <c r="E281" s="215" t="n">
        <v>0.65</v>
      </c>
      <c r="F281" s="215" t="n">
        <v>0.1425</v>
      </c>
      <c r="G281" s="215" t="n">
        <v>0.15</v>
      </c>
      <c r="H281" s="215" t="n">
        <v>0.1575</v>
      </c>
      <c r="I281" s="239" t="n">
        <v>4.4055</v>
      </c>
      <c r="J281" s="215" t="n">
        <v>4.4105</v>
      </c>
      <c r="K281" s="215" t="n">
        <v>4.4155</v>
      </c>
      <c r="L281" s="215" t="n">
        <v>0.461</v>
      </c>
      <c r="M281" s="215" t="n">
        <v>0.461</v>
      </c>
      <c r="O281" s="211"/>
      <c r="P281" s="260"/>
      <c r="Q281" s="260"/>
      <c r="R281" s="261" t="e">
        <f aca="false">B281</f>
        <v>#VALUE!</v>
      </c>
      <c r="S281" s="262" t="n">
        <f aca="false">T281-$S$16</f>
        <v>0.58</v>
      </c>
      <c r="T281" s="257" t="n">
        <f aca="false">D281</f>
        <v>0.65</v>
      </c>
      <c r="U281" s="263" t="n">
        <f aca="false">$U$16+T281</f>
        <v>0.72</v>
      </c>
      <c r="BP281" s="226" t="n">
        <f aca="false">BP280+BV281</f>
        <v>280</v>
      </c>
      <c r="BQ281" s="227" t="s">
        <v>505</v>
      </c>
      <c r="BR281" s="224" t="s">
        <v>226</v>
      </c>
      <c r="BS281" s="154" t="s">
        <v>227</v>
      </c>
      <c r="BT281" s="230" t="s">
        <v>228</v>
      </c>
      <c r="BU281" s="230"/>
      <c r="BV281" s="154" t="n">
        <v>1</v>
      </c>
      <c r="BW281" s="224" t="s">
        <v>1176</v>
      </c>
      <c r="BX281" s="0"/>
    </row>
    <row r="282" customFormat="false" ht="12.75" hidden="false" customHeight="false" outlineLevel="0" collapsed="false">
      <c r="A282" s="258"/>
      <c r="B282" s="259" t="e">
        <f aca="false">NextMonth(B281)</f>
        <v>#VALUE!</v>
      </c>
      <c r="C282" s="215" t="n">
        <v>0.07099644676272</v>
      </c>
      <c r="D282" s="215" t="n">
        <v>0.95</v>
      </c>
      <c r="E282" s="215" t="n">
        <v>0.95</v>
      </c>
      <c r="F282" s="215" t="n">
        <v>0.1425</v>
      </c>
      <c r="G282" s="215" t="n">
        <v>0.15</v>
      </c>
      <c r="H282" s="215" t="n">
        <v>0.1575</v>
      </c>
      <c r="I282" s="239" t="n">
        <v>4.4425</v>
      </c>
      <c r="J282" s="215" t="n">
        <v>4.4475</v>
      </c>
      <c r="K282" s="215" t="n">
        <v>4.4525</v>
      </c>
      <c r="L282" s="215" t="n">
        <v>0.885</v>
      </c>
      <c r="M282" s="215" t="n">
        <v>0.885</v>
      </c>
      <c r="O282" s="211"/>
      <c r="P282" s="260"/>
      <c r="Q282" s="260"/>
      <c r="R282" s="261" t="e">
        <f aca="false">B282</f>
        <v>#VALUE!</v>
      </c>
      <c r="S282" s="262" t="n">
        <f aca="false">T282-$S$16</f>
        <v>0.88</v>
      </c>
      <c r="T282" s="257" t="n">
        <f aca="false">D282</f>
        <v>0.95</v>
      </c>
      <c r="U282" s="263" t="n">
        <f aca="false">$U$16+T282</f>
        <v>1.02</v>
      </c>
      <c r="BP282" s="226" t="n">
        <f aca="false">BP281+BV282</f>
        <v>281</v>
      </c>
      <c r="BQ282" s="227" t="s">
        <v>509</v>
      </c>
      <c r="BR282" s="224" t="s">
        <v>226</v>
      </c>
      <c r="BS282" s="154" t="s">
        <v>227</v>
      </c>
      <c r="BT282" s="230" t="s">
        <v>228</v>
      </c>
      <c r="BU282" s="230"/>
      <c r="BV282" s="154" t="n">
        <v>1</v>
      </c>
      <c r="BW282" s="224" t="s">
        <v>1177</v>
      </c>
      <c r="BX282" s="0"/>
    </row>
    <row r="283" customFormat="false" ht="12.75" hidden="false" customHeight="false" outlineLevel="0" collapsed="false">
      <c r="A283" s="258"/>
      <c r="B283" s="259" t="e">
        <f aca="false">NextMonth(B282)</f>
        <v>#VALUE!</v>
      </c>
      <c r="C283" s="215" t="n">
        <v>0.070984206143543</v>
      </c>
      <c r="D283" s="215" t="n">
        <v>1.25</v>
      </c>
      <c r="E283" s="215" t="n">
        <v>1.25</v>
      </c>
      <c r="F283" s="215" t="n">
        <v>0.1425</v>
      </c>
      <c r="G283" s="215" t="n">
        <v>0.15</v>
      </c>
      <c r="H283" s="215" t="n">
        <v>0.1575</v>
      </c>
      <c r="I283" s="239" t="n">
        <v>4.4775</v>
      </c>
      <c r="J283" s="215" t="n">
        <v>4.4825</v>
      </c>
      <c r="K283" s="215" t="n">
        <v>4.4875</v>
      </c>
      <c r="L283" s="215" t="n">
        <v>1.31</v>
      </c>
      <c r="M283" s="215" t="n">
        <v>1.31</v>
      </c>
      <c r="O283" s="211"/>
      <c r="P283" s="260"/>
      <c r="Q283" s="260"/>
      <c r="R283" s="261" t="e">
        <f aca="false">B283</f>
        <v>#VALUE!</v>
      </c>
      <c r="S283" s="262" t="n">
        <f aca="false">T283-$S$16</f>
        <v>1.18</v>
      </c>
      <c r="T283" s="257" t="n">
        <f aca="false">D283</f>
        <v>1.25</v>
      </c>
      <c r="U283" s="263" t="n">
        <f aca="false">$U$16+T283</f>
        <v>1.32</v>
      </c>
      <c r="BP283" s="226" t="n">
        <f aca="false">BP282+BV283</f>
        <v>282</v>
      </c>
      <c r="BQ283" s="227" t="s">
        <v>513</v>
      </c>
      <c r="BR283" s="224" t="s">
        <v>226</v>
      </c>
      <c r="BS283" s="154" t="s">
        <v>227</v>
      </c>
      <c r="BT283" s="230" t="s">
        <v>228</v>
      </c>
      <c r="BU283" s="230"/>
      <c r="BV283" s="154" t="n">
        <v>1</v>
      </c>
      <c r="BW283" s="224" t="s">
        <v>1178</v>
      </c>
      <c r="BX283" s="0"/>
    </row>
    <row r="284" customFormat="false" ht="12.75" hidden="false" customHeight="false" outlineLevel="0" collapsed="false">
      <c r="A284" s="258"/>
      <c r="B284" s="259" t="e">
        <f aca="false">NextMonth(B283)</f>
        <v>#VALUE!</v>
      </c>
      <c r="C284" s="215" t="n">
        <v>0.070971557503779</v>
      </c>
      <c r="D284" s="215" t="n">
        <v>1.45</v>
      </c>
      <c r="E284" s="215" t="n">
        <v>1.45</v>
      </c>
      <c r="F284" s="215" t="n">
        <v>0.1425</v>
      </c>
      <c r="G284" s="215" t="n">
        <v>0.15</v>
      </c>
      <c r="H284" s="215" t="n">
        <v>0.1575</v>
      </c>
      <c r="I284" s="239" t="n">
        <v>4.926</v>
      </c>
      <c r="J284" s="215" t="n">
        <v>4.931</v>
      </c>
      <c r="K284" s="215" t="n">
        <v>4.936</v>
      </c>
      <c r="L284" s="215" t="n">
        <v>1.645</v>
      </c>
      <c r="M284" s="215" t="n">
        <v>1.645</v>
      </c>
      <c r="O284" s="211"/>
      <c r="P284" s="260"/>
      <c r="Q284" s="260"/>
      <c r="R284" s="261" t="e">
        <f aca="false">B284</f>
        <v>#VALUE!</v>
      </c>
      <c r="S284" s="262" t="n">
        <f aca="false">T284-$S$16</f>
        <v>1.38</v>
      </c>
      <c r="T284" s="257" t="n">
        <f aca="false">D284</f>
        <v>1.45</v>
      </c>
      <c r="U284" s="263" t="n">
        <f aca="false">$U$16+T284</f>
        <v>1.52</v>
      </c>
      <c r="BP284" s="226" t="n">
        <f aca="false">BP283+BV284</f>
        <v>283</v>
      </c>
      <c r="BQ284" s="227" t="s">
        <v>517</v>
      </c>
      <c r="BR284" s="224" t="s">
        <v>226</v>
      </c>
      <c r="BS284" s="154" t="s">
        <v>227</v>
      </c>
      <c r="BT284" s="230" t="s">
        <v>228</v>
      </c>
      <c r="BU284" s="230"/>
      <c r="BV284" s="154" t="n">
        <v>1</v>
      </c>
      <c r="BW284" s="224" t="s">
        <v>1179</v>
      </c>
      <c r="BX284" s="0"/>
    </row>
    <row r="285" customFormat="false" ht="12.75" hidden="false" customHeight="false" outlineLevel="0" collapsed="false">
      <c r="A285" s="258"/>
      <c r="B285" s="259" t="e">
        <f aca="false">NextMonth(B284)</f>
        <v>#VALUE!</v>
      </c>
      <c r="C285" s="215" t="n">
        <v>0.070958908864067</v>
      </c>
      <c r="D285" s="215" t="n">
        <v>1.45</v>
      </c>
      <c r="E285" s="215" t="n">
        <v>1.45</v>
      </c>
      <c r="F285" s="215" t="n">
        <v>0.1425</v>
      </c>
      <c r="G285" s="215" t="n">
        <v>0.15</v>
      </c>
      <c r="H285" s="215" t="n">
        <v>0.1575</v>
      </c>
      <c r="I285" s="239" t="n">
        <v>4.833</v>
      </c>
      <c r="J285" s="215" t="n">
        <v>4.838</v>
      </c>
      <c r="K285" s="215" t="n">
        <v>4.843</v>
      </c>
      <c r="L285" s="215" t="n">
        <v>1.595</v>
      </c>
      <c r="M285" s="215" t="n">
        <v>1.595</v>
      </c>
      <c r="O285" s="211"/>
      <c r="P285" s="260"/>
      <c r="Q285" s="260"/>
      <c r="R285" s="261" t="e">
        <f aca="false">B285</f>
        <v>#VALUE!</v>
      </c>
      <c r="S285" s="262" t="n">
        <f aca="false">T285-$S$16</f>
        <v>1.38</v>
      </c>
      <c r="T285" s="257" t="n">
        <f aca="false">D285</f>
        <v>1.45</v>
      </c>
      <c r="U285" s="263" t="n">
        <f aca="false">$U$16+T285</f>
        <v>1.52</v>
      </c>
      <c r="BP285" s="226" t="n">
        <f aca="false">BP284+BV285</f>
        <v>284</v>
      </c>
      <c r="BQ285" s="227" t="s">
        <v>521</v>
      </c>
      <c r="BR285" s="224" t="s">
        <v>226</v>
      </c>
      <c r="BS285" s="154" t="s">
        <v>227</v>
      </c>
      <c r="BT285" s="230" t="s">
        <v>228</v>
      </c>
      <c r="BU285" s="230"/>
      <c r="BV285" s="154" t="n">
        <v>1</v>
      </c>
      <c r="BW285" s="224" t="s">
        <v>1180</v>
      </c>
      <c r="BX285" s="0"/>
    </row>
    <row r="286" customFormat="false" ht="12.75" hidden="false" customHeight="false" outlineLevel="0" collapsed="false">
      <c r="A286" s="258"/>
      <c r="B286" s="259" t="e">
        <f aca="false">NextMonth(B285)</f>
        <v>#VALUE!</v>
      </c>
      <c r="C286" s="215" t="n">
        <v>0.070947484286308</v>
      </c>
      <c r="D286" s="215" t="n">
        <v>1</v>
      </c>
      <c r="E286" s="215" t="n">
        <v>1</v>
      </c>
      <c r="F286" s="215" t="n">
        <v>0.1425</v>
      </c>
      <c r="G286" s="215" t="n">
        <v>0.15</v>
      </c>
      <c r="H286" s="215" t="n">
        <v>0.1575</v>
      </c>
      <c r="I286" s="239" t="n">
        <v>4.713</v>
      </c>
      <c r="J286" s="215" t="n">
        <v>4.718</v>
      </c>
      <c r="K286" s="215" t="n">
        <v>4.723</v>
      </c>
      <c r="L286" s="215" t="n">
        <v>0.965</v>
      </c>
      <c r="M286" s="215" t="n">
        <v>0.965</v>
      </c>
      <c r="O286" s="211"/>
      <c r="P286" s="260"/>
      <c r="Q286" s="260"/>
      <c r="R286" s="261" t="e">
        <f aca="false">B286</f>
        <v>#VALUE!</v>
      </c>
      <c r="S286" s="262" t="n">
        <f aca="false">T286-$S$16</f>
        <v>0.93</v>
      </c>
      <c r="T286" s="257" t="n">
        <f aca="false">D286</f>
        <v>1</v>
      </c>
      <c r="U286" s="263" t="n">
        <f aca="false">$U$16+T286</f>
        <v>1.07</v>
      </c>
      <c r="BP286" s="226" t="n">
        <f aca="false">BP285+BV286</f>
        <v>285</v>
      </c>
      <c r="BQ286" s="227" t="s">
        <v>525</v>
      </c>
      <c r="BR286" s="224" t="s">
        <v>226</v>
      </c>
      <c r="BS286" s="154" t="s">
        <v>227</v>
      </c>
      <c r="BT286" s="230" t="s">
        <v>228</v>
      </c>
      <c r="BU286" s="230"/>
      <c r="BV286" s="154" t="n">
        <v>1</v>
      </c>
      <c r="BW286" s="224" t="s">
        <v>1181</v>
      </c>
      <c r="BX286" s="0"/>
    </row>
    <row r="287" customFormat="false" ht="12.75" hidden="false" customHeight="false" outlineLevel="0" collapsed="false">
      <c r="A287" s="258"/>
      <c r="B287" s="259" t="e">
        <f aca="false">NextMonth(B286)</f>
        <v>#VALUE!</v>
      </c>
      <c r="C287" s="215" t="n">
        <v>0.070934835646697</v>
      </c>
      <c r="D287" s="215" t="n">
        <v>0.45</v>
      </c>
      <c r="E287" s="215" t="n">
        <v>0.45</v>
      </c>
      <c r="F287" s="215" t="n">
        <v>0.1425</v>
      </c>
      <c r="G287" s="215" t="n">
        <v>0.15</v>
      </c>
      <c r="H287" s="215" t="n">
        <v>0.1575</v>
      </c>
      <c r="I287" s="239" t="n">
        <v>4.585</v>
      </c>
      <c r="J287" s="215" t="n">
        <v>4.59</v>
      </c>
      <c r="K287" s="215" t="n">
        <v>4.595</v>
      </c>
      <c r="L287" s="215" t="n">
        <v>0.45</v>
      </c>
      <c r="M287" s="215" t="n">
        <v>0.45</v>
      </c>
      <c r="O287" s="211"/>
      <c r="P287" s="260"/>
      <c r="Q287" s="260"/>
      <c r="R287" s="261" t="e">
        <f aca="false">B287</f>
        <v>#VALUE!</v>
      </c>
      <c r="S287" s="262" t="n">
        <f aca="false">T287-$S$16</f>
        <v>0.38</v>
      </c>
      <c r="T287" s="257" t="n">
        <f aca="false">D287</f>
        <v>0.45</v>
      </c>
      <c r="U287" s="263" t="n">
        <f aca="false">$U$16+T287</f>
        <v>0.52</v>
      </c>
      <c r="BP287" s="226" t="n">
        <f aca="false">BP286+BV287</f>
        <v>286</v>
      </c>
      <c r="BQ287" s="227" t="s">
        <v>529</v>
      </c>
      <c r="BR287" s="224" t="s">
        <v>226</v>
      </c>
      <c r="BS287" s="154" t="s">
        <v>227</v>
      </c>
      <c r="BT287" s="230" t="s">
        <v>228</v>
      </c>
      <c r="BU287" s="230"/>
      <c r="BV287" s="154" t="n">
        <v>1</v>
      </c>
      <c r="BW287" s="224" t="s">
        <v>1182</v>
      </c>
      <c r="BX287" s="0"/>
    </row>
    <row r="288" customFormat="false" ht="12.75" hidden="false" customHeight="false" outlineLevel="0" collapsed="false">
      <c r="A288" s="258"/>
      <c r="B288" s="259" t="e">
        <f aca="false">NextMonth(B287)</f>
        <v>#VALUE!</v>
      </c>
      <c r="C288" s="215" t="n">
        <v>0.07092259502777</v>
      </c>
      <c r="D288" s="215" t="n">
        <v>0.5</v>
      </c>
      <c r="E288" s="215" t="n">
        <v>0.5</v>
      </c>
      <c r="F288" s="215" t="n">
        <v>0.1425</v>
      </c>
      <c r="G288" s="215" t="n">
        <v>0.15</v>
      </c>
      <c r="H288" s="215" t="n">
        <v>0.1575</v>
      </c>
      <c r="I288" s="239" t="n">
        <v>4.548</v>
      </c>
      <c r="J288" s="215" t="n">
        <v>4.553</v>
      </c>
      <c r="K288" s="215" t="n">
        <v>4.558</v>
      </c>
      <c r="L288" s="215" t="n">
        <v>0.405</v>
      </c>
      <c r="M288" s="215" t="n">
        <v>0.405</v>
      </c>
      <c r="O288" s="211"/>
      <c r="P288" s="260"/>
      <c r="Q288" s="260"/>
      <c r="R288" s="261" t="e">
        <f aca="false">B288</f>
        <v>#VALUE!</v>
      </c>
      <c r="S288" s="262" t="n">
        <f aca="false">T288-$S$16</f>
        <v>0.43</v>
      </c>
      <c r="T288" s="257" t="n">
        <f aca="false">D288</f>
        <v>0.5</v>
      </c>
      <c r="U288" s="263" t="n">
        <f aca="false">$U$16+T288</f>
        <v>0.57</v>
      </c>
      <c r="BP288" s="226" t="n">
        <f aca="false">BP287+BV288</f>
        <v>287</v>
      </c>
      <c r="BQ288" s="227" t="s">
        <v>533</v>
      </c>
      <c r="BR288" s="224" t="s">
        <v>226</v>
      </c>
      <c r="BS288" s="154" t="s">
        <v>227</v>
      </c>
      <c r="BT288" s="230" t="s">
        <v>228</v>
      </c>
      <c r="BU288" s="230"/>
      <c r="BV288" s="154" t="n">
        <v>1</v>
      </c>
      <c r="BW288" s="224" t="s">
        <v>1183</v>
      </c>
      <c r="BX288" s="0"/>
    </row>
    <row r="289" customFormat="false" ht="12.75" hidden="false" customHeight="false" outlineLevel="0" collapsed="false">
      <c r="A289" s="258"/>
      <c r="B289" s="259" t="e">
        <f aca="false">NextMonth(B288)</f>
        <v>#VALUE!</v>
      </c>
      <c r="C289" s="215" t="n">
        <v>0.070909946388262</v>
      </c>
      <c r="D289" s="215" t="n">
        <v>0.5</v>
      </c>
      <c r="E289" s="215" t="n">
        <v>0.5</v>
      </c>
      <c r="F289" s="215" t="n">
        <v>0.1425</v>
      </c>
      <c r="G289" s="215" t="n">
        <v>0.15</v>
      </c>
      <c r="H289" s="215" t="n">
        <v>0.1575</v>
      </c>
      <c r="I289" s="239" t="n">
        <v>4.573</v>
      </c>
      <c r="J289" s="215" t="n">
        <v>4.578</v>
      </c>
      <c r="K289" s="215" t="n">
        <v>4.583</v>
      </c>
      <c r="L289" s="215" t="n">
        <v>0.395</v>
      </c>
      <c r="M289" s="215" t="n">
        <v>0.395</v>
      </c>
      <c r="O289" s="211"/>
      <c r="P289" s="260"/>
      <c r="Q289" s="260"/>
      <c r="R289" s="261" t="e">
        <f aca="false">B289</f>
        <v>#VALUE!</v>
      </c>
      <c r="S289" s="262" t="n">
        <f aca="false">T289-$S$16</f>
        <v>0.43</v>
      </c>
      <c r="T289" s="257" t="n">
        <f aca="false">D289</f>
        <v>0.5</v>
      </c>
      <c r="U289" s="263" t="n">
        <f aca="false">$U$16+T289</f>
        <v>0.57</v>
      </c>
      <c r="BP289" s="226" t="n">
        <f aca="false">BP288+BV289</f>
        <v>288</v>
      </c>
      <c r="BQ289" s="227" t="s">
        <v>537</v>
      </c>
      <c r="BR289" s="224" t="s">
        <v>226</v>
      </c>
      <c r="BS289" s="154" t="s">
        <v>227</v>
      </c>
      <c r="BT289" s="230" t="s">
        <v>228</v>
      </c>
      <c r="BU289" s="230"/>
      <c r="BV289" s="154" t="n">
        <v>1</v>
      </c>
      <c r="BW289" s="224" t="s">
        <v>1184</v>
      </c>
      <c r="BX289" s="0"/>
    </row>
    <row r="290" customFormat="false" ht="12.75" hidden="false" customHeight="false" outlineLevel="0" collapsed="false">
      <c r="A290" s="258"/>
      <c r="B290" s="259" t="e">
        <f aca="false">NextMonth(B289)</f>
        <v>#VALUE!</v>
      </c>
      <c r="C290" s="215" t="n">
        <v>0.070897705769435</v>
      </c>
      <c r="D290" s="215" t="n">
        <v>0.5</v>
      </c>
      <c r="E290" s="215" t="n">
        <v>0.5</v>
      </c>
      <c r="F290" s="215" t="n">
        <v>0.1425</v>
      </c>
      <c r="G290" s="215" t="n">
        <v>0.15</v>
      </c>
      <c r="H290" s="215" t="n">
        <v>0.1575</v>
      </c>
      <c r="I290" s="239" t="n">
        <v>4.581</v>
      </c>
      <c r="J290" s="215" t="n">
        <v>4.586</v>
      </c>
      <c r="K290" s="215" t="n">
        <v>4.591</v>
      </c>
      <c r="L290" s="215" t="n">
        <v>0.43</v>
      </c>
      <c r="M290" s="215" t="n">
        <v>0.43</v>
      </c>
      <c r="O290" s="211"/>
      <c r="P290" s="260"/>
      <c r="Q290" s="260"/>
      <c r="R290" s="261" t="e">
        <f aca="false">B290</f>
        <v>#VALUE!</v>
      </c>
      <c r="S290" s="262" t="n">
        <f aca="false">T290-$S$16</f>
        <v>0.43</v>
      </c>
      <c r="T290" s="257" t="n">
        <f aca="false">D290</f>
        <v>0.5</v>
      </c>
      <c r="U290" s="263" t="n">
        <f aca="false">$U$16+T290</f>
        <v>0.57</v>
      </c>
      <c r="BP290" s="226" t="n">
        <f aca="false">BP289+BV290</f>
        <v>289</v>
      </c>
      <c r="BQ290" s="227" t="s">
        <v>541</v>
      </c>
      <c r="BR290" s="224" t="s">
        <v>226</v>
      </c>
      <c r="BS290" s="154" t="s">
        <v>227</v>
      </c>
      <c r="BT290" s="230" t="s">
        <v>228</v>
      </c>
      <c r="BU290" s="230"/>
      <c r="BV290" s="154" t="n">
        <v>1</v>
      </c>
      <c r="BW290" s="224" t="s">
        <v>1185</v>
      </c>
      <c r="BX290" s="0"/>
    </row>
    <row r="291" customFormat="false" ht="12.75" hidden="false" customHeight="false" outlineLevel="0" collapsed="false">
      <c r="A291" s="258"/>
      <c r="B291" s="259" t="e">
        <f aca="false">NextMonth(B290)</f>
        <v>#VALUE!</v>
      </c>
      <c r="C291" s="215" t="n">
        <v>0.070885057130032</v>
      </c>
      <c r="D291" s="215" t="n">
        <v>0.6</v>
      </c>
      <c r="E291" s="215" t="n">
        <v>0.6</v>
      </c>
      <c r="F291" s="215" t="n">
        <v>0.1425</v>
      </c>
      <c r="G291" s="215" t="n">
        <v>0.15</v>
      </c>
      <c r="H291" s="215" t="n">
        <v>0.1575</v>
      </c>
      <c r="I291" s="239" t="n">
        <v>4.585</v>
      </c>
      <c r="J291" s="215" t="n">
        <v>4.59</v>
      </c>
      <c r="K291" s="215" t="n">
        <v>4.595</v>
      </c>
      <c r="L291" s="215" t="n">
        <v>0.495</v>
      </c>
      <c r="M291" s="215" t="n">
        <v>0.495</v>
      </c>
      <c r="O291" s="211"/>
      <c r="P291" s="260"/>
      <c r="Q291" s="260"/>
      <c r="R291" s="261" t="e">
        <f aca="false">B291</f>
        <v>#VALUE!</v>
      </c>
      <c r="S291" s="262" t="n">
        <f aca="false">T291-$S$16</f>
        <v>0.53</v>
      </c>
      <c r="T291" s="257" t="n">
        <f aca="false">D291</f>
        <v>0.6</v>
      </c>
      <c r="U291" s="263" t="n">
        <f aca="false">$U$16+T291</f>
        <v>0.67</v>
      </c>
      <c r="BP291" s="226" t="n">
        <f aca="false">BP290+BV291</f>
        <v>290</v>
      </c>
      <c r="BQ291" s="227" t="s">
        <v>545</v>
      </c>
      <c r="BR291" s="224" t="s">
        <v>226</v>
      </c>
      <c r="BS291" s="154" t="s">
        <v>227</v>
      </c>
      <c r="BT291" s="230" t="s">
        <v>228</v>
      </c>
      <c r="BU291" s="230"/>
      <c r="BV291" s="154" t="n">
        <v>1</v>
      </c>
      <c r="BW291" s="224" t="s">
        <v>1186</v>
      </c>
      <c r="BX291" s="0"/>
    </row>
    <row r="292" customFormat="false" ht="12.75" hidden="false" customHeight="false" outlineLevel="0" collapsed="false">
      <c r="A292" s="258"/>
      <c r="B292" s="259" t="e">
        <f aca="false">NextMonth(B291)</f>
        <v>#VALUE!</v>
      </c>
      <c r="C292" s="215" t="n">
        <v>0.070872408490682</v>
      </c>
      <c r="D292" s="215" t="n">
        <v>0.6</v>
      </c>
      <c r="E292" s="215" t="n">
        <v>0.6</v>
      </c>
      <c r="F292" s="215" t="n">
        <v>0.1425</v>
      </c>
      <c r="G292" s="215" t="n">
        <v>0.15</v>
      </c>
      <c r="H292" s="215" t="n">
        <v>0.1575</v>
      </c>
      <c r="I292" s="239" t="n">
        <v>4.554</v>
      </c>
      <c r="J292" s="215" t="n">
        <v>4.559</v>
      </c>
      <c r="K292" s="215" t="n">
        <v>4.564</v>
      </c>
      <c r="L292" s="215" t="n">
        <v>0.395</v>
      </c>
      <c r="M292" s="215" t="n">
        <v>0.395</v>
      </c>
      <c r="O292" s="211"/>
      <c r="P292" s="260"/>
      <c r="Q292" s="260"/>
      <c r="R292" s="261" t="e">
        <f aca="false">B292</f>
        <v>#VALUE!</v>
      </c>
      <c r="S292" s="262" t="n">
        <f aca="false">T292-$S$16</f>
        <v>0.53</v>
      </c>
      <c r="T292" s="257" t="n">
        <f aca="false">D292</f>
        <v>0.6</v>
      </c>
      <c r="U292" s="263" t="n">
        <f aca="false">$U$16+T292</f>
        <v>0.67</v>
      </c>
      <c r="BP292" s="226" t="n">
        <f aca="false">BP291+BV292</f>
        <v>291</v>
      </c>
      <c r="BQ292" s="227" t="s">
        <v>549</v>
      </c>
      <c r="BR292" s="224" t="s">
        <v>226</v>
      </c>
      <c r="BS292" s="154" t="s">
        <v>227</v>
      </c>
      <c r="BT292" s="230" t="s">
        <v>228</v>
      </c>
      <c r="BU292" s="230"/>
      <c r="BV292" s="154" t="n">
        <v>1</v>
      </c>
      <c r="BW292" s="224" t="s">
        <v>1187</v>
      </c>
      <c r="BX292" s="0"/>
    </row>
    <row r="293" customFormat="false" ht="12.75" hidden="false" customHeight="false" outlineLevel="0" collapsed="false">
      <c r="A293" s="258"/>
      <c r="B293" s="259" t="e">
        <f aca="false">NextMonth(B292)</f>
        <v>#VALUE!</v>
      </c>
      <c r="C293" s="215" t="n">
        <v>0.070860167872007</v>
      </c>
      <c r="D293" s="215" t="n">
        <v>0.65</v>
      </c>
      <c r="E293" s="215" t="n">
        <v>0.65</v>
      </c>
      <c r="F293" s="215" t="n">
        <v>0.1425</v>
      </c>
      <c r="G293" s="215" t="n">
        <v>0.15</v>
      </c>
      <c r="H293" s="215" t="n">
        <v>0.1575</v>
      </c>
      <c r="I293" s="239" t="n">
        <v>4.515</v>
      </c>
      <c r="J293" s="215" t="n">
        <v>4.52</v>
      </c>
      <c r="K293" s="215" t="n">
        <v>4.525</v>
      </c>
      <c r="L293" s="215" t="n">
        <v>0.461</v>
      </c>
      <c r="M293" s="215" t="n">
        <v>0.461</v>
      </c>
      <c r="O293" s="211"/>
      <c r="P293" s="260"/>
      <c r="Q293" s="260"/>
      <c r="R293" s="261" t="e">
        <f aca="false">B293</f>
        <v>#VALUE!</v>
      </c>
      <c r="S293" s="262" t="n">
        <f aca="false">T293-$S$16</f>
        <v>0.58</v>
      </c>
      <c r="T293" s="257" t="n">
        <f aca="false">D293</f>
        <v>0.65</v>
      </c>
      <c r="U293" s="263" t="n">
        <f aca="false">$U$16+T293</f>
        <v>0.72</v>
      </c>
      <c r="BP293" s="226" t="n">
        <f aca="false">BP292+BV293</f>
        <v>292</v>
      </c>
      <c r="BQ293" s="227" t="s">
        <v>553</v>
      </c>
      <c r="BR293" s="224" t="s">
        <v>226</v>
      </c>
      <c r="BS293" s="154" t="s">
        <v>227</v>
      </c>
      <c r="BT293" s="230" t="s">
        <v>228</v>
      </c>
      <c r="BU293" s="230"/>
      <c r="BV293" s="154" t="n">
        <v>1</v>
      </c>
      <c r="BW293" s="224" t="s">
        <v>1188</v>
      </c>
      <c r="BX293" s="0"/>
    </row>
    <row r="294" customFormat="false" ht="12.75" hidden="false" customHeight="false" outlineLevel="0" collapsed="false">
      <c r="A294" s="258"/>
      <c r="B294" s="259" t="e">
        <f aca="false">NextMonth(B293)</f>
        <v>#VALUE!</v>
      </c>
      <c r="C294" s="215" t="n">
        <v>0.070847519232761</v>
      </c>
      <c r="D294" s="215" t="n">
        <v>0.95</v>
      </c>
      <c r="E294" s="215" t="n">
        <v>0.95</v>
      </c>
      <c r="F294" s="215" t="n">
        <v>0.1425</v>
      </c>
      <c r="G294" s="215" t="n">
        <v>0.15</v>
      </c>
      <c r="H294" s="215" t="n">
        <v>0.1575</v>
      </c>
      <c r="I294" s="239" t="n">
        <v>4.547</v>
      </c>
      <c r="J294" s="215" t="n">
        <v>4.552</v>
      </c>
      <c r="K294" s="215" t="n">
        <v>4.557</v>
      </c>
      <c r="L294" s="215" t="n">
        <v>0.885</v>
      </c>
      <c r="M294" s="215" t="n">
        <v>0.885</v>
      </c>
      <c r="O294" s="211"/>
      <c r="P294" s="260"/>
      <c r="Q294" s="260"/>
      <c r="R294" s="261" t="e">
        <f aca="false">B294</f>
        <v>#VALUE!</v>
      </c>
      <c r="S294" s="262" t="n">
        <f aca="false">T294-$S$16</f>
        <v>0.88</v>
      </c>
      <c r="T294" s="257" t="n">
        <f aca="false">D294</f>
        <v>0.95</v>
      </c>
      <c r="U294" s="263" t="n">
        <f aca="false">$U$16+T294</f>
        <v>1.02</v>
      </c>
      <c r="BP294" s="226" t="n">
        <f aca="false">BP293+BV294</f>
        <v>293</v>
      </c>
      <c r="BQ294" s="227" t="s">
        <v>557</v>
      </c>
      <c r="BR294" s="224" t="s">
        <v>226</v>
      </c>
      <c r="BS294" s="154" t="s">
        <v>227</v>
      </c>
      <c r="BT294" s="230" t="s">
        <v>228</v>
      </c>
      <c r="BU294" s="230"/>
      <c r="BV294" s="154" t="n">
        <v>1</v>
      </c>
      <c r="BW294" s="224" t="s">
        <v>1189</v>
      </c>
      <c r="BX294" s="0"/>
    </row>
    <row r="295" customFormat="false" ht="12.75" hidden="false" customHeight="false" outlineLevel="0" collapsed="false">
      <c r="A295" s="258"/>
      <c r="B295" s="259" t="e">
        <f aca="false">NextMonth(B294)</f>
        <v>#VALUE!</v>
      </c>
      <c r="C295" s="215" t="n">
        <v>0.070835278614186</v>
      </c>
      <c r="D295" s="215" t="n">
        <v>1.25</v>
      </c>
      <c r="E295" s="215" t="n">
        <v>1.25</v>
      </c>
      <c r="F295" s="215" t="n">
        <v>0.1425</v>
      </c>
      <c r="G295" s="215" t="n">
        <v>0.15</v>
      </c>
      <c r="H295" s="215" t="n">
        <v>0.1575</v>
      </c>
      <c r="I295" s="239" t="n">
        <v>4.579</v>
      </c>
      <c r="J295" s="215" t="n">
        <v>4.584</v>
      </c>
      <c r="K295" s="215" t="n">
        <v>4.589</v>
      </c>
      <c r="L295" s="215" t="n">
        <v>1.31</v>
      </c>
      <c r="M295" s="215" t="n">
        <v>1.31</v>
      </c>
      <c r="O295" s="211"/>
      <c r="P295" s="260"/>
      <c r="Q295" s="260"/>
      <c r="R295" s="261" t="e">
        <f aca="false">B295</f>
        <v>#VALUE!</v>
      </c>
      <c r="S295" s="262" t="n">
        <f aca="false">T295-$S$16</f>
        <v>1.18</v>
      </c>
      <c r="T295" s="257" t="n">
        <f aca="false">D295</f>
        <v>1.25</v>
      </c>
      <c r="U295" s="263" t="n">
        <f aca="false">$U$16+T295</f>
        <v>1.32</v>
      </c>
      <c r="BP295" s="226" t="n">
        <f aca="false">BP294+BV295</f>
        <v>294</v>
      </c>
      <c r="BQ295" s="227" t="s">
        <v>561</v>
      </c>
      <c r="BR295" s="224" t="s">
        <v>226</v>
      </c>
      <c r="BS295" s="154" t="s">
        <v>227</v>
      </c>
      <c r="BT295" s="230" t="s">
        <v>228</v>
      </c>
      <c r="BU295" s="230"/>
      <c r="BV295" s="154" t="n">
        <v>1</v>
      </c>
      <c r="BW295" s="224" t="s">
        <v>1190</v>
      </c>
      <c r="BX295" s="0"/>
    </row>
    <row r="296" customFormat="false" ht="12.75" hidden="false" customHeight="false" outlineLevel="0" collapsed="false">
      <c r="A296" s="258"/>
      <c r="B296" s="259" t="e">
        <f aca="false">NextMonth(B295)</f>
        <v>#VALUE!</v>
      </c>
      <c r="C296" s="215" t="n">
        <v>0.070822629975044</v>
      </c>
      <c r="D296" s="215" t="n">
        <v>1.45</v>
      </c>
      <c r="E296" s="215" t="n">
        <v>1.45</v>
      </c>
      <c r="F296" s="215" t="n">
        <v>0.1435</v>
      </c>
      <c r="G296" s="215" t="n">
        <v>0.151</v>
      </c>
      <c r="H296" s="215" t="n">
        <v>0.1585</v>
      </c>
      <c r="I296" s="239" t="n">
        <v>4.0125</v>
      </c>
      <c r="J296" s="215" t="n">
        <v>4.0175</v>
      </c>
      <c r="K296" s="215" t="n">
        <v>-0.181</v>
      </c>
      <c r="L296" s="215" t="n">
        <v>1.645</v>
      </c>
      <c r="M296" s="215" t="n">
        <v>1.645</v>
      </c>
      <c r="O296" s="211"/>
      <c r="P296" s="260"/>
      <c r="Q296" s="260"/>
      <c r="R296" s="261" t="e">
        <f aca="false">B296</f>
        <v>#VALUE!</v>
      </c>
      <c r="S296" s="262" t="n">
        <f aca="false">T296-$S$16</f>
        <v>1.38</v>
      </c>
      <c r="T296" s="257" t="n">
        <f aca="false">D296</f>
        <v>1.45</v>
      </c>
      <c r="U296" s="263" t="n">
        <f aca="false">$U$16+T296</f>
        <v>1.52</v>
      </c>
      <c r="BP296" s="226" t="n">
        <f aca="false">BP295+BV296</f>
        <v>295</v>
      </c>
      <c r="BQ296" s="227" t="s">
        <v>565</v>
      </c>
      <c r="BR296" s="224" t="s">
        <v>226</v>
      </c>
      <c r="BS296" s="154" t="s">
        <v>227</v>
      </c>
      <c r="BT296" s="230" t="s">
        <v>228</v>
      </c>
      <c r="BU296" s="230"/>
      <c r="BV296" s="154" t="n">
        <v>1</v>
      </c>
      <c r="BW296" s="224" t="s">
        <v>1191</v>
      </c>
      <c r="BX296" s="0"/>
    </row>
    <row r="297" customFormat="false" ht="12.75" hidden="false" customHeight="false" outlineLevel="0" collapsed="false">
      <c r="A297" s="258"/>
      <c r="B297" s="259" t="e">
        <f aca="false">NextMonth(B296)</f>
        <v>#VALUE!</v>
      </c>
      <c r="C297" s="215" t="n">
        <v>0.070809981335955</v>
      </c>
      <c r="D297" s="215" t="n">
        <v>1.45</v>
      </c>
      <c r="E297" s="215" t="n">
        <v>1.45</v>
      </c>
      <c r="F297" s="215" t="n">
        <v>0.1435</v>
      </c>
      <c r="G297" s="215" t="n">
        <v>0.151</v>
      </c>
      <c r="H297" s="215" t="n">
        <v>0.1585</v>
      </c>
      <c r="I297" s="239" t="n">
        <v>3.9905</v>
      </c>
      <c r="J297" s="215" t="n">
        <v>3.9955</v>
      </c>
      <c r="K297" s="215" t="n">
        <v>-0.19</v>
      </c>
      <c r="L297" s="215" t="n">
        <v>1.595</v>
      </c>
      <c r="M297" s="215" t="n">
        <v>1.595</v>
      </c>
      <c r="O297" s="211"/>
      <c r="P297" s="260"/>
      <c r="Q297" s="260"/>
      <c r="R297" s="261" t="e">
        <f aca="false">B297</f>
        <v>#VALUE!</v>
      </c>
      <c r="S297" s="262" t="n">
        <f aca="false">T297-$S$16</f>
        <v>1.38</v>
      </c>
      <c r="T297" s="257" t="n">
        <f aca="false">D297</f>
        <v>1.45</v>
      </c>
      <c r="U297" s="263" t="n">
        <f aca="false">$U$16+T297</f>
        <v>1.52</v>
      </c>
      <c r="BP297" s="226" t="n">
        <f aca="false">BP296+BV297</f>
        <v>296</v>
      </c>
      <c r="BQ297" s="227" t="s">
        <v>569</v>
      </c>
      <c r="BR297" s="224" t="s">
        <v>226</v>
      </c>
      <c r="BS297" s="154" t="s">
        <v>227</v>
      </c>
      <c r="BT297" s="230" t="s">
        <v>228</v>
      </c>
      <c r="BU297" s="230"/>
      <c r="BV297" s="154" t="n">
        <v>1</v>
      </c>
      <c r="BW297" s="224" t="s">
        <v>1192</v>
      </c>
      <c r="BX297" s="0"/>
    </row>
    <row r="298" customFormat="false" ht="12.75" hidden="false" customHeight="false" outlineLevel="0" collapsed="false">
      <c r="A298" s="258"/>
      <c r="B298" s="259" t="e">
        <f aca="false">NextMonth(B297)</f>
        <v>#VALUE!</v>
      </c>
      <c r="C298" s="215" t="n">
        <v>0.070798148738146</v>
      </c>
      <c r="D298" s="215" t="n">
        <v>1</v>
      </c>
      <c r="E298" s="215" t="n">
        <v>1</v>
      </c>
      <c r="F298" s="215" t="n">
        <v>0.1435</v>
      </c>
      <c r="G298" s="215" t="n">
        <v>0.151</v>
      </c>
      <c r="H298" s="215" t="n">
        <v>0.1585</v>
      </c>
      <c r="I298" s="239" t="n">
        <v>3.9945</v>
      </c>
      <c r="J298" s="215" t="n">
        <v>3.9995</v>
      </c>
      <c r="K298" s="215" t="n">
        <v>-0.195</v>
      </c>
      <c r="L298" s="215" t="n">
        <v>0.965</v>
      </c>
      <c r="M298" s="215" t="n">
        <v>0.965</v>
      </c>
      <c r="O298" s="211"/>
      <c r="P298" s="260"/>
      <c r="Q298" s="260"/>
      <c r="R298" s="261" t="e">
        <f aca="false">B298</f>
        <v>#VALUE!</v>
      </c>
      <c r="S298" s="262" t="n">
        <f aca="false">T298-$S$16</f>
        <v>0.93</v>
      </c>
      <c r="T298" s="257" t="n">
        <f aca="false">D298</f>
        <v>1</v>
      </c>
      <c r="U298" s="263" t="n">
        <f aca="false">$U$16+T298</f>
        <v>1.07</v>
      </c>
      <c r="BP298" s="226" t="n">
        <f aca="false">BP297+BV298</f>
        <v>297</v>
      </c>
      <c r="BQ298" s="227" t="s">
        <v>573</v>
      </c>
      <c r="BR298" s="224" t="s">
        <v>226</v>
      </c>
      <c r="BS298" s="154" t="s">
        <v>227</v>
      </c>
      <c r="BT298" s="230" t="s">
        <v>228</v>
      </c>
      <c r="BU298" s="230"/>
      <c r="BV298" s="154" t="n">
        <v>1</v>
      </c>
      <c r="BW298" s="224" t="s">
        <v>1193</v>
      </c>
      <c r="BX298" s="0"/>
    </row>
    <row r="299" customFormat="false" ht="12.75" hidden="false" customHeight="false" outlineLevel="0" collapsed="false">
      <c r="A299" s="258"/>
      <c r="B299" s="259" t="e">
        <f aca="false">NextMonth(B298)</f>
        <v>#VALUE!</v>
      </c>
      <c r="C299" s="215" t="n">
        <v>0.070785500099159</v>
      </c>
      <c r="D299" s="215" t="n">
        <v>0.45</v>
      </c>
      <c r="E299" s="215" t="n">
        <v>0.45</v>
      </c>
      <c r="F299" s="215" t="n">
        <v>0.1435</v>
      </c>
      <c r="G299" s="215" t="n">
        <v>0.151</v>
      </c>
      <c r="H299" s="215" t="n">
        <v>0.1585</v>
      </c>
      <c r="I299" s="239" t="n">
        <v>4.0265</v>
      </c>
      <c r="J299" s="215" t="n">
        <v>4.0315</v>
      </c>
      <c r="K299" s="215" t="n">
        <v>-0.203</v>
      </c>
      <c r="L299" s="215" t="n">
        <v>0.45</v>
      </c>
      <c r="M299" s="215" t="n">
        <v>0.45</v>
      </c>
      <c r="O299" s="211"/>
      <c r="P299" s="260"/>
      <c r="Q299" s="260"/>
      <c r="R299" s="261" t="e">
        <f aca="false">B299</f>
        <v>#VALUE!</v>
      </c>
      <c r="S299" s="262" t="n">
        <f aca="false">T299-$S$16</f>
        <v>0.38</v>
      </c>
      <c r="T299" s="257" t="n">
        <f aca="false">D299</f>
        <v>0.45</v>
      </c>
      <c r="U299" s="263" t="n">
        <f aca="false">$U$16+T299</f>
        <v>0.52</v>
      </c>
      <c r="BP299" s="226" t="n">
        <f aca="false">BP298+BV299</f>
        <v>298</v>
      </c>
      <c r="BQ299" s="227" t="s">
        <v>577</v>
      </c>
      <c r="BR299" s="224" t="s">
        <v>226</v>
      </c>
      <c r="BS299" s="154" t="s">
        <v>227</v>
      </c>
      <c r="BT299" s="230" t="s">
        <v>228</v>
      </c>
      <c r="BU299" s="230"/>
      <c r="BV299" s="154" t="n">
        <v>1</v>
      </c>
      <c r="BW299" s="224" t="s">
        <v>1194</v>
      </c>
      <c r="BX299" s="0"/>
    </row>
    <row r="300" customFormat="false" ht="12.75" hidden="false" customHeight="false" outlineLevel="0" collapsed="false">
      <c r="A300" s="258"/>
      <c r="B300" s="259" t="e">
        <f aca="false">NextMonth(B299)</f>
        <v>#VALUE!</v>
      </c>
      <c r="C300" s="215" t="n">
        <v>0.070773259480835</v>
      </c>
      <c r="D300" s="215" t="n">
        <v>0.5</v>
      </c>
      <c r="E300" s="215" t="n">
        <v>0.5</v>
      </c>
      <c r="F300" s="215" t="n">
        <v>0.1435</v>
      </c>
      <c r="G300" s="215" t="n">
        <v>0.151</v>
      </c>
      <c r="H300" s="215" t="n">
        <v>0.1585</v>
      </c>
      <c r="I300" s="239" t="n">
        <v>4.0895</v>
      </c>
      <c r="J300" s="215" t="n">
        <v>4.0945</v>
      </c>
      <c r="K300" s="215" t="n">
        <v>-0.198</v>
      </c>
      <c r="L300" s="215" t="n">
        <v>0.405</v>
      </c>
      <c r="M300" s="215" t="n">
        <v>0.405</v>
      </c>
      <c r="O300" s="211"/>
      <c r="P300" s="260"/>
      <c r="Q300" s="260"/>
      <c r="R300" s="261" t="e">
        <f aca="false">B300</f>
        <v>#VALUE!</v>
      </c>
      <c r="S300" s="262" t="n">
        <f aca="false">T300-$S$16</f>
        <v>0.43</v>
      </c>
      <c r="T300" s="257" t="n">
        <f aca="false">D300</f>
        <v>0.5</v>
      </c>
      <c r="U300" s="263" t="n">
        <f aca="false">$U$16+T300</f>
        <v>0.57</v>
      </c>
      <c r="BP300" s="226" t="n">
        <f aca="false">BP299+BV300</f>
        <v>299</v>
      </c>
      <c r="BQ300" s="227" t="s">
        <v>581</v>
      </c>
      <c r="BR300" s="224" t="s">
        <v>226</v>
      </c>
      <c r="BS300" s="154" t="s">
        <v>227</v>
      </c>
      <c r="BT300" s="230" t="s">
        <v>228</v>
      </c>
      <c r="BU300" s="230"/>
      <c r="BV300" s="154" t="n">
        <v>1</v>
      </c>
      <c r="BW300" s="224" t="s">
        <v>1195</v>
      </c>
      <c r="BX300" s="0"/>
    </row>
    <row r="301" customFormat="false" ht="12.75" hidden="false" customHeight="false" outlineLevel="0" collapsed="false">
      <c r="A301" s="258"/>
      <c r="B301" s="259" t="e">
        <f aca="false">NextMonth(B300)</f>
        <v>#VALUE!</v>
      </c>
      <c r="C301" s="215" t="n">
        <v>0.070760610841952</v>
      </c>
      <c r="D301" s="215" t="n">
        <v>0.5</v>
      </c>
      <c r="E301" s="215" t="n">
        <v>0.5</v>
      </c>
      <c r="F301" s="215" t="n">
        <v>0.1435</v>
      </c>
      <c r="G301" s="215" t="n">
        <v>0.151</v>
      </c>
      <c r="H301" s="215" t="n">
        <v>0.1585</v>
      </c>
      <c r="I301" s="239" t="n">
        <v>4.114</v>
      </c>
      <c r="J301" s="215" t="n">
        <v>4.119</v>
      </c>
      <c r="K301" s="215" t="n">
        <v>-0.205</v>
      </c>
      <c r="L301" s="215" t="n">
        <v>0.395</v>
      </c>
      <c r="M301" s="215" t="n">
        <v>0.395</v>
      </c>
      <c r="O301" s="211"/>
      <c r="P301" s="260"/>
      <c r="Q301" s="260"/>
      <c r="R301" s="261" t="e">
        <f aca="false">B301</f>
        <v>#VALUE!</v>
      </c>
      <c r="S301" s="262" t="n">
        <f aca="false">T301-$S$16</f>
        <v>0.43</v>
      </c>
      <c r="T301" s="257" t="n">
        <f aca="false">D301</f>
        <v>0.5</v>
      </c>
      <c r="U301" s="263" t="n">
        <f aca="false">$U$16+T301</f>
        <v>0.57</v>
      </c>
      <c r="BP301" s="226" t="n">
        <f aca="false">BP300+BV301</f>
        <v>300</v>
      </c>
      <c r="BQ301" s="227" t="s">
        <v>585</v>
      </c>
      <c r="BR301" s="224" t="s">
        <v>226</v>
      </c>
      <c r="BS301" s="154" t="s">
        <v>227</v>
      </c>
      <c r="BT301" s="230" t="s">
        <v>228</v>
      </c>
      <c r="BU301" s="230"/>
      <c r="BV301" s="154" t="n">
        <v>1</v>
      </c>
      <c r="BW301" s="224" t="s">
        <v>1196</v>
      </c>
      <c r="BX301" s="0"/>
    </row>
    <row r="302" customFormat="false" ht="12.75" hidden="false" customHeight="false" outlineLevel="0" collapsed="false">
      <c r="A302" s="258"/>
      <c r="B302" s="259" t="e">
        <f aca="false">NextMonth(B301)</f>
        <v>#VALUE!</v>
      </c>
      <c r="C302" s="215" t="n">
        <v>0.070748370223729</v>
      </c>
      <c r="D302" s="215" t="n">
        <v>0.5</v>
      </c>
      <c r="E302" s="215" t="n">
        <v>0.5</v>
      </c>
      <c r="F302" s="215" t="n">
        <v>0.1435</v>
      </c>
      <c r="G302" s="215" t="n">
        <v>0.151</v>
      </c>
      <c r="H302" s="215" t="n">
        <v>0.1585</v>
      </c>
      <c r="I302" s="239" t="n">
        <v>4.085</v>
      </c>
      <c r="J302" s="215" t="n">
        <v>4.09</v>
      </c>
      <c r="K302" s="215" t="n">
        <v>-0.199</v>
      </c>
      <c r="L302" s="215" t="n">
        <v>0.43</v>
      </c>
      <c r="M302" s="215" t="n">
        <v>0.43</v>
      </c>
      <c r="O302" s="211"/>
      <c r="P302" s="260"/>
      <c r="Q302" s="260"/>
      <c r="R302" s="261" t="e">
        <f aca="false">B302</f>
        <v>#VALUE!</v>
      </c>
      <c r="S302" s="262" t="n">
        <f aca="false">T302-$S$16</f>
        <v>0.43</v>
      </c>
      <c r="T302" s="257" t="n">
        <f aca="false">D302</f>
        <v>0.5</v>
      </c>
      <c r="U302" s="263" t="n">
        <f aca="false">$U$16+T302</f>
        <v>0.57</v>
      </c>
      <c r="BP302" s="226" t="n">
        <f aca="false">BP301+BV302</f>
        <v>301</v>
      </c>
      <c r="BQ302" s="227" t="s">
        <v>589</v>
      </c>
      <c r="BR302" s="224" t="s">
        <v>226</v>
      </c>
      <c r="BS302" s="154" t="s">
        <v>227</v>
      </c>
      <c r="BT302" s="230" t="s">
        <v>228</v>
      </c>
      <c r="BU302" s="230"/>
      <c r="BV302" s="154" t="n">
        <v>1</v>
      </c>
      <c r="BW302" s="224" t="s">
        <v>1197</v>
      </c>
      <c r="BX302" s="0"/>
    </row>
    <row r="303" customFormat="false" ht="12.75" hidden="false" customHeight="false" outlineLevel="0" collapsed="false">
      <c r="A303" s="258"/>
      <c r="B303" s="259" t="e">
        <f aca="false">NextMonth(B302)</f>
        <v>#VALUE!</v>
      </c>
      <c r="C303" s="215" t="n">
        <v>0.070735721584951</v>
      </c>
      <c r="D303" s="215" t="n">
        <v>0.6</v>
      </c>
      <c r="E303" s="215" t="n">
        <v>0.6</v>
      </c>
      <c r="F303" s="215" t="n">
        <v>0.1435</v>
      </c>
      <c r="G303" s="215" t="n">
        <v>0.151</v>
      </c>
      <c r="H303" s="215" t="n">
        <v>0.1585</v>
      </c>
      <c r="I303" s="239" t="n">
        <v>4.033</v>
      </c>
      <c r="J303" s="215" t="n">
        <v>4.038</v>
      </c>
      <c r="K303" s="215" t="n">
        <v>-0.19</v>
      </c>
      <c r="L303" s="215" t="n">
        <v>0.495</v>
      </c>
      <c r="M303" s="215" t="n">
        <v>0.495</v>
      </c>
      <c r="O303" s="211"/>
      <c r="P303" s="260"/>
      <c r="Q303" s="260"/>
      <c r="R303" s="261" t="e">
        <f aca="false">B303</f>
        <v>#VALUE!</v>
      </c>
      <c r="S303" s="262" t="n">
        <f aca="false">T303-$S$16</f>
        <v>0.53</v>
      </c>
      <c r="T303" s="257" t="n">
        <f aca="false">D303</f>
        <v>0.6</v>
      </c>
      <c r="U303" s="263" t="n">
        <f aca="false">$U$16+T303</f>
        <v>0.67</v>
      </c>
      <c r="BP303" s="226" t="n">
        <f aca="false">BP302+BV303</f>
        <v>302</v>
      </c>
      <c r="BQ303" s="227" t="s">
        <v>593</v>
      </c>
      <c r="BR303" s="224" t="s">
        <v>226</v>
      </c>
      <c r="BS303" s="154" t="s">
        <v>227</v>
      </c>
      <c r="BT303" s="230" t="s">
        <v>228</v>
      </c>
      <c r="BU303" s="230"/>
      <c r="BV303" s="154" t="n">
        <v>1</v>
      </c>
      <c r="BW303" s="224" t="s">
        <v>1198</v>
      </c>
      <c r="BX303" s="0"/>
    </row>
    <row r="304" customFormat="false" ht="12.75" hidden="false" customHeight="false" outlineLevel="0" collapsed="false">
      <c r="A304" s="258"/>
      <c r="B304" s="259" t="e">
        <f aca="false">NextMonth(B303)</f>
        <v>#VALUE!</v>
      </c>
      <c r="C304" s="215" t="n">
        <v>0.070723072946225</v>
      </c>
      <c r="D304" s="215" t="n">
        <v>0.6</v>
      </c>
      <c r="E304" s="215" t="n">
        <v>0.6</v>
      </c>
      <c r="F304" s="215" t="n">
        <v>0.1435</v>
      </c>
      <c r="G304" s="215" t="n">
        <v>0.151</v>
      </c>
      <c r="H304" s="215" t="n">
        <v>0.1585</v>
      </c>
      <c r="I304" s="239" t="n">
        <v>3.996</v>
      </c>
      <c r="J304" s="215" t="n">
        <v>4.001</v>
      </c>
      <c r="K304" s="215" t="n">
        <v>-0.186</v>
      </c>
      <c r="L304" s="215" t="n">
        <v>0.395</v>
      </c>
      <c r="M304" s="215" t="n">
        <v>0.395</v>
      </c>
      <c r="O304" s="211"/>
      <c r="P304" s="260"/>
      <c r="Q304" s="260"/>
      <c r="R304" s="261" t="e">
        <f aca="false">B304</f>
        <v>#VALUE!</v>
      </c>
      <c r="S304" s="262" t="n">
        <f aca="false">T304-$S$16</f>
        <v>0.53</v>
      </c>
      <c r="T304" s="257" t="n">
        <f aca="false">D304</f>
        <v>0.6</v>
      </c>
      <c r="U304" s="263" t="n">
        <f aca="false">$U$16+T304</f>
        <v>0.67</v>
      </c>
      <c r="BP304" s="226" t="n">
        <f aca="false">BP303+BV304</f>
        <v>303</v>
      </c>
      <c r="BQ304" s="227" t="s">
        <v>597</v>
      </c>
      <c r="BR304" s="224" t="s">
        <v>226</v>
      </c>
      <c r="BS304" s="154" t="s">
        <v>227</v>
      </c>
      <c r="BT304" s="230" t="s">
        <v>228</v>
      </c>
      <c r="BU304" s="230"/>
      <c r="BV304" s="154" t="n">
        <v>1</v>
      </c>
      <c r="BW304" s="224" t="s">
        <v>1199</v>
      </c>
      <c r="BX304" s="0"/>
    </row>
    <row r="305" customFormat="false" ht="12.75" hidden="false" customHeight="false" outlineLevel="0" collapsed="false">
      <c r="A305" s="258"/>
      <c r="B305" s="259" t="e">
        <f aca="false">NextMonth(B304)</f>
        <v>#VALUE!</v>
      </c>
      <c r="C305" s="215" t="n">
        <v>0.070710832328154</v>
      </c>
      <c r="D305" s="215" t="n">
        <v>0.65</v>
      </c>
      <c r="E305" s="215" t="n">
        <v>0.65</v>
      </c>
      <c r="F305" s="215" t="n">
        <v>0.1435</v>
      </c>
      <c r="G305" s="215" t="n">
        <v>0.151</v>
      </c>
      <c r="H305" s="215" t="n">
        <v>0.1585</v>
      </c>
      <c r="I305" s="239" t="n">
        <v>4.058</v>
      </c>
      <c r="J305" s="215" t="n">
        <v>4.063</v>
      </c>
      <c r="K305" s="215" t="n">
        <v>-0.172</v>
      </c>
      <c r="L305" s="215" t="n">
        <v>0.461</v>
      </c>
      <c r="M305" s="215" t="n">
        <v>0.461</v>
      </c>
      <c r="O305" s="211"/>
      <c r="P305" s="260"/>
      <c r="Q305" s="260"/>
      <c r="R305" s="261" t="e">
        <f aca="false">B305</f>
        <v>#VALUE!</v>
      </c>
      <c r="S305" s="262" t="n">
        <f aca="false">T305-$S$16</f>
        <v>0.58</v>
      </c>
      <c r="T305" s="257" t="n">
        <f aca="false">D305</f>
        <v>0.65</v>
      </c>
      <c r="U305" s="263" t="n">
        <f aca="false">$U$16+T305</f>
        <v>0.72</v>
      </c>
      <c r="BP305" s="226" t="n">
        <f aca="false">BP304+BV305</f>
        <v>304</v>
      </c>
      <c r="BQ305" s="227" t="s">
        <v>601</v>
      </c>
      <c r="BR305" s="224" t="s">
        <v>226</v>
      </c>
      <c r="BS305" s="154" t="s">
        <v>227</v>
      </c>
      <c r="BT305" s="230" t="s">
        <v>228</v>
      </c>
      <c r="BU305" s="230"/>
      <c r="BV305" s="154" t="n">
        <v>1</v>
      </c>
      <c r="BW305" s="224" t="s">
        <v>1200</v>
      </c>
      <c r="BX305" s="0"/>
    </row>
    <row r="306" customFormat="false" ht="12.75" hidden="false" customHeight="false" outlineLevel="0" collapsed="false">
      <c r="A306" s="258"/>
      <c r="B306" s="259" t="e">
        <f aca="false">NextMonth(B305)</f>
        <v>#VALUE!</v>
      </c>
      <c r="C306" s="215" t="n">
        <v>0.070698183689532</v>
      </c>
      <c r="D306" s="215" t="n">
        <v>0.95</v>
      </c>
      <c r="E306" s="215" t="n">
        <v>0.95</v>
      </c>
      <c r="F306" s="215" t="n">
        <v>0.1435</v>
      </c>
      <c r="G306" s="215" t="n">
        <v>0.151</v>
      </c>
      <c r="H306" s="215" t="n">
        <v>0.1585</v>
      </c>
      <c r="I306" s="239" t="n">
        <v>4.2825</v>
      </c>
      <c r="J306" s="215" t="n">
        <v>4.2875</v>
      </c>
      <c r="K306" s="215" t="n">
        <v>-0.172</v>
      </c>
      <c r="L306" s="215" t="n">
        <v>0.885</v>
      </c>
      <c r="M306" s="215" t="n">
        <v>0.885</v>
      </c>
      <c r="O306" s="211"/>
      <c r="P306" s="260"/>
      <c r="Q306" s="260"/>
      <c r="R306" s="261" t="e">
        <f aca="false">B306</f>
        <v>#VALUE!</v>
      </c>
      <c r="S306" s="262" t="n">
        <f aca="false">T306-$S$16</f>
        <v>0.88</v>
      </c>
      <c r="T306" s="257" t="n">
        <f aca="false">D306</f>
        <v>0.95</v>
      </c>
      <c r="U306" s="263" t="n">
        <f aca="false">$U$16+T306</f>
        <v>1.02</v>
      </c>
      <c r="BP306" s="226" t="n">
        <f aca="false">BP305+BV306</f>
        <v>305</v>
      </c>
      <c r="BQ306" s="227" t="s">
        <v>605</v>
      </c>
      <c r="BR306" s="224" t="s">
        <v>226</v>
      </c>
      <c r="BS306" s="154" t="s">
        <v>227</v>
      </c>
      <c r="BT306" s="230" t="s">
        <v>228</v>
      </c>
      <c r="BU306" s="230"/>
      <c r="BV306" s="154" t="n">
        <v>1</v>
      </c>
      <c r="BW306" s="224" t="s">
        <v>1201</v>
      </c>
      <c r="BX306" s="0"/>
    </row>
    <row r="307" customFormat="false" ht="12.75" hidden="false" customHeight="false" outlineLevel="0" collapsed="false">
      <c r="A307" s="258"/>
      <c r="B307" s="259" t="e">
        <f aca="false">NextMonth(B306)</f>
        <v>#VALUE!</v>
      </c>
      <c r="C307" s="215" t="n">
        <v>0.070685943071562</v>
      </c>
      <c r="D307" s="215" t="n">
        <v>1.25</v>
      </c>
      <c r="E307" s="215" t="n">
        <v>1.25</v>
      </c>
      <c r="F307" s="215" t="n">
        <v>0.1435</v>
      </c>
      <c r="G307" s="215" t="n">
        <v>0.151</v>
      </c>
      <c r="H307" s="215" t="n">
        <v>0.1585</v>
      </c>
      <c r="I307" s="239" t="n">
        <v>4.5545</v>
      </c>
      <c r="J307" s="215" t="n">
        <v>4.5595</v>
      </c>
      <c r="K307" s="215" t="n">
        <v>-0.172</v>
      </c>
      <c r="L307" s="215" t="n">
        <v>1.31</v>
      </c>
      <c r="M307" s="215" t="n">
        <v>1.31</v>
      </c>
      <c r="O307" s="211"/>
      <c r="P307" s="260"/>
      <c r="Q307" s="260"/>
      <c r="R307" s="261" t="e">
        <f aca="false">B307</f>
        <v>#VALUE!</v>
      </c>
      <c r="S307" s="262" t="n">
        <f aca="false">T307-$S$16</f>
        <v>1.18</v>
      </c>
      <c r="T307" s="257" t="n">
        <f aca="false">D307</f>
        <v>1.25</v>
      </c>
      <c r="U307" s="263" t="n">
        <f aca="false">$U$16+T307</f>
        <v>1.32</v>
      </c>
      <c r="BP307" s="226" t="n">
        <f aca="false">BP306+BV307</f>
        <v>306</v>
      </c>
      <c r="BQ307" s="227" t="s">
        <v>609</v>
      </c>
      <c r="BR307" s="224" t="s">
        <v>226</v>
      </c>
      <c r="BS307" s="154" t="s">
        <v>227</v>
      </c>
      <c r="BT307" s="230" t="s">
        <v>228</v>
      </c>
      <c r="BU307" s="230"/>
      <c r="BV307" s="154" t="n">
        <v>1</v>
      </c>
      <c r="BW307" s="224" t="s">
        <v>1202</v>
      </c>
      <c r="BX307" s="0"/>
    </row>
    <row r="308" customFormat="false" ht="12.75" hidden="false" customHeight="false" outlineLevel="0" collapsed="false">
      <c r="A308" s="258"/>
      <c r="B308" s="259" t="e">
        <f aca="false">NextMonth(B307)</f>
        <v>#VALUE!</v>
      </c>
      <c r="C308" s="215" t="n">
        <v>0.070673294433044</v>
      </c>
      <c r="D308" s="215" t="n">
        <v>1.45</v>
      </c>
      <c r="E308" s="215" t="n">
        <v>1.45</v>
      </c>
      <c r="F308" s="215" t="n">
        <v>0.1435</v>
      </c>
      <c r="G308" s="215" t="n">
        <v>0.151</v>
      </c>
      <c r="H308" s="215" t="n">
        <v>0.1585</v>
      </c>
      <c r="I308" s="239" t="n">
        <v>-0.005</v>
      </c>
      <c r="J308" s="215" t="n">
        <v>4.597</v>
      </c>
      <c r="K308" s="215" t="n">
        <v>-0.172</v>
      </c>
      <c r="L308" s="215" t="n">
        <v>1.645</v>
      </c>
      <c r="M308" s="215" t="n">
        <v>1.645</v>
      </c>
      <c r="O308" s="211"/>
      <c r="P308" s="260"/>
      <c r="Q308" s="260"/>
      <c r="R308" s="261" t="e">
        <f aca="false">B308</f>
        <v>#VALUE!</v>
      </c>
      <c r="S308" s="262" t="n">
        <f aca="false">T308-$S$16</f>
        <v>1.38</v>
      </c>
      <c r="T308" s="257" t="n">
        <f aca="false">D308</f>
        <v>1.45</v>
      </c>
      <c r="U308" s="263" t="n">
        <f aca="false">$U$16+T308</f>
        <v>1.52</v>
      </c>
      <c r="BP308" s="226" t="n">
        <f aca="false">BP307+BV308</f>
        <v>307</v>
      </c>
      <c r="BQ308" s="227" t="s">
        <v>613</v>
      </c>
      <c r="BR308" s="224" t="s">
        <v>226</v>
      </c>
      <c r="BS308" s="154" t="s">
        <v>227</v>
      </c>
      <c r="BT308" s="230" t="s">
        <v>228</v>
      </c>
      <c r="BU308" s="230"/>
      <c r="BV308" s="154" t="n">
        <v>1</v>
      </c>
      <c r="BW308" s="224" t="s">
        <v>1203</v>
      </c>
      <c r="BX308" s="0"/>
    </row>
    <row r="309" customFormat="false" ht="12.75" hidden="false" customHeight="false" outlineLevel="0" collapsed="false">
      <c r="A309" s="258"/>
      <c r="B309" s="259" t="e">
        <f aca="false">NextMonth(B308)</f>
        <v>#VALUE!</v>
      </c>
      <c r="C309" s="215" t="n">
        <v>0.07066064579458</v>
      </c>
      <c r="D309" s="215" t="n">
        <v>1.45</v>
      </c>
      <c r="E309" s="215" t="n">
        <v>1.45</v>
      </c>
      <c r="F309" s="215" t="n">
        <v>0.1435</v>
      </c>
      <c r="G309" s="215" t="n">
        <v>0.151</v>
      </c>
      <c r="H309" s="215" t="n">
        <v>0.1585</v>
      </c>
      <c r="I309" s="239" t="n">
        <v>5.416</v>
      </c>
      <c r="J309" s="215" t="n">
        <v>5.421</v>
      </c>
      <c r="K309" s="215" t="n">
        <v>-0.172</v>
      </c>
      <c r="L309" s="215" t="n">
        <v>1.595</v>
      </c>
      <c r="M309" s="215" t="n">
        <v>1.595</v>
      </c>
      <c r="O309" s="211"/>
      <c r="P309" s="260"/>
      <c r="Q309" s="260"/>
      <c r="R309" s="261" t="e">
        <f aca="false">B309</f>
        <v>#VALUE!</v>
      </c>
      <c r="S309" s="262" t="n">
        <f aca="false">T309-$S$16</f>
        <v>1.38</v>
      </c>
      <c r="T309" s="257" t="n">
        <f aca="false">D309</f>
        <v>1.45</v>
      </c>
      <c r="U309" s="263" t="n">
        <f aca="false">$U$16+T309</f>
        <v>1.52</v>
      </c>
      <c r="BP309" s="226" t="n">
        <f aca="false">BP308+BV309</f>
        <v>308</v>
      </c>
      <c r="BQ309" s="227" t="s">
        <v>617</v>
      </c>
      <c r="BR309" s="224" t="s">
        <v>226</v>
      </c>
      <c r="BS309" s="154" t="s">
        <v>227</v>
      </c>
      <c r="BT309" s="230" t="s">
        <v>228</v>
      </c>
      <c r="BU309" s="230"/>
      <c r="BV309" s="154" t="n">
        <v>1</v>
      </c>
      <c r="BW309" s="224" t="s">
        <v>1204</v>
      </c>
      <c r="BX309" s="0"/>
    </row>
    <row r="310" customFormat="false" ht="12.75" hidden="false" customHeight="false" outlineLevel="0" collapsed="false">
      <c r="A310" s="258"/>
      <c r="B310" s="259" t="e">
        <f aca="false">NextMonth(B309)</f>
        <v>#VALUE!</v>
      </c>
      <c r="C310" s="215" t="n">
        <v>0.070649221217947</v>
      </c>
      <c r="D310" s="215" t="n">
        <v>1</v>
      </c>
      <c r="E310" s="215" t="n">
        <v>1</v>
      </c>
      <c r="F310" s="215" t="n">
        <v>0.1435</v>
      </c>
      <c r="G310" s="215" t="n">
        <v>0.151</v>
      </c>
      <c r="H310" s="215" t="n">
        <v>0.1585</v>
      </c>
      <c r="I310" s="239" t="n">
        <v>5.416</v>
      </c>
      <c r="J310" s="215" t="n">
        <v>5.421</v>
      </c>
      <c r="K310" s="215" t="n">
        <v>-0.172</v>
      </c>
      <c r="L310" s="215" t="n">
        <v>0.965</v>
      </c>
      <c r="M310" s="215" t="n">
        <v>0.965</v>
      </c>
      <c r="O310" s="211"/>
      <c r="P310" s="260"/>
      <c r="Q310" s="260"/>
      <c r="R310" s="261" t="e">
        <f aca="false">B310</f>
        <v>#VALUE!</v>
      </c>
      <c r="S310" s="262" t="n">
        <f aca="false">T310-$S$16</f>
        <v>0.93</v>
      </c>
      <c r="T310" s="257" t="n">
        <f aca="false">D310</f>
        <v>1</v>
      </c>
      <c r="U310" s="263" t="n">
        <f aca="false">$U$16+T310</f>
        <v>1.07</v>
      </c>
      <c r="BP310" s="226" t="n">
        <f aca="false">BP309+BV310</f>
        <v>309</v>
      </c>
      <c r="BQ310" s="227" t="s">
        <v>621</v>
      </c>
      <c r="BR310" s="224" t="s">
        <v>226</v>
      </c>
      <c r="BS310" s="154" t="s">
        <v>227</v>
      </c>
      <c r="BT310" s="230" t="s">
        <v>228</v>
      </c>
      <c r="BU310" s="230"/>
      <c r="BV310" s="154" t="n">
        <v>1</v>
      </c>
      <c r="BW310" s="224" t="s">
        <v>1205</v>
      </c>
      <c r="BX310" s="0"/>
    </row>
    <row r="311" customFormat="false" ht="12.75" hidden="false" customHeight="false" outlineLevel="0" collapsed="false">
      <c r="A311" s="258"/>
      <c r="B311" s="259" t="e">
        <f aca="false">NextMonth(B310)</f>
        <v>#VALUE!</v>
      </c>
      <c r="C311" s="215" t="n">
        <v>0.070636572579584</v>
      </c>
      <c r="D311" s="215" t="n">
        <v>0.45</v>
      </c>
      <c r="E311" s="215" t="n">
        <v>0.45</v>
      </c>
      <c r="F311" s="215" t="n">
        <v>0.1435</v>
      </c>
      <c r="G311" s="215" t="n">
        <v>0.151</v>
      </c>
      <c r="H311" s="215" t="n">
        <v>0.1585</v>
      </c>
      <c r="I311" s="239"/>
      <c r="K311" s="271"/>
      <c r="L311" s="215" t="n">
        <v>0.45</v>
      </c>
      <c r="M311" s="215" t="n">
        <v>0.45</v>
      </c>
      <c r="R311" s="261" t="e">
        <f aca="false">EOMONTH(R310,0)+1</f>
        <v>#VALUE!</v>
      </c>
      <c r="BP311" s="226" t="n">
        <f aca="false">BP310+BV311</f>
        <v>310</v>
      </c>
      <c r="BQ311" s="227" t="s">
        <v>625</v>
      </c>
      <c r="BR311" s="224" t="s">
        <v>226</v>
      </c>
      <c r="BS311" s="154" t="s">
        <v>227</v>
      </c>
      <c r="BT311" s="230" t="s">
        <v>228</v>
      </c>
      <c r="BU311" s="230"/>
      <c r="BV311" s="154" t="n">
        <v>1</v>
      </c>
      <c r="BW311" s="224" t="s">
        <v>1206</v>
      </c>
      <c r="BX311" s="0"/>
    </row>
    <row r="312" customFormat="false" ht="12.75" hidden="false" customHeight="false" outlineLevel="0" collapsed="false">
      <c r="A312" s="258"/>
      <c r="B312" s="259" t="e">
        <f aca="false">NextMonth(B311)</f>
        <v>#VALUE!</v>
      </c>
      <c r="C312" s="215" t="n">
        <v>0.070624331961862</v>
      </c>
      <c r="D312" s="215" t="n">
        <v>0.5</v>
      </c>
      <c r="E312" s="215" t="n">
        <v>0.5</v>
      </c>
      <c r="F312" s="215" t="n">
        <v>0.1435</v>
      </c>
      <c r="G312" s="215" t="n">
        <v>0.151</v>
      </c>
      <c r="H312" s="215" t="n">
        <v>0.1585</v>
      </c>
      <c r="I312" s="239"/>
      <c r="K312" s="271"/>
      <c r="L312" s="215" t="n">
        <v>0.405</v>
      </c>
      <c r="M312" s="215" t="n">
        <v>0.405</v>
      </c>
      <c r="R312" s="261" t="e">
        <f aca="false">EOMONTH(R311,0)+1</f>
        <v>#VALUE!</v>
      </c>
      <c r="BP312" s="226" t="n">
        <f aca="false">BP311+BV312</f>
        <v>311</v>
      </c>
      <c r="BQ312" s="227" t="s">
        <v>629</v>
      </c>
      <c r="BR312" s="224" t="s">
        <v>226</v>
      </c>
      <c r="BS312" s="154" t="s">
        <v>227</v>
      </c>
      <c r="BT312" s="230" t="s">
        <v>228</v>
      </c>
      <c r="BU312" s="230"/>
      <c r="BV312" s="154" t="n">
        <v>1</v>
      </c>
      <c r="BW312" s="224" t="s">
        <v>1207</v>
      </c>
      <c r="BX312" s="0"/>
    </row>
    <row r="313" customFormat="false" ht="12.75" hidden="false" customHeight="false" outlineLevel="0" collapsed="false">
      <c r="A313" s="258"/>
      <c r="B313" s="259" t="e">
        <f aca="false">NextMonth(B312)</f>
        <v>#VALUE!</v>
      </c>
      <c r="C313" s="215" t="n">
        <v>0.070611683323602</v>
      </c>
      <c r="D313" s="215" t="n">
        <v>0.5</v>
      </c>
      <c r="E313" s="215" t="n">
        <v>0.5</v>
      </c>
      <c r="F313" s="215" t="n">
        <v>0.1435</v>
      </c>
      <c r="G313" s="215" t="n">
        <v>0.151</v>
      </c>
      <c r="H313" s="215" t="n">
        <v>0.1585</v>
      </c>
      <c r="I313" s="239"/>
      <c r="K313" s="271"/>
      <c r="L313" s="215" t="n">
        <v>0.395</v>
      </c>
      <c r="M313" s="215" t="n">
        <v>0.395</v>
      </c>
      <c r="R313" s="261" t="e">
        <f aca="false">EOMONTH(R312,0)+1</f>
        <v>#VALUE!</v>
      </c>
      <c r="BP313" s="226" t="n">
        <f aca="false">BP312+BV313</f>
        <v>312</v>
      </c>
      <c r="BQ313" s="227" t="s">
        <v>633</v>
      </c>
      <c r="BR313" s="224" t="s">
        <v>226</v>
      </c>
      <c r="BS313" s="154" t="s">
        <v>227</v>
      </c>
      <c r="BT313" s="230" t="s">
        <v>228</v>
      </c>
      <c r="BU313" s="230"/>
      <c r="BV313" s="154" t="n">
        <v>1</v>
      </c>
      <c r="BW313" s="224" t="s">
        <v>1208</v>
      </c>
      <c r="BX313" s="0"/>
    </row>
    <row r="314" customFormat="false" ht="12.75" hidden="false" customHeight="false" outlineLevel="0" collapsed="false">
      <c r="A314" s="258"/>
      <c r="B314" s="259" t="e">
        <f aca="false">NextMonth(B313)</f>
        <v>#VALUE!</v>
      </c>
      <c r="C314" s="215" t="n">
        <v>0.070599442705982</v>
      </c>
      <c r="D314" s="215" t="n">
        <v>0.5</v>
      </c>
      <c r="E314" s="215" t="n">
        <v>0.5</v>
      </c>
      <c r="F314" s="215" t="n">
        <v>0.1435</v>
      </c>
      <c r="G314" s="215" t="n">
        <v>0.151</v>
      </c>
      <c r="H314" s="215" t="n">
        <v>0.1585</v>
      </c>
      <c r="I314" s="239"/>
      <c r="K314" s="271"/>
      <c r="L314" s="215" t="n">
        <v>0.43</v>
      </c>
      <c r="M314" s="215" t="n">
        <v>0.43</v>
      </c>
      <c r="R314" s="261" t="e">
        <f aca="false">EOMONTH(R313,0)+1</f>
        <v>#VALUE!</v>
      </c>
      <c r="BP314" s="226" t="n">
        <f aca="false">BP313+BV314</f>
        <v>313</v>
      </c>
      <c r="BQ314" s="227" t="s">
        <v>637</v>
      </c>
      <c r="BR314" s="224" t="s">
        <v>226</v>
      </c>
      <c r="BS314" s="154" t="s">
        <v>227</v>
      </c>
      <c r="BT314" s="230" t="s">
        <v>228</v>
      </c>
      <c r="BU314" s="230"/>
      <c r="BV314" s="154" t="n">
        <v>1</v>
      </c>
      <c r="BW314" s="224" t="s">
        <v>1209</v>
      </c>
      <c r="BX314" s="0"/>
    </row>
    <row r="315" customFormat="false" ht="12.75" hidden="false" customHeight="false" outlineLevel="0" collapsed="false">
      <c r="A315" s="258"/>
      <c r="B315" s="259" t="e">
        <f aca="false">NextMonth(B314)</f>
        <v>#VALUE!</v>
      </c>
      <c r="C315" s="215" t="n">
        <v>0.070586794067826</v>
      </c>
      <c r="D315" s="215" t="n">
        <v>0.6</v>
      </c>
      <c r="E315" s="215" t="n">
        <v>0.6</v>
      </c>
      <c r="F315" s="215" t="n">
        <v>0.1435</v>
      </c>
      <c r="G315" s="215" t="n">
        <v>0.151</v>
      </c>
      <c r="H315" s="215" t="n">
        <v>0.1585</v>
      </c>
      <c r="I315" s="239"/>
      <c r="K315" s="271"/>
      <c r="L315" s="215" t="n">
        <v>0.495</v>
      </c>
      <c r="M315" s="215" t="n">
        <v>0.495</v>
      </c>
      <c r="R315" s="261" t="e">
        <f aca="false">EOMONTH(R314,0)+1</f>
        <v>#VALUE!</v>
      </c>
      <c r="BP315" s="226" t="n">
        <f aca="false">BP314+BV315</f>
        <v>314</v>
      </c>
      <c r="BQ315" s="227" t="s">
        <v>641</v>
      </c>
      <c r="BR315" s="224" t="s">
        <v>226</v>
      </c>
      <c r="BS315" s="154" t="s">
        <v>227</v>
      </c>
      <c r="BT315" s="230" t="s">
        <v>228</v>
      </c>
      <c r="BU315" s="230"/>
      <c r="BV315" s="154" t="n">
        <v>1</v>
      </c>
      <c r="BW315" s="224" t="s">
        <v>1210</v>
      </c>
      <c r="BX315" s="0"/>
    </row>
    <row r="316" customFormat="false" ht="12.75" hidden="false" customHeight="false" outlineLevel="0" collapsed="false">
      <c r="A316" s="258"/>
      <c r="B316" s="259" t="e">
        <f aca="false">NextMonth(B315)</f>
        <v>#VALUE!</v>
      </c>
      <c r="C316" s="215" t="n">
        <v>0.070574145429723</v>
      </c>
      <c r="D316" s="215" t="n">
        <v>0.6</v>
      </c>
      <c r="E316" s="215" t="n">
        <v>0.6</v>
      </c>
      <c r="F316" s="215" t="n">
        <v>0.1435</v>
      </c>
      <c r="G316" s="215" t="n">
        <v>0.151</v>
      </c>
      <c r="H316" s="215" t="n">
        <v>0.1585</v>
      </c>
      <c r="I316" s="239"/>
      <c r="K316" s="271"/>
      <c r="L316" s="215" t="n">
        <v>0.395</v>
      </c>
      <c r="M316" s="215" t="n">
        <v>0.395</v>
      </c>
      <c r="R316" s="261" t="e">
        <f aca="false">EOMONTH(R315,0)+1</f>
        <v>#VALUE!</v>
      </c>
      <c r="BP316" s="226" t="n">
        <f aca="false">BP315+BV316</f>
        <v>315</v>
      </c>
      <c r="BQ316" s="227" t="s">
        <v>645</v>
      </c>
      <c r="BR316" s="224" t="s">
        <v>226</v>
      </c>
      <c r="BS316" s="154" t="s">
        <v>227</v>
      </c>
      <c r="BT316" s="230" t="s">
        <v>228</v>
      </c>
      <c r="BU316" s="230"/>
      <c r="BV316" s="154" t="n">
        <v>1</v>
      </c>
      <c r="BW316" s="224" t="s">
        <v>1211</v>
      </c>
      <c r="BX316" s="0"/>
    </row>
    <row r="317" customFormat="false" ht="12.75" hidden="false" customHeight="false" outlineLevel="0" collapsed="false">
      <c r="A317" s="258"/>
      <c r="B317" s="259" t="e">
        <f aca="false">NextMonth(B316)</f>
        <v>#VALUE!</v>
      </c>
      <c r="C317" s="215" t="n">
        <v>0.070561904812254</v>
      </c>
      <c r="D317" s="215" t="n">
        <v>0.65</v>
      </c>
      <c r="E317" s="215" t="n">
        <v>0.65</v>
      </c>
      <c r="F317" s="215" t="n">
        <v>0.1435</v>
      </c>
      <c r="G317" s="215" t="n">
        <v>0.151</v>
      </c>
      <c r="H317" s="215" t="n">
        <v>0.1585</v>
      </c>
      <c r="I317" s="239"/>
      <c r="K317" s="271"/>
      <c r="L317" s="215" t="n">
        <v>0.461</v>
      </c>
      <c r="M317" s="215" t="n">
        <v>0.461</v>
      </c>
      <c r="R317" s="261" t="e">
        <f aca="false">EOMONTH(R316,0)+1</f>
        <v>#VALUE!</v>
      </c>
      <c r="BP317" s="226" t="n">
        <f aca="false">BP316+BV317</f>
        <v>316</v>
      </c>
      <c r="BQ317" s="227" t="s">
        <v>649</v>
      </c>
      <c r="BR317" s="224" t="s">
        <v>226</v>
      </c>
      <c r="BS317" s="154" t="s">
        <v>227</v>
      </c>
      <c r="BT317" s="230" t="s">
        <v>228</v>
      </c>
      <c r="BU317" s="230"/>
      <c r="BV317" s="154" t="n">
        <v>1</v>
      </c>
      <c r="BW317" s="224" t="s">
        <v>1212</v>
      </c>
      <c r="BX317" s="0"/>
    </row>
    <row r="318" customFormat="false" ht="12.75" hidden="false" customHeight="false" outlineLevel="0" collapsed="false">
      <c r="A318" s="258"/>
      <c r="B318" s="259" t="e">
        <f aca="false">NextMonth(B317)</f>
        <v>#VALUE!</v>
      </c>
      <c r="C318" s="215" t="n">
        <v>0.070549256174255</v>
      </c>
      <c r="D318" s="215" t="n">
        <v>0.95</v>
      </c>
      <c r="E318" s="215" t="n">
        <v>0.95</v>
      </c>
      <c r="F318" s="215" t="n">
        <v>0.1435</v>
      </c>
      <c r="G318" s="215" t="n">
        <v>0.151</v>
      </c>
      <c r="H318" s="215" t="n">
        <v>0.1585</v>
      </c>
      <c r="I318" s="239"/>
      <c r="K318" s="271"/>
      <c r="L318" s="215" t="n">
        <v>0.885</v>
      </c>
      <c r="M318" s="215" t="n">
        <v>0.885</v>
      </c>
      <c r="R318" s="261" t="e">
        <f aca="false">EOMONTH(R317,0)+1</f>
        <v>#VALUE!</v>
      </c>
      <c r="BP318" s="226" t="n">
        <f aca="false">BP317+BV318</f>
        <v>317</v>
      </c>
      <c r="BQ318" s="227" t="s">
        <v>653</v>
      </c>
      <c r="BR318" s="224" t="s">
        <v>226</v>
      </c>
      <c r="BS318" s="154" t="s">
        <v>227</v>
      </c>
      <c r="BT318" s="230" t="s">
        <v>228</v>
      </c>
      <c r="BU318" s="230"/>
      <c r="BV318" s="154" t="n">
        <v>1</v>
      </c>
      <c r="BW318" s="224" t="s">
        <v>1213</v>
      </c>
      <c r="BX318" s="0"/>
    </row>
    <row r="319" customFormat="false" ht="12.75" hidden="false" customHeight="false" outlineLevel="0" collapsed="false">
      <c r="A319" s="258"/>
      <c r="B319" s="259" t="e">
        <f aca="false">NextMonth(B318)</f>
        <v>#VALUE!</v>
      </c>
      <c r="C319" s="215" t="n">
        <v>0.070537015556887</v>
      </c>
      <c r="D319" s="215" t="n">
        <v>1.25</v>
      </c>
      <c r="E319" s="215" t="n">
        <v>1.25</v>
      </c>
      <c r="F319" s="215" t="n">
        <v>0.1435</v>
      </c>
      <c r="G319" s="215" t="n">
        <v>0.151</v>
      </c>
      <c r="H319" s="215" t="n">
        <v>0.1585</v>
      </c>
      <c r="I319" s="239"/>
      <c r="K319" s="271"/>
      <c r="L319" s="215" t="n">
        <v>1.31</v>
      </c>
      <c r="M319" s="215" t="n">
        <v>1.31</v>
      </c>
      <c r="R319" s="261" t="e">
        <f aca="false">EOMONTH(R318,0)+1</f>
        <v>#VALUE!</v>
      </c>
      <c r="BP319" s="226" t="n">
        <f aca="false">BP318+BV319</f>
        <v>318</v>
      </c>
      <c r="BQ319" s="227" t="s">
        <v>657</v>
      </c>
      <c r="BR319" s="224" t="s">
        <v>226</v>
      </c>
      <c r="BS319" s="154" t="s">
        <v>227</v>
      </c>
      <c r="BT319" s="230" t="s">
        <v>228</v>
      </c>
      <c r="BU319" s="230"/>
      <c r="BV319" s="154" t="n">
        <v>1</v>
      </c>
      <c r="BW319" s="224" t="s">
        <v>1214</v>
      </c>
      <c r="BX319" s="0"/>
    </row>
    <row r="320" customFormat="false" ht="12.75" hidden="false" customHeight="false" outlineLevel="0" collapsed="false">
      <c r="A320" s="258"/>
      <c r="B320" s="259" t="e">
        <f aca="false">NextMonth(B319)</f>
        <v>#VALUE!</v>
      </c>
      <c r="C320" s="215" t="n">
        <v>0.070524366919</v>
      </c>
      <c r="D320" s="215" t="n">
        <v>1.45</v>
      </c>
      <c r="E320" s="215" t="n">
        <v>1.45</v>
      </c>
      <c r="F320" s="215" t="n">
        <v>0.1435</v>
      </c>
      <c r="G320" s="215" t="n">
        <v>0.151</v>
      </c>
      <c r="H320" s="215" t="n">
        <v>0.1585</v>
      </c>
      <c r="I320" s="239"/>
      <c r="K320" s="271"/>
      <c r="L320" s="215" t="n">
        <v>1.645</v>
      </c>
      <c r="M320" s="215" t="n">
        <v>1.645</v>
      </c>
      <c r="R320" s="261" t="e">
        <f aca="false">EOMONTH(R319,0)+1</f>
        <v>#VALUE!</v>
      </c>
      <c r="BP320" s="226" t="n">
        <f aca="false">BP319+BV320</f>
        <v>319</v>
      </c>
      <c r="BQ320" s="227" t="s">
        <v>661</v>
      </c>
      <c r="BR320" s="224" t="s">
        <v>226</v>
      </c>
      <c r="BS320" s="154" t="s">
        <v>227</v>
      </c>
      <c r="BT320" s="230" t="s">
        <v>228</v>
      </c>
      <c r="BU320" s="230"/>
      <c r="BV320" s="154" t="n">
        <v>1</v>
      </c>
      <c r="BW320" s="224" t="s">
        <v>1215</v>
      </c>
      <c r="BX320" s="0"/>
    </row>
    <row r="321" customFormat="false" ht="12.75" hidden="false" customHeight="false" outlineLevel="0" collapsed="false">
      <c r="A321" s="258"/>
      <c r="B321" s="259" t="e">
        <f aca="false">NextMonth(B320)</f>
        <v>#VALUE!</v>
      </c>
      <c r="C321" s="215" t="n">
        <v>0.07051171828115</v>
      </c>
      <c r="D321" s="215" t="n">
        <v>1.45</v>
      </c>
      <c r="E321" s="215" t="n">
        <v>1.45</v>
      </c>
      <c r="F321" s="215" t="n">
        <v>0.1435</v>
      </c>
      <c r="G321" s="215" t="n">
        <v>0.151</v>
      </c>
      <c r="H321" s="215" t="n">
        <v>0.1585</v>
      </c>
      <c r="I321" s="239"/>
      <c r="K321" s="271"/>
      <c r="L321" s="215" t="n">
        <v>1.595</v>
      </c>
      <c r="M321" s="215" t="n">
        <v>1.595</v>
      </c>
      <c r="R321" s="261" t="e">
        <f aca="false">EOMONTH(R320,0)+1</f>
        <v>#VALUE!</v>
      </c>
      <c r="BP321" s="226" t="n">
        <f aca="false">BP320+BV321</f>
        <v>320</v>
      </c>
      <c r="BQ321" s="227" t="s">
        <v>665</v>
      </c>
      <c r="BR321" s="224" t="s">
        <v>226</v>
      </c>
      <c r="BS321" s="154" t="s">
        <v>227</v>
      </c>
      <c r="BT321" s="230" t="s">
        <v>228</v>
      </c>
      <c r="BU321" s="230"/>
      <c r="BV321" s="154" t="n">
        <v>1</v>
      </c>
      <c r="BW321" s="224" t="s">
        <v>1216</v>
      </c>
      <c r="BX321" s="0"/>
    </row>
    <row r="322" customFormat="false" ht="12.75" hidden="false" customHeight="false" outlineLevel="0" collapsed="false">
      <c r="A322" s="258"/>
      <c r="B322" s="259" t="e">
        <f aca="false">NextMonth(B321)</f>
        <v>#VALUE!</v>
      </c>
      <c r="C322" s="215" t="n">
        <v>0.070500293705081</v>
      </c>
      <c r="D322" s="215" t="n">
        <v>1</v>
      </c>
      <c r="E322" s="215" t="n">
        <v>1</v>
      </c>
      <c r="I322" s="239"/>
      <c r="K322" s="271"/>
      <c r="L322" s="215" t="n">
        <v>0.965</v>
      </c>
      <c r="M322" s="215" t="n">
        <v>0.965</v>
      </c>
      <c r="R322" s="261" t="e">
        <f aca="false">EOMONTH(R321,0)+1</f>
        <v>#VALUE!</v>
      </c>
      <c r="BP322" s="226" t="n">
        <f aca="false">BP321+BV322</f>
        <v>321</v>
      </c>
      <c r="BQ322" s="227" t="s">
        <v>669</v>
      </c>
      <c r="BR322" s="224" t="s">
        <v>226</v>
      </c>
      <c r="BS322" s="154" t="s">
        <v>227</v>
      </c>
      <c r="BT322" s="230" t="s">
        <v>228</v>
      </c>
      <c r="BU322" s="230"/>
      <c r="BV322" s="154" t="n">
        <v>1</v>
      </c>
      <c r="BW322" s="224" t="s">
        <v>1217</v>
      </c>
      <c r="BX322" s="0"/>
    </row>
    <row r="323" customFormat="false" ht="12.75" hidden="false" customHeight="false" outlineLevel="0" collapsed="false">
      <c r="A323" s="258"/>
      <c r="B323" s="259" t="e">
        <f aca="false">NextMonth(B322)</f>
        <v>#VALUE!</v>
      </c>
      <c r="C323" s="215" t="n">
        <v>0.070487645067339</v>
      </c>
      <c r="D323" s="215" t="n">
        <v>0.45</v>
      </c>
      <c r="E323" s="215" t="n">
        <v>0.45</v>
      </c>
      <c r="I323" s="239"/>
      <c r="K323" s="271"/>
      <c r="L323" s="215" t="n">
        <v>0.45</v>
      </c>
      <c r="M323" s="215" t="n">
        <v>0.45</v>
      </c>
      <c r="R323" s="261" t="e">
        <f aca="false">EOMONTH(R322,0)+1</f>
        <v>#VALUE!</v>
      </c>
      <c r="BP323" s="226" t="n">
        <f aca="false">BP322+BV323</f>
        <v>322</v>
      </c>
      <c r="BQ323" s="227" t="s">
        <v>673</v>
      </c>
      <c r="BR323" s="224" t="s">
        <v>226</v>
      </c>
      <c r="BS323" s="154" t="s">
        <v>227</v>
      </c>
      <c r="BT323" s="230" t="s">
        <v>228</v>
      </c>
      <c r="BU323" s="230"/>
      <c r="BV323" s="154" t="n">
        <v>1</v>
      </c>
      <c r="BW323" s="224" t="s">
        <v>1218</v>
      </c>
      <c r="BX323" s="0"/>
    </row>
    <row r="324" customFormat="false" ht="12.75" hidden="false" customHeight="false" outlineLevel="0" collapsed="false">
      <c r="A324" s="258"/>
      <c r="B324" s="259" t="e">
        <f aca="false">NextMonth(B323)</f>
        <v>#VALUE!</v>
      </c>
      <c r="C324" s="215" t="n">
        <v>0.07047540445022</v>
      </c>
      <c r="D324" s="215" t="n">
        <v>0.5</v>
      </c>
      <c r="E324" s="215" t="n">
        <v>0.5</v>
      </c>
      <c r="I324" s="239"/>
      <c r="K324" s="271"/>
      <c r="L324" s="215" t="n">
        <v>0.405</v>
      </c>
      <c r="M324" s="215" t="n">
        <v>0.405</v>
      </c>
      <c r="R324" s="261" t="e">
        <f aca="false">EOMONTH(R323,0)+1</f>
        <v>#VALUE!</v>
      </c>
      <c r="BP324" s="226" t="n">
        <f aca="false">BP323+BV324</f>
        <v>323</v>
      </c>
      <c r="BQ324" s="227" t="s">
        <v>677</v>
      </c>
      <c r="BR324" s="224" t="s">
        <v>226</v>
      </c>
      <c r="BS324" s="154" t="s">
        <v>227</v>
      </c>
      <c r="BT324" s="230" t="s">
        <v>228</v>
      </c>
      <c r="BU324" s="230"/>
      <c r="BV324" s="154" t="n">
        <v>1</v>
      </c>
      <c r="BW324" s="224" t="s">
        <v>1219</v>
      </c>
      <c r="BX324" s="0"/>
    </row>
    <row r="325" customFormat="false" ht="12.75" hidden="false" customHeight="false" outlineLevel="0" collapsed="false">
      <c r="A325" s="258"/>
      <c r="B325" s="259" t="e">
        <f aca="false">NextMonth(B324)</f>
        <v>#VALUE!</v>
      </c>
      <c r="C325" s="215" t="n">
        <v>0.070462755812584</v>
      </c>
      <c r="D325" s="215" t="n">
        <v>0.5</v>
      </c>
      <c r="E325" s="215" t="n">
        <v>0.5</v>
      </c>
      <c r="I325" s="239"/>
      <c r="K325" s="271"/>
      <c r="L325" s="215" t="n">
        <v>0.395</v>
      </c>
      <c r="M325" s="215" t="n">
        <v>0.395</v>
      </c>
      <c r="R325" s="261" t="e">
        <f aca="false">EOMONTH(R324,0)+1</f>
        <v>#VALUE!</v>
      </c>
      <c r="BP325" s="226" t="n">
        <f aca="false">BP324+BV325</f>
        <v>324</v>
      </c>
      <c r="BQ325" s="227" t="s">
        <v>681</v>
      </c>
      <c r="BR325" s="224" t="s">
        <v>226</v>
      </c>
      <c r="BS325" s="154" t="s">
        <v>227</v>
      </c>
      <c r="BT325" s="230" t="s">
        <v>228</v>
      </c>
      <c r="BU325" s="230"/>
      <c r="BV325" s="154" t="n">
        <v>1</v>
      </c>
      <c r="BW325" s="224" t="s">
        <v>1220</v>
      </c>
      <c r="BX325" s="0"/>
    </row>
    <row r="326" customFormat="false" ht="12.75" hidden="false" customHeight="false" outlineLevel="0" collapsed="false">
      <c r="A326" s="258"/>
      <c r="B326" s="259" t="e">
        <f aca="false">NextMonth(B325)</f>
        <v>#VALUE!</v>
      </c>
      <c r="C326" s="215" t="n">
        <v>0.070450515195565</v>
      </c>
      <c r="D326" s="215" t="n">
        <v>0.5</v>
      </c>
      <c r="E326" s="215" t="n">
        <v>0.5</v>
      </c>
      <c r="I326" s="239"/>
      <c r="K326" s="271"/>
      <c r="L326" s="215" t="n">
        <v>0.43</v>
      </c>
      <c r="M326" s="215" t="n">
        <v>0.43</v>
      </c>
      <c r="R326" s="261" t="e">
        <f aca="false">EOMONTH(R325,0)+1</f>
        <v>#VALUE!</v>
      </c>
      <c r="BP326" s="226" t="n">
        <f aca="false">BP325+BV326</f>
        <v>325</v>
      </c>
      <c r="BQ326" s="227" t="s">
        <v>685</v>
      </c>
      <c r="BR326" s="224" t="s">
        <v>226</v>
      </c>
      <c r="BS326" s="154" t="s">
        <v>227</v>
      </c>
      <c r="BT326" s="230" t="s">
        <v>228</v>
      </c>
      <c r="BU326" s="230"/>
      <c r="BV326" s="154" t="n">
        <v>1</v>
      </c>
      <c r="BW326" s="224" t="s">
        <v>1221</v>
      </c>
      <c r="BX326" s="0"/>
    </row>
    <row r="327" customFormat="false" ht="12.75" hidden="false" customHeight="false" outlineLevel="0" collapsed="false">
      <c r="A327" s="258"/>
      <c r="B327" s="259" t="e">
        <f aca="false">NextMonth(B326)</f>
        <v>#VALUE!</v>
      </c>
      <c r="C327" s="215" t="n">
        <v>0.070437866558032</v>
      </c>
      <c r="D327" s="215" t="n">
        <v>0.6</v>
      </c>
      <c r="E327" s="215" t="n">
        <v>0.6</v>
      </c>
      <c r="I327" s="239"/>
      <c r="K327" s="271"/>
      <c r="L327" s="215" t="n">
        <v>0.495</v>
      </c>
      <c r="M327" s="215" t="n">
        <v>0.495</v>
      </c>
      <c r="R327" s="261" t="e">
        <f aca="false">EOMONTH(R326,0)+1</f>
        <v>#VALUE!</v>
      </c>
      <c r="BP327" s="226" t="n">
        <f aca="false">BP326+BV327</f>
        <v>326</v>
      </c>
      <c r="BQ327" s="227" t="s">
        <v>689</v>
      </c>
      <c r="BR327" s="224" t="s">
        <v>226</v>
      </c>
      <c r="BS327" s="154" t="s">
        <v>227</v>
      </c>
      <c r="BT327" s="230" t="s">
        <v>228</v>
      </c>
      <c r="BU327" s="230"/>
      <c r="BV327" s="154" t="n">
        <v>1</v>
      </c>
      <c r="BW327" s="224" t="s">
        <v>1222</v>
      </c>
      <c r="BX327" s="0"/>
    </row>
    <row r="328" customFormat="false" ht="12.75" hidden="false" customHeight="false" outlineLevel="0" collapsed="false">
      <c r="A328" s="258"/>
      <c r="B328" s="259" t="e">
        <f aca="false">NextMonth(B327)</f>
        <v>#VALUE!</v>
      </c>
      <c r="C328" s="215" t="n">
        <v>0.070425217920552</v>
      </c>
      <c r="D328" s="215" t="n">
        <v>0.6</v>
      </c>
      <c r="E328" s="215" t="n">
        <v>0.6</v>
      </c>
      <c r="I328" s="239"/>
      <c r="K328" s="271"/>
      <c r="L328" s="215" t="n">
        <v>0.395</v>
      </c>
      <c r="M328" s="215" t="n">
        <v>0.395</v>
      </c>
      <c r="R328" s="261" t="e">
        <f aca="false">EOMONTH(R327,0)+1</f>
        <v>#VALUE!</v>
      </c>
      <c r="BP328" s="226" t="n">
        <f aca="false">BP327+BV328</f>
        <v>327</v>
      </c>
      <c r="BQ328" s="227" t="s">
        <v>693</v>
      </c>
      <c r="BR328" s="224" t="s">
        <v>226</v>
      </c>
      <c r="BS328" s="154" t="s">
        <v>227</v>
      </c>
      <c r="BT328" s="230" t="s">
        <v>228</v>
      </c>
      <c r="BU328" s="230"/>
      <c r="BV328" s="154" t="n">
        <v>1</v>
      </c>
      <c r="BW328" s="224" t="s">
        <v>1223</v>
      </c>
      <c r="BX328" s="0"/>
    </row>
    <row r="329" customFormat="false" ht="12.75" hidden="false" customHeight="false" outlineLevel="0" collapsed="false">
      <c r="A329" s="258"/>
      <c r="B329" s="259" t="e">
        <f aca="false">NextMonth(B328)</f>
        <v>#VALUE!</v>
      </c>
      <c r="C329" s="215" t="n">
        <v>0.070412977303686</v>
      </c>
      <c r="D329" s="215" t="n">
        <v>0.65</v>
      </c>
      <c r="E329" s="215" t="n">
        <v>0.65</v>
      </c>
      <c r="I329" s="239"/>
      <c r="K329" s="271"/>
      <c r="L329" s="215" t="n">
        <v>0.461</v>
      </c>
      <c r="M329" s="215" t="n">
        <v>0.461</v>
      </c>
      <c r="R329" s="261" t="e">
        <f aca="false">EOMONTH(R328,0)+1</f>
        <v>#VALUE!</v>
      </c>
      <c r="BP329" s="226" t="n">
        <f aca="false">BP328+BV329</f>
        <v>328</v>
      </c>
      <c r="BQ329" s="227" t="s">
        <v>696</v>
      </c>
      <c r="BR329" s="224" t="s">
        <v>226</v>
      </c>
      <c r="BS329" s="154" t="s">
        <v>227</v>
      </c>
      <c r="BT329" s="230" t="s">
        <v>228</v>
      </c>
      <c r="BU329" s="230"/>
      <c r="BV329" s="154" t="n">
        <v>1</v>
      </c>
      <c r="BW329" s="224" t="s">
        <v>1224</v>
      </c>
      <c r="BX329" s="0"/>
    </row>
    <row r="330" customFormat="false" ht="12.75" hidden="false" customHeight="false" outlineLevel="0" collapsed="false">
      <c r="A330" s="258"/>
      <c r="B330" s="259" t="e">
        <f aca="false">NextMonth(B329)</f>
        <v>#VALUE!</v>
      </c>
      <c r="C330" s="215" t="n">
        <v>0.07040032866631</v>
      </c>
      <c r="D330" s="215" t="n">
        <v>0.95</v>
      </c>
      <c r="E330" s="215" t="n">
        <v>0.95</v>
      </c>
      <c r="I330" s="239"/>
      <c r="K330" s="271"/>
      <c r="L330" s="215" t="n">
        <v>0.885</v>
      </c>
      <c r="M330" s="215" t="n">
        <v>0.885</v>
      </c>
      <c r="R330" s="261" t="e">
        <f aca="false">EOMONTH(R329,0)+1</f>
        <v>#VALUE!</v>
      </c>
      <c r="BP330" s="226" t="n">
        <f aca="false">BP329+BV330</f>
        <v>329</v>
      </c>
      <c r="BQ330" s="227" t="s">
        <v>700</v>
      </c>
      <c r="BR330" s="224" t="s">
        <v>226</v>
      </c>
      <c r="BS330" s="154" t="s">
        <v>227</v>
      </c>
      <c r="BT330" s="230" t="s">
        <v>228</v>
      </c>
      <c r="BU330" s="230"/>
      <c r="BV330" s="154" t="n">
        <v>1</v>
      </c>
      <c r="BW330" s="224" t="s">
        <v>1225</v>
      </c>
      <c r="BX330" s="0"/>
    </row>
    <row r="331" customFormat="false" ht="12.75" hidden="false" customHeight="false" outlineLevel="0" collapsed="false">
      <c r="A331" s="258"/>
      <c r="B331" s="259" t="e">
        <f aca="false">NextMonth(B330)</f>
        <v>#VALUE!</v>
      </c>
      <c r="C331" s="215" t="n">
        <v>0.070388088049544</v>
      </c>
      <c r="D331" s="215" t="n">
        <v>1.25</v>
      </c>
      <c r="E331" s="215" t="n">
        <v>1.25</v>
      </c>
      <c r="I331" s="239"/>
      <c r="K331" s="271"/>
      <c r="L331" s="215" t="n">
        <v>1.31</v>
      </c>
      <c r="M331" s="215" t="n">
        <v>1.31</v>
      </c>
      <c r="R331" s="261" t="e">
        <f aca="false">EOMONTH(R330,0)+1</f>
        <v>#VALUE!</v>
      </c>
      <c r="BP331" s="226" t="n">
        <f aca="false">BP330+BV331</f>
        <v>330</v>
      </c>
      <c r="BQ331" s="227" t="s">
        <v>704</v>
      </c>
      <c r="BR331" s="224" t="s">
        <v>226</v>
      </c>
      <c r="BS331" s="154" t="s">
        <v>227</v>
      </c>
      <c r="BT331" s="230" t="s">
        <v>228</v>
      </c>
      <c r="BU331" s="230"/>
      <c r="BV331" s="154" t="n">
        <v>1</v>
      </c>
      <c r="BW331" s="224" t="s">
        <v>1226</v>
      </c>
      <c r="BX331" s="0"/>
    </row>
    <row r="332" customFormat="false" ht="12.75" hidden="false" customHeight="false" outlineLevel="0" collapsed="false">
      <c r="A332" s="258"/>
      <c r="B332" s="259" t="e">
        <f aca="false">NextMonth(B331)</f>
        <v>#VALUE!</v>
      </c>
      <c r="C332" s="215" t="n">
        <v>0.070375439412273</v>
      </c>
      <c r="D332" s="215" t="n">
        <v>1.45</v>
      </c>
      <c r="E332" s="215" t="n">
        <v>1.45</v>
      </c>
      <c r="I332" s="239"/>
      <c r="K332" s="271"/>
      <c r="L332" s="215" t="n">
        <v>1.645</v>
      </c>
      <c r="M332" s="215" t="n">
        <v>1.645</v>
      </c>
      <c r="R332" s="261" t="e">
        <f aca="false">EOMONTH(R331,0)+1</f>
        <v>#VALUE!</v>
      </c>
      <c r="BP332" s="226" t="n">
        <f aca="false">BP331+BV332</f>
        <v>331</v>
      </c>
      <c r="BQ332" s="227" t="s">
        <v>708</v>
      </c>
      <c r="BR332" s="224" t="s">
        <v>226</v>
      </c>
      <c r="BS332" s="154" t="s">
        <v>227</v>
      </c>
      <c r="BT332" s="230" t="s">
        <v>228</v>
      </c>
      <c r="BU332" s="230"/>
      <c r="BV332" s="154" t="n">
        <v>1</v>
      </c>
      <c r="BW332" s="224" t="s">
        <v>1227</v>
      </c>
      <c r="BX332" s="0"/>
    </row>
    <row r="333" customFormat="false" ht="12.75" hidden="false" customHeight="false" outlineLevel="0" collapsed="false">
      <c r="A333" s="258"/>
      <c r="B333" s="259" t="e">
        <f aca="false">NextMonth(B332)</f>
        <v>#VALUE!</v>
      </c>
      <c r="C333" s="215" t="n">
        <v>0.070362790775054</v>
      </c>
      <c r="D333" s="215" t="n">
        <v>1.45</v>
      </c>
      <c r="E333" s="215" t="n">
        <v>1.45</v>
      </c>
      <c r="I333" s="239"/>
      <c r="K333" s="271"/>
      <c r="L333" s="215" t="n">
        <v>1.595</v>
      </c>
      <c r="M333" s="215" t="n">
        <v>1.595</v>
      </c>
      <c r="R333" s="261" t="e">
        <f aca="false">EOMONTH(R332,0)+1</f>
        <v>#VALUE!</v>
      </c>
      <c r="BP333" s="226" t="n">
        <f aca="false">BP332+BV333</f>
        <v>332</v>
      </c>
      <c r="BQ333" s="227" t="s">
        <v>712</v>
      </c>
      <c r="BR333" s="224" t="s">
        <v>226</v>
      </c>
      <c r="BS333" s="154" t="s">
        <v>227</v>
      </c>
      <c r="BT333" s="230" t="s">
        <v>228</v>
      </c>
      <c r="BU333" s="230"/>
      <c r="BV333" s="154" t="n">
        <v>1</v>
      </c>
      <c r="BW333" s="224" t="s">
        <v>1228</v>
      </c>
      <c r="BX333" s="0"/>
    </row>
    <row r="334" customFormat="false" ht="12.75" hidden="false" customHeight="false" outlineLevel="0" collapsed="false">
      <c r="A334" s="258"/>
      <c r="B334" s="259" t="e">
        <f aca="false">NextMonth(B333)</f>
        <v>#VALUE!</v>
      </c>
      <c r="C334" s="215" t="n">
        <v>0.070351366199546</v>
      </c>
      <c r="D334" s="215" t="n">
        <v>1</v>
      </c>
      <c r="E334" s="215" t="n">
        <v>1</v>
      </c>
      <c r="I334" s="239"/>
      <c r="K334" s="271"/>
      <c r="L334" s="215" t="n">
        <v>0.965</v>
      </c>
      <c r="M334" s="215" t="n">
        <v>0.965</v>
      </c>
      <c r="R334" s="261" t="e">
        <f aca="false">EOMONTH(R333,0)+1</f>
        <v>#VALUE!</v>
      </c>
      <c r="BP334" s="226" t="n">
        <f aca="false">BP333+BV334</f>
        <v>333</v>
      </c>
      <c r="BQ334" s="227" t="s">
        <v>716</v>
      </c>
      <c r="BR334" s="224" t="s">
        <v>226</v>
      </c>
      <c r="BS334" s="154" t="s">
        <v>227</v>
      </c>
      <c r="BT334" s="230" t="s">
        <v>228</v>
      </c>
      <c r="BU334" s="230"/>
      <c r="BV334" s="154" t="n">
        <v>1</v>
      </c>
      <c r="BW334" s="224" t="s">
        <v>1229</v>
      </c>
      <c r="BX334" s="0"/>
    </row>
    <row r="335" customFormat="false" ht="12.75" hidden="false" customHeight="false" outlineLevel="0" collapsed="false">
      <c r="A335" s="258"/>
      <c r="B335" s="259" t="e">
        <f aca="false">NextMonth(B334)</f>
        <v>#VALUE!</v>
      </c>
      <c r="C335" s="215" t="n">
        <v>0.070338717562428</v>
      </c>
      <c r="D335" s="215" t="n">
        <v>0.45</v>
      </c>
      <c r="E335" s="215" t="n">
        <v>0.45</v>
      </c>
      <c r="I335" s="239"/>
      <c r="K335" s="271"/>
      <c r="L335" s="215" t="n">
        <v>0.45</v>
      </c>
      <c r="M335" s="215" t="n">
        <v>0.45</v>
      </c>
      <c r="R335" s="261" t="e">
        <f aca="false">EOMONTH(R334,0)+1</f>
        <v>#VALUE!</v>
      </c>
      <c r="BP335" s="226" t="n">
        <f aca="false">BP334+BV335</f>
        <v>334</v>
      </c>
      <c r="BQ335" s="227" t="s">
        <v>720</v>
      </c>
      <c r="BR335" s="224" t="s">
        <v>226</v>
      </c>
      <c r="BS335" s="154" t="s">
        <v>227</v>
      </c>
      <c r="BT335" s="230" t="s">
        <v>228</v>
      </c>
      <c r="BU335" s="230"/>
      <c r="BV335" s="154" t="n">
        <v>1</v>
      </c>
      <c r="BW335" s="224" t="s">
        <v>1230</v>
      </c>
      <c r="BX335" s="0"/>
    </row>
    <row r="336" customFormat="false" ht="12.75" hidden="false" customHeight="false" outlineLevel="0" collapsed="false">
      <c r="A336" s="258"/>
      <c r="B336" s="259" t="e">
        <f aca="false">NextMonth(B335)</f>
        <v>#VALUE!</v>
      </c>
      <c r="C336" s="215" t="n">
        <v>0.070326476945911</v>
      </c>
      <c r="D336" s="215" t="n">
        <v>0.5</v>
      </c>
      <c r="E336" s="215" t="n">
        <v>0.5</v>
      </c>
      <c r="I336" s="239"/>
      <c r="K336" s="271"/>
      <c r="L336" s="215" t="n">
        <v>0.405</v>
      </c>
      <c r="M336" s="215" t="n">
        <v>0.405</v>
      </c>
      <c r="R336" s="261" t="e">
        <f aca="false">EOMONTH(R335,0)+1</f>
        <v>#VALUE!</v>
      </c>
      <c r="BP336" s="226" t="n">
        <f aca="false">BP335+BV336</f>
        <v>335</v>
      </c>
      <c r="BQ336" s="227" t="s">
        <v>724</v>
      </c>
      <c r="BR336" s="224" t="s">
        <v>226</v>
      </c>
      <c r="BS336" s="154" t="s">
        <v>227</v>
      </c>
      <c r="BT336" s="230" t="s">
        <v>228</v>
      </c>
      <c r="BU336" s="230"/>
      <c r="BV336" s="154" t="n">
        <v>1</v>
      </c>
      <c r="BW336" s="224" t="s">
        <v>1231</v>
      </c>
      <c r="BX336" s="0"/>
    </row>
    <row r="337" customFormat="false" ht="12.75" hidden="false" customHeight="false" outlineLevel="0" collapsed="false">
      <c r="A337" s="258"/>
      <c r="B337" s="259" t="e">
        <f aca="false">NextMonth(B336)</f>
        <v>#VALUE!</v>
      </c>
      <c r="C337" s="215" t="n">
        <v>0.070313828308897</v>
      </c>
      <c r="D337" s="215" t="n">
        <v>0.5</v>
      </c>
      <c r="E337" s="215" t="n">
        <v>0.5</v>
      </c>
      <c r="I337" s="239"/>
      <c r="K337" s="271"/>
      <c r="L337" s="215" t="n">
        <v>0.395</v>
      </c>
      <c r="M337" s="215" t="n">
        <v>0.395</v>
      </c>
      <c r="R337" s="261" t="e">
        <f aca="false">EOMONTH(R336,0)+1</f>
        <v>#VALUE!</v>
      </c>
      <c r="BP337" s="226" t="n">
        <f aca="false">BP336+BV337</f>
        <v>336</v>
      </c>
      <c r="BQ337" s="227" t="s">
        <v>728</v>
      </c>
      <c r="BR337" s="224" t="s">
        <v>226</v>
      </c>
      <c r="BS337" s="154" t="s">
        <v>227</v>
      </c>
      <c r="BT337" s="230" t="s">
        <v>228</v>
      </c>
      <c r="BU337" s="230"/>
      <c r="BV337" s="154" t="n">
        <v>1</v>
      </c>
      <c r="BW337" s="224" t="s">
        <v>1232</v>
      </c>
      <c r="BX337" s="0"/>
    </row>
    <row r="338" customFormat="false" ht="12.75" hidden="false" customHeight="false" outlineLevel="0" collapsed="false">
      <c r="A338" s="258"/>
      <c r="B338" s="259" t="e">
        <f aca="false">NextMonth(B337)</f>
        <v>#VALUE!</v>
      </c>
      <c r="C338" s="215" t="n">
        <v>0.070301587692482</v>
      </c>
      <c r="D338" s="215" t="n">
        <v>0.5</v>
      </c>
      <c r="E338" s="215" t="n">
        <v>0.5</v>
      </c>
      <c r="I338" s="239"/>
      <c r="K338" s="271"/>
      <c r="L338" s="215" t="n">
        <v>0.43</v>
      </c>
      <c r="M338" s="215" t="n">
        <v>0.43</v>
      </c>
      <c r="R338" s="261" t="e">
        <f aca="false">EOMONTH(R337,0)+1</f>
        <v>#VALUE!</v>
      </c>
      <c r="BP338" s="226" t="n">
        <f aca="false">BP337+BV338</f>
        <v>337</v>
      </c>
      <c r="BQ338" s="227" t="s">
        <v>732</v>
      </c>
      <c r="BR338" s="224" t="s">
        <v>226</v>
      </c>
      <c r="BS338" s="154" t="s">
        <v>227</v>
      </c>
      <c r="BT338" s="230" t="s">
        <v>228</v>
      </c>
      <c r="BU338" s="230"/>
      <c r="BV338" s="154" t="n">
        <v>1</v>
      </c>
      <c r="BW338" s="224" t="s">
        <v>1233</v>
      </c>
      <c r="BX338" s="0"/>
    </row>
    <row r="339" customFormat="false" ht="12.75" hidden="false" customHeight="false" outlineLevel="0" collapsed="false">
      <c r="A339" s="258"/>
      <c r="B339" s="259" t="e">
        <f aca="false">NextMonth(B338)</f>
        <v>#VALUE!</v>
      </c>
      <c r="C339" s="215" t="n">
        <v>0.070288939055571</v>
      </c>
      <c r="D339" s="215" t="n">
        <v>0.6</v>
      </c>
      <c r="E339" s="215" t="n">
        <v>0.6</v>
      </c>
      <c r="I339" s="239"/>
      <c r="K339" s="271"/>
      <c r="L339" s="215" t="n">
        <v>0.495</v>
      </c>
      <c r="M339" s="215" t="n">
        <v>0.495</v>
      </c>
      <c r="R339" s="261" t="e">
        <f aca="false">EOMONTH(R338,0)+1</f>
        <v>#VALUE!</v>
      </c>
      <c r="BP339" s="226" t="n">
        <f aca="false">BP338+BV339</f>
        <v>338</v>
      </c>
      <c r="BQ339" s="227" t="s">
        <v>736</v>
      </c>
      <c r="BR339" s="224" t="s">
        <v>226</v>
      </c>
      <c r="BS339" s="154" t="s">
        <v>227</v>
      </c>
      <c r="BT339" s="230" t="s">
        <v>228</v>
      </c>
      <c r="BU339" s="230"/>
      <c r="BV339" s="154" t="n">
        <v>1</v>
      </c>
      <c r="BW339" s="224" t="s">
        <v>1234</v>
      </c>
      <c r="BX339" s="0"/>
    </row>
    <row r="340" customFormat="false" ht="12.75" hidden="false" customHeight="false" outlineLevel="0" collapsed="false">
      <c r="A340" s="258"/>
      <c r="B340" s="259" t="e">
        <f aca="false">NextMonth(B339)</f>
        <v>#VALUE!</v>
      </c>
      <c r="C340" s="215" t="n">
        <v>0.070276290418714</v>
      </c>
      <c r="D340" s="215" t="n">
        <v>0.6</v>
      </c>
      <c r="E340" s="215" t="n">
        <v>0.6</v>
      </c>
      <c r="I340" s="239"/>
      <c r="K340" s="271"/>
      <c r="L340" s="215" t="n">
        <v>0.395</v>
      </c>
      <c r="M340" s="215" t="n">
        <v>0.395</v>
      </c>
      <c r="R340" s="261" t="e">
        <f aca="false">EOMONTH(R339,0)+1</f>
        <v>#VALUE!</v>
      </c>
      <c r="BP340" s="226" t="n">
        <f aca="false">BP339+BV340</f>
        <v>339</v>
      </c>
      <c r="BQ340" s="227" t="s">
        <v>740</v>
      </c>
      <c r="BR340" s="224" t="s">
        <v>226</v>
      </c>
      <c r="BS340" s="154" t="s">
        <v>227</v>
      </c>
      <c r="BT340" s="230" t="s">
        <v>228</v>
      </c>
      <c r="BU340" s="230"/>
      <c r="BV340" s="154" t="n">
        <v>1</v>
      </c>
      <c r="BW340" s="224" t="s">
        <v>1235</v>
      </c>
      <c r="BX340" s="0"/>
    </row>
    <row r="341" customFormat="false" ht="12.75" hidden="false" customHeight="false" outlineLevel="0" collapsed="false">
      <c r="A341" s="258"/>
      <c r="B341" s="259" t="e">
        <f aca="false">NextMonth(B340)</f>
        <v>#VALUE!</v>
      </c>
      <c r="C341" s="215" t="n">
        <v>0.07026404980245</v>
      </c>
      <c r="D341" s="215" t="n">
        <v>0.65</v>
      </c>
      <c r="E341" s="215" t="n">
        <v>0.65</v>
      </c>
      <c r="I341" s="239"/>
      <c r="K341" s="271"/>
      <c r="L341" s="215" t="n">
        <v>0.461</v>
      </c>
      <c r="M341" s="215" t="n">
        <v>0.461</v>
      </c>
      <c r="R341" s="261" t="e">
        <f aca="false">EOMONTH(R340,0)+1</f>
        <v>#VALUE!</v>
      </c>
      <c r="BP341" s="226" t="n">
        <f aca="false">BP340+BV341</f>
        <v>340</v>
      </c>
      <c r="BQ341" s="227" t="s">
        <v>744</v>
      </c>
      <c r="BR341" s="224" t="s">
        <v>226</v>
      </c>
      <c r="BS341" s="154" t="s">
        <v>227</v>
      </c>
      <c r="BT341" s="230" t="s">
        <v>228</v>
      </c>
      <c r="BU341" s="230"/>
      <c r="BV341" s="154" t="n">
        <v>1</v>
      </c>
      <c r="BW341" s="224" t="s">
        <v>1236</v>
      </c>
      <c r="BX341" s="0"/>
    </row>
    <row r="342" customFormat="false" ht="12.75" hidden="false" customHeight="false" outlineLevel="0" collapsed="false">
      <c r="A342" s="258"/>
      <c r="B342" s="259" t="e">
        <f aca="false">NextMonth(B341)</f>
        <v>#VALUE!</v>
      </c>
      <c r="C342" s="215" t="n">
        <v>0.070251401165697</v>
      </c>
      <c r="D342" s="215" t="n">
        <v>0.95</v>
      </c>
      <c r="E342" s="215" t="n">
        <v>0.95</v>
      </c>
      <c r="I342" s="239"/>
      <c r="K342" s="271"/>
      <c r="L342" s="215" t="n">
        <v>0.885</v>
      </c>
      <c r="M342" s="215" t="n">
        <v>0.885</v>
      </c>
      <c r="R342" s="261" t="e">
        <f aca="false">EOMONTH(R341,0)+1</f>
        <v>#VALUE!</v>
      </c>
      <c r="BP342" s="226" t="n">
        <f aca="false">BP341+BV342</f>
        <v>341</v>
      </c>
      <c r="BQ342" s="227" t="s">
        <v>748</v>
      </c>
      <c r="BR342" s="224" t="s">
        <v>226</v>
      </c>
      <c r="BS342" s="154" t="s">
        <v>227</v>
      </c>
      <c r="BT342" s="230" t="s">
        <v>228</v>
      </c>
      <c r="BU342" s="230"/>
      <c r="BV342" s="154" t="n">
        <v>1</v>
      </c>
      <c r="BW342" s="224" t="s">
        <v>1237</v>
      </c>
      <c r="BX342" s="0"/>
    </row>
    <row r="343" customFormat="false" ht="12.75" hidden="false" customHeight="false" outlineLevel="0" collapsed="false">
      <c r="A343" s="258"/>
      <c r="B343" s="259" t="e">
        <f aca="false">NextMonth(B342)</f>
        <v>#VALUE!</v>
      </c>
      <c r="C343" s="215" t="n">
        <v>0.070239160549534</v>
      </c>
      <c r="D343" s="215" t="n">
        <v>1.25</v>
      </c>
      <c r="E343" s="215" t="n">
        <v>1.25</v>
      </c>
      <c r="I343" s="239"/>
      <c r="K343" s="271"/>
      <c r="L343" s="215" t="n">
        <v>1.31</v>
      </c>
      <c r="M343" s="215" t="n">
        <v>1.31</v>
      </c>
      <c r="R343" s="261" t="e">
        <f aca="false">EOMONTH(R342,0)+1</f>
        <v>#VALUE!</v>
      </c>
      <c r="BP343" s="226" t="n">
        <f aca="false">BP342+BV343</f>
        <v>342</v>
      </c>
      <c r="BQ343" s="227" t="s">
        <v>752</v>
      </c>
      <c r="BR343" s="224" t="s">
        <v>226</v>
      </c>
      <c r="BS343" s="154" t="s">
        <v>227</v>
      </c>
      <c r="BT343" s="230" t="s">
        <v>228</v>
      </c>
      <c r="BU343" s="230"/>
      <c r="BV343" s="154" t="n">
        <v>1</v>
      </c>
      <c r="BW343" s="224" t="s">
        <v>1238</v>
      </c>
      <c r="BX343" s="0"/>
    </row>
    <row r="344" customFormat="false" ht="12.75" hidden="false" customHeight="false" outlineLevel="0" collapsed="false">
      <c r="A344" s="258"/>
      <c r="B344" s="259" t="e">
        <f aca="false">NextMonth(B343)</f>
        <v>#VALUE!</v>
      </c>
      <c r="C344" s="215" t="n">
        <v>0.070226511912885</v>
      </c>
      <c r="D344" s="215" t="n">
        <v>0.55</v>
      </c>
      <c r="E344" s="215" t="n">
        <v>0.55</v>
      </c>
      <c r="I344" s="239"/>
      <c r="K344" s="271"/>
      <c r="L344" s="215" t="n">
        <v>1.645</v>
      </c>
      <c r="M344" s="215" t="n">
        <v>1.645</v>
      </c>
      <c r="R344" s="261" t="e">
        <f aca="false">EOMONTH(R343,0)+1</f>
        <v>#VALUE!</v>
      </c>
      <c r="BP344" s="226" t="n">
        <f aca="false">BP343+BV344</f>
        <v>343</v>
      </c>
      <c r="BQ344" s="227" t="s">
        <v>756</v>
      </c>
      <c r="BR344" s="224" t="s">
        <v>226</v>
      </c>
      <c r="BS344" s="154" t="s">
        <v>227</v>
      </c>
      <c r="BT344" s="230" t="s">
        <v>228</v>
      </c>
      <c r="BU344" s="230"/>
      <c r="BV344" s="154" t="n">
        <v>1</v>
      </c>
      <c r="BW344" s="224" t="s">
        <v>1239</v>
      </c>
      <c r="BX344" s="0"/>
    </row>
    <row r="345" customFormat="false" ht="12.75" hidden="false" customHeight="false" outlineLevel="0" collapsed="false">
      <c r="A345" s="258"/>
      <c r="B345" s="259" t="e">
        <f aca="false">NextMonth(B344)</f>
        <v>#VALUE!</v>
      </c>
      <c r="C345" s="215" t="n">
        <v>0.070213863276289</v>
      </c>
      <c r="D345" s="215" t="n">
        <v>0.55</v>
      </c>
      <c r="E345" s="215" t="n">
        <v>0.55</v>
      </c>
      <c r="I345" s="239"/>
      <c r="K345" s="271"/>
      <c r="L345" s="215" t="n">
        <v>1.595</v>
      </c>
      <c r="M345" s="215" t="n">
        <v>1.595</v>
      </c>
      <c r="R345" s="261" t="e">
        <f aca="false">EOMONTH(R344,0)+1</f>
        <v>#VALUE!</v>
      </c>
      <c r="BP345" s="226" t="n">
        <f aca="false">BP344+BV345</f>
        <v>344</v>
      </c>
      <c r="BQ345" s="227" t="s">
        <v>760</v>
      </c>
      <c r="BR345" s="224" t="s">
        <v>226</v>
      </c>
      <c r="BS345" s="154" t="s">
        <v>227</v>
      </c>
      <c r="BT345" s="230" t="s">
        <v>228</v>
      </c>
      <c r="BU345" s="230"/>
      <c r="BV345" s="154" t="n">
        <v>1</v>
      </c>
      <c r="BW345" s="224" t="s">
        <v>1240</v>
      </c>
      <c r="BX345" s="0"/>
    </row>
    <row r="346" customFormat="false" ht="12.75" hidden="false" customHeight="false" outlineLevel="0" collapsed="false">
      <c r="A346" s="258"/>
      <c r="B346" s="259" t="e">
        <f aca="false">NextMonth(B345)</f>
        <v>#VALUE!</v>
      </c>
      <c r="C346" s="215" t="n">
        <v>0.070202030680811</v>
      </c>
      <c r="D346" s="215" t="n">
        <v>0.6</v>
      </c>
      <c r="E346" s="215" t="n">
        <v>0.6</v>
      </c>
      <c r="I346" s="239"/>
      <c r="K346" s="271"/>
      <c r="L346" s="215" t="n">
        <v>0.965</v>
      </c>
      <c r="M346" s="215" t="n">
        <v>0.965</v>
      </c>
      <c r="R346" s="261" t="e">
        <f aca="false">EOMONTH(R345,0)+1</f>
        <v>#VALUE!</v>
      </c>
      <c r="BP346" s="226" t="n">
        <f aca="false">BP345+BV346</f>
        <v>345</v>
      </c>
      <c r="BQ346" s="227" t="s">
        <v>764</v>
      </c>
      <c r="BR346" s="224" t="s">
        <v>226</v>
      </c>
      <c r="BS346" s="154" t="s">
        <v>227</v>
      </c>
      <c r="BT346" s="230" t="s">
        <v>228</v>
      </c>
      <c r="BU346" s="230"/>
      <c r="BV346" s="154" t="n">
        <v>1</v>
      </c>
      <c r="BW346" s="224" t="s">
        <v>1241</v>
      </c>
      <c r="BX346" s="0"/>
    </row>
    <row r="347" customFormat="false" ht="12.75" hidden="false" customHeight="false" outlineLevel="0" collapsed="false">
      <c r="A347" s="258"/>
      <c r="B347" s="259" t="e">
        <f aca="false">NextMonth(B346)</f>
        <v>#VALUE!</v>
      </c>
      <c r="C347" s="215" t="n">
        <v>0.070189382044317</v>
      </c>
      <c r="D347" s="215" t="n">
        <v>0.8</v>
      </c>
      <c r="E347" s="215" t="n">
        <v>0.8</v>
      </c>
      <c r="I347" s="239"/>
      <c r="K347" s="271"/>
      <c r="L347" s="215" t="n">
        <v>0.45</v>
      </c>
      <c r="M347" s="215" t="n">
        <v>0.45</v>
      </c>
      <c r="R347" s="261" t="e">
        <f aca="false">EOMONTH(R346,0)+1</f>
        <v>#VALUE!</v>
      </c>
      <c r="BP347" s="226" t="n">
        <f aca="false">BP346+BV347</f>
        <v>346</v>
      </c>
      <c r="BQ347" s="227" t="s">
        <v>768</v>
      </c>
      <c r="BR347" s="224" t="s">
        <v>226</v>
      </c>
      <c r="BS347" s="154" t="s">
        <v>227</v>
      </c>
      <c r="BT347" s="230" t="s">
        <v>228</v>
      </c>
      <c r="BU347" s="230"/>
      <c r="BV347" s="154" t="n">
        <v>1</v>
      </c>
      <c r="BW347" s="224" t="s">
        <v>1242</v>
      </c>
      <c r="BX347" s="0"/>
    </row>
    <row r="348" customFormat="false" ht="12.75" hidden="false" customHeight="false" outlineLevel="0" collapsed="false">
      <c r="A348" s="258"/>
      <c r="B348" s="259" t="e">
        <f aca="false">NextMonth(B347)</f>
        <v>#VALUE!</v>
      </c>
      <c r="C348" s="215" t="n">
        <v>0.070177141428405</v>
      </c>
      <c r="D348" s="215" t="n">
        <v>1</v>
      </c>
      <c r="E348" s="215" t="n">
        <v>1</v>
      </c>
      <c r="I348" s="239"/>
      <c r="K348" s="271"/>
      <c r="L348" s="215" t="n">
        <v>0.405</v>
      </c>
      <c r="M348" s="215" t="n">
        <v>0.405</v>
      </c>
      <c r="R348" s="261" t="e">
        <f aca="false">EOMONTH(R347,0)+1</f>
        <v>#VALUE!</v>
      </c>
      <c r="BP348" s="226" t="n">
        <f aca="false">BP347+BV348</f>
        <v>347</v>
      </c>
      <c r="BQ348" s="227" t="s">
        <v>772</v>
      </c>
      <c r="BR348" s="224" t="s">
        <v>226</v>
      </c>
      <c r="BS348" s="154" t="s">
        <v>227</v>
      </c>
      <c r="BT348" s="230" t="s">
        <v>228</v>
      </c>
      <c r="BU348" s="230"/>
      <c r="BV348" s="154" t="n">
        <v>1</v>
      </c>
      <c r="BW348" s="224" t="s">
        <v>1243</v>
      </c>
      <c r="BX348" s="0"/>
    </row>
    <row r="349" customFormat="false" ht="12.75" hidden="false" customHeight="false" outlineLevel="0" collapsed="false">
      <c r="A349" s="258"/>
      <c r="B349" s="259" t="e">
        <f aca="false">NextMonth(B348)</f>
        <v>#VALUE!</v>
      </c>
      <c r="C349" s="215" t="n">
        <v>0.070164492792015</v>
      </c>
      <c r="D349" s="215" t="n">
        <v>1</v>
      </c>
      <c r="E349" s="215" t="n">
        <v>1</v>
      </c>
      <c r="I349" s="239"/>
      <c r="K349" s="271"/>
      <c r="L349" s="215" t="n">
        <v>0.395</v>
      </c>
      <c r="M349" s="215" t="n">
        <v>0.395</v>
      </c>
      <c r="R349" s="261" t="e">
        <f aca="false">EOMONTH(R348,0)+1</f>
        <v>#VALUE!</v>
      </c>
      <c r="BP349" s="226" t="n">
        <f aca="false">BP348+BV349</f>
        <v>348</v>
      </c>
      <c r="BQ349" s="227" t="s">
        <v>776</v>
      </c>
      <c r="BR349" s="224" t="s">
        <v>226</v>
      </c>
      <c r="BS349" s="154" t="s">
        <v>227</v>
      </c>
      <c r="BT349" s="230" t="s">
        <v>228</v>
      </c>
      <c r="BU349" s="230"/>
      <c r="BV349" s="154" t="n">
        <v>1</v>
      </c>
      <c r="BW349" s="224" t="s">
        <v>1244</v>
      </c>
      <c r="BX349" s="0"/>
    </row>
    <row r="350" customFormat="false" ht="12.75" hidden="false" customHeight="false" outlineLevel="0" collapsed="false">
      <c r="A350" s="258"/>
      <c r="B350" s="259" t="e">
        <f aca="false">NextMonth(B349)</f>
        <v>#VALUE!</v>
      </c>
      <c r="C350" s="215" t="n">
        <v>0.070152252176204</v>
      </c>
      <c r="D350" s="215" t="n">
        <v>1.15</v>
      </c>
      <c r="E350" s="215" t="n">
        <v>1.15</v>
      </c>
      <c r="I350" s="239"/>
      <c r="K350" s="271"/>
      <c r="L350" s="215" t="n">
        <v>0.43</v>
      </c>
      <c r="M350" s="215" t="n">
        <v>0.43</v>
      </c>
      <c r="R350" s="261" t="e">
        <f aca="false">EOMONTH(R349,0)+1</f>
        <v>#VALUE!</v>
      </c>
      <c r="BP350" s="226" t="n">
        <f aca="false">BP349+BV350</f>
        <v>349</v>
      </c>
      <c r="BQ350" s="227" t="s">
        <v>780</v>
      </c>
      <c r="BR350" s="224" t="s">
        <v>226</v>
      </c>
      <c r="BS350" s="154" t="s">
        <v>227</v>
      </c>
      <c r="BT350" s="230" t="s">
        <v>228</v>
      </c>
      <c r="BU350" s="230"/>
      <c r="BV350" s="154" t="n">
        <v>1</v>
      </c>
      <c r="BW350" s="224" t="s">
        <v>1245</v>
      </c>
      <c r="BX350" s="0"/>
    </row>
    <row r="351" customFormat="false" ht="12.75" hidden="false" customHeight="false" outlineLevel="0" collapsed="false">
      <c r="A351" s="258"/>
      <c r="B351" s="259" t="e">
        <f aca="false">NextMonth(B350)</f>
        <v>#VALUE!</v>
      </c>
      <c r="C351" s="215" t="n">
        <v>0.070139603539918</v>
      </c>
      <c r="D351" s="215" t="n">
        <v>1</v>
      </c>
      <c r="I351" s="239"/>
      <c r="K351" s="271"/>
      <c r="L351" s="215" t="n">
        <v>0.495</v>
      </c>
      <c r="M351" s="215" t="n">
        <v>0.495</v>
      </c>
      <c r="R351" s="261" t="e">
        <f aca="false">EOMONTH(R350,0)+1</f>
        <v>#VALUE!</v>
      </c>
      <c r="BP351" s="226" t="n">
        <f aca="false">BP350+BV351</f>
        <v>350</v>
      </c>
      <c r="BQ351" s="227" t="s">
        <v>784</v>
      </c>
      <c r="BR351" s="224" t="s">
        <v>226</v>
      </c>
      <c r="BS351" s="154" t="s">
        <v>227</v>
      </c>
      <c r="BT351" s="230" t="s">
        <v>228</v>
      </c>
      <c r="BU351" s="230"/>
      <c r="BV351" s="154" t="n">
        <v>1</v>
      </c>
      <c r="BW351" s="224" t="s">
        <v>1246</v>
      </c>
      <c r="BX351" s="0"/>
    </row>
    <row r="352" customFormat="false" ht="12.75" hidden="false" customHeight="false" outlineLevel="0" collapsed="false">
      <c r="A352" s="258"/>
      <c r="B352" s="259" t="e">
        <f aca="false">NextMonth(B351)</f>
        <v>#VALUE!</v>
      </c>
      <c r="C352" s="215" t="n">
        <v>0.070126954903686</v>
      </c>
      <c r="D352" s="215" t="n">
        <v>1.05</v>
      </c>
      <c r="I352" s="239"/>
      <c r="K352" s="271"/>
      <c r="L352" s="215" t="n">
        <v>0.395</v>
      </c>
      <c r="M352" s="215" t="n">
        <v>0.395</v>
      </c>
      <c r="R352" s="261" t="e">
        <f aca="false">EOMONTH(R351,0)+1</f>
        <v>#VALUE!</v>
      </c>
      <c r="BP352" s="226" t="n">
        <f aca="false">BP351+BV352</f>
        <v>351</v>
      </c>
      <c r="BQ352" s="227" t="s">
        <v>788</v>
      </c>
      <c r="BR352" s="224" t="s">
        <v>226</v>
      </c>
      <c r="BS352" s="154" t="s">
        <v>227</v>
      </c>
      <c r="BT352" s="230" t="s">
        <v>228</v>
      </c>
      <c r="BU352" s="230"/>
      <c r="BV352" s="154" t="n">
        <v>1</v>
      </c>
      <c r="BW352" s="224" t="s">
        <v>1247</v>
      </c>
      <c r="BX352" s="0"/>
    </row>
    <row r="353" customFormat="false" ht="12.75" hidden="false" customHeight="false" outlineLevel="0" collapsed="false">
      <c r="A353" s="258"/>
      <c r="B353" s="259" t="e">
        <f aca="false">NextMonth(B352)</f>
        <v>#VALUE!</v>
      </c>
      <c r="C353" s="215" t="n">
        <v>0.070114714288026</v>
      </c>
      <c r="D353" s="215" t="n">
        <v>1</v>
      </c>
      <c r="I353" s="239"/>
      <c r="K353" s="271"/>
      <c r="L353" s="215" t="n">
        <v>0.461</v>
      </c>
      <c r="M353" s="215" t="n">
        <v>0.461</v>
      </c>
      <c r="R353" s="261" t="e">
        <f aca="false">EOMONTH(R352,0)+1</f>
        <v>#VALUE!</v>
      </c>
      <c r="BP353" s="226" t="n">
        <f aca="false">BP352+BV353</f>
        <v>352</v>
      </c>
      <c r="BQ353" s="227" t="s">
        <v>792</v>
      </c>
      <c r="BR353" s="224" t="s">
        <v>226</v>
      </c>
      <c r="BS353" s="154" t="s">
        <v>227</v>
      </c>
      <c r="BT353" s="230" t="s">
        <v>228</v>
      </c>
      <c r="BU353" s="230"/>
      <c r="BV353" s="154" t="n">
        <v>1</v>
      </c>
      <c r="BW353" s="224" t="s">
        <v>1248</v>
      </c>
      <c r="BX353" s="0"/>
    </row>
    <row r="354" customFormat="false" ht="12.75" hidden="false" customHeight="false" outlineLevel="0" collapsed="false">
      <c r="A354" s="258"/>
      <c r="B354" s="259" t="e">
        <f aca="false">NextMonth(B353)</f>
        <v>#VALUE!</v>
      </c>
      <c r="C354" s="215" t="n">
        <v>0.070102065651897</v>
      </c>
      <c r="I354" s="239"/>
      <c r="K354" s="271"/>
      <c r="L354" s="215" t="n">
        <v>0.885</v>
      </c>
      <c r="M354" s="215" t="n">
        <v>0.885</v>
      </c>
      <c r="R354" s="261" t="e">
        <f aca="false">EOMONTH(R353,0)+1</f>
        <v>#VALUE!</v>
      </c>
      <c r="BP354" s="226" t="n">
        <f aca="false">BP353+BV354</f>
        <v>353</v>
      </c>
      <c r="BQ354" s="227" t="s">
        <v>796</v>
      </c>
      <c r="BR354" s="224" t="s">
        <v>226</v>
      </c>
      <c r="BS354" s="154" t="s">
        <v>227</v>
      </c>
      <c r="BT354" s="230" t="s">
        <v>228</v>
      </c>
      <c r="BU354" s="230"/>
      <c r="BV354" s="154" t="n">
        <v>1</v>
      </c>
      <c r="BW354" s="224" t="s">
        <v>1249</v>
      </c>
      <c r="BX354" s="0"/>
    </row>
    <row r="355" customFormat="false" ht="12.75" hidden="false" customHeight="false" outlineLevel="0" collapsed="false">
      <c r="A355" s="258"/>
      <c r="B355" s="259" t="e">
        <f aca="false">NextMonth(B354)</f>
        <v>#VALUE!</v>
      </c>
      <c r="C355" s="215" t="n">
        <v>0.070089825036339</v>
      </c>
      <c r="I355" s="239"/>
      <c r="K355" s="271"/>
      <c r="L355" s="215" t="n">
        <v>1.31</v>
      </c>
      <c r="M355" s="215" t="n">
        <v>1.31</v>
      </c>
      <c r="R355" s="261" t="e">
        <f aca="false">EOMONTH(R354,0)+1</f>
        <v>#VALUE!</v>
      </c>
      <c r="BP355" s="226" t="n">
        <f aca="false">BP354+BV355</f>
        <v>354</v>
      </c>
      <c r="BQ355" s="227" t="s">
        <v>800</v>
      </c>
      <c r="BR355" s="224" t="s">
        <v>226</v>
      </c>
      <c r="BS355" s="154" t="s">
        <v>227</v>
      </c>
      <c r="BT355" s="230" t="s">
        <v>228</v>
      </c>
      <c r="BU355" s="230"/>
      <c r="BV355" s="154" t="n">
        <v>1</v>
      </c>
      <c r="BW355" s="224" t="s">
        <v>1250</v>
      </c>
      <c r="BX355" s="0"/>
    </row>
    <row r="356" customFormat="false" ht="12.75" hidden="false" customHeight="false" outlineLevel="0" collapsed="false">
      <c r="A356" s="258"/>
      <c r="B356" s="259" t="e">
        <f aca="false">NextMonth(B355)</f>
        <v>#VALUE!</v>
      </c>
      <c r="C356" s="215" t="n">
        <v>0.070077176400314</v>
      </c>
      <c r="I356" s="239"/>
      <c r="L356" s="215" t="n">
        <v>1.645</v>
      </c>
      <c r="M356" s="215" t="n">
        <v>1.645</v>
      </c>
      <c r="R356" s="261" t="e">
        <f aca="false">EOMONTH(R355,0)+1</f>
        <v>#VALUE!</v>
      </c>
      <c r="BP356" s="226" t="n">
        <f aca="false">BP355+BV356</f>
        <v>355</v>
      </c>
      <c r="BQ356" s="227" t="s">
        <v>804</v>
      </c>
      <c r="BR356" s="224" t="s">
        <v>226</v>
      </c>
      <c r="BS356" s="154" t="s">
        <v>227</v>
      </c>
      <c r="BT356" s="230" t="s">
        <v>228</v>
      </c>
      <c r="BU356" s="230"/>
      <c r="BV356" s="154" t="n">
        <v>1</v>
      </c>
      <c r="BW356" s="224" t="s">
        <v>1251</v>
      </c>
      <c r="BX356" s="0"/>
    </row>
    <row r="357" customFormat="false" ht="12.75" hidden="false" customHeight="false" outlineLevel="0" collapsed="false">
      <c r="A357" s="258"/>
      <c r="B357" s="259" t="e">
        <f aca="false">NextMonth(B356)</f>
        <v>#VALUE!</v>
      </c>
      <c r="C357" s="215" t="n">
        <v>0.070064527764343</v>
      </c>
      <c r="I357" s="239"/>
      <c r="L357" s="215" t="n">
        <v>1.595</v>
      </c>
      <c r="M357" s="215" t="n">
        <v>1.595</v>
      </c>
      <c r="R357" s="261" t="e">
        <f aca="false">EOMONTH(R356,0)+1</f>
        <v>#VALUE!</v>
      </c>
      <c r="BP357" s="226" t="n">
        <f aca="false">BP356+BV357</f>
        <v>356</v>
      </c>
      <c r="BQ357" s="227" t="s">
        <v>808</v>
      </c>
      <c r="BR357" s="224" t="s">
        <v>226</v>
      </c>
      <c r="BS357" s="154" t="s">
        <v>227</v>
      </c>
      <c r="BT357" s="230" t="s">
        <v>228</v>
      </c>
      <c r="BU357" s="230"/>
      <c r="BV357" s="154" t="n">
        <v>1</v>
      </c>
      <c r="BW357" s="224" t="s">
        <v>1252</v>
      </c>
      <c r="BX357" s="0"/>
    </row>
    <row r="358" customFormat="false" ht="12.75" hidden="false" customHeight="false" outlineLevel="0" collapsed="false">
      <c r="A358" s="258"/>
      <c r="B358" s="259" t="e">
        <f aca="false">NextMonth(B357)</f>
        <v>#VALUE!</v>
      </c>
      <c r="C358" s="215" t="n">
        <v>0.070053103189962</v>
      </c>
      <c r="I358" s="239"/>
      <c r="L358" s="215" t="n">
        <v>0.965</v>
      </c>
      <c r="M358" s="215" t="n">
        <v>0.965</v>
      </c>
      <c r="R358" s="261" t="e">
        <f aca="false">EOMONTH(R357,0)+1</f>
        <v>#VALUE!</v>
      </c>
      <c r="BP358" s="226" t="n">
        <f aca="false">BP357+BV358</f>
        <v>357</v>
      </c>
      <c r="BQ358" s="227" t="s">
        <v>812</v>
      </c>
      <c r="BR358" s="224" t="s">
        <v>226</v>
      </c>
      <c r="BS358" s="154" t="s">
        <v>227</v>
      </c>
      <c r="BT358" s="230" t="s">
        <v>228</v>
      </c>
      <c r="BU358" s="230"/>
      <c r="BV358" s="154" t="n">
        <v>1</v>
      </c>
      <c r="BW358" s="224" t="s">
        <v>1253</v>
      </c>
      <c r="BX358" s="0"/>
    </row>
    <row r="359" customFormat="false" ht="12.75" hidden="false" customHeight="false" outlineLevel="0" collapsed="false">
      <c r="A359" s="258"/>
      <c r="B359" s="259" t="e">
        <f aca="false">NextMonth(B358)</f>
        <v>#VALUE!</v>
      </c>
      <c r="C359" s="215" t="n">
        <v>0.07004045455409</v>
      </c>
      <c r="I359" s="239"/>
      <c r="L359" s="215" t="n">
        <v>0.45</v>
      </c>
      <c r="M359" s="215" t="n">
        <v>0.45</v>
      </c>
      <c r="R359" s="261" t="e">
        <f aca="false">EOMONTH(R358,0)+1</f>
        <v>#VALUE!</v>
      </c>
      <c r="BP359" s="226" t="n">
        <f aca="false">BP358+BV359</f>
        <v>358</v>
      </c>
      <c r="BQ359" s="227" t="s">
        <v>816</v>
      </c>
      <c r="BR359" s="224" t="s">
        <v>226</v>
      </c>
      <c r="BS359" s="154" t="s">
        <v>227</v>
      </c>
      <c r="BT359" s="230" t="s">
        <v>228</v>
      </c>
      <c r="BU359" s="230"/>
      <c r="BV359" s="154" t="n">
        <v>1</v>
      </c>
      <c r="BW359" s="224" t="s">
        <v>1254</v>
      </c>
      <c r="BX359" s="0"/>
    </row>
    <row r="360" customFormat="false" ht="12.75" hidden="false" customHeight="false" outlineLevel="0" collapsed="false">
      <c r="A360" s="258"/>
      <c r="B360" s="259" t="e">
        <f aca="false">NextMonth(B359)</f>
        <v>#VALUE!</v>
      </c>
      <c r="C360" s="215" t="n">
        <v>0.070028213938782</v>
      </c>
      <c r="I360" s="239"/>
      <c r="L360" s="215" t="n">
        <v>0.405</v>
      </c>
      <c r="M360" s="215" t="n">
        <v>0.405</v>
      </c>
      <c r="R360" s="261" t="e">
        <f aca="false">EOMONTH(R359,0)+1</f>
        <v>#VALUE!</v>
      </c>
      <c r="BP360" s="226" t="n">
        <f aca="false">BP359+BV360</f>
        <v>359</v>
      </c>
      <c r="BQ360" s="227" t="s">
        <v>1255</v>
      </c>
      <c r="BR360" s="224" t="s">
        <v>226</v>
      </c>
      <c r="BS360" s="154" t="s">
        <v>227</v>
      </c>
      <c r="BT360" s="230" t="s">
        <v>228</v>
      </c>
      <c r="BU360" s="230"/>
      <c r="BV360" s="154" t="n">
        <v>1</v>
      </c>
      <c r="BW360" s="224" t="s">
        <v>1256</v>
      </c>
      <c r="BX360" s="0"/>
    </row>
    <row r="361" customFormat="false" ht="12.75" hidden="false" customHeight="false" outlineLevel="0" collapsed="false">
      <c r="A361" s="258"/>
      <c r="B361" s="259" t="e">
        <f aca="false">NextMonth(B360)</f>
        <v>#VALUE!</v>
      </c>
      <c r="C361" s="215" t="n">
        <v>0.070015565303015</v>
      </c>
      <c r="I361" s="239"/>
      <c r="L361" s="215" t="n">
        <v>0.395</v>
      </c>
      <c r="M361" s="215" t="n">
        <v>0.395</v>
      </c>
      <c r="R361" s="261" t="e">
        <f aca="false">EOMONTH(R360,0)+1</f>
        <v>#VALUE!</v>
      </c>
      <c r="BP361" s="226" t="n">
        <f aca="false">BP360+BV361</f>
        <v>360</v>
      </c>
      <c r="BQ361" s="227" t="s">
        <v>828</v>
      </c>
      <c r="BR361" s="224" t="s">
        <v>226</v>
      </c>
      <c r="BS361" s="154" t="s">
        <v>227</v>
      </c>
      <c r="BT361" s="230" t="s">
        <v>228</v>
      </c>
      <c r="BU361" s="230"/>
      <c r="BV361" s="154" t="n">
        <v>1</v>
      </c>
      <c r="BW361" s="224" t="s">
        <v>1257</v>
      </c>
      <c r="BX361" s="0"/>
    </row>
    <row r="362" customFormat="false" ht="12.75" hidden="false" customHeight="false" outlineLevel="0" collapsed="false">
      <c r="A362" s="258"/>
      <c r="B362" s="259" t="e">
        <f aca="false">NextMonth(B361)</f>
        <v>#VALUE!</v>
      </c>
      <c r="C362" s="215" t="n">
        <v>0.070003324687807</v>
      </c>
      <c r="I362" s="239"/>
      <c r="L362" s="215" t="n">
        <v>0.43</v>
      </c>
      <c r="M362" s="215" t="n">
        <v>0.43</v>
      </c>
      <c r="R362" s="261" t="e">
        <f aca="false">EOMONTH(R361,0)+1</f>
        <v>#VALUE!</v>
      </c>
      <c r="BP362" s="226" t="n">
        <f aca="false">BP361+BV362</f>
        <v>361</v>
      </c>
      <c r="BQ362" s="227" t="s">
        <v>832</v>
      </c>
      <c r="BR362" s="224" t="s">
        <v>226</v>
      </c>
      <c r="BS362" s="154" t="s">
        <v>227</v>
      </c>
      <c r="BT362" s="230" t="s">
        <v>228</v>
      </c>
      <c r="BU362" s="230"/>
      <c r="BV362" s="154" t="n">
        <v>1</v>
      </c>
      <c r="BW362" s="224" t="s">
        <v>1258</v>
      </c>
      <c r="BX362" s="0"/>
    </row>
    <row r="363" customFormat="false" ht="12.75" hidden="false" customHeight="false" outlineLevel="0" collapsed="false">
      <c r="A363" s="258"/>
      <c r="B363" s="259" t="e">
        <f aca="false">NextMonth(B362)</f>
        <v>#VALUE!</v>
      </c>
      <c r="C363" s="215" t="n">
        <v>0.069990676052143</v>
      </c>
      <c r="I363" s="239"/>
      <c r="L363" s="215" t="n">
        <v>0.495</v>
      </c>
      <c r="M363" s="215" t="n">
        <v>0.495</v>
      </c>
      <c r="R363" s="261" t="e">
        <f aca="false">EOMONTH(R362,0)+1</f>
        <v>#VALUE!</v>
      </c>
      <c r="BP363" s="226" t="n">
        <f aca="false">BP362+BV363</f>
        <v>362</v>
      </c>
      <c r="BQ363" s="227" t="s">
        <v>836</v>
      </c>
      <c r="BR363" s="224" t="s">
        <v>226</v>
      </c>
      <c r="BS363" s="154" t="s">
        <v>227</v>
      </c>
      <c r="BT363" s="230" t="s">
        <v>228</v>
      </c>
      <c r="BU363" s="230"/>
      <c r="BV363" s="154" t="n">
        <v>1</v>
      </c>
      <c r="BW363" s="224" t="s">
        <v>1259</v>
      </c>
      <c r="BX363" s="0"/>
    </row>
    <row r="364" customFormat="false" ht="12.75" hidden="false" customHeight="false" outlineLevel="0" collapsed="false">
      <c r="A364" s="258"/>
      <c r="B364" s="259" t="e">
        <f aca="false">NextMonth(B363)</f>
        <v>#VALUE!</v>
      </c>
      <c r="C364" s="215" t="n">
        <v>0.069978027416533</v>
      </c>
      <c r="I364" s="239"/>
      <c r="L364" s="215" t="n">
        <v>0.395</v>
      </c>
      <c r="M364" s="215" t="n">
        <v>0.395</v>
      </c>
      <c r="R364" s="261" t="e">
        <f aca="false">EOMONTH(R363,0)+1</f>
        <v>#VALUE!</v>
      </c>
      <c r="BP364" s="226" t="n">
        <f aca="false">BP363+BV364</f>
        <v>363</v>
      </c>
      <c r="BQ364" s="227" t="s">
        <v>840</v>
      </c>
      <c r="BR364" s="224" t="s">
        <v>226</v>
      </c>
      <c r="BS364" s="154" t="s">
        <v>227</v>
      </c>
      <c r="BT364" s="230" t="s">
        <v>228</v>
      </c>
      <c r="BU364" s="230"/>
      <c r="BV364" s="154" t="n">
        <v>1</v>
      </c>
      <c r="BW364" s="224" t="s">
        <v>1260</v>
      </c>
      <c r="BX364" s="0"/>
    </row>
    <row r="365" customFormat="false" ht="12.75" hidden="false" customHeight="false" outlineLevel="0" collapsed="false">
      <c r="A365" s="258"/>
      <c r="B365" s="259" t="e">
        <f aca="false">NextMonth(B364)</f>
        <v>#VALUE!</v>
      </c>
      <c r="C365" s="215" t="n">
        <v>0.069965786801477</v>
      </c>
      <c r="I365" s="239"/>
      <c r="L365" s="215" t="n">
        <v>0.461</v>
      </c>
      <c r="M365" s="215" t="n">
        <v>0.461</v>
      </c>
      <c r="R365" s="261" t="e">
        <f aca="false">EOMONTH(R364,0)+1</f>
        <v>#VALUE!</v>
      </c>
      <c r="BP365" s="226" t="n">
        <f aca="false">BP364+BV365</f>
        <v>364</v>
      </c>
      <c r="BQ365" s="227" t="s">
        <v>844</v>
      </c>
      <c r="BR365" s="224" t="s">
        <v>226</v>
      </c>
      <c r="BS365" s="154" t="s">
        <v>227</v>
      </c>
      <c r="BT365" s="230" t="s">
        <v>228</v>
      </c>
      <c r="BU365" s="230"/>
      <c r="BV365" s="154" t="n">
        <v>1</v>
      </c>
      <c r="BW365" s="224" t="s">
        <v>1261</v>
      </c>
      <c r="BX365" s="0"/>
    </row>
    <row r="366" customFormat="false" ht="12.75" hidden="false" customHeight="false" outlineLevel="0" collapsed="false">
      <c r="A366" s="258"/>
      <c r="B366" s="259" t="e">
        <f aca="false">NextMonth(B365)</f>
        <v>#VALUE!</v>
      </c>
      <c r="C366" s="215" t="n">
        <v>0.069953138165971</v>
      </c>
      <c r="I366" s="239"/>
      <c r="L366" s="215" t="n">
        <v>0.885</v>
      </c>
      <c r="M366" s="215" t="n">
        <v>0.885</v>
      </c>
      <c r="R366" s="261" t="e">
        <f aca="false">EOMONTH(R365,0)+1</f>
        <v>#VALUE!</v>
      </c>
      <c r="BP366" s="226" t="n">
        <f aca="false">BP365+BV366</f>
        <v>365</v>
      </c>
      <c r="BQ366" s="227" t="s">
        <v>848</v>
      </c>
      <c r="BR366" s="224" t="s">
        <v>226</v>
      </c>
      <c r="BS366" s="154" t="s">
        <v>227</v>
      </c>
      <c r="BT366" s="230" t="s">
        <v>228</v>
      </c>
      <c r="BU366" s="230"/>
      <c r="BV366" s="154" t="n">
        <v>1</v>
      </c>
      <c r="BW366" s="224" t="s">
        <v>1262</v>
      </c>
      <c r="BX366" s="0"/>
    </row>
    <row r="367" customFormat="false" ht="12.75" hidden="false" customHeight="false" outlineLevel="0" collapsed="false">
      <c r="A367" s="258"/>
      <c r="B367" s="259" t="e">
        <f aca="false">NextMonth(B366)</f>
        <v>#VALUE!</v>
      </c>
      <c r="C367" s="215" t="n">
        <v>0.069940897551016</v>
      </c>
      <c r="I367" s="239"/>
      <c r="L367" s="215" t="n">
        <v>1.31</v>
      </c>
      <c r="M367" s="215" t="n">
        <v>1.31</v>
      </c>
      <c r="R367" s="261" t="e">
        <f aca="false">EOMONTH(R366,0)+1</f>
        <v>#VALUE!</v>
      </c>
      <c r="BP367" s="226" t="n">
        <f aca="false">BP366+BV367</f>
        <v>366</v>
      </c>
      <c r="BQ367" s="227" t="s">
        <v>852</v>
      </c>
      <c r="BR367" s="224" t="s">
        <v>226</v>
      </c>
      <c r="BS367" s="154" t="s">
        <v>227</v>
      </c>
      <c r="BT367" s="230" t="s">
        <v>228</v>
      </c>
      <c r="BU367" s="230"/>
      <c r="BV367" s="154" t="n">
        <v>1</v>
      </c>
      <c r="BW367" s="224" t="s">
        <v>1263</v>
      </c>
      <c r="BX367" s="0"/>
    </row>
    <row r="368" customFormat="false" ht="12.75" hidden="false" customHeight="false" outlineLevel="0" collapsed="false">
      <c r="A368" s="258"/>
      <c r="B368" s="259" t="e">
        <f aca="false">NextMonth(B367)</f>
        <v>#VALUE!</v>
      </c>
      <c r="C368" s="215" t="n">
        <v>0.069928248915614</v>
      </c>
      <c r="I368" s="239"/>
      <c r="L368" s="215" t="n">
        <v>0</v>
      </c>
      <c r="M368" s="215" t="n">
        <v>0</v>
      </c>
      <c r="R368" s="261" t="e">
        <f aca="false">EOMONTH(R367,0)+1</f>
        <v>#VALUE!</v>
      </c>
      <c r="BP368" s="226" t="n">
        <f aca="false">BP367+BV368</f>
        <v>367</v>
      </c>
      <c r="BQ368" s="227" t="s">
        <v>856</v>
      </c>
      <c r="BR368" s="224" t="s">
        <v>226</v>
      </c>
      <c r="BS368" s="154" t="s">
        <v>227</v>
      </c>
      <c r="BT368" s="230" t="s">
        <v>228</v>
      </c>
      <c r="BU368" s="230"/>
      <c r="BV368" s="154" t="n">
        <v>1</v>
      </c>
      <c r="BW368" s="224" t="s">
        <v>1264</v>
      </c>
      <c r="BX368" s="0"/>
    </row>
    <row r="369" customFormat="false" ht="12.75" hidden="false" customHeight="false" outlineLevel="0" collapsed="false">
      <c r="A369" s="258"/>
      <c r="B369" s="259" t="e">
        <f aca="false">NextMonth(B368)</f>
        <v>#VALUE!</v>
      </c>
      <c r="C369" s="215" t="n">
        <v>0.069915600280264</v>
      </c>
      <c r="I369" s="239"/>
      <c r="L369" s="215" t="n">
        <v>0</v>
      </c>
      <c r="M369" s="215" t="n">
        <v>0</v>
      </c>
      <c r="R369" s="261" t="e">
        <f aca="false">EOMONTH(R368,0)+1</f>
        <v>#VALUE!</v>
      </c>
      <c r="BP369" s="226" t="n">
        <f aca="false">BP368+BV369</f>
        <v>368</v>
      </c>
      <c r="BQ369" s="227" t="s">
        <v>860</v>
      </c>
      <c r="BR369" s="224" t="s">
        <v>226</v>
      </c>
      <c r="BS369" s="154" t="s">
        <v>227</v>
      </c>
      <c r="BT369" s="230" t="s">
        <v>228</v>
      </c>
      <c r="BU369" s="230"/>
      <c r="BV369" s="154" t="n">
        <v>1</v>
      </c>
      <c r="BW369" s="224" t="s">
        <v>1265</v>
      </c>
      <c r="BX369" s="0"/>
    </row>
    <row r="370" customFormat="false" ht="12.75" hidden="false" customHeight="false" outlineLevel="0" collapsed="false">
      <c r="A370" s="258"/>
      <c r="B370" s="259" t="e">
        <f aca="false">NextMonth(B369)</f>
        <v>#VALUE!</v>
      </c>
      <c r="C370" s="215" t="n">
        <v>0.069904175706446</v>
      </c>
      <c r="I370" s="239"/>
      <c r="L370" s="215" t="n">
        <v>0</v>
      </c>
      <c r="M370" s="215" t="n">
        <v>0</v>
      </c>
      <c r="R370" s="261" t="e">
        <f aca="false">EOMONTH(R369,0)+1</f>
        <v>#VALUE!</v>
      </c>
      <c r="BP370" s="226" t="n">
        <f aca="false">BP369+BV370</f>
        <v>369</v>
      </c>
      <c r="BQ370" s="227" t="s">
        <v>864</v>
      </c>
      <c r="BR370" s="224" t="s">
        <v>226</v>
      </c>
      <c r="BS370" s="154" t="s">
        <v>227</v>
      </c>
      <c r="BT370" s="230" t="s">
        <v>228</v>
      </c>
      <c r="BU370" s="230"/>
      <c r="BV370" s="154" t="n">
        <v>1</v>
      </c>
      <c r="BW370" s="224" t="s">
        <v>1266</v>
      </c>
      <c r="BX370" s="0"/>
    </row>
    <row r="371" customFormat="false" ht="12.75" hidden="false" customHeight="false" outlineLevel="0" collapsed="false">
      <c r="A371" s="258"/>
      <c r="B371" s="259" t="e">
        <f aca="false">NextMonth(B370)</f>
        <v>#VALUE!</v>
      </c>
      <c r="C371" s="215" t="n">
        <v>0.069891527071198</v>
      </c>
      <c r="I371" s="239"/>
      <c r="L371" s="215" t="n">
        <v>0</v>
      </c>
      <c r="M371" s="215" t="n">
        <v>0</v>
      </c>
      <c r="R371" s="261" t="e">
        <f aca="false">EOMONTH(R370,0)+1</f>
        <v>#VALUE!</v>
      </c>
      <c r="BP371" s="226" t="n">
        <f aca="false">BP370+BV371</f>
        <v>370</v>
      </c>
      <c r="BQ371" s="227" t="s">
        <v>868</v>
      </c>
      <c r="BR371" s="224" t="s">
        <v>226</v>
      </c>
      <c r="BS371" s="154" t="s">
        <v>227</v>
      </c>
      <c r="BT371" s="230" t="s">
        <v>228</v>
      </c>
      <c r="BU371" s="230"/>
      <c r="BV371" s="154" t="n">
        <v>1</v>
      </c>
      <c r="BW371" s="224" t="s">
        <v>1267</v>
      </c>
      <c r="BX371" s="0"/>
    </row>
    <row r="372" customFormat="false" ht="12.75" hidden="false" customHeight="false" outlineLevel="0" collapsed="false">
      <c r="A372" s="258"/>
      <c r="B372" s="259" t="e">
        <f aca="false">NextMonth(B371)</f>
        <v>#VALUE!</v>
      </c>
      <c r="C372" s="215" t="n">
        <v>0.069879286456492</v>
      </c>
      <c r="I372" s="239"/>
      <c r="L372" s="215" t="n">
        <v>0</v>
      </c>
      <c r="M372" s="215" t="n">
        <v>0</v>
      </c>
      <c r="R372" s="261" t="e">
        <f aca="false">EOMONTH(R371,0)+1</f>
        <v>#VALUE!</v>
      </c>
      <c r="BP372" s="226" t="n">
        <f aca="false">BP371+BV372</f>
        <v>371</v>
      </c>
      <c r="BQ372" s="227" t="s">
        <v>872</v>
      </c>
      <c r="BR372" s="224" t="s">
        <v>226</v>
      </c>
      <c r="BS372" s="154" t="s">
        <v>227</v>
      </c>
      <c r="BT372" s="230" t="s">
        <v>228</v>
      </c>
      <c r="BU372" s="230"/>
      <c r="BV372" s="154" t="n">
        <v>1</v>
      </c>
      <c r="BW372" s="224" t="s">
        <v>1268</v>
      </c>
      <c r="BX372" s="0"/>
    </row>
    <row r="373" customFormat="false" ht="12.75" hidden="false" customHeight="false" outlineLevel="0" collapsed="false">
      <c r="A373" s="258"/>
      <c r="B373" s="259" t="e">
        <f aca="false">NextMonth(B372)</f>
        <v>#VALUE!</v>
      </c>
      <c r="C373" s="215" t="n">
        <v>0.069866637821347</v>
      </c>
      <c r="I373" s="239"/>
      <c r="L373" s="215" t="n">
        <v>0</v>
      </c>
      <c r="M373" s="215" t="n">
        <v>0</v>
      </c>
      <c r="R373" s="261" t="e">
        <f aca="false">EOMONTH(R372,0)+1</f>
        <v>#VALUE!</v>
      </c>
      <c r="BP373" s="226" t="n">
        <f aca="false">BP372+BV373</f>
        <v>372</v>
      </c>
      <c r="BQ373" s="227" t="s">
        <v>876</v>
      </c>
      <c r="BR373" s="224" t="s">
        <v>226</v>
      </c>
      <c r="BS373" s="154" t="s">
        <v>227</v>
      </c>
      <c r="BT373" s="230" t="s">
        <v>228</v>
      </c>
      <c r="BU373" s="230"/>
      <c r="BV373" s="154" t="n">
        <v>1</v>
      </c>
      <c r="BW373" s="224" t="s">
        <v>1269</v>
      </c>
      <c r="BX373" s="0"/>
    </row>
    <row r="374" customFormat="false" ht="12.75" hidden="false" customHeight="false" outlineLevel="0" collapsed="false">
      <c r="A374" s="258"/>
      <c r="B374" s="259" t="e">
        <f aca="false">NextMonth(B373)</f>
        <v>#VALUE!</v>
      </c>
      <c r="C374" s="215" t="n">
        <v>0.069854397206742</v>
      </c>
      <c r="I374" s="239"/>
      <c r="R374" s="261" t="e">
        <f aca="false">EOMONTH(R373,0)+1</f>
        <v>#VALUE!</v>
      </c>
      <c r="BP374" s="226" t="n">
        <f aca="false">BP373+BV374</f>
        <v>373</v>
      </c>
      <c r="BQ374" s="227" t="s">
        <v>880</v>
      </c>
      <c r="BR374" s="224" t="s">
        <v>226</v>
      </c>
      <c r="BS374" s="154" t="s">
        <v>227</v>
      </c>
      <c r="BT374" s="230" t="s">
        <v>228</v>
      </c>
      <c r="BU374" s="230"/>
      <c r="BV374" s="154" t="n">
        <v>1</v>
      </c>
      <c r="BW374" s="224" t="s">
        <v>1270</v>
      </c>
      <c r="BX374" s="0"/>
    </row>
    <row r="375" customFormat="false" ht="12.75" hidden="false" customHeight="false" outlineLevel="0" collapsed="false">
      <c r="A375" s="258"/>
      <c r="B375" s="259" t="e">
        <f aca="false">NextMonth(B374)</f>
        <v>#VALUE!</v>
      </c>
      <c r="C375" s="215" t="n">
        <v>0.069841748571702</v>
      </c>
      <c r="I375" s="239"/>
      <c r="R375" s="261" t="e">
        <f aca="false">EOMONTH(R374,0)+1</f>
        <v>#VALUE!</v>
      </c>
      <c r="BP375" s="226" t="n">
        <f aca="false">BP374+BV375</f>
        <v>374</v>
      </c>
      <c r="BQ375" s="227" t="s">
        <v>884</v>
      </c>
      <c r="BR375" s="224" t="s">
        <v>226</v>
      </c>
      <c r="BS375" s="154" t="s">
        <v>227</v>
      </c>
      <c r="BT375" s="230" t="s">
        <v>228</v>
      </c>
      <c r="BU375" s="230"/>
      <c r="BV375" s="154" t="n">
        <v>1</v>
      </c>
      <c r="BW375" s="224" t="s">
        <v>1271</v>
      </c>
      <c r="BX375" s="0"/>
    </row>
    <row r="376" customFormat="false" ht="12.75" hidden="false" customHeight="false" outlineLevel="0" collapsed="false">
      <c r="A376" s="258"/>
      <c r="B376" s="259" t="e">
        <f aca="false">NextMonth(B375)</f>
        <v>#VALUE!</v>
      </c>
      <c r="C376" s="215" t="n">
        <v>0.069829099936715</v>
      </c>
      <c r="I376" s="239"/>
      <c r="R376" s="261" t="e">
        <f aca="false">EOMONTH(R375,0)+1</f>
        <v>#VALUE!</v>
      </c>
      <c r="BP376" s="226" t="n">
        <f aca="false">BP375+BV376</f>
        <v>375</v>
      </c>
      <c r="BQ376" s="227" t="s">
        <v>888</v>
      </c>
      <c r="BR376" s="224" t="s">
        <v>226</v>
      </c>
      <c r="BS376" s="154" t="s">
        <v>227</v>
      </c>
      <c r="BT376" s="230" t="s">
        <v>228</v>
      </c>
      <c r="BU376" s="230"/>
      <c r="BV376" s="154" t="n">
        <v>1</v>
      </c>
      <c r="BW376" s="224" t="s">
        <v>1272</v>
      </c>
      <c r="BX376" s="0"/>
    </row>
    <row r="377" customFormat="false" ht="12.75" hidden="false" customHeight="false" outlineLevel="0" collapsed="false">
      <c r="A377" s="258"/>
      <c r="B377" s="259" t="e">
        <f aca="false">NextMonth(B376)</f>
        <v>#VALUE!</v>
      </c>
      <c r="C377" s="215" t="n">
        <v>0.069816859322262</v>
      </c>
      <c r="I377" s="239"/>
      <c r="R377" s="261" t="e">
        <f aca="false">EOMONTH(R376,0)+1</f>
        <v>#VALUE!</v>
      </c>
      <c r="BP377" s="226" t="n">
        <f aca="false">BP376+BV377</f>
        <v>376</v>
      </c>
      <c r="BQ377" s="227" t="s">
        <v>892</v>
      </c>
      <c r="BR377" s="224" t="s">
        <v>226</v>
      </c>
      <c r="BS377" s="154" t="s">
        <v>227</v>
      </c>
      <c r="BT377" s="230" t="s">
        <v>228</v>
      </c>
      <c r="BU377" s="230"/>
      <c r="BV377" s="154" t="n">
        <v>1</v>
      </c>
      <c r="BW377" s="224" t="s">
        <v>1273</v>
      </c>
      <c r="BX377" s="0"/>
    </row>
    <row r="378" customFormat="false" ht="12.75" hidden="false" customHeight="false" outlineLevel="0" collapsed="false">
      <c r="I378" s="239"/>
      <c r="R378" s="261" t="e">
        <f aca="false">EOMONTH(R377,0)+1</f>
        <v>#VALUE!</v>
      </c>
      <c r="BP378" s="226" t="n">
        <f aca="false">BP377+BV378</f>
        <v>377</v>
      </c>
      <c r="BQ378" s="227" t="s">
        <v>896</v>
      </c>
      <c r="BR378" s="224" t="s">
        <v>226</v>
      </c>
      <c r="BS378" s="154" t="s">
        <v>227</v>
      </c>
      <c r="BT378" s="230" t="s">
        <v>228</v>
      </c>
      <c r="BU378" s="230"/>
      <c r="BV378" s="154" t="n">
        <v>1</v>
      </c>
      <c r="BW378" s="224" t="s">
        <v>1274</v>
      </c>
      <c r="BX378" s="0"/>
    </row>
    <row r="379" customFormat="false" ht="12.75" hidden="false" customHeight="false" outlineLevel="0" collapsed="false">
      <c r="I379" s="239"/>
      <c r="R379" s="261" t="e">
        <f aca="false">EOMONTH(R378,0)+1</f>
        <v>#VALUE!</v>
      </c>
      <c r="BP379" s="226" t="n">
        <f aca="false">BP378+BV379</f>
        <v>378</v>
      </c>
      <c r="BQ379" s="227" t="s">
        <v>900</v>
      </c>
      <c r="BR379" s="224" t="s">
        <v>226</v>
      </c>
      <c r="BS379" s="154" t="s">
        <v>227</v>
      </c>
      <c r="BT379" s="230" t="s">
        <v>228</v>
      </c>
      <c r="BU379" s="230"/>
      <c r="BV379" s="154" t="n">
        <v>1</v>
      </c>
      <c r="BW379" s="224" t="s">
        <v>1275</v>
      </c>
      <c r="BX379" s="0"/>
    </row>
    <row r="380" customFormat="false" ht="12.75" hidden="false" customHeight="false" outlineLevel="0" collapsed="false">
      <c r="I380" s="239"/>
      <c r="R380" s="261" t="e">
        <f aca="false">EOMONTH(R379,0)+1</f>
        <v>#VALUE!</v>
      </c>
      <c r="BP380" s="226" t="n">
        <f aca="false">BP379+BV380</f>
        <v>379</v>
      </c>
      <c r="BQ380" s="227" t="s">
        <v>904</v>
      </c>
      <c r="BR380" s="224" t="s">
        <v>226</v>
      </c>
      <c r="BS380" s="154" t="s">
        <v>227</v>
      </c>
      <c r="BT380" s="230" t="s">
        <v>228</v>
      </c>
      <c r="BU380" s="230"/>
      <c r="BV380" s="154" t="n">
        <v>1</v>
      </c>
      <c r="BW380" s="224" t="s">
        <v>1276</v>
      </c>
      <c r="BX380" s="0"/>
    </row>
    <row r="381" customFormat="false" ht="12.75" hidden="false" customHeight="false" outlineLevel="0" collapsed="false">
      <c r="I381" s="239"/>
      <c r="R381" s="261" t="e">
        <f aca="false">EOMONTH(R380,0)+1</f>
        <v>#VALUE!</v>
      </c>
      <c r="BP381" s="226" t="n">
        <f aca="false">BP380+BV381</f>
        <v>380</v>
      </c>
      <c r="BQ381" s="227" t="s">
        <v>920</v>
      </c>
      <c r="BR381" s="224" t="s">
        <v>226</v>
      </c>
      <c r="BS381" s="154" t="s">
        <v>227</v>
      </c>
      <c r="BT381" s="230" t="s">
        <v>228</v>
      </c>
      <c r="BU381" s="230"/>
      <c r="BV381" s="154" t="n">
        <v>1</v>
      </c>
      <c r="BW381" s="224" t="s">
        <v>1277</v>
      </c>
      <c r="BX381" s="0"/>
    </row>
    <row r="382" customFormat="false" ht="12.75" hidden="false" customHeight="false" outlineLevel="0" collapsed="false">
      <c r="I382" s="239"/>
      <c r="R382" s="261" t="e">
        <f aca="false">EOMONTH(R381,0)+1</f>
        <v>#VALUE!</v>
      </c>
      <c r="BP382" s="226" t="n">
        <f aca="false">BP381+BV382</f>
        <v>381</v>
      </c>
      <c r="BQ382" s="227" t="s">
        <v>924</v>
      </c>
      <c r="BR382" s="224" t="s">
        <v>226</v>
      </c>
      <c r="BS382" s="154" t="s">
        <v>227</v>
      </c>
      <c r="BT382" s="230" t="s">
        <v>228</v>
      </c>
      <c r="BU382" s="230"/>
      <c r="BV382" s="154" t="n">
        <v>1</v>
      </c>
      <c r="BW382" s="224" t="s">
        <v>1278</v>
      </c>
      <c r="BX382" s="0"/>
    </row>
    <row r="383" customFormat="false" ht="12.75" hidden="false" customHeight="false" outlineLevel="0" collapsed="false">
      <c r="I383" s="239"/>
      <c r="R383" s="261" t="e">
        <f aca="false">EOMONTH(R382,0)+1</f>
        <v>#VALUE!</v>
      </c>
      <c r="BP383" s="226" t="n">
        <f aca="false">BP382+BV383</f>
        <v>382</v>
      </c>
      <c r="BQ383" s="227" t="s">
        <v>928</v>
      </c>
      <c r="BR383" s="224" t="s">
        <v>226</v>
      </c>
      <c r="BS383" s="154" t="s">
        <v>227</v>
      </c>
      <c r="BT383" s="230" t="s">
        <v>228</v>
      </c>
      <c r="BU383" s="230"/>
      <c r="BV383" s="154" t="n">
        <v>1</v>
      </c>
      <c r="BW383" s="224" t="s">
        <v>1279</v>
      </c>
      <c r="BX383" s="0"/>
    </row>
    <row r="384" customFormat="false" ht="12.75" hidden="false" customHeight="false" outlineLevel="0" collapsed="false">
      <c r="I384" s="239"/>
      <c r="R384" s="261" t="e">
        <f aca="false">EOMONTH(R383,0)+1</f>
        <v>#VALUE!</v>
      </c>
      <c r="BP384" s="226" t="n">
        <f aca="false">BP383+BV384</f>
        <v>383</v>
      </c>
      <c r="BQ384" s="227" t="s">
        <v>932</v>
      </c>
      <c r="BR384" s="224" t="s">
        <v>226</v>
      </c>
      <c r="BS384" s="154" t="s">
        <v>227</v>
      </c>
      <c r="BT384" s="230" t="s">
        <v>228</v>
      </c>
      <c r="BU384" s="230"/>
      <c r="BV384" s="154" t="n">
        <v>1</v>
      </c>
      <c r="BW384" s="224" t="s">
        <v>1280</v>
      </c>
      <c r="BX384" s="0"/>
    </row>
    <row r="385" customFormat="false" ht="12.75" hidden="false" customHeight="false" outlineLevel="0" collapsed="false">
      <c r="I385" s="239"/>
      <c r="R385" s="261" t="e">
        <f aca="false">EOMONTH(R384,0)+1</f>
        <v>#VALUE!</v>
      </c>
      <c r="BP385" s="226" t="n">
        <f aca="false">BP384+BV385</f>
        <v>384</v>
      </c>
      <c r="BQ385" s="227" t="s">
        <v>936</v>
      </c>
      <c r="BR385" s="224" t="s">
        <v>226</v>
      </c>
      <c r="BS385" s="154" t="s">
        <v>227</v>
      </c>
      <c r="BT385" s="230" t="s">
        <v>228</v>
      </c>
      <c r="BU385" s="230"/>
      <c r="BV385" s="154" t="n">
        <v>1</v>
      </c>
      <c r="BW385" s="224" t="s">
        <v>1281</v>
      </c>
      <c r="BX385" s="0"/>
    </row>
    <row r="386" customFormat="false" ht="12.75" hidden="false" customHeight="false" outlineLevel="0" collapsed="false">
      <c r="I386" s="239"/>
      <c r="R386" s="261" t="e">
        <f aca="false">EOMONTH(R385,0)+1</f>
        <v>#VALUE!</v>
      </c>
      <c r="BP386" s="226" t="n">
        <f aca="false">BP385+BV386</f>
        <v>385</v>
      </c>
      <c r="BQ386" s="227" t="s">
        <v>940</v>
      </c>
      <c r="BR386" s="224" t="s">
        <v>226</v>
      </c>
      <c r="BS386" s="154" t="s">
        <v>227</v>
      </c>
      <c r="BT386" s="230" t="s">
        <v>228</v>
      </c>
      <c r="BU386" s="230"/>
      <c r="BV386" s="154" t="n">
        <v>1</v>
      </c>
      <c r="BW386" s="224" t="s">
        <v>1282</v>
      </c>
      <c r="BX386" s="0"/>
    </row>
    <row r="387" customFormat="false" ht="12.75" hidden="false" customHeight="false" outlineLevel="0" collapsed="false">
      <c r="I387" s="239"/>
      <c r="R387" s="261" t="e">
        <f aca="false">EOMONTH(R386,0)+1</f>
        <v>#VALUE!</v>
      </c>
      <c r="BP387" s="226" t="n">
        <f aca="false">BP386+BV387</f>
        <v>386</v>
      </c>
      <c r="BQ387" s="227" t="s">
        <v>944</v>
      </c>
      <c r="BR387" s="224" t="s">
        <v>226</v>
      </c>
      <c r="BS387" s="154" t="s">
        <v>227</v>
      </c>
      <c r="BT387" s="230" t="s">
        <v>228</v>
      </c>
      <c r="BU387" s="230"/>
      <c r="BV387" s="154" t="n">
        <v>1</v>
      </c>
      <c r="BW387" s="224" t="s">
        <v>1283</v>
      </c>
      <c r="BX387" s="0"/>
    </row>
    <row r="388" customFormat="false" ht="12.75" hidden="false" customHeight="false" outlineLevel="0" collapsed="false">
      <c r="I388" s="239"/>
      <c r="R388" s="261" t="e">
        <f aca="false">EOMONTH(R387,0)+1</f>
        <v>#VALUE!</v>
      </c>
      <c r="BP388" s="226" t="n">
        <f aca="false">BP387+BV388</f>
        <v>387</v>
      </c>
      <c r="BQ388" s="227" t="s">
        <v>948</v>
      </c>
      <c r="BR388" s="224" t="s">
        <v>226</v>
      </c>
      <c r="BS388" s="154" t="s">
        <v>227</v>
      </c>
      <c r="BT388" s="230" t="s">
        <v>228</v>
      </c>
      <c r="BU388" s="230"/>
      <c r="BV388" s="154" t="n">
        <v>1</v>
      </c>
      <c r="BW388" s="224" t="s">
        <v>1284</v>
      </c>
      <c r="BX388" s="0"/>
    </row>
    <row r="389" customFormat="false" ht="12.75" hidden="false" customHeight="false" outlineLevel="0" collapsed="false">
      <c r="I389" s="239"/>
      <c r="R389" s="261" t="e">
        <f aca="false">EOMONTH(R388,0)+1</f>
        <v>#VALUE!</v>
      </c>
      <c r="BP389" s="226" t="n">
        <f aca="false">BP388+BV389</f>
        <v>388</v>
      </c>
      <c r="BQ389" s="227" t="s">
        <v>952</v>
      </c>
      <c r="BR389" s="224" t="s">
        <v>226</v>
      </c>
      <c r="BS389" s="154" t="s">
        <v>227</v>
      </c>
      <c r="BT389" s="230" t="s">
        <v>228</v>
      </c>
      <c r="BU389" s="230"/>
      <c r="BV389" s="154" t="n">
        <v>1</v>
      </c>
      <c r="BW389" s="224" t="s">
        <v>1285</v>
      </c>
      <c r="BX389" s="0"/>
    </row>
    <row r="390" customFormat="false" ht="12.75" hidden="false" customHeight="false" outlineLevel="0" collapsed="false">
      <c r="I390" s="239"/>
      <c r="R390" s="261" t="e">
        <f aca="false">EOMONTH(R389,0)+1</f>
        <v>#VALUE!</v>
      </c>
      <c r="BP390" s="226" t="n">
        <f aca="false">BP389+BV390</f>
        <v>389</v>
      </c>
      <c r="BQ390" s="227" t="s">
        <v>956</v>
      </c>
      <c r="BR390" s="224" t="s">
        <v>226</v>
      </c>
      <c r="BS390" s="154" t="s">
        <v>227</v>
      </c>
      <c r="BT390" s="230" t="s">
        <v>228</v>
      </c>
      <c r="BU390" s="230"/>
      <c r="BV390" s="154" t="n">
        <v>1</v>
      </c>
      <c r="BW390" s="224" t="s">
        <v>1286</v>
      </c>
      <c r="BX390" s="0"/>
    </row>
    <row r="391" customFormat="false" ht="12.75" hidden="false" customHeight="false" outlineLevel="0" collapsed="false">
      <c r="I391" s="239"/>
      <c r="R391" s="261" t="e">
        <f aca="false">EOMONTH(R390,0)+1</f>
        <v>#VALUE!</v>
      </c>
      <c r="BP391" s="226" t="n">
        <f aca="false">BP390+BV391</f>
        <v>390</v>
      </c>
      <c r="BQ391" s="227" t="s">
        <v>960</v>
      </c>
      <c r="BR391" s="224" t="s">
        <v>226</v>
      </c>
      <c r="BS391" s="154" t="s">
        <v>227</v>
      </c>
      <c r="BT391" s="230" t="s">
        <v>228</v>
      </c>
      <c r="BU391" s="230"/>
      <c r="BV391" s="154" t="n">
        <v>1</v>
      </c>
      <c r="BW391" s="224" t="s">
        <v>1287</v>
      </c>
      <c r="BX391" s="0"/>
    </row>
    <row r="392" customFormat="false" ht="12.75" hidden="false" customHeight="false" outlineLevel="0" collapsed="false">
      <c r="I392" s="239"/>
      <c r="R392" s="261" t="e">
        <f aca="false">EOMONTH(R391,0)+1</f>
        <v>#VALUE!</v>
      </c>
      <c r="BP392" s="226" t="n">
        <f aca="false">BP391+BV392</f>
        <v>391</v>
      </c>
      <c r="BQ392" s="227" t="s">
        <v>964</v>
      </c>
      <c r="BR392" s="224" t="s">
        <v>226</v>
      </c>
      <c r="BS392" s="154" t="s">
        <v>227</v>
      </c>
      <c r="BT392" s="230" t="s">
        <v>228</v>
      </c>
      <c r="BU392" s="230"/>
      <c r="BV392" s="154" t="n">
        <v>1</v>
      </c>
      <c r="BW392" s="224" t="s">
        <v>1288</v>
      </c>
      <c r="BX392" s="0"/>
    </row>
    <row r="393" customFormat="false" ht="12.75" hidden="false" customHeight="false" outlineLevel="0" collapsed="false">
      <c r="I393" s="239"/>
      <c r="R393" s="261" t="e">
        <f aca="false">EOMONTH(R392,0)+1</f>
        <v>#VALUE!</v>
      </c>
      <c r="BP393" s="226" t="n">
        <f aca="false">BP392+BV393</f>
        <v>392</v>
      </c>
      <c r="BQ393" s="227" t="s">
        <v>968</v>
      </c>
      <c r="BR393" s="224" t="s">
        <v>226</v>
      </c>
      <c r="BS393" s="154" t="s">
        <v>227</v>
      </c>
      <c r="BT393" s="230" t="s">
        <v>228</v>
      </c>
      <c r="BU393" s="230"/>
      <c r="BV393" s="154" t="n">
        <v>1</v>
      </c>
      <c r="BW393" s="224" t="s">
        <v>1289</v>
      </c>
      <c r="BX393" s="0"/>
    </row>
    <row r="394" customFormat="false" ht="12.75" hidden="false" customHeight="false" outlineLevel="0" collapsed="false">
      <c r="I394" s="239"/>
      <c r="R394" s="261" t="e">
        <f aca="false">EOMONTH(R393,0)+1</f>
        <v>#VALUE!</v>
      </c>
      <c r="BP394" s="226" t="n">
        <f aca="false">BP393+BV394</f>
        <v>393</v>
      </c>
      <c r="BQ394" s="227" t="s">
        <v>972</v>
      </c>
      <c r="BR394" s="224" t="s">
        <v>226</v>
      </c>
      <c r="BS394" s="154" t="s">
        <v>227</v>
      </c>
      <c r="BT394" s="230" t="s">
        <v>228</v>
      </c>
      <c r="BU394" s="230"/>
      <c r="BV394" s="154" t="n">
        <v>1</v>
      </c>
      <c r="BW394" s="224" t="s">
        <v>1290</v>
      </c>
      <c r="BX394" s="0"/>
    </row>
    <row r="395" customFormat="false" ht="12.75" hidden="false" customHeight="false" outlineLevel="0" collapsed="false">
      <c r="I395" s="239"/>
      <c r="R395" s="261" t="e">
        <f aca="false">EOMONTH(R394,0)+1</f>
        <v>#VALUE!</v>
      </c>
      <c r="BP395" s="226" t="n">
        <f aca="false">BP394+BV395</f>
        <v>394</v>
      </c>
      <c r="BQ395" s="227" t="s">
        <v>976</v>
      </c>
      <c r="BR395" s="224" t="s">
        <v>226</v>
      </c>
      <c r="BS395" s="154" t="s">
        <v>227</v>
      </c>
      <c r="BT395" s="230" t="s">
        <v>228</v>
      </c>
      <c r="BU395" s="230"/>
      <c r="BV395" s="154" t="n">
        <v>1</v>
      </c>
      <c r="BW395" s="224" t="s">
        <v>1291</v>
      </c>
      <c r="BX395" s="0"/>
    </row>
    <row r="396" customFormat="false" ht="12.75" hidden="false" customHeight="false" outlineLevel="0" collapsed="false">
      <c r="I396" s="239"/>
      <c r="R396" s="261" t="e">
        <f aca="false">EOMONTH(R395,0)+1</f>
        <v>#VALUE!</v>
      </c>
      <c r="BP396" s="226" t="n">
        <f aca="false">BP395+BV396</f>
        <v>395</v>
      </c>
      <c r="BQ396" s="227" t="s">
        <v>980</v>
      </c>
      <c r="BR396" s="224" t="s">
        <v>226</v>
      </c>
      <c r="BS396" s="154" t="s">
        <v>227</v>
      </c>
      <c r="BT396" s="230" t="s">
        <v>228</v>
      </c>
      <c r="BU396" s="230"/>
      <c r="BV396" s="154" t="n">
        <v>1</v>
      </c>
      <c r="BW396" s="224" t="s">
        <v>1292</v>
      </c>
      <c r="BX396" s="0"/>
    </row>
    <row r="397" customFormat="false" ht="12.75" hidden="false" customHeight="false" outlineLevel="0" collapsed="false">
      <c r="I397" s="239"/>
      <c r="R397" s="261" t="e">
        <f aca="false">EOMONTH(R396,0)+1</f>
        <v>#VALUE!</v>
      </c>
      <c r="BP397" s="226" t="n">
        <f aca="false">BP396+BV397</f>
        <v>396</v>
      </c>
      <c r="BQ397" s="227" t="s">
        <v>984</v>
      </c>
      <c r="BR397" s="224" t="s">
        <v>226</v>
      </c>
      <c r="BS397" s="154" t="s">
        <v>227</v>
      </c>
      <c r="BT397" s="230" t="s">
        <v>228</v>
      </c>
      <c r="BU397" s="230"/>
      <c r="BV397" s="154" t="n">
        <v>1</v>
      </c>
      <c r="BW397" s="224" t="s">
        <v>1293</v>
      </c>
      <c r="BX397" s="0"/>
    </row>
    <row r="398" customFormat="false" ht="12.75" hidden="false" customHeight="false" outlineLevel="0" collapsed="false">
      <c r="I398" s="239"/>
      <c r="R398" s="261" t="e">
        <f aca="false">EOMONTH(R397,0)+1</f>
        <v>#VALUE!</v>
      </c>
      <c r="BP398" s="226" t="n">
        <f aca="false">BP397+BV398</f>
        <v>397</v>
      </c>
      <c r="BQ398" s="227" t="s">
        <v>988</v>
      </c>
      <c r="BR398" s="224" t="s">
        <v>226</v>
      </c>
      <c r="BS398" s="154" t="s">
        <v>227</v>
      </c>
      <c r="BT398" s="230" t="s">
        <v>228</v>
      </c>
      <c r="BU398" s="230"/>
      <c r="BV398" s="154" t="n">
        <v>1</v>
      </c>
      <c r="BW398" s="224" t="s">
        <v>1294</v>
      </c>
      <c r="BX398" s="0"/>
    </row>
    <row r="399" customFormat="false" ht="12.75" hidden="false" customHeight="false" outlineLevel="0" collapsed="false">
      <c r="I399" s="239"/>
      <c r="BP399" s="226" t="n">
        <f aca="false">BP398+BV399</f>
        <v>398</v>
      </c>
      <c r="BQ399" s="227" t="s">
        <v>992</v>
      </c>
      <c r="BR399" s="224" t="s">
        <v>226</v>
      </c>
      <c r="BS399" s="154" t="s">
        <v>227</v>
      </c>
      <c r="BT399" s="230" t="s">
        <v>228</v>
      </c>
      <c r="BU399" s="230"/>
      <c r="BV399" s="154" t="n">
        <v>1</v>
      </c>
      <c r="BW399" s="224" t="s">
        <v>1295</v>
      </c>
      <c r="BX399" s="0"/>
    </row>
    <row r="400" customFormat="false" ht="12.75" hidden="false" customHeight="false" outlineLevel="0" collapsed="false">
      <c r="I400" s="239"/>
      <c r="BP400" s="226" t="n">
        <f aca="false">BP399+BV400</f>
        <v>399</v>
      </c>
      <c r="BQ400" s="227" t="s">
        <v>996</v>
      </c>
      <c r="BR400" s="224" t="s">
        <v>226</v>
      </c>
      <c r="BS400" s="154" t="s">
        <v>227</v>
      </c>
      <c r="BT400" s="230" t="s">
        <v>228</v>
      </c>
      <c r="BU400" s="230"/>
      <c r="BV400" s="154" t="n">
        <v>1</v>
      </c>
      <c r="BW400" s="224" t="s">
        <v>1296</v>
      </c>
      <c r="BX400" s="0"/>
    </row>
    <row r="401" customFormat="false" ht="12.75" hidden="false" customHeight="false" outlineLevel="0" collapsed="false">
      <c r="I401" s="239"/>
      <c r="BP401" s="226" t="n">
        <f aca="false">BP400+BV401</f>
        <v>400</v>
      </c>
      <c r="BQ401" s="227" t="s">
        <v>1000</v>
      </c>
      <c r="BR401" s="224" t="s">
        <v>226</v>
      </c>
      <c r="BS401" s="154" t="s">
        <v>227</v>
      </c>
      <c r="BT401" s="230" t="s">
        <v>228</v>
      </c>
      <c r="BU401" s="230"/>
      <c r="BV401" s="154" t="n">
        <v>1</v>
      </c>
      <c r="BW401" s="224" t="s">
        <v>1297</v>
      </c>
      <c r="BX401" s="0"/>
    </row>
    <row r="402" customFormat="false" ht="12.75" hidden="false" customHeight="false" outlineLevel="0" collapsed="false">
      <c r="I402" s="239"/>
      <c r="BP402" s="226" t="n">
        <f aca="false">BP401+BV402</f>
        <v>401</v>
      </c>
      <c r="BQ402" s="227" t="s">
        <v>1298</v>
      </c>
      <c r="BR402" s="224" t="s">
        <v>226</v>
      </c>
      <c r="BS402" s="154" t="s">
        <v>227</v>
      </c>
      <c r="BT402" s="230" t="s">
        <v>228</v>
      </c>
      <c r="BU402" s="230"/>
      <c r="BV402" s="154" t="n">
        <v>1</v>
      </c>
      <c r="BW402" s="224" t="s">
        <v>1299</v>
      </c>
      <c r="BX402" s="0"/>
    </row>
    <row r="403" customFormat="false" ht="12.75" hidden="false" customHeight="false" outlineLevel="0" collapsed="false">
      <c r="I403" s="239"/>
      <c r="BP403" s="226" t="n">
        <f aca="false">BP402+BV403</f>
        <v>402</v>
      </c>
      <c r="BQ403" s="227" t="s">
        <v>1004</v>
      </c>
      <c r="BR403" s="224" t="s">
        <v>226</v>
      </c>
      <c r="BS403" s="154" t="s">
        <v>227</v>
      </c>
      <c r="BT403" s="230" t="s">
        <v>228</v>
      </c>
      <c r="BU403" s="230"/>
      <c r="BV403" s="154" t="n">
        <v>1</v>
      </c>
      <c r="BW403" s="224" t="s">
        <v>1300</v>
      </c>
      <c r="BX403" s="0"/>
    </row>
    <row r="404" customFormat="false" ht="12.75" hidden="false" customHeight="false" outlineLevel="0" collapsed="false">
      <c r="I404" s="239"/>
      <c r="BP404" s="226" t="n">
        <f aca="false">BP403+BV404</f>
        <v>403</v>
      </c>
      <c r="BQ404" s="227" t="s">
        <v>1008</v>
      </c>
      <c r="BR404" s="224" t="s">
        <v>226</v>
      </c>
      <c r="BS404" s="154" t="s">
        <v>227</v>
      </c>
      <c r="BT404" s="230" t="s">
        <v>228</v>
      </c>
      <c r="BU404" s="230"/>
      <c r="BV404" s="154" t="n">
        <v>1</v>
      </c>
      <c r="BW404" s="224" t="s">
        <v>1301</v>
      </c>
      <c r="BX404" s="0"/>
    </row>
    <row r="405" customFormat="false" ht="12.75" hidden="false" customHeight="false" outlineLevel="0" collapsed="false">
      <c r="I405" s="239"/>
      <c r="BP405" s="226" t="n">
        <f aca="false">BP404+BV405</f>
        <v>404</v>
      </c>
      <c r="BQ405" s="227" t="s">
        <v>1302</v>
      </c>
      <c r="BR405" s="224" t="s">
        <v>226</v>
      </c>
      <c r="BS405" s="154" t="s">
        <v>227</v>
      </c>
      <c r="BT405" s="230" t="s">
        <v>228</v>
      </c>
      <c r="BU405" s="230"/>
      <c r="BV405" s="154" t="n">
        <v>1</v>
      </c>
      <c r="BW405" s="224" t="s">
        <v>1303</v>
      </c>
      <c r="BX405" s="0"/>
    </row>
    <row r="406" customFormat="false" ht="12.75" hidden="false" customHeight="false" outlineLevel="0" collapsed="false">
      <c r="I406" s="239"/>
      <c r="BP406" s="226" t="n">
        <f aca="false">BP405+BV406</f>
        <v>405</v>
      </c>
      <c r="BQ406" s="227" t="s">
        <v>1012</v>
      </c>
      <c r="BR406" s="224" t="s">
        <v>226</v>
      </c>
      <c r="BS406" s="154" t="s">
        <v>227</v>
      </c>
      <c r="BT406" s="230" t="s">
        <v>228</v>
      </c>
      <c r="BU406" s="230"/>
      <c r="BV406" s="154" t="n">
        <v>1</v>
      </c>
      <c r="BW406" s="224" t="s">
        <v>1304</v>
      </c>
      <c r="BX406" s="0"/>
    </row>
    <row r="407" customFormat="false" ht="12.75" hidden="false" customHeight="false" outlineLevel="0" collapsed="false">
      <c r="I407" s="239"/>
      <c r="BP407" s="226" t="n">
        <f aca="false">BP406+BV407</f>
        <v>406</v>
      </c>
      <c r="BQ407" s="227" t="s">
        <v>1016</v>
      </c>
      <c r="BR407" s="224" t="s">
        <v>226</v>
      </c>
      <c r="BS407" s="154" t="s">
        <v>227</v>
      </c>
      <c r="BT407" s="230" t="s">
        <v>228</v>
      </c>
      <c r="BU407" s="230"/>
      <c r="BV407" s="154" t="n">
        <v>1</v>
      </c>
      <c r="BW407" s="224" t="s">
        <v>1305</v>
      </c>
      <c r="BX407" s="0"/>
    </row>
    <row r="408" customFormat="false" ht="12.75" hidden="false" customHeight="false" outlineLevel="0" collapsed="false">
      <c r="I408" s="239"/>
      <c r="BP408" s="226" t="n">
        <f aca="false">BP407+BV408</f>
        <v>407</v>
      </c>
      <c r="BQ408" s="227" t="s">
        <v>1306</v>
      </c>
      <c r="BR408" s="224" t="s">
        <v>226</v>
      </c>
      <c r="BS408" s="154" t="s">
        <v>227</v>
      </c>
      <c r="BT408" s="230" t="s">
        <v>228</v>
      </c>
      <c r="BU408" s="230"/>
      <c r="BV408" s="154" t="n">
        <v>1</v>
      </c>
      <c r="BW408" s="224" t="s">
        <v>1307</v>
      </c>
      <c r="BX408" s="0"/>
    </row>
    <row r="409" customFormat="false" ht="12.75" hidden="false" customHeight="false" outlineLevel="0" collapsed="false">
      <c r="I409" s="239"/>
      <c r="BP409" s="226" t="n">
        <f aca="false">BP408+BV409</f>
        <v>408</v>
      </c>
      <c r="BQ409" s="227" t="s">
        <v>1020</v>
      </c>
      <c r="BR409" s="224" t="s">
        <v>226</v>
      </c>
      <c r="BS409" s="154" t="s">
        <v>227</v>
      </c>
      <c r="BT409" s="230" t="s">
        <v>228</v>
      </c>
      <c r="BU409" s="230"/>
      <c r="BV409" s="154" t="n">
        <v>1</v>
      </c>
      <c r="BW409" s="224" t="s">
        <v>1308</v>
      </c>
      <c r="BX409" s="0"/>
    </row>
    <row r="410" customFormat="false" ht="12" hidden="false" customHeight="false" outlineLevel="0" collapsed="false">
      <c r="I410" s="239"/>
    </row>
    <row r="411" customFormat="false" ht="12" hidden="false" customHeight="false" outlineLevel="0" collapsed="false">
      <c r="I411" s="239"/>
    </row>
    <row r="412" customFormat="false" ht="12" hidden="false" customHeight="false" outlineLevel="0" collapsed="false">
      <c r="I412" s="239"/>
    </row>
    <row r="413" customFormat="false" ht="12" hidden="false" customHeight="false" outlineLevel="0" collapsed="false">
      <c r="I413" s="239"/>
    </row>
    <row r="414" customFormat="false" ht="12" hidden="false" customHeight="false" outlineLevel="0" collapsed="false">
      <c r="I414" s="239"/>
    </row>
    <row r="415" customFormat="false" ht="12" hidden="false" customHeight="false" outlineLevel="0" collapsed="false">
      <c r="I415" s="239"/>
    </row>
    <row r="416" customFormat="false" ht="12" hidden="false" customHeight="false" outlineLevel="0" collapsed="false">
      <c r="I416" s="239"/>
    </row>
    <row r="417" customFormat="false" ht="12" hidden="false" customHeight="false" outlineLevel="0" collapsed="false">
      <c r="I417" s="239"/>
    </row>
    <row r="418" customFormat="false" ht="12" hidden="false" customHeight="false" outlineLevel="0" collapsed="false">
      <c r="I418" s="239"/>
    </row>
    <row r="419" customFormat="false" ht="12" hidden="false" customHeight="false" outlineLevel="0" collapsed="false">
      <c r="I419" s="239"/>
    </row>
    <row r="420" customFormat="false" ht="12" hidden="false" customHeight="false" outlineLevel="0" collapsed="false">
      <c r="I420" s="239"/>
    </row>
    <row r="421" customFormat="false" ht="12" hidden="false" customHeight="false" outlineLevel="0" collapsed="false">
      <c r="I421" s="239"/>
    </row>
    <row r="422" customFormat="false" ht="12" hidden="false" customHeight="false" outlineLevel="0" collapsed="false">
      <c r="I422" s="239"/>
    </row>
    <row r="423" customFormat="false" ht="12" hidden="false" customHeight="false" outlineLevel="0" collapsed="false">
      <c r="I423" s="239"/>
    </row>
    <row r="424" customFormat="false" ht="12" hidden="false" customHeight="false" outlineLevel="0" collapsed="false">
      <c r="I424" s="239"/>
    </row>
    <row r="425" customFormat="false" ht="12" hidden="false" customHeight="false" outlineLevel="0" collapsed="false">
      <c r="I425" s="239"/>
    </row>
    <row r="426" customFormat="false" ht="12" hidden="false" customHeight="false" outlineLevel="0" collapsed="false">
      <c r="I426" s="239"/>
    </row>
    <row r="427" customFormat="false" ht="12" hidden="false" customHeight="false" outlineLevel="0" collapsed="false">
      <c r="I427" s="239"/>
    </row>
    <row r="428" customFormat="false" ht="12" hidden="false" customHeight="false" outlineLevel="0" collapsed="false">
      <c r="I428" s="239"/>
    </row>
    <row r="429" customFormat="false" ht="12" hidden="false" customHeight="false" outlineLevel="0" collapsed="false">
      <c r="I429" s="239"/>
    </row>
    <row r="430" customFormat="false" ht="12" hidden="false" customHeight="false" outlineLevel="0" collapsed="false">
      <c r="I430" s="239"/>
    </row>
    <row r="431" customFormat="false" ht="12" hidden="false" customHeight="false" outlineLevel="0" collapsed="false">
      <c r="I431" s="239"/>
    </row>
    <row r="432" customFormat="false" ht="12" hidden="false" customHeight="false" outlineLevel="0" collapsed="false">
      <c r="I432" s="239"/>
    </row>
    <row r="433" customFormat="false" ht="12" hidden="false" customHeight="false" outlineLevel="0" collapsed="false">
      <c r="I433" s="239"/>
    </row>
    <row r="434" customFormat="false" ht="12" hidden="false" customHeight="false" outlineLevel="0" collapsed="false">
      <c r="I434" s="239"/>
    </row>
    <row r="435" customFormat="false" ht="12" hidden="false" customHeight="false" outlineLevel="0" collapsed="false">
      <c r="I435" s="239"/>
    </row>
    <row r="436" customFormat="false" ht="12" hidden="false" customHeight="false" outlineLevel="0" collapsed="false">
      <c r="I436" s="239"/>
    </row>
    <row r="437" customFormat="false" ht="12" hidden="false" customHeight="false" outlineLevel="0" collapsed="false">
      <c r="I437" s="239"/>
    </row>
    <row r="438" customFormat="false" ht="12" hidden="false" customHeight="false" outlineLevel="0" collapsed="false">
      <c r="I438" s="239"/>
    </row>
    <row r="439" customFormat="false" ht="12" hidden="false" customHeight="false" outlineLevel="0" collapsed="false">
      <c r="I439" s="239"/>
    </row>
    <row r="440" customFormat="false" ht="12" hidden="false" customHeight="false" outlineLevel="0" collapsed="false">
      <c r="I440" s="239"/>
    </row>
    <row r="441" customFormat="false" ht="12" hidden="false" customHeight="false" outlineLevel="0" collapsed="false">
      <c r="I441" s="239"/>
    </row>
    <row r="442" customFormat="false" ht="12" hidden="false" customHeight="false" outlineLevel="0" collapsed="false">
      <c r="I442" s="239"/>
    </row>
    <row r="443" customFormat="false" ht="12" hidden="false" customHeight="false" outlineLevel="0" collapsed="false">
      <c r="I443" s="239"/>
    </row>
    <row r="444" customFormat="false" ht="12" hidden="false" customHeight="false" outlineLevel="0" collapsed="false">
      <c r="I444" s="239"/>
    </row>
    <row r="445" customFormat="false" ht="12" hidden="false" customHeight="false" outlineLevel="0" collapsed="false">
      <c r="I445" s="239"/>
    </row>
    <row r="446" customFormat="false" ht="12" hidden="false" customHeight="false" outlineLevel="0" collapsed="false">
      <c r="I446" s="239"/>
    </row>
    <row r="447" customFormat="false" ht="12" hidden="false" customHeight="false" outlineLevel="0" collapsed="false">
      <c r="I447" s="239"/>
    </row>
    <row r="448" customFormat="false" ht="12" hidden="false" customHeight="false" outlineLevel="0" collapsed="false">
      <c r="I448" s="239"/>
    </row>
    <row r="449" customFormat="false" ht="12" hidden="false" customHeight="false" outlineLevel="0" collapsed="false">
      <c r="I449" s="239"/>
    </row>
    <row r="450" customFormat="false" ht="12" hidden="false" customHeight="false" outlineLevel="0" collapsed="false">
      <c r="I450" s="239"/>
    </row>
    <row r="451" customFormat="false" ht="12" hidden="false" customHeight="false" outlineLevel="0" collapsed="false">
      <c r="I451" s="239"/>
    </row>
    <row r="452" customFormat="false" ht="12" hidden="false" customHeight="false" outlineLevel="0" collapsed="false">
      <c r="I452" s="239"/>
    </row>
    <row r="453" customFormat="false" ht="12" hidden="false" customHeight="false" outlineLevel="0" collapsed="false">
      <c r="I453" s="239"/>
    </row>
    <row r="454" customFormat="false" ht="12" hidden="false" customHeight="false" outlineLevel="0" collapsed="false">
      <c r="I454" s="239"/>
    </row>
    <row r="455" customFormat="false" ht="12" hidden="false" customHeight="false" outlineLevel="0" collapsed="false">
      <c r="I455" s="239"/>
    </row>
    <row r="456" customFormat="false" ht="12" hidden="false" customHeight="false" outlineLevel="0" collapsed="false">
      <c r="I456" s="239"/>
    </row>
    <row r="457" customFormat="false" ht="12" hidden="false" customHeight="false" outlineLevel="0" collapsed="false">
      <c r="I457" s="239"/>
    </row>
    <row r="458" customFormat="false" ht="12" hidden="false" customHeight="false" outlineLevel="0" collapsed="false">
      <c r="I458" s="239"/>
    </row>
    <row r="459" customFormat="false" ht="12" hidden="false" customHeight="false" outlineLevel="0" collapsed="false">
      <c r="I459" s="239"/>
    </row>
    <row r="460" customFormat="false" ht="12" hidden="false" customHeight="false" outlineLevel="0" collapsed="false">
      <c r="I460" s="239"/>
    </row>
    <row r="461" customFormat="false" ht="12" hidden="false" customHeight="false" outlineLevel="0" collapsed="false">
      <c r="I461" s="239"/>
    </row>
    <row r="462" customFormat="false" ht="12" hidden="false" customHeight="false" outlineLevel="0" collapsed="false">
      <c r="I462" s="239"/>
    </row>
    <row r="463" customFormat="false" ht="12" hidden="false" customHeight="false" outlineLevel="0" collapsed="false">
      <c r="I463" s="239"/>
    </row>
    <row r="464" customFormat="false" ht="12" hidden="false" customHeight="false" outlineLevel="0" collapsed="false">
      <c r="I464" s="239"/>
    </row>
    <row r="465" customFormat="false" ht="12" hidden="false" customHeight="false" outlineLevel="0" collapsed="false">
      <c r="I465" s="239"/>
    </row>
    <row r="466" customFormat="false" ht="12" hidden="false" customHeight="false" outlineLevel="0" collapsed="false">
      <c r="I466" s="239"/>
    </row>
    <row r="467" customFormat="false" ht="12" hidden="false" customHeight="false" outlineLevel="0" collapsed="false">
      <c r="I467" s="239"/>
    </row>
    <row r="468" customFormat="false" ht="12" hidden="false" customHeight="false" outlineLevel="0" collapsed="false">
      <c r="I468" s="239"/>
    </row>
    <row r="469" customFormat="false" ht="12" hidden="false" customHeight="false" outlineLevel="0" collapsed="false">
      <c r="I469" s="239"/>
    </row>
    <row r="470" customFormat="false" ht="12" hidden="false" customHeight="false" outlineLevel="0" collapsed="false">
      <c r="I470" s="239"/>
    </row>
    <row r="471" customFormat="false" ht="12" hidden="false" customHeight="false" outlineLevel="0" collapsed="false">
      <c r="I471" s="239"/>
    </row>
    <row r="472" customFormat="false" ht="12" hidden="false" customHeight="false" outlineLevel="0" collapsed="false">
      <c r="I472" s="239"/>
    </row>
    <row r="473" customFormat="false" ht="12" hidden="false" customHeight="false" outlineLevel="0" collapsed="false">
      <c r="I473" s="239"/>
    </row>
    <row r="474" customFormat="false" ht="12" hidden="false" customHeight="false" outlineLevel="0" collapsed="false">
      <c r="I474" s="239"/>
    </row>
    <row r="475" customFormat="false" ht="12" hidden="false" customHeight="false" outlineLevel="0" collapsed="false">
      <c r="I475" s="239"/>
    </row>
    <row r="476" customFormat="false" ht="12" hidden="false" customHeight="false" outlineLevel="0" collapsed="false">
      <c r="I476" s="239"/>
    </row>
    <row r="477" customFormat="false" ht="12" hidden="false" customHeight="false" outlineLevel="0" collapsed="false">
      <c r="I477" s="239"/>
    </row>
    <row r="478" customFormat="false" ht="12" hidden="false" customHeight="false" outlineLevel="0" collapsed="false">
      <c r="I478" s="239"/>
    </row>
    <row r="479" customFormat="false" ht="12" hidden="false" customHeight="false" outlineLevel="0" collapsed="false">
      <c r="I479" s="239"/>
    </row>
    <row r="480" customFormat="false" ht="12" hidden="false" customHeight="false" outlineLevel="0" collapsed="false">
      <c r="I480" s="239"/>
    </row>
    <row r="481" customFormat="false" ht="12" hidden="false" customHeight="false" outlineLevel="0" collapsed="false">
      <c r="I481" s="239"/>
    </row>
    <row r="482" customFormat="false" ht="12" hidden="false" customHeight="false" outlineLevel="0" collapsed="false">
      <c r="I482" s="239"/>
    </row>
    <row r="483" customFormat="false" ht="12" hidden="false" customHeight="false" outlineLevel="0" collapsed="false">
      <c r="I483" s="239"/>
    </row>
    <row r="484" customFormat="false" ht="12" hidden="false" customHeight="false" outlineLevel="0" collapsed="false">
      <c r="I484" s="239"/>
    </row>
    <row r="485" customFormat="false" ht="12" hidden="false" customHeight="false" outlineLevel="0" collapsed="false">
      <c r="I485" s="239"/>
    </row>
    <row r="486" customFormat="false" ht="12" hidden="false" customHeight="false" outlineLevel="0" collapsed="false">
      <c r="I486" s="239"/>
    </row>
  </sheetData>
  <mergeCells count="1">
    <mergeCell ref="CL2:CN2"/>
  </mergeCells>
  <printOptions headings="false" gridLines="false" gridLinesSet="true" horizontalCentered="false" verticalCentered="false"/>
  <pageMargins left="0.2" right="0.229861111111111" top="0.170138888888889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F12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: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4.99"/>
    <col collapsed="false" customWidth="true" hidden="false" outlineLevel="0" max="3" min="3" style="0" width="10.13"/>
    <col collapsed="false" customWidth="true" hidden="false" outlineLevel="0" max="4" min="4" style="0" width="5.41"/>
    <col collapsed="false" customWidth="true" hidden="false" outlineLevel="0" max="5" min="5" style="0" width="8.99"/>
    <col collapsed="false" customWidth="true" hidden="false" outlineLevel="0" max="6" min="6" style="0" width="8.28"/>
    <col collapsed="false" customWidth="true" hidden="false" outlineLevel="0" max="7" min="7" style="0" width="7.7"/>
    <col collapsed="false" customWidth="true" hidden="false" outlineLevel="0" max="8" min="8" style="0" width="9.7"/>
    <col collapsed="false" customWidth="true" hidden="false" outlineLevel="0" max="9" min="9" style="0" width="9.99"/>
    <col collapsed="false" customWidth="true" hidden="false" outlineLevel="0" max="10" min="10" style="0" width="12.42"/>
    <col collapsed="false" customWidth="true" hidden="false" outlineLevel="0" max="11" min="11" style="0" width="9.56"/>
    <col collapsed="false" customWidth="true" hidden="false" outlineLevel="0" max="12" min="12" style="0" width="9.99"/>
    <col collapsed="false" customWidth="true" hidden="false" outlineLevel="0" max="13" min="13" style="0" width="12.42"/>
    <col collapsed="false" customWidth="true" hidden="false" outlineLevel="0" max="14" min="14" style="0" width="9.56"/>
    <col collapsed="false" customWidth="true" hidden="false" outlineLevel="0" max="15" min="15" style="0" width="9.99"/>
    <col collapsed="false" customWidth="true" hidden="false" outlineLevel="0" max="16" min="16" style="0" width="12.42"/>
    <col collapsed="false" customWidth="true" hidden="false" outlineLevel="0" max="17" min="17" style="0" width="9.56"/>
    <col collapsed="false" customWidth="true" hidden="false" outlineLevel="0" max="18" min="18" style="0" width="9.99"/>
    <col collapsed="false" customWidth="true" hidden="false" outlineLevel="0" max="19" min="19" style="0" width="12.42"/>
    <col collapsed="false" customWidth="true" hidden="false" outlineLevel="0" max="20" min="20" style="0" width="9.56"/>
    <col collapsed="false" customWidth="true" hidden="false" outlineLevel="0" max="21" min="21" style="0" width="9.99"/>
    <col collapsed="false" customWidth="true" hidden="false" outlineLevel="0" max="22" min="22" style="0" width="12.42"/>
    <col collapsed="false" customWidth="true" hidden="false" outlineLevel="0" max="23" min="23" style="0" width="9.28"/>
    <col collapsed="false" customWidth="true" hidden="false" outlineLevel="0" max="24" min="24" style="0" width="9.99"/>
    <col collapsed="false" customWidth="true" hidden="false" outlineLevel="0" max="25" min="25" style="0" width="12.42"/>
    <col collapsed="false" customWidth="true" hidden="false" outlineLevel="0" max="26" min="26" style="0" width="9.56"/>
    <col collapsed="false" customWidth="true" hidden="false" outlineLevel="0" max="27" min="27" style="0" width="11.13"/>
    <col collapsed="false" customWidth="true" hidden="false" outlineLevel="0" max="28" min="28" style="0" width="13.85"/>
    <col collapsed="false" customWidth="true" hidden="false" outlineLevel="0" max="29" min="29" style="0" width="9.41"/>
    <col collapsed="false" customWidth="true" hidden="false" outlineLevel="0" max="30" min="30" style="0" width="11.13"/>
    <col collapsed="false" customWidth="true" hidden="false" outlineLevel="0" max="31" min="31" style="0" width="13.85"/>
    <col collapsed="false" customWidth="true" hidden="false" outlineLevel="0" max="32" min="32" style="0" width="9.28"/>
    <col collapsed="false" customWidth="true" hidden="false" outlineLevel="0" max="33" min="33" style="0" width="11.13"/>
    <col collapsed="false" customWidth="true" hidden="false" outlineLevel="0" max="34" min="34" style="0" width="12.42"/>
    <col collapsed="false" customWidth="true" hidden="false" outlineLevel="0" max="35" min="35" style="0" width="9.41"/>
    <col collapsed="false" customWidth="true" hidden="false" outlineLevel="0" max="36" min="36" style="0" width="4.85"/>
    <col collapsed="false" customWidth="true" hidden="false" outlineLevel="0" max="37" min="37" style="0" width="5.41"/>
    <col collapsed="false" customWidth="true" hidden="false" outlineLevel="0" max="38" min="38" style="0" width="4.56"/>
    <col collapsed="false" customWidth="true" hidden="false" outlineLevel="0" max="40" min="39" style="0" width="5.13"/>
    <col collapsed="false" customWidth="true" hidden="false" outlineLevel="0" max="41" min="41" style="0" width="5.99"/>
    <col collapsed="false" customWidth="true" hidden="false" outlineLevel="0" max="42" min="42" style="0" width="4.7"/>
    <col collapsed="false" customWidth="true" hidden="false" outlineLevel="0" max="43" min="43" style="0" width="4.56"/>
    <col collapsed="false" customWidth="true" hidden="false" outlineLevel="0" max="44" min="44" style="0" width="5.13"/>
    <col collapsed="false" customWidth="true" hidden="false" outlineLevel="0" max="45" min="45" style="0" width="4.41"/>
    <col collapsed="false" customWidth="true" hidden="false" outlineLevel="0" max="47" min="46" style="0" width="4.14"/>
    <col collapsed="false" customWidth="true" hidden="false" outlineLevel="0" max="48" min="48" style="0" width="3.14"/>
    <col collapsed="false" customWidth="true" hidden="false" outlineLevel="0" max="50" min="49" style="0" width="2.99"/>
    <col collapsed="false" customWidth="true" hidden="false" outlineLevel="0" max="51" min="51" style="0" width="3.14"/>
    <col collapsed="false" customWidth="true" hidden="false" outlineLevel="0" max="52" min="52" style="0" width="5.85"/>
    <col collapsed="false" customWidth="true" hidden="false" outlineLevel="0" max="53" min="53" style="0" width="4.14"/>
    <col collapsed="false" customWidth="true" hidden="false" outlineLevel="0" max="54" min="54" style="0" width="9.99"/>
    <col collapsed="false" customWidth="true" hidden="false" outlineLevel="0" max="57" min="55" style="0" width="4.56"/>
    <col collapsed="false" customWidth="true" hidden="false" outlineLevel="0" max="58" min="58" style="0" width="4.41"/>
    <col collapsed="false" customWidth="true" hidden="false" outlineLevel="0" max="60" min="59" style="0" width="3.7"/>
    <col collapsed="false" customWidth="true" hidden="false" outlineLevel="0" max="61" min="61" style="0" width="5.13"/>
    <col collapsed="false" customWidth="true" hidden="false" outlineLevel="0" max="62" min="62" style="0" width="3.7"/>
    <col collapsed="false" customWidth="true" hidden="false" outlineLevel="0" max="63" min="63" style="0" width="3.99"/>
    <col collapsed="false" customWidth="true" hidden="false" outlineLevel="0" max="64" min="64" style="0" width="9.99"/>
    <col collapsed="false" customWidth="true" hidden="false" outlineLevel="0" max="65" min="65" style="84" width="8.28"/>
    <col collapsed="false" customWidth="true" hidden="false" outlineLevel="0" max="66" min="66" style="84" width="11.99"/>
    <col collapsed="false" customWidth="true" hidden="false" outlineLevel="0" max="68" min="67" style="84" width="12.42"/>
    <col collapsed="false" customWidth="true" hidden="false" outlineLevel="0" max="69" min="69" style="84" width="11.13"/>
    <col collapsed="false" customWidth="true" hidden="false" outlineLevel="0" max="71" min="70" style="84" width="12.42"/>
    <col collapsed="false" customWidth="true" hidden="false" outlineLevel="0" max="72" min="72" style="84" width="11.13"/>
    <col collapsed="false" customWidth="true" hidden="false" outlineLevel="0" max="73" min="73" style="0" width="12.42"/>
    <col collapsed="false" customWidth="true" hidden="false" outlineLevel="0" max="79" min="74" style="0" width="12.28"/>
    <col collapsed="false" customWidth="true" hidden="false" outlineLevel="0" max="81" min="81" style="0" width="9.28"/>
    <col collapsed="false" customWidth="true" hidden="false" outlineLevel="0" max="83" min="83" style="0" width="8.7"/>
    <col collapsed="false" customWidth="true" hidden="false" outlineLevel="0" max="84" min="84" style="0" width="7.99"/>
    <col collapsed="false" customWidth="true" hidden="false" outlineLevel="0" max="86" min="86" style="0" width="11.56"/>
    <col collapsed="false" customWidth="true" hidden="false" outlineLevel="0" max="87" min="87" style="0" width="9.56"/>
    <col collapsed="false" customWidth="true" hidden="false" outlineLevel="0" max="90" min="90" style="272" width="5.56"/>
    <col collapsed="false" customWidth="true" hidden="false" outlineLevel="0" max="91" min="91" style="0" width="9.99"/>
    <col collapsed="false" customWidth="true" hidden="false" outlineLevel="0" max="93" min="92" style="0" width="11.13"/>
    <col collapsed="false" customWidth="true" hidden="false" outlineLevel="0" max="96" min="95" style="0" width="11.13"/>
    <col collapsed="false" customWidth="true" hidden="false" outlineLevel="0" max="97" min="97" style="0" width="8.99"/>
    <col collapsed="false" customWidth="true" hidden="false" outlineLevel="0" max="99" min="98" style="0" width="11.13"/>
    <col collapsed="false" customWidth="true" hidden="false" outlineLevel="0" max="101" min="101" style="0" width="8.56"/>
    <col collapsed="false" customWidth="true" hidden="false" outlineLevel="0" max="102" min="102" style="0" width="8.14"/>
    <col collapsed="false" customWidth="true" hidden="false" outlineLevel="0" max="103" min="103" style="0" width="8.41"/>
    <col collapsed="false" customWidth="true" hidden="false" outlineLevel="0" max="104" min="104" style="0" width="6.56"/>
    <col collapsed="false" customWidth="true" hidden="false" outlineLevel="0" max="105" min="105" style="0" width="9.28"/>
    <col collapsed="false" customWidth="true" hidden="false" outlineLevel="0" max="106" min="106" style="0" width="5.13"/>
    <col collapsed="false" customWidth="true" hidden="false" outlineLevel="0" max="107" min="107" style="0" width="6.56"/>
    <col collapsed="false" customWidth="true" hidden="false" outlineLevel="0" max="108" min="108" style="0" width="9.28"/>
    <col collapsed="false" customWidth="true" hidden="false" outlineLevel="0" max="109" min="109" style="0" width="4.7"/>
    <col collapsed="false" customWidth="true" hidden="false" outlineLevel="0" max="110" min="110" style="0" width="4.99"/>
    <col collapsed="false" customWidth="true" hidden="false" outlineLevel="0" max="112" min="111" style="0" width="11.85"/>
    <col collapsed="false" customWidth="true" hidden="false" outlineLevel="0" max="119" min="113" style="0" width="10.28"/>
    <col collapsed="false" customWidth="true" hidden="false" outlineLevel="0" max="120" min="120" style="0" width="11.28"/>
    <col collapsed="false" customWidth="true" hidden="false" outlineLevel="0" max="212" min="212" style="0" width="6.28"/>
    <col collapsed="false" customWidth="true" hidden="false" outlineLevel="0" max="213" min="213" style="0" width="5.56"/>
    <col collapsed="false" customWidth="true" hidden="false" outlineLevel="0" max="214" min="214" style="0" width="7.42"/>
  </cols>
  <sheetData>
    <row r="1" customFormat="false" ht="12.75" hidden="false" customHeight="false" outlineLevel="0" collapsed="false">
      <c r="A1" s="273" t="s">
        <v>1309</v>
      </c>
      <c r="B1" s="273"/>
      <c r="C1" s="273"/>
      <c r="D1" s="273"/>
      <c r="E1" s="273"/>
      <c r="F1" s="273"/>
      <c r="G1" s="273"/>
      <c r="H1" s="273"/>
      <c r="I1" s="274" t="s">
        <v>1310</v>
      </c>
      <c r="J1" s="274"/>
      <c r="K1" s="274"/>
      <c r="L1" s="274"/>
      <c r="M1" s="274"/>
      <c r="N1" s="274"/>
      <c r="O1" s="274"/>
      <c r="P1" s="274"/>
      <c r="Q1" s="274"/>
      <c r="R1" s="275" t="s">
        <v>1311</v>
      </c>
      <c r="S1" s="275"/>
      <c r="T1" s="275"/>
      <c r="U1" s="275"/>
      <c r="V1" s="275"/>
      <c r="W1" s="275"/>
      <c r="X1" s="275"/>
      <c r="Y1" s="275"/>
      <c r="Z1" s="275"/>
      <c r="AA1" s="276" t="s">
        <v>1312</v>
      </c>
      <c r="AB1" s="276"/>
      <c r="AC1" s="276"/>
      <c r="AD1" s="276"/>
      <c r="AE1" s="276"/>
      <c r="AF1" s="276"/>
      <c r="AG1" s="276"/>
      <c r="AH1" s="276"/>
      <c r="AI1" s="276"/>
      <c r="AJ1" s="277" t="s">
        <v>1313</v>
      </c>
      <c r="AK1" s="277"/>
      <c r="AL1" s="277"/>
      <c r="AM1" s="277"/>
      <c r="AN1" s="277"/>
      <c r="AO1" s="277"/>
      <c r="AP1" s="277"/>
      <c r="AQ1" s="277"/>
      <c r="AR1" s="277"/>
      <c r="AS1" s="277" t="s">
        <v>1314</v>
      </c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8" t="s">
        <v>1315</v>
      </c>
      <c r="BN1" s="278"/>
      <c r="BO1" s="278"/>
      <c r="BP1" s="278"/>
      <c r="BQ1" s="278"/>
      <c r="BR1" s="278"/>
      <c r="BS1" s="278"/>
      <c r="BT1" s="278"/>
      <c r="BU1" s="278"/>
      <c r="BV1" s="278"/>
      <c r="BW1" s="278"/>
      <c r="BX1" s="279" t="s">
        <v>1316</v>
      </c>
      <c r="BY1" s="279"/>
      <c r="BZ1" s="279"/>
      <c r="CA1" s="279"/>
      <c r="CB1" s="280" t="s">
        <v>1317</v>
      </c>
      <c r="CC1" s="280"/>
      <c r="CD1" s="280"/>
      <c r="CE1" s="280"/>
      <c r="CF1" s="280"/>
      <c r="CG1" s="280"/>
      <c r="CH1" s="280"/>
      <c r="CI1" s="280"/>
      <c r="CJ1" s="280"/>
      <c r="CK1" s="280"/>
      <c r="CL1" s="281" t="s">
        <v>1318</v>
      </c>
      <c r="CM1" s="281"/>
      <c r="CN1" s="281"/>
      <c r="CO1" s="281"/>
      <c r="CP1" s="281"/>
      <c r="CQ1" s="281"/>
      <c r="CR1" s="281"/>
      <c r="CS1" s="281"/>
      <c r="CT1" s="281"/>
      <c r="CU1" s="281"/>
      <c r="CV1" s="281"/>
      <c r="CW1" s="282" t="s">
        <v>1319</v>
      </c>
      <c r="CX1" s="282"/>
      <c r="CY1" s="282"/>
      <c r="CZ1" s="282"/>
      <c r="DA1" s="282"/>
      <c r="DB1" s="282"/>
      <c r="DC1" s="282"/>
      <c r="DD1" s="282"/>
      <c r="DE1" s="282"/>
      <c r="DF1" s="283"/>
      <c r="DG1" s="283" t="s">
        <v>1320</v>
      </c>
      <c r="DH1" s="283"/>
      <c r="DI1" s="283"/>
      <c r="DJ1" s="283"/>
      <c r="DK1" s="283"/>
      <c r="DL1" s="283"/>
      <c r="DM1" s="283"/>
      <c r="DN1" s="283"/>
      <c r="DO1" s="283"/>
      <c r="DP1" s="284" t="s">
        <v>1321</v>
      </c>
      <c r="DQ1" s="21" t="s">
        <v>1322</v>
      </c>
      <c r="HD1" s="285" t="s">
        <v>1323</v>
      </c>
      <c r="HE1" s="285"/>
      <c r="HF1" s="285"/>
    </row>
    <row r="2" customFormat="false" ht="12.75" hidden="false" customHeight="false" outlineLevel="0" collapsed="false">
      <c r="A2" s="286"/>
      <c r="B2" s="286"/>
      <c r="C2" s="286"/>
      <c r="D2" s="286"/>
      <c r="E2" s="287" t="s">
        <v>1324</v>
      </c>
      <c r="F2" s="286"/>
      <c r="G2" s="287" t="s">
        <v>1325</v>
      </c>
      <c r="H2" s="287" t="s">
        <v>1326</v>
      </c>
      <c r="I2" s="288" t="s">
        <v>28</v>
      </c>
      <c r="J2" s="288" t="s">
        <v>28</v>
      </c>
      <c r="K2" s="288" t="s">
        <v>28</v>
      </c>
      <c r="L2" s="288" t="s">
        <v>29</v>
      </c>
      <c r="M2" s="288" t="s">
        <v>29</v>
      </c>
      <c r="N2" s="288" t="s">
        <v>29</v>
      </c>
      <c r="O2" s="288" t="s">
        <v>30</v>
      </c>
      <c r="P2" s="288" t="s">
        <v>30</v>
      </c>
      <c r="Q2" s="288" t="s">
        <v>30</v>
      </c>
      <c r="R2" s="289" t="s">
        <v>28</v>
      </c>
      <c r="S2" s="289" t="s">
        <v>28</v>
      </c>
      <c r="T2" s="289" t="s">
        <v>28</v>
      </c>
      <c r="U2" s="289" t="s">
        <v>29</v>
      </c>
      <c r="V2" s="289" t="s">
        <v>29</v>
      </c>
      <c r="W2" s="289" t="s">
        <v>1327</v>
      </c>
      <c r="X2" s="289" t="s">
        <v>30</v>
      </c>
      <c r="Y2" s="289" t="s">
        <v>30</v>
      </c>
      <c r="Z2" s="289" t="s">
        <v>30</v>
      </c>
      <c r="AA2" s="290" t="s">
        <v>28</v>
      </c>
      <c r="AB2" s="290" t="s">
        <v>28</v>
      </c>
      <c r="AC2" s="290" t="s">
        <v>28</v>
      </c>
      <c r="AD2" s="290" t="s">
        <v>29</v>
      </c>
      <c r="AE2" s="290" t="s">
        <v>29</v>
      </c>
      <c r="AF2" s="290" t="s">
        <v>29</v>
      </c>
      <c r="AG2" s="290" t="s">
        <v>30</v>
      </c>
      <c r="AH2" s="290" t="s">
        <v>30</v>
      </c>
      <c r="AI2" s="290" t="s">
        <v>30</v>
      </c>
      <c r="AJ2" s="291"/>
      <c r="AK2" s="291"/>
      <c r="AL2" s="291"/>
      <c r="AM2" s="291"/>
      <c r="AN2" s="291"/>
      <c r="AO2" s="291"/>
      <c r="AP2" s="291"/>
      <c r="AQ2" s="292" t="s">
        <v>1328</v>
      </c>
      <c r="AR2" s="293" t="n">
        <v>150</v>
      </c>
      <c r="AS2" s="291"/>
      <c r="AT2" s="291"/>
      <c r="AU2" s="291"/>
      <c r="AV2" s="291"/>
      <c r="AW2" s="291"/>
      <c r="AX2" s="291"/>
      <c r="AY2" s="292" t="s">
        <v>1314</v>
      </c>
      <c r="AZ2" s="293" t="n">
        <v>980</v>
      </c>
      <c r="BA2" s="291"/>
      <c r="BB2" s="291" t="s">
        <v>1319</v>
      </c>
      <c r="BC2" s="294"/>
      <c r="BD2" s="294"/>
      <c r="BE2" s="294"/>
      <c r="BF2" s="294"/>
      <c r="BG2" s="294"/>
      <c r="BH2" s="294"/>
      <c r="BI2" s="294"/>
      <c r="BJ2" s="294"/>
      <c r="BK2" s="294"/>
      <c r="BL2" s="294" t="s">
        <v>1321</v>
      </c>
      <c r="BM2" s="295"/>
      <c r="BN2" s="284" t="s">
        <v>28</v>
      </c>
      <c r="BO2" s="284" t="s">
        <v>28</v>
      </c>
      <c r="BP2" s="284" t="s">
        <v>28</v>
      </c>
      <c r="BQ2" s="284" t="s">
        <v>29</v>
      </c>
      <c r="BR2" s="284" t="s">
        <v>29</v>
      </c>
      <c r="BS2" s="284" t="s">
        <v>1327</v>
      </c>
      <c r="BT2" s="284" t="s">
        <v>30</v>
      </c>
      <c r="BU2" s="284" t="s">
        <v>30</v>
      </c>
      <c r="BV2" s="284" t="s">
        <v>30</v>
      </c>
      <c r="BW2" s="284" t="s">
        <v>1321</v>
      </c>
      <c r="BX2" s="296" t="s">
        <v>1329</v>
      </c>
      <c r="BY2" s="297" t="s">
        <v>1330</v>
      </c>
      <c r="BZ2" s="297" t="s">
        <v>1331</v>
      </c>
      <c r="CA2" s="298" t="s">
        <v>1325</v>
      </c>
      <c r="CB2" s="299" t="s">
        <v>46</v>
      </c>
      <c r="CC2" s="299" t="s">
        <v>46</v>
      </c>
      <c r="CD2" s="299" t="s">
        <v>46</v>
      </c>
      <c r="CE2" s="299" t="s">
        <v>54</v>
      </c>
      <c r="CF2" s="299" t="s">
        <v>54</v>
      </c>
      <c r="CG2" s="299" t="s">
        <v>54</v>
      </c>
      <c r="CH2" s="299" t="s">
        <v>1332</v>
      </c>
      <c r="CI2" s="299" t="s">
        <v>1333</v>
      </c>
      <c r="CJ2" s="299" t="s">
        <v>1334</v>
      </c>
      <c r="CK2" s="299" t="s">
        <v>1335</v>
      </c>
      <c r="CL2" s="300" t="s">
        <v>36</v>
      </c>
      <c r="CM2" s="301" t="s">
        <v>1336</v>
      </c>
      <c r="CN2" s="302" t="s">
        <v>28</v>
      </c>
      <c r="CO2" s="302" t="s">
        <v>28</v>
      </c>
      <c r="CP2" s="302" t="s">
        <v>28</v>
      </c>
      <c r="CQ2" s="302" t="s">
        <v>29</v>
      </c>
      <c r="CR2" s="302" t="s">
        <v>29</v>
      </c>
      <c r="CS2" s="302" t="s">
        <v>1327</v>
      </c>
      <c r="CT2" s="302" t="s">
        <v>30</v>
      </c>
      <c r="CU2" s="302" t="s">
        <v>30</v>
      </c>
      <c r="CV2" s="302" t="s">
        <v>30</v>
      </c>
      <c r="CW2" s="290" t="s">
        <v>28</v>
      </c>
      <c r="CX2" s="290" t="s">
        <v>28</v>
      </c>
      <c r="CY2" s="290" t="s">
        <v>28</v>
      </c>
      <c r="CZ2" s="290" t="s">
        <v>29</v>
      </c>
      <c r="DA2" s="290" t="s">
        <v>29</v>
      </c>
      <c r="DB2" s="290" t="s">
        <v>1327</v>
      </c>
      <c r="DC2" s="290" t="s">
        <v>30</v>
      </c>
      <c r="DD2" s="290" t="s">
        <v>30</v>
      </c>
      <c r="DE2" s="290" t="s">
        <v>30</v>
      </c>
      <c r="DF2" s="303" t="s">
        <v>36</v>
      </c>
      <c r="DG2" s="304" t="s">
        <v>28</v>
      </c>
      <c r="DH2" s="304" t="s">
        <v>28</v>
      </c>
      <c r="DI2" s="304" t="s">
        <v>28</v>
      </c>
      <c r="DJ2" s="304" t="s">
        <v>29</v>
      </c>
      <c r="DK2" s="304" t="s">
        <v>29</v>
      </c>
      <c r="DL2" s="304" t="s">
        <v>1327</v>
      </c>
      <c r="DM2" s="304" t="s">
        <v>30</v>
      </c>
      <c r="DN2" s="304" t="s">
        <v>30</v>
      </c>
      <c r="DO2" s="304" t="s">
        <v>30</v>
      </c>
      <c r="DP2" s="284" t="s">
        <v>1337</v>
      </c>
      <c r="DQ2" s="21" t="s">
        <v>97</v>
      </c>
      <c r="DR2" s="305"/>
      <c r="DS2" s="305"/>
      <c r="DT2" s="305"/>
      <c r="DU2" s="305"/>
      <c r="DV2" s="305"/>
      <c r="DW2" s="305"/>
      <c r="DX2" s="305"/>
      <c r="DY2" s="305"/>
      <c r="DZ2" s="305"/>
      <c r="EA2" s="305"/>
      <c r="EB2" s="305"/>
      <c r="EC2" s="305"/>
      <c r="ED2" s="305"/>
      <c r="EE2" s="305"/>
      <c r="EF2" s="305"/>
      <c r="EG2" s="305"/>
      <c r="EH2" s="305"/>
      <c r="EI2" s="305"/>
      <c r="EJ2" s="305"/>
      <c r="EK2" s="305"/>
      <c r="EL2" s="305"/>
      <c r="EM2" s="305"/>
      <c r="EN2" s="305"/>
      <c r="EO2" s="305"/>
      <c r="EP2" s="305"/>
      <c r="EQ2" s="305"/>
      <c r="ER2" s="305"/>
      <c r="ES2" s="305"/>
      <c r="ET2" s="305"/>
      <c r="EU2" s="305"/>
      <c r="EV2" s="305"/>
      <c r="EW2" s="305"/>
      <c r="EX2" s="305"/>
      <c r="EY2" s="305"/>
      <c r="EZ2" s="305"/>
      <c r="FA2" s="305"/>
      <c r="FB2" s="305"/>
      <c r="FC2" s="305"/>
      <c r="FD2" s="305"/>
      <c r="FE2" s="305"/>
      <c r="FF2" s="305"/>
      <c r="FG2" s="305"/>
      <c r="FH2" s="305"/>
      <c r="FI2" s="305"/>
      <c r="FJ2" s="305"/>
      <c r="FK2" s="305"/>
      <c r="FL2" s="305"/>
      <c r="FM2" s="305"/>
      <c r="FN2" s="305"/>
      <c r="FO2" s="305"/>
      <c r="FP2" s="305"/>
      <c r="FQ2" s="305"/>
      <c r="FR2" s="305"/>
      <c r="FS2" s="305"/>
      <c r="FT2" s="305"/>
      <c r="FU2" s="305"/>
      <c r="FV2" s="305"/>
      <c r="FW2" s="305"/>
      <c r="FX2" s="305"/>
      <c r="FY2" s="305"/>
      <c r="FZ2" s="305"/>
      <c r="GA2" s="305"/>
      <c r="GB2" s="305"/>
      <c r="GC2" s="305"/>
      <c r="GD2" s="305"/>
      <c r="GE2" s="305"/>
      <c r="GF2" s="305"/>
      <c r="GG2" s="305"/>
      <c r="GH2" s="305"/>
      <c r="GI2" s="305"/>
      <c r="GJ2" s="305"/>
      <c r="GK2" s="305"/>
      <c r="GL2" s="305"/>
      <c r="GM2" s="305"/>
      <c r="GN2" s="305"/>
      <c r="GO2" s="305"/>
      <c r="GP2" s="305"/>
      <c r="GQ2" s="305"/>
      <c r="GR2" s="305"/>
      <c r="GS2" s="305"/>
      <c r="GT2" s="305"/>
      <c r="GU2" s="305"/>
      <c r="GV2" s="305"/>
      <c r="GW2" s="305"/>
      <c r="GX2" s="305"/>
      <c r="GY2" s="305"/>
      <c r="GZ2" s="305"/>
      <c r="HA2" s="305"/>
      <c r="HB2" s="305"/>
      <c r="HD2" s="36" t="s">
        <v>1338</v>
      </c>
      <c r="HE2" s="36" t="s">
        <v>29</v>
      </c>
      <c r="HF2" s="27" t="s">
        <v>30</v>
      </c>
    </row>
    <row r="3" customFormat="false" ht="12.75" hidden="false" customHeight="false" outlineLevel="0" collapsed="false">
      <c r="A3" s="287" t="s">
        <v>1339</v>
      </c>
      <c r="B3" s="287" t="s">
        <v>1340</v>
      </c>
      <c r="C3" s="287" t="s">
        <v>54</v>
      </c>
      <c r="D3" s="287" t="s">
        <v>126</v>
      </c>
      <c r="E3" s="287" t="s">
        <v>1341</v>
      </c>
      <c r="F3" s="287" t="s">
        <v>1331</v>
      </c>
      <c r="G3" s="287" t="s">
        <v>97</v>
      </c>
      <c r="H3" s="287" t="s">
        <v>1342</v>
      </c>
      <c r="I3" s="288" t="s">
        <v>32</v>
      </c>
      <c r="J3" s="288" t="s">
        <v>33</v>
      </c>
      <c r="K3" s="288" t="s">
        <v>34</v>
      </c>
      <c r="L3" s="288" t="s">
        <v>32</v>
      </c>
      <c r="M3" s="288" t="s">
        <v>33</v>
      </c>
      <c r="N3" s="288" t="s">
        <v>34</v>
      </c>
      <c r="O3" s="288" t="s">
        <v>32</v>
      </c>
      <c r="P3" s="288" t="s">
        <v>33</v>
      </c>
      <c r="Q3" s="288" t="s">
        <v>34</v>
      </c>
      <c r="R3" s="289" t="s">
        <v>32</v>
      </c>
      <c r="S3" s="289" t="s">
        <v>33</v>
      </c>
      <c r="T3" s="289" t="s">
        <v>34</v>
      </c>
      <c r="U3" s="289" t="s">
        <v>32</v>
      </c>
      <c r="V3" s="289" t="s">
        <v>33</v>
      </c>
      <c r="W3" s="289" t="s">
        <v>34</v>
      </c>
      <c r="X3" s="289" t="s">
        <v>32</v>
      </c>
      <c r="Y3" s="289" t="s">
        <v>33</v>
      </c>
      <c r="Z3" s="289" t="s">
        <v>34</v>
      </c>
      <c r="AA3" s="290" t="s">
        <v>32</v>
      </c>
      <c r="AB3" s="290" t="s">
        <v>33</v>
      </c>
      <c r="AC3" s="290" t="s">
        <v>34</v>
      </c>
      <c r="AD3" s="290" t="s">
        <v>32</v>
      </c>
      <c r="AE3" s="290" t="s">
        <v>33</v>
      </c>
      <c r="AF3" s="290" t="s">
        <v>34</v>
      </c>
      <c r="AG3" s="290" t="s">
        <v>32</v>
      </c>
      <c r="AH3" s="290" t="s">
        <v>33</v>
      </c>
      <c r="AI3" s="290" t="s">
        <v>34</v>
      </c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2"/>
      <c r="AZ3" s="291"/>
      <c r="BA3" s="291"/>
      <c r="BB3" s="291" t="s">
        <v>1340</v>
      </c>
      <c r="BC3" s="294"/>
      <c r="BD3" s="294"/>
      <c r="BE3" s="294"/>
      <c r="BF3" s="294"/>
      <c r="BG3" s="294"/>
      <c r="BH3" s="294"/>
      <c r="BI3" s="294"/>
      <c r="BJ3" s="294"/>
      <c r="BK3" s="294"/>
      <c r="BL3" s="294" t="s">
        <v>1319</v>
      </c>
      <c r="BM3" s="284" t="s">
        <v>1343</v>
      </c>
      <c r="BN3" s="284" t="s">
        <v>32</v>
      </c>
      <c r="BO3" s="284" t="s">
        <v>33</v>
      </c>
      <c r="BP3" s="284" t="s">
        <v>34</v>
      </c>
      <c r="BQ3" s="284" t="s">
        <v>32</v>
      </c>
      <c r="BR3" s="284" t="s">
        <v>33</v>
      </c>
      <c r="BS3" s="284" t="s">
        <v>34</v>
      </c>
      <c r="BT3" s="284" t="s">
        <v>32</v>
      </c>
      <c r="BU3" s="284" t="s">
        <v>33</v>
      </c>
      <c r="BV3" s="284" t="s">
        <v>34</v>
      </c>
      <c r="BW3" s="284" t="s">
        <v>1344</v>
      </c>
      <c r="BX3" s="296" t="s">
        <v>1345</v>
      </c>
      <c r="BY3" s="297" t="s">
        <v>1346</v>
      </c>
      <c r="BZ3" s="297" t="s">
        <v>1346</v>
      </c>
      <c r="CA3" s="298" t="s">
        <v>97</v>
      </c>
      <c r="CB3" s="299" t="s">
        <v>1347</v>
      </c>
      <c r="CC3" s="299" t="s">
        <v>1348</v>
      </c>
      <c r="CD3" s="299" t="s">
        <v>1349</v>
      </c>
      <c r="CE3" s="299" t="s">
        <v>1347</v>
      </c>
      <c r="CF3" s="299" t="s">
        <v>1350</v>
      </c>
      <c r="CG3" s="299" t="s">
        <v>1351</v>
      </c>
      <c r="CH3" s="299" t="s">
        <v>90</v>
      </c>
      <c r="CI3" s="299" t="s">
        <v>1352</v>
      </c>
      <c r="CJ3" s="299" t="s">
        <v>1353</v>
      </c>
      <c r="CK3" s="299" t="s">
        <v>96</v>
      </c>
      <c r="CL3" s="306" t="s">
        <v>126</v>
      </c>
      <c r="CM3" s="307" t="s">
        <v>1342</v>
      </c>
      <c r="CN3" s="302" t="s">
        <v>1354</v>
      </c>
      <c r="CO3" s="302" t="s">
        <v>1355</v>
      </c>
      <c r="CP3" s="302" t="s">
        <v>34</v>
      </c>
      <c r="CQ3" s="302" t="s">
        <v>1354</v>
      </c>
      <c r="CR3" s="302" t="s">
        <v>1355</v>
      </c>
      <c r="CS3" s="302" t="s">
        <v>34</v>
      </c>
      <c r="CT3" s="302" t="s">
        <v>1354</v>
      </c>
      <c r="CU3" s="302" t="s">
        <v>1355</v>
      </c>
      <c r="CV3" s="302" t="s">
        <v>34</v>
      </c>
      <c r="CW3" s="290" t="s">
        <v>1354</v>
      </c>
      <c r="CX3" s="290" t="s">
        <v>1355</v>
      </c>
      <c r="CY3" s="290" t="s">
        <v>34</v>
      </c>
      <c r="CZ3" s="290" t="s">
        <v>1354</v>
      </c>
      <c r="DA3" s="290" t="s">
        <v>1355</v>
      </c>
      <c r="DB3" s="290" t="s">
        <v>34</v>
      </c>
      <c r="DC3" s="290" t="s">
        <v>1354</v>
      </c>
      <c r="DD3" s="290" t="s">
        <v>1355</v>
      </c>
      <c r="DE3" s="290" t="s">
        <v>34</v>
      </c>
      <c r="DF3" s="303" t="s">
        <v>1343</v>
      </c>
      <c r="DG3" s="304" t="s">
        <v>1354</v>
      </c>
      <c r="DH3" s="304" t="s">
        <v>1355</v>
      </c>
      <c r="DI3" s="304" t="s">
        <v>34</v>
      </c>
      <c r="DJ3" s="304" t="s">
        <v>1354</v>
      </c>
      <c r="DK3" s="304" t="s">
        <v>1355</v>
      </c>
      <c r="DL3" s="304" t="s">
        <v>34</v>
      </c>
      <c r="DM3" s="304" t="s">
        <v>1354</v>
      </c>
      <c r="DN3" s="304" t="s">
        <v>1355</v>
      </c>
      <c r="DO3" s="304" t="s">
        <v>34</v>
      </c>
      <c r="DP3" s="284" t="s">
        <v>1356</v>
      </c>
      <c r="DQ3" s="305"/>
      <c r="DR3" s="305"/>
      <c r="DS3" s="305"/>
      <c r="DT3" s="305"/>
      <c r="DU3" s="305"/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W3" s="305"/>
      <c r="EX3" s="305"/>
      <c r="EY3" s="305"/>
      <c r="EZ3" s="305"/>
      <c r="FA3" s="305"/>
      <c r="FB3" s="305"/>
      <c r="FC3" s="305"/>
      <c r="FD3" s="305"/>
      <c r="FE3" s="305"/>
      <c r="FF3" s="305"/>
      <c r="FG3" s="305"/>
      <c r="FH3" s="305"/>
      <c r="FI3" s="305"/>
      <c r="FJ3" s="305"/>
      <c r="FK3" s="305"/>
      <c r="FL3" s="305"/>
      <c r="FM3" s="305"/>
      <c r="FN3" s="305"/>
      <c r="FO3" s="305"/>
      <c r="FP3" s="305"/>
      <c r="FQ3" s="305"/>
      <c r="FR3" s="305"/>
      <c r="FS3" s="305"/>
      <c r="FT3" s="305"/>
      <c r="FU3" s="305"/>
      <c r="FV3" s="305"/>
      <c r="FW3" s="305"/>
      <c r="FX3" s="305"/>
      <c r="FY3" s="305"/>
      <c r="FZ3" s="305"/>
      <c r="GA3" s="305"/>
      <c r="GB3" s="305"/>
      <c r="GC3" s="305"/>
      <c r="GD3" s="305"/>
      <c r="GE3" s="305"/>
      <c r="GF3" s="305"/>
      <c r="GG3" s="305"/>
      <c r="GH3" s="305"/>
      <c r="GI3" s="305"/>
      <c r="GJ3" s="305"/>
      <c r="GK3" s="305"/>
      <c r="GL3" s="305"/>
      <c r="GM3" s="305"/>
      <c r="GN3" s="305"/>
      <c r="GO3" s="305"/>
      <c r="GP3" s="305"/>
      <c r="GQ3" s="305"/>
      <c r="GR3" s="305"/>
      <c r="GS3" s="305"/>
      <c r="GT3" s="305"/>
      <c r="GU3" s="305"/>
      <c r="GV3" s="305"/>
      <c r="GW3" s="305"/>
      <c r="GX3" s="305"/>
      <c r="GY3" s="305"/>
      <c r="GZ3" s="305"/>
      <c r="HA3" s="305"/>
      <c r="HB3" s="305"/>
      <c r="HD3" s="36" t="s">
        <v>1357</v>
      </c>
      <c r="HE3" s="36" t="s">
        <v>1357</v>
      </c>
      <c r="HF3" s="27" t="s">
        <v>1358</v>
      </c>
    </row>
    <row r="4" customFormat="false" ht="12.75" hidden="false" customHeight="false" outlineLevel="0" collapsed="false">
      <c r="A4" s="308" t="n">
        <f aca="false">Inputs!K2</f>
        <v>36892</v>
      </c>
      <c r="B4" s="309" t="n">
        <f aca="false">IF(A4="N/A"," ",YEAR(A4))</f>
        <v>2001</v>
      </c>
      <c r="C4" s="310" t="e">
        <f aca="false">IF(A4="N/A"," ",VLOOKUP(A4,ScaledPrice,10))</f>
        <v>#N/A</v>
      </c>
      <c r="D4" s="311" t="n">
        <f aca="false">IF(A4="N/A"," ",(VLOOKUP(MONTH($A4),Hrtable,2))/1000)</f>
        <v>10</v>
      </c>
      <c r="E4" s="312" t="e">
        <f aca="false">IF($A4="N/A"," ",(C4-'Pricing Inputs'!T37)*D4)</f>
        <v>#N/A</v>
      </c>
      <c r="F4" s="313" t="n">
        <f aca="false">IF(A4="N/A"," ",VOM)</f>
        <v>2.5</v>
      </c>
      <c r="G4" s="313" t="n">
        <f aca="false">IF(A4="N/A"," ",Perstart/IF(AND(Dayrun&gt;=4,Dayrun&lt;=6),16,IF(AND(Dayrun&gt;=7,Dayrun&lt;=9),8,24))/(BM4/CK4))</f>
        <v>0</v>
      </c>
      <c r="H4" s="314" t="e">
        <f aca="false">IF(A4="N/A"," ",(C4*D4)+F4+G4)</f>
        <v>#N/A</v>
      </c>
      <c r="I4" s="315" t="n">
        <f aca="false">VLOOKUP(A4,ScaledPrice,(IF(AND(Dayrun&gt;=1,Dayrun&lt;=6),2,4)))</f>
        <v>96.4875</v>
      </c>
      <c r="J4" s="315" t="n">
        <f aca="false">IF(A4="N/A"," ",IF(AND(Dayrun&gt;=1,Dayrun&lt;=6),I4,(VLOOKUP(A4,ScaledPrice,2))*(2-(VLOOKUP(A4,ScaledPrice,3)))))</f>
        <v>89.5125</v>
      </c>
      <c r="K4" s="315" t="n">
        <f aca="false">IF(A4="N/A"," ",IF(AND(Dayrun&gt;=1,Dayrun&lt;=3),VLOOKUP(A4,ScaledPrice,9),0))</f>
        <v>0</v>
      </c>
      <c r="L4" s="315" t="n">
        <f aca="false">IF(A4="N/A"," ",IF(OR(Dayrun=2,Dayrun=3,Dayrun=5,Dayrun=6,Dayrun=8,Dayrun=9),VLOOKUP(A4,ScaledPrice,IF(AND(Dayrun&gt;=2,Dayrun&lt;=6),5,6)),0))</f>
        <v>0</v>
      </c>
      <c r="M4" s="315" t="n">
        <f aca="false">IF(A4="N/A"," ",IF(OR(Dayrun=2,Dayrun=3,Dayrun=5,Dayrun=6,Dayrun=8,Dayrun=9),IF(AND(Dayrun&gt;=2,Dayrun&lt;=6),L4,(VLOOKUP(A4,ScaledPrice,5))*(2-(VLOOKUP(A4,ScaledPrice,3)))),0))</f>
        <v>0</v>
      </c>
      <c r="N4" s="315" t="n">
        <f aca="false">IF(A4="N/A"," ",IF(AND(Dayrun&gt;1,Dayrun&lt;=3),VLOOKUP(A4,ScaledPrice,9),0))</f>
        <v>0</v>
      </c>
      <c r="O4" s="315" t="n">
        <f aca="false">IF(A4="N/A"," ",IF(OR(Dayrun=3,Dayrun=6,Dayrun=9),(VLOOKUP(A4,ScaledPrice,IF(AND(Dayrun&gt;=3,Dayrun&lt;=6),7,8))),0))</f>
        <v>0</v>
      </c>
      <c r="P4" s="315" t="n">
        <f aca="false">IF(A4="N/A"," ",IF(OR(Dayrun=3,Dayrun=6,Dayrun=9),IF(AND(Dayrun&gt;=3,Dayrun&lt;=6),O4,(VLOOKUP(A4,ScaledPrice,7))*(2-(VLOOKUP(A4,ScaledPrice,3)))),0))</f>
        <v>0</v>
      </c>
      <c r="Q4" s="315" t="n">
        <f aca="false">IF(A4="N/A"," ",IF(AND(Dayrun&gt;2,Dayrun&lt;=3),VLOOKUP(A4,ScaledPrice,9),0))</f>
        <v>0</v>
      </c>
      <c r="R4" s="316" t="e">
        <f aca="false">IF($A4="N/A"," ",IF(Pricetype=2,MAX(I4-$H4,0),IF(Pricetype=1,(xSPRDOPT(I4,$E4,$CI4,0,($CD4+IF(Smile=TRUE(),VLOOKUP(MAX(-5,$H4-I4),Volsmile,2),0)),$CG4,$CH4,($A4-DateToday)+15,1,0)),I4-$H4)))</f>
        <v>#NAME?</v>
      </c>
      <c r="S4" s="316" t="e">
        <f aca="false">IF($A4="N/A"," ",IF(Pricetype=2,MAX(J4-$H4,0),IF(Pricetype=1,(xSPRDOPT(J4,$E4,$CI4,0,($CD4+IF(Smile=TRUE(),VLOOKUP(MAX(-5,$H4-J4),Volsmile,2),0)),$CG4,$CH4,($A4-DateToday)+15,1,0)),J4-$H4)))</f>
        <v>#NAME?</v>
      </c>
      <c r="T4" s="317" t="n">
        <f aca="false">IF($A4="N/A"," ",(IF(Pricetype=2,IF((K4-$H4)&lt;=0,0,(K4-$H4)),IF(K4&lt;&gt;0,(K4-$H4),0))))</f>
        <v>0</v>
      </c>
      <c r="U4" s="316" t="n">
        <f aca="false">IF($A4="N/A"," ",IF(Pricetype=2,MAX(L4-$H4,0),IF(L4&lt;&gt;0,IF(Pricetype=1,(xSPRDOPT(L4,$E4,$CI4,0,($CD4+IF(Smile=TRUE(),VLOOKUP(MAX(-5,$H4-L4),Volsmile,2),0)),$CG4,$CH4,($A4-DateToday)+15,1,0)),L4-$H4),0)))</f>
        <v>0</v>
      </c>
      <c r="V4" s="316" t="n">
        <f aca="false">IF($A4="N/A"," ",IF(Pricetype=2,MAX(M4-$H4,0),IF(M4&lt;&gt;0,IF(Pricetype=1,(xSPRDOPT(M4,$E4,$CI4,0,($CD4+IF(Smile=TRUE(),VLOOKUP(MAX(-5,$H4-M4),Volsmile,2),0)),$CG4,$CH4,($A4-DateToday)+15,1,0)),M4-$H4),0)))</f>
        <v>0</v>
      </c>
      <c r="W4" s="317" t="n">
        <f aca="false">IF($A4="N/A"," ",(IF(Pricetype=2,IF((N4-$H4)&lt;=0,0,(N4-$H4)),IF(N4&lt;&gt;0,(N4-$H4),0))))</f>
        <v>0</v>
      </c>
      <c r="X4" s="316" t="n">
        <f aca="false">IF($A4="N/A"," ",IF(Pricetype=2,MAX(O4-$H4,0),IF(O4&lt;&gt;0,IF(Pricetype=1,(xSPRDOPT(O4,$E4,$CI4,0,($CD4+IF(Smile=TRUE(),VLOOKUP(MAX(-5,$H4-O4),Volsmile,2),0)),$CG4,$CH4,($A4-DateToday)+15,1,0)),O4-$H4),0)))</f>
        <v>0</v>
      </c>
      <c r="Y4" s="316" t="n">
        <f aca="false">IF($A4="N/A"," ",IF(Pricetype=2,MAX(P4-$H4,0),IF(P4&lt;&gt;0,IF(Pricetype=1,(xSPRDOPT(P4,$E4,$CI4,0,($CD4+IF(Smile=TRUE(),VLOOKUP(MAX(-5,$H4-P4),Volsmile,2),0)),$CG4,$CH4,($A4-DateToday)+15,1,0)),P4-$H4),0)))</f>
        <v>0</v>
      </c>
      <c r="Z4" s="317" t="n">
        <f aca="false">IF($A4="N/A"," ",(IF(Pricetype=2,IF((Q4-$H4)&lt;=0,0,(Q4-$H4)),IF(Q4&lt;&gt;0,(Q4-$H4),0))))</f>
        <v>0</v>
      </c>
      <c r="AA4" s="318" t="e">
        <f aca="false">IF($A4="N/A"," ",IF(VLOOKUP(MONTH(A4),ManualTable,2)=1,(IF(0&lt;&gt;R4,IF(Pricetype=1,(xSPRDOPT(I4,$E4,$CI4,0,($CD4+IF(Smile=TRUE(),VLOOKUP(MAX(-5,$H4-I4),Volsmile,2),0)),$CG4,$CH4,($A4-DateToday)+15,1,1))*(8*$HD4),8*$HD4),0)),0))</f>
        <v>#NAME?</v>
      </c>
      <c r="AB4" s="318" t="e">
        <f aca="false">IF($A4="N/A"," ",IF(VLOOKUP(MONTH(A4),ManualTable,3)=1,(IF(S4&lt;&gt;0,IF(Pricetype=1,(xSPRDOPT(J4,$E4,$CI4,0,($CD4+IF(Smile=TRUE(),VLOOKUP(MAX(-5,$H4-J4),Volsmile,2),0)),$CG4,$CH4,($A4-DateToday)+15,1,1))*(8*$HD4),8*$HD4),0)),0))</f>
        <v>#NAME?</v>
      </c>
      <c r="AC4" s="318" t="n">
        <f aca="false">IF($A4="N/A"," ",IF(VLOOKUP(MONTH(A4),ManualTable,4)=1,(IF(T4&lt;&gt;0,(8*$HD4),0)),0))</f>
        <v>0</v>
      </c>
      <c r="AD4" s="318" t="n">
        <f aca="false">IF($A4="N/A"," ",IF(VLOOKUP(MONTH(A4),ManualTable,5)=1,(IF(U4&lt;&gt;0,IF(Pricetype=1,(xSPRDOPT(L4,$E4,$CI4,0,($CD4+IF(Smile=TRUE(),VLOOKUP(MAX(-5,$H4-L4),Volsmile,2),0)),$CG4,$CH4,($A4-DateToday)+15,1,1))*(8*$HE4),8*$HE4),0)),0))</f>
        <v>0</v>
      </c>
      <c r="AE4" s="318" t="n">
        <f aca="false">IF($A4="N/A"," ",IF(VLOOKUP(MONTH(A4),ManualTable,6)=1,(IF(V4&lt;&gt;0,IF(Pricetype=1,(xSPRDOPT(M4,$E4,$CI4,0,($CD4+IF(Smile=TRUE(),VLOOKUP(MAX(-5,$H4-M4),Volsmile,2),0)),$CG4,$CH4,($A4-DateToday)+15,1,1))*(8*$HE4),8*$HE4),0)),0))</f>
        <v>0</v>
      </c>
      <c r="AF4" s="318" t="n">
        <f aca="false">IF($A4="N/A"," ",IF(VLOOKUP(MONTH(A4),ManualTable,7)=1,(IF(W4&lt;&gt;0,(8*$HE4),0)),0))</f>
        <v>0</v>
      </c>
      <c r="AG4" s="318" t="n">
        <f aca="false">IF($A4="N/A"," ",IF(VLOOKUP(MONTH(A4),ManualTable,8)=1,(IF(X4&lt;&gt;0,IF(Pricetype=1,(xSPRDOPT(O4,$E4,$CI4,0,($CD4+IF(Smile=TRUE(),VLOOKUP(MAX(-5,$H4-O4),Volsmile,2),0)),$CG4,$CH4,($A4-DateToday)+15,1,1))*(8*$HF4),8*$HF4),0)),0))</f>
        <v>0</v>
      </c>
      <c r="AH4" s="318" t="n">
        <f aca="false">IF($A4="N/A"," ",IF(VLOOKUP(MONTH(A4),ManualTable,9)=1,(IF(Y4&lt;&gt;0,IF(Pricetype=1,(xSPRDOPT(P4,$E4,$CI4,0,($CD4+IF(Smile=TRUE(),VLOOKUP(MAX(-5,$H4-P4),Volsmile,2),0)),$CG4,$CH4,($A4-DateToday)+15,1,1))*(8*$HF4),8*$HF4),0)),0))</f>
        <v>0</v>
      </c>
      <c r="AI4" s="318" t="n">
        <f aca="false">IF($A4="N/A"," ",IF(VLOOKUP(MONTH(A4),ManualTable,10)=1,(IF(Z4&lt;&gt;0,(8*($HF4)),0)),0))</f>
        <v>0</v>
      </c>
      <c r="AJ4" s="319" t="e">
        <f aca="false">IF($A4="N/A"," ",RANK(R4,$R$4:$Z$15))</f>
        <v>#NAME?</v>
      </c>
      <c r="AK4" s="320" t="e">
        <f aca="false">IF($A4="N/A"," ",RANK(S4,$R$4:$Z$15))</f>
        <v>#NAME?</v>
      </c>
      <c r="AL4" s="320" t="e">
        <f aca="false">IF($A4="N/A"," ",RANK(T4,$R$4:$Z$15))</f>
        <v>#NAME?</v>
      </c>
      <c r="AM4" s="320" t="e">
        <f aca="false">IF($A4="N/A"," ",RANK(U4,$R$4:$Z$15))</f>
        <v>#NAME?</v>
      </c>
      <c r="AN4" s="320" t="e">
        <f aca="false">IF($A4="N/A"," ",RANK(V4,$R$4:$Z$15))</f>
        <v>#NAME?</v>
      </c>
      <c r="AO4" s="321" t="e">
        <f aca="false">IF($A4="N/A"," ",RANK(W4,$R$4:$Z$15))</f>
        <v>#NAME?</v>
      </c>
      <c r="AP4" s="320" t="e">
        <f aca="false">IF($A4="N/A"," ",RANK(X4,$R$4:$Z$15))</f>
        <v>#NAME?</v>
      </c>
      <c r="AQ4" s="320" t="e">
        <f aca="false">IF($A4="N/A"," ",RANK(Y4,$R$4:$Z$15))</f>
        <v>#NAME?</v>
      </c>
      <c r="AR4" s="322" t="e">
        <f aca="false">IF($A4="N/A"," ",RANK(Z4,$R$4:$Z$15))</f>
        <v>#NAME?</v>
      </c>
      <c r="AS4" s="323" t="e">
        <f aca="false">IF($A4="N/A",0,IF(AJ4&lt;=$AR$2,AA4,0))</f>
        <v>#NAME?</v>
      </c>
      <c r="AT4" s="324" t="e">
        <f aca="false">IF($A4="N/A",0,IF(AK4&lt;=$AR$2,AB4,0))</f>
        <v>#NAME?</v>
      </c>
      <c r="AU4" s="325" t="e">
        <f aca="false">IF($A4="N/A",0,IF(AL4&lt;=$AR$2,AC4,0))</f>
        <v>#NAME?</v>
      </c>
      <c r="AV4" s="324" t="e">
        <f aca="false">IF($A4="N/A",0,IF(AM4&lt;=$AR$2,AD4,0))</f>
        <v>#NAME?</v>
      </c>
      <c r="AW4" s="325" t="e">
        <f aca="false">IF($A4="N/A",0,IF(AN4&lt;=$AR$2,AE4,0))</f>
        <v>#NAME?</v>
      </c>
      <c r="AX4" s="325" t="e">
        <f aca="false">IF($A4="N/A",0,IF(AO4&lt;=$AR$2,AF4,0))</f>
        <v>#NAME?</v>
      </c>
      <c r="AY4" s="324" t="e">
        <f aca="false">IF($A4="N/A",0,IF(AP4&lt;=$AR$2,AG4,0))</f>
        <v>#NAME?</v>
      </c>
      <c r="AZ4" s="324" t="e">
        <f aca="false">IF($A4="N/A",0,IF(AQ4&lt;=$AR$2,AH4,0))</f>
        <v>#NAME?</v>
      </c>
      <c r="BA4" s="324" t="e">
        <f aca="false">IF($A4="N/A",0,IF(AR4&lt;=$AR$2,AI4,0))</f>
        <v>#NAME?</v>
      </c>
      <c r="BB4" s="322"/>
      <c r="BC4" s="326" t="e">
        <f aca="false">IF($A4="N/A",0,IF(AND(AJ4=$AR$2+1,AS4=0),MIN($BB$15,AA4),0))</f>
        <v>#NAME?</v>
      </c>
      <c r="BD4" s="327" t="e">
        <f aca="false">IF($A4="N/A",0,IF(AND(AK4=$AR$2+1,AT4=0),MIN($BB$15,AB4),0))</f>
        <v>#NAME?</v>
      </c>
      <c r="BE4" s="327" t="e">
        <f aca="false">IF($A4="N/A",0,IF(AND(AL4=$AR$2+1,AU4=0),MIN($BB$15,AC4),0))</f>
        <v>#NAME?</v>
      </c>
      <c r="BF4" s="327" t="e">
        <f aca="false">IF($A4="N/A",0,IF(AND(AM4=$AR$2+1,AV4=0),MIN($BB$15,AD4),0))</f>
        <v>#NAME?</v>
      </c>
      <c r="BG4" s="327" t="e">
        <f aca="false">IF($A4="N/A",0,IF(AND(AN4=$AR$2+1,AW4=0),MIN($BB$15,AE4),0))</f>
        <v>#NAME?</v>
      </c>
      <c r="BH4" s="327" t="e">
        <f aca="false">IF($A4="N/A",0,IF(AND(AO4=$AR$2+1,AX4=0),MIN($BB$15,AF4),0))</f>
        <v>#NAME?</v>
      </c>
      <c r="BI4" s="327" t="e">
        <f aca="false">IF($A4="N/A",0,IF(AND(AP4=$AR$2+1,AY4=0),MIN($BB$15,AG4),0))</f>
        <v>#NAME?</v>
      </c>
      <c r="BJ4" s="327" t="e">
        <f aca="false">IF($A4="N/A",0,IF(AND(AQ4=$AR$2+1,AZ4=0),MIN($BB$15,AH4),0))</f>
        <v>#NAME?</v>
      </c>
      <c r="BK4" s="327" t="e">
        <f aca="false">IF($A4="N/A",0,IF(AND(AR4=$AR$2+1,BA4=0),MIN($BB$15,AI4),0))</f>
        <v>#NAME?</v>
      </c>
      <c r="BL4" s="328"/>
      <c r="BM4" s="329" t="n">
        <f aca="false">IF($A4="N/A"," ",(IF(MONTH(A4)&gt;=4,IF(MONTH(A4)&lt;=10,Inputs!$F$13-Inputs!$G$13,Inputs!$F$14-Inputs!$G$14),Inputs!$F$14-Inputs!$G$14))*$CK4*Availability)</f>
        <v>16096082611572500</v>
      </c>
      <c r="BN4" s="330" t="e">
        <f aca="false">IF($A4="N/A"," ",(IF(AS4&gt;0,($BM4*(8*($HD4))*R4),0)+IF(BC4&gt;0,($BM4*((BC4/AA4)*8*$HD4)*R4),0)))</f>
        <v>#NAME?</v>
      </c>
      <c r="BO4" s="330" t="e">
        <f aca="false">IF($A4="N/A"," ",(IF(AT4&gt;0,($BM4*(8*($HD4))*S4),0)+IF(BD4&gt;0,($BM4*((BD4/AB4)*8*$HD4)*S4),0)))</f>
        <v>#NAME?</v>
      </c>
      <c r="BP4" s="330" t="e">
        <f aca="false">IF($A4="N/A"," ",(IF(AU4&gt;0,($BM4*(8*($HD4))*T4),0)+IF(BE4&gt;0,($BM4*((BE4))*T4),0)))</f>
        <v>#NAME?</v>
      </c>
      <c r="BQ4" s="330" t="e">
        <f aca="false">IF($A4="N/A"," ",(IF(AV4&gt;0,($BM4*(8*($HE4))*U4),0)+IF(BF4&gt;0,($BM4*((BF4/AD4)*8*$HE4)*U4),0)))</f>
        <v>#NAME?</v>
      </c>
      <c r="BR4" s="330" t="e">
        <f aca="false">IF($A4="N/A"," ",(IF(AW4&gt;0,($BM4*(8*($HE4))*V4),0)+IF(BG4&gt;0,($BM4*((BG4/AE4)*8*$HE4)*V4),0)))</f>
        <v>#NAME?</v>
      </c>
      <c r="BS4" s="330" t="e">
        <f aca="false">IF($A4="N/A"," ",(IF(AX4&gt;0,($BM4*(8*($HE4))*W4),0)+IF(BH4&gt;0,($BM4*((BH4))*W4),0)))</f>
        <v>#NAME?</v>
      </c>
      <c r="BT4" s="330" t="e">
        <f aca="false">IF($A4="N/A"," ",(IF(AY4&gt;0,($BM4*(8*($HF4))*X4),0)+IF(BI4&gt;0,($BM4*((BI4/AG4)*8*$HF4)*X4),0)))</f>
        <v>#NAME?</v>
      </c>
      <c r="BU4" s="330" t="e">
        <f aca="false">IF($A4="N/A"," ",(IF(AZ4&gt;0,($BM4*(8*($HF4))*Y4),0)+IF(BJ4&gt;0,($BM4*((BJ4/AH4)*8*$HF4)*Y4),0)))</f>
        <v>#NAME?</v>
      </c>
      <c r="BV4" s="330" t="e">
        <f aca="false">IF($A4="N/A"," ",(IF(BA4&gt;0,($BM4*(8*($HF4))*Z4),0)+IF(BK4&gt;0,($BM4*((BK4))*Z4),0)))</f>
        <v>#NAME?</v>
      </c>
      <c r="BW4" s="330" t="e">
        <f aca="false">IF($A4="N/A"," ",SUM(BN4:BV4))</f>
        <v>#NAME?</v>
      </c>
      <c r="BX4" s="331" t="e">
        <f aca="false">IF($A4="N/A"," ",(H4*(SUM($AS4:$BA4)+SUM($BC4:$BK4))*$BM4))</f>
        <v>#NAME?</v>
      </c>
      <c r="BY4" s="332" t="e">
        <f aca="false">IF($A4="N/A"," ",((C4*D4)*(SUM($AS4:$BA4)+SUM($BC4:$BK4))*$BM4))</f>
        <v>#N/A</v>
      </c>
      <c r="BZ4" s="332" t="e">
        <f aca="false">IF($A4="N/A"," ",(F4*(SUM($AS4:$BA4)+SUM($BC4:$BK4))*$BM4))</f>
        <v>#NAME?</v>
      </c>
      <c r="CA4" s="333" t="e">
        <f aca="false">IF($A4="N/A"," ",(G4*(SUM($AS4:$BA4)+SUM($BC4:$BK4))*$BM4))</f>
        <v>#NAME?</v>
      </c>
      <c r="CB4" s="334" t="n">
        <f aca="false">IF(A4="N/A"," ",(VLOOKUP(A4,PowerVolTable,(IF(BMO=2,7,IF(BMO=1,6,8))),FALSE())))</f>
        <v>0.501</v>
      </c>
      <c r="CC4" s="334" t="n">
        <f aca="false">IF(A4="N/A"," ",(VLOOKUP(A4,IntraPowerVol,(IF(BMO=2,3,IF(BMO=1,2,4))),FALSE())*VLOOKUP(MONTH($A4),Volscale,2)))</f>
        <v>2.75</v>
      </c>
      <c r="CD4" s="335" t="n">
        <f aca="false">IF($A4="N/A"," ",(IF(DateToday&gt;$A4,$CC4,((($CB4^2)*((($A4-1)-DateToday)/((EOMONTH($A4,0)+1)-DateToday-15)))+((($CC4)^2)*((15)/((EOMONTH($A4,0)+1)-DateToday-15))))^0.5)))</f>
        <v>2.75</v>
      </c>
      <c r="CE4" s="334" t="e">
        <f aca="false">IF($A4="N/A"," ",(VLOOKUP($A4,GasVolTable,(IF(BMO=2,6,IF(BMO=1,7,5))),FALSE())))</f>
        <v>#N/A</v>
      </c>
      <c r="CF4" s="334" t="e">
        <f aca="false">IF($A4="N/A"," ",(VLOOKUP($A4,OmicronVol,(IF(BMO=2,3,IF(BMO=1,4,2))),FALSE())))</f>
        <v>#N/A</v>
      </c>
      <c r="CG4" s="335" t="e">
        <f aca="false">IF($A4="N/A"," ",(IF(DateToday&gt;$A4,$CF4,((($CE4^2)*((($A4-1)-DateToday)/((EOMONTH($A4,0)+1)-DateToday-15)))+((($CF4)^2)*((15)/((EOMONTH($A4,0)+1)-DateToday-15))))^0.5)))</f>
        <v>#N/A</v>
      </c>
      <c r="CH4" s="334" t="n">
        <f aca="false">IF($A4="N/A"," ",VLOOKUP($A4,CorrelationTable,2,FALSE()))</f>
        <v>0.9</v>
      </c>
      <c r="CI4" s="336" t="n">
        <f aca="false">IF($A4="N/A"," ",F4+G4+(D4*('Pricing Inputs'!T37)))</f>
        <v>7.5</v>
      </c>
      <c r="CJ4" s="334" t="n">
        <f aca="false">IF($A4="N/A"," ",IF(PV=1,0,'Pricing Inputs'!U37))</f>
        <v>2</v>
      </c>
      <c r="CK4" s="337" t="n">
        <f aca="false">IF($A4="N/A"," ",(1+CJ4/2)^(-2*((EOMONTH(A4,0)+20)-DateToday)/365.25))</f>
        <v>643843304462902</v>
      </c>
      <c r="CL4" s="338" t="n">
        <f aca="false">IF(A4="N/A"," ",IF(CC=2,(VLOOKUP(MONTH($A4),Hrtable,3))/1000,0))</f>
        <v>0</v>
      </c>
      <c r="CM4" s="339" t="n">
        <f aca="false">IF(A4="N/A"," ",IF(CC=2,(CL4*C4)+F4,0))</f>
        <v>0</v>
      </c>
      <c r="CN4" s="340" t="n">
        <f aca="false">IF($A4="N/A"," ",IF(CC=2,(VLOOKUP(A4,ScaledPrice,(IF(AND(Dayrun&gt;=1,Dayrun&lt;=6),2,4)))-((IF(R4&lt;&gt;0,$D4,$CL4)*$C4)+$F4+$G4)),0))</f>
        <v>0</v>
      </c>
      <c r="CO4" s="340" t="n">
        <f aca="false">IF($A4="N/A"," ",IF(CC=2,(IF(AND(Dayrun&gt;=1,Dayrun&lt;=6),I4,(VLOOKUP(A4,ScaledPrice,2))*(2-(VLOOKUP(A4,ScaledPrice,3))))-((IF(S4&lt;&gt;0,$D4,$CL4)*$C4)+$F4+$G4)),0))</f>
        <v>0</v>
      </c>
      <c r="CP4" s="340" t="n">
        <f aca="false">IF(A4="N/A"," ",IF(CC=2,(VLOOKUP(A4,ScaledPrice,9)-((IF(T4&lt;&gt;0,$D4,$CL4)*$C4)+$F4+$G4)),0))</f>
        <v>0</v>
      </c>
      <c r="CQ4" s="340" t="n">
        <f aca="false">IF(A4="N/A"," ",IF(CC=2,(IF(OR(Dayrun=2,Dayrun=3,Dayrun=5,Dayrun=6,Dayrun=8,Dayrun=9),VLOOKUP(A4,ScaledPrice,IF(AND(Dayrun&gt;=2,Dayrun&lt;=6),5,6)),0)-((IF(U4&lt;&gt;0,$D4,$CL4)*$C4)+$F4+$G4)),0))</f>
        <v>0</v>
      </c>
      <c r="CR4" s="340" t="n">
        <f aca="false">IF(A4="N/A"," ",IF(CC=2,(IF(OR(Dayrun=2,Dayrun=3,Dayrun=5,Dayrun=6,Dayrun=8,Dayrun=9),IF(AND(Dayrun&gt;=2,Dayrun&lt;=6),L4,(VLOOKUP(A4,ScaledPrice,5))*(2-(VLOOKUP(A4,ScaledPrice,3)))),0)-((IF(V4&lt;&gt;0,$D4,$CL4)*$C4)+$F4+$G4)),0))</f>
        <v>0</v>
      </c>
      <c r="CS4" s="340" t="n">
        <f aca="false">IF(A4="N/A"," ",IF(CC=2,(VLOOKUP(A4,ScaledPrice,9)-((IF(W4&lt;&gt;0,$D4,$CL4)*$C4)+$F4+$G4)),0))</f>
        <v>0</v>
      </c>
      <c r="CT4" s="340" t="n">
        <f aca="false">IF(A4="N/A"," ",IF(CC=2,(IF(OR(Dayrun=3,Dayrun=6,Dayrun=9),(VLOOKUP(A4,ScaledPrice,IF(AND(Dayrun&gt;=3,Dayrun&lt;=6),7,8))),0)-((IF(X4&lt;&gt;0,$D4,$CL4)*$C4)+$F4+$G4)),0))</f>
        <v>0</v>
      </c>
      <c r="CU4" s="340" t="n">
        <f aca="false">IF(A4="N/A"," ",IF(CC=2,(IF(OR(Dayrun=3,Dayrun=6,Dayrun=9),IF(AND(Dayrun&gt;=3,Dayrun&lt;=6),O4,(VLOOKUP(A4,ScaledPrice,7))*(2-(VLOOKUP(A4,ScaledPrice,3)))),0)-((IF(Y4&lt;&gt;0,$D4,$CL4)*$C4)+$F4+$G4)),0))</f>
        <v>0</v>
      </c>
      <c r="CV4" s="340" t="n">
        <f aca="false">IF(A4="N/A"," ",IF(CC=2,(VLOOKUP(A4,ScaledPrice,9)-((IF(Z4&lt;&gt;0,$D4,$CL4)*$C4)+$F4+$G4)),0))</f>
        <v>0</v>
      </c>
      <c r="CW4" s="318" t="n">
        <f aca="false">IF($A4="N/A"," ",IF(0&lt;&gt;CN4,IF(CC=2,8*$HD4,0),0))</f>
        <v>0</v>
      </c>
      <c r="CX4" s="318" t="n">
        <f aca="false">IF($A4="N/A"," ",IF(0&lt;&gt;CO4,IF(CC=2,8*$HD4,0),0))</f>
        <v>0</v>
      </c>
      <c r="CY4" s="318" t="n">
        <f aca="false">IF($A4="N/A"," ",IF(0&lt;&gt;CP4,IF(CC=2,8*$HD4,0),0))</f>
        <v>0</v>
      </c>
      <c r="CZ4" s="318" t="n">
        <f aca="false">IF($A4="N/A"," ",IF(0&lt;&gt;CQ4,IF(CC=2,8*$HE4,0),0))</f>
        <v>0</v>
      </c>
      <c r="DA4" s="318" t="n">
        <f aca="false">IF($A4="N/A"," ",IF(0&lt;&gt;CR4,IF(CC=2,8*$HE4,0),0))</f>
        <v>0</v>
      </c>
      <c r="DB4" s="318" t="n">
        <f aca="false">IF($A4="N/A"," ",IF(0&lt;&gt;CS4,IF(CC=2,8*$HE4,0),0))</f>
        <v>0</v>
      </c>
      <c r="DC4" s="318" t="n">
        <f aca="false">IF($A4="N/A"," ",IF(0&lt;&gt;CT4,IF(CC=2,8*$HF4,0),0))</f>
        <v>0</v>
      </c>
      <c r="DD4" s="318" t="n">
        <f aca="false">IF($A4="N/A"," ",IF(0&lt;&gt;CU4,IF(CC=2,8*$HF4,0),0))</f>
        <v>0</v>
      </c>
      <c r="DE4" s="318" t="n">
        <f aca="false">IF($A4="N/A"," ",IF(0&lt;&gt;CV4,IF(CC=2,8*$HF4,0),0))</f>
        <v>0</v>
      </c>
      <c r="DF4" s="341" t="n">
        <f aca="false">IF($A4="N/A"," ",IF(CC=2,(IF(MONTH(A4)&gt;=4,IF(MONTH(A4)&lt;=10,Inputs!$G$13,Inputs!$G$14),Inputs!$G$14))*$CK4,0))</f>
        <v>0</v>
      </c>
      <c r="DG4" s="342" t="n">
        <f aca="false">IF($A4="N/A"," ",IF(CC=2,$DF4*CW4*CN4,0))</f>
        <v>0</v>
      </c>
      <c r="DH4" s="342" t="n">
        <f aca="false">IF($A4="N/A"," ",IF(CC=2,$DF4*CX4*CO4,0))</f>
        <v>0</v>
      </c>
      <c r="DI4" s="342" t="n">
        <f aca="false">IF($A4="N/A"," ",IF(CC=2,$DF4*CY4*CP4,0))</f>
        <v>0</v>
      </c>
      <c r="DJ4" s="342" t="n">
        <f aca="false">IF($A4="N/A"," ",IF(CC=2,$DF4*CZ4*CQ4,0))</f>
        <v>0</v>
      </c>
      <c r="DK4" s="342" t="n">
        <f aca="false">IF($A4="N/A"," ",IF(CC=2,$DF4*DA4*CR4,0))</f>
        <v>0</v>
      </c>
      <c r="DL4" s="342" t="n">
        <f aca="false">IF($A4="N/A"," ",IF(CC=2,$DF4*DB4*CS4,0))</f>
        <v>0</v>
      </c>
      <c r="DM4" s="342" t="n">
        <f aca="false">IF($A4="N/A"," ",IF(CC=2,$DF4*DC4*CT4,0))</f>
        <v>0</v>
      </c>
      <c r="DN4" s="342" t="n">
        <f aca="false">IF($A4="N/A"," ",IF(CC=2,$DF4*DD4*CU4,0))</f>
        <v>0</v>
      </c>
      <c r="DO4" s="342" t="n">
        <f aca="false">IF($A4="N/A"," ",IF(CC=2,$DF4*DE4*CV4,0))</f>
        <v>0</v>
      </c>
      <c r="DP4" s="343" t="n">
        <f aca="false">IF($A4="N/A"," ",IF(CC=2,SUM(DG4:DO4),0))</f>
        <v>0</v>
      </c>
      <c r="DQ4" s="0" t="n">
        <f aca="false">IF(A4="N/A"," ",Perstart)</f>
        <v>0</v>
      </c>
      <c r="HD4" s="0" t="n">
        <f aca="false">IF($A4="N/A"," ",VLOOKUP($A4,NumberofDaysTable,2))</f>
        <v>22</v>
      </c>
      <c r="HE4" s="0" t="n">
        <f aca="false">IF($A4="N/A"," ",VLOOKUP($A4,NumberofDaysTable,3))</f>
        <v>4</v>
      </c>
      <c r="HF4" s="0" t="n">
        <f aca="false">IF($A4="N/A"," ",VLOOKUP($A4,NumberofDaysTable,4))</f>
        <v>5</v>
      </c>
    </row>
    <row r="5" customFormat="false" ht="12.75" hidden="false" customHeight="false" outlineLevel="0" collapsed="false">
      <c r="A5" s="308" t="n">
        <f aca="false">IF(A4="N/A","N/A",IF(EDATE(A4,1)&gt;Inputs!$K$3,"N/A",EDATE(A4,1)))</f>
        <v>36923</v>
      </c>
      <c r="B5" s="309" t="n">
        <f aca="false">IF(A5="N/A"," ",YEAR(A5))</f>
        <v>2001</v>
      </c>
      <c r="C5" s="310" t="e">
        <f aca="false">IF(A5="N/A"," ",VLOOKUP(A5,ScaledPrice,10))</f>
        <v>#N/A</v>
      </c>
      <c r="D5" s="311" t="n">
        <f aca="false">IF(A5="N/A"," ",(VLOOKUP(MONTH($A5),Hrtable,2))/1000)</f>
        <v>10</v>
      </c>
      <c r="E5" s="312" t="e">
        <f aca="false">IF($A5="N/A"," ",(C5-'Pricing Inputs'!T38)*D5)</f>
        <v>#N/A</v>
      </c>
      <c r="F5" s="313" t="n">
        <f aca="false">IF(A5="N/A"," ",VOM)</f>
        <v>2.5</v>
      </c>
      <c r="G5" s="313" t="n">
        <f aca="false">IF(A5="N/A"," ",Perstart/IF(AND(Dayrun&gt;=4,Dayrun&lt;=6),16,IF(AND(Dayrun&gt;=7,Dayrun&lt;=9),8,24))/(BM5/CK5))</f>
        <v>0</v>
      </c>
      <c r="H5" s="314" t="e">
        <f aca="false">IF(A5="N/A"," ",(C5*D5)+F5+G5)</f>
        <v>#N/A</v>
      </c>
      <c r="I5" s="315" t="n">
        <f aca="false">VLOOKUP(A5,ScaledPrice,(IF(AND(Dayrun&gt;=1,Dayrun&lt;=6),2,4)))</f>
        <v>96.4875</v>
      </c>
      <c r="J5" s="315" t="n">
        <f aca="false">IF(A5="N/A"," ",IF(AND(Dayrun&gt;=1,Dayrun&lt;=6),I5,(VLOOKUP(A5,ScaledPrice,2))*(2-(VLOOKUP(A5,ScaledPrice,3)))))</f>
        <v>89.5125</v>
      </c>
      <c r="K5" s="315" t="n">
        <f aca="false">IF(A5="N/A"," ",IF(AND(Dayrun&gt;=1,Dayrun&lt;=3),VLOOKUP(A5,ScaledPrice,9),0))</f>
        <v>0</v>
      </c>
      <c r="L5" s="315" t="n">
        <f aca="false">IF(A5="N/A"," ",IF(OR(Dayrun=2,Dayrun=3,Dayrun=5,Dayrun=6,Dayrun=8,Dayrun=9),VLOOKUP(A5,ScaledPrice,IF(AND(Dayrun&gt;=2,Dayrun&lt;=6),5,6)),0))</f>
        <v>0</v>
      </c>
      <c r="M5" s="315" t="n">
        <f aca="false">IF(A5="N/A"," ",IF(OR(Dayrun=2,Dayrun=3,Dayrun=5,Dayrun=6,Dayrun=8,Dayrun=9),IF(AND(Dayrun&gt;=2,Dayrun&lt;=6),L5,(VLOOKUP(A5,ScaledPrice,5))*(2-(VLOOKUP(A5,ScaledPrice,3)))),0))</f>
        <v>0</v>
      </c>
      <c r="N5" s="315" t="n">
        <f aca="false">IF(A5="N/A"," ",IF(AND(Dayrun&gt;1,Dayrun&lt;=3),VLOOKUP(A5,ScaledPrice,9),0))</f>
        <v>0</v>
      </c>
      <c r="O5" s="315" t="n">
        <f aca="false">IF(A5="N/A"," ",IF(OR(Dayrun=3,Dayrun=6,Dayrun=9),(VLOOKUP(A5,ScaledPrice,IF(AND(Dayrun&gt;=3,Dayrun&lt;=6),7,8))),0))</f>
        <v>0</v>
      </c>
      <c r="P5" s="315" t="n">
        <f aca="false">IF(A5="N/A"," ",IF(OR(Dayrun=3,Dayrun=6,Dayrun=9),IF(AND(Dayrun&gt;=3,Dayrun&lt;=6),O5,(VLOOKUP(A5,ScaledPrice,7))*(2-(VLOOKUP(A5,ScaledPrice,3)))),0))</f>
        <v>0</v>
      </c>
      <c r="Q5" s="315" t="n">
        <f aca="false">IF(A5="N/A"," ",IF(AND(Dayrun&gt;2,Dayrun&lt;=3),VLOOKUP(A5,ScaledPrice,9),0))</f>
        <v>0</v>
      </c>
      <c r="R5" s="316" t="e">
        <f aca="false">IF($A5="N/A"," ",IF(Pricetype=2,MAX(I5-$H5,0),IF(Pricetype=1,(xSPRDOPT(I5,$E5,$CI5,0,($CD5+IF(Smile=TRUE(),VLOOKUP(MAX(-5,$H5-I5),Volsmile,2),0)),$CG5,$CH5,($A5-DateToday)+15,1,0)),I5-$H5)))</f>
        <v>#NAME?</v>
      </c>
      <c r="S5" s="316" t="e">
        <f aca="false">IF($A5="N/A"," ",IF(Pricetype=2,MAX(J5-$H5,0),IF(Pricetype=1,(xSPRDOPT(J5,$E5,$CI5,0,($CD5+IF(Smile=TRUE(),VLOOKUP(MAX(-5,$H5-J5),Volsmile,2),0)),$CG5,$CH5,($A5-DateToday)+15,1,0)),J5-$H5)))</f>
        <v>#NAME?</v>
      </c>
      <c r="T5" s="317" t="n">
        <f aca="false">IF($A5="N/A"," ",(IF(Pricetype=2,IF((K5-$H5)&lt;=0,0,(K5-$H5)),IF(K5&lt;&gt;0,(K5-$H5),0))))</f>
        <v>0</v>
      </c>
      <c r="U5" s="316" t="n">
        <f aca="false">IF($A5="N/A"," ",IF(Pricetype=2,MAX(L5-$H5,0),IF(L5&lt;&gt;0,IF(Pricetype=1,(xSPRDOPT(L5,$E5,$CI5,0,($CD5+IF(Smile=TRUE(),VLOOKUP(MAX(-5,$H5-L5),Volsmile,2),0)),$CG5,$CH5,($A5-DateToday)+15,1,0)),L5-$H5),0)))</f>
        <v>0</v>
      </c>
      <c r="V5" s="316" t="n">
        <f aca="false">IF($A5="N/A"," ",IF(Pricetype=2,MAX(M5-$H5,0),IF(M5&lt;&gt;0,IF(Pricetype=1,(xSPRDOPT(M5,$E5,$CI5,0,($CD5+IF(Smile=TRUE(),VLOOKUP(MAX(-5,$H5-M5),Volsmile,2),0)),$CG5,$CH5,($A5-DateToday)+15,1,0)),M5-$H5),0)))</f>
        <v>0</v>
      </c>
      <c r="W5" s="317" t="n">
        <f aca="false">IF($A5="N/A"," ",(IF(Pricetype=2,IF((N5-$H5)&lt;=0,0,(N5-$H5)),IF(N5&lt;&gt;0,(N5-$H5),0))))</f>
        <v>0</v>
      </c>
      <c r="X5" s="316" t="n">
        <f aca="false">IF($A5="N/A"," ",IF(Pricetype=2,MAX(O5-$H5,0),IF(O5&lt;&gt;0,IF(Pricetype=1,(xSPRDOPT(O5,$E5,$CI5,0,($CD5+IF(Smile=TRUE(),VLOOKUP(MAX(-5,$H5-O5),Volsmile,2),0)),$CG5,$CH5,($A5-DateToday)+15,1,0)),O5-$H5),0)))</f>
        <v>0</v>
      </c>
      <c r="Y5" s="316" t="n">
        <f aca="false">IF($A5="N/A"," ",IF(Pricetype=2,MAX(P5-$H5,0),IF(P5&lt;&gt;0,IF(Pricetype=1,(xSPRDOPT(P5,$E5,$CI5,0,($CD5+IF(Smile=TRUE(),VLOOKUP(MAX(-5,$H5-P5),Volsmile,2),0)),$CG5,$CH5,($A5-DateToday)+15,1,0)),P5-$H5),0)))</f>
        <v>0</v>
      </c>
      <c r="Z5" s="317" t="n">
        <f aca="false">IF($A5="N/A"," ",(IF(Pricetype=2,IF((Q5-$H5)&lt;=0,0,(Q5-$H5)),IF(Q5&lt;&gt;0,(Q5-$H5),0))))</f>
        <v>0</v>
      </c>
      <c r="AA5" s="318" t="e">
        <f aca="false">IF($A5="N/A"," ",IF(VLOOKUP(MONTH(A5),ManualTable,2)=1,(IF(0&lt;&gt;R5,IF(Pricetype=1,(xSPRDOPT(I5,$E5,$CI5,0,($CD5+IF(Smile=TRUE(),VLOOKUP(MAX(-5,$H5-I5),Volsmile,2),0)),$CG5,$CH5,($A5-DateToday)+15,1,1))*(8*$HD5),8*$HD5),0)),0))</f>
        <v>#NAME?</v>
      </c>
      <c r="AB5" s="318" t="e">
        <f aca="false">IF($A5="N/A"," ",IF(VLOOKUP(MONTH(A5),ManualTable,3)=1,(IF(S5&lt;&gt;0,IF(Pricetype=1,(xSPRDOPT(J5,$E5,$CI5,0,($CD5+IF(Smile=TRUE(),VLOOKUP(MAX(-5,$H5-J5),Volsmile,2),0)),$CG5,$CH5,($A5-DateToday)+15,1,1))*(8*$HD5),8*$HD5),0)),0))</f>
        <v>#NAME?</v>
      </c>
      <c r="AC5" s="318" t="n">
        <f aca="false">IF($A5="N/A"," ",IF(VLOOKUP(MONTH(A5),ManualTable,4)=1,(IF(T5&lt;&gt;0,(8*$HD5),0)),0))</f>
        <v>0</v>
      </c>
      <c r="AD5" s="318" t="n">
        <f aca="false">IF($A5="N/A"," ",IF(VLOOKUP(MONTH(A5),ManualTable,5)=1,(IF(U5&lt;&gt;0,IF(Pricetype=1,(xSPRDOPT(L5,$E5,$CI5,0,($CD5+IF(Smile=TRUE(),VLOOKUP(MAX(-5,$H5-L5),Volsmile,2),0)),$CG5,$CH5,($A5-DateToday)+15,1,1))*(8*$HE5),8*$HE5),0)),0))</f>
        <v>0</v>
      </c>
      <c r="AE5" s="318" t="n">
        <f aca="false">IF($A5="N/A"," ",IF(VLOOKUP(MONTH(A5),ManualTable,6)=1,(IF(V5&lt;&gt;0,IF(Pricetype=1,(xSPRDOPT(M5,$E5,$CI5,0,($CD5+IF(Smile=TRUE(),VLOOKUP(MAX(-5,$H5-M5),Volsmile,2),0)),$CG5,$CH5,($A5-DateToday)+15,1,1))*(8*$HE5),8*$HE5),0)),0))</f>
        <v>0</v>
      </c>
      <c r="AF5" s="318" t="n">
        <f aca="false">IF($A5="N/A"," ",IF(VLOOKUP(MONTH(A5),ManualTable,7)=1,(IF(W5&lt;&gt;0,(8*$HE5),0)),0))</f>
        <v>0</v>
      </c>
      <c r="AG5" s="318" t="n">
        <f aca="false">IF($A5="N/A"," ",IF(VLOOKUP(MONTH(A5),ManualTable,8)=1,(IF(X5&lt;&gt;0,IF(Pricetype=1,(xSPRDOPT(O5,$E5,$CI5,0,($CD5+IF(Smile=TRUE(),VLOOKUP(MAX(-5,$H5-O5),Volsmile,2),0)),$CG5,$CH5,($A5-DateToday)+15,1,1))*(8*$HF5),8*$HF5),0)),0))</f>
        <v>0</v>
      </c>
      <c r="AH5" s="318" t="n">
        <f aca="false">IF($A5="N/A"," ",IF(VLOOKUP(MONTH(A5),ManualTable,9)=1,(IF(Y5&lt;&gt;0,IF(Pricetype=1,(xSPRDOPT(P5,$E5,$CI5,0,($CD5+IF(Smile=TRUE(),VLOOKUP(MAX(-5,$H5-P5),Volsmile,2),0)),$CG5,$CH5,($A5-DateToday)+15,1,1))*(8*$HF5),8*$HF5),0)),0))</f>
        <v>0</v>
      </c>
      <c r="AI5" s="318" t="n">
        <f aca="false">IF($A5="N/A"," ",IF(VLOOKUP(MONTH(A5),ManualTable,10)=1,(IF(Z5&lt;&gt;0,(8*($HF5)),0)),0))</f>
        <v>0</v>
      </c>
      <c r="AJ5" s="344" t="e">
        <f aca="false">IF($A5="N/A"," ",RANK(R5,$R$4:$Z$15))</f>
        <v>#NAME?</v>
      </c>
      <c r="AK5" s="321" t="e">
        <f aca="false">IF($A5="N/A"," ",RANK(S5,$R$4:$Z$15))</f>
        <v>#NAME?</v>
      </c>
      <c r="AL5" s="321" t="e">
        <f aca="false">IF($A5="N/A"," ",RANK(T5,$R$4:$Z$15))</f>
        <v>#NAME?</v>
      </c>
      <c r="AM5" s="321" t="e">
        <f aca="false">IF($A5="N/A"," ",RANK(U5,$R$4:$Z$15))</f>
        <v>#NAME?</v>
      </c>
      <c r="AN5" s="321" t="e">
        <f aca="false">IF($A5="N/A"," ",RANK(V5,$R$4:$Z$15))</f>
        <v>#NAME?</v>
      </c>
      <c r="AO5" s="321" t="e">
        <f aca="false">IF($A5="N/A"," ",RANK(W5,$R$4:$Z$15))</f>
        <v>#NAME?</v>
      </c>
      <c r="AP5" s="321" t="e">
        <f aca="false">IF($A5="N/A"," ",RANK(X5,$R$4:$Z$15))</f>
        <v>#NAME?</v>
      </c>
      <c r="AQ5" s="321" t="e">
        <f aca="false">IF($A5="N/A"," ",RANK(Y5,$R$4:$Z$15))</f>
        <v>#NAME?</v>
      </c>
      <c r="AR5" s="345" t="e">
        <f aca="false">IF($A5="N/A"," ",RANK(Z5,$R$4:$Z$15))</f>
        <v>#NAME?</v>
      </c>
      <c r="AS5" s="323" t="e">
        <f aca="false">IF($A5="N/A",0,IF(AJ5&lt;=$AR$2,AA5,0))</f>
        <v>#NAME?</v>
      </c>
      <c r="AT5" s="325" t="e">
        <f aca="false">IF($A5="N/A",0,IF(AK5&lt;=$AR$2,AB5,0))</f>
        <v>#NAME?</v>
      </c>
      <c r="AU5" s="325" t="e">
        <f aca="false">IF($A5="N/A",0,IF(AL5&lt;=$AR$2,AC5,0))</f>
        <v>#NAME?</v>
      </c>
      <c r="AV5" s="325" t="e">
        <f aca="false">IF($A5="N/A",0,IF(AM5&lt;=$AR$2,AD5,0))</f>
        <v>#NAME?</v>
      </c>
      <c r="AW5" s="325" t="e">
        <f aca="false">IF($A5="N/A",0,IF(AN5&lt;=$AR$2,AE5,0))</f>
        <v>#NAME?</v>
      </c>
      <c r="AX5" s="325" t="e">
        <f aca="false">IF($A5="N/A",0,IF(AO5&lt;=$AR$2,AF5,0))</f>
        <v>#NAME?</v>
      </c>
      <c r="AY5" s="325" t="e">
        <f aca="false">IF($A5="N/A",0,IF(AP5&lt;=$AR$2,AG5,0))</f>
        <v>#NAME?</v>
      </c>
      <c r="AZ5" s="325" t="e">
        <f aca="false">IF($A5="N/A",0,IF(AQ5&lt;=$AR$2,AH5,0))</f>
        <v>#NAME?</v>
      </c>
      <c r="BA5" s="325" t="e">
        <f aca="false">IF($A5="N/A",0,IF(AR5&lt;=$AR$2,AI5,0))</f>
        <v>#NAME?</v>
      </c>
      <c r="BB5" s="345"/>
      <c r="BC5" s="326" t="e">
        <f aca="false">IF($A5="N/A",0,IF(AND(AJ5=$AR$2+1,AS5=0),MIN($BB$15,AA5),0))</f>
        <v>#NAME?</v>
      </c>
      <c r="BD5" s="346" t="e">
        <f aca="false">IF($A5="N/A",0,IF(AND(AK5=$AR$2+1,AT5=0),MIN($BB$15,AB5),0))</f>
        <v>#NAME?</v>
      </c>
      <c r="BE5" s="346" t="e">
        <f aca="false">IF($A5="N/A",0,IF(AND(AL5=$AR$2+1,AU5=0),MIN($BB$15,AC5),0))</f>
        <v>#NAME?</v>
      </c>
      <c r="BF5" s="346" t="e">
        <f aca="false">IF($A5="N/A",0,IF(AND(AM5=$AR$2+1,AV5=0),MIN($BB$15,AD5),0))</f>
        <v>#NAME?</v>
      </c>
      <c r="BG5" s="346" t="e">
        <f aca="false">IF($A5="N/A",0,IF(AND(AN5=$AR$2+1,AW5=0),MIN($BB$15,AE5),0))</f>
        <v>#NAME?</v>
      </c>
      <c r="BH5" s="346" t="e">
        <f aca="false">IF($A5="N/A",0,IF(AND(AO5=$AR$2+1,AX5=0),MIN($BB$15,AF5),0))</f>
        <v>#NAME?</v>
      </c>
      <c r="BI5" s="346" t="e">
        <f aca="false">IF($A5="N/A",0,IF(AND(AP5=$AR$2+1,AY5=0),MIN($BB$15,AG5),0))</f>
        <v>#NAME?</v>
      </c>
      <c r="BJ5" s="346" t="e">
        <f aca="false">IF($A5="N/A",0,IF(AND(AQ5=$AR$2+1,AZ5=0),MIN($BB$15,AH5),0))</f>
        <v>#NAME?</v>
      </c>
      <c r="BK5" s="346" t="e">
        <f aca="false">IF($A5="N/A",0,IF(AND(AR5=$AR$2+1,BA5=0),MIN($BB$15,AI5),0))</f>
        <v>#NAME?</v>
      </c>
      <c r="BL5" s="347"/>
      <c r="BM5" s="329" t="n">
        <f aca="false">IF($A5="N/A"," ",(IF(MONTH(A5)&gt;=4,IF(MONTH(A5)&lt;=10,Inputs!$F$13-Inputs!$G$13,Inputs!$F$14-Inputs!$G$14),Inputs!$F$14-Inputs!$G$14))*$CK5*Availability)</f>
        <v>14473260554833500</v>
      </c>
      <c r="BN5" s="330" t="e">
        <f aca="false">IF($A5="N/A"," ",(IF(AS5&gt;0,($BM5*(8*($HD5))*R5),0)+IF(BC5&gt;0,($BM5*((BC5/AA5)*8*$HD5)*R5),0)))</f>
        <v>#NAME?</v>
      </c>
      <c r="BO5" s="330" t="e">
        <f aca="false">IF($A5="N/A"," ",(IF(AT5&gt;0,($BM5*(8*($HD5))*S5),0)+IF(BD5&gt;0,($BM5*((BD5/AB5)*8*$HD5)*S5),0)))</f>
        <v>#NAME?</v>
      </c>
      <c r="BP5" s="330" t="e">
        <f aca="false">IF($A5="N/A"," ",(IF(AU5&gt;0,($BM5*(8*($HD5))*T5),0)+IF(BE5&gt;0,($BM5*((BE5))*T5),0)))</f>
        <v>#NAME?</v>
      </c>
      <c r="BQ5" s="330" t="e">
        <f aca="false">IF($A5="N/A"," ",(IF(AV5&gt;0,($BM5*(8*($HE5))*U5),0)+IF(BF5&gt;0,($BM5*((BF5/AD5)*8*$HE5)*U5),0)))</f>
        <v>#NAME?</v>
      </c>
      <c r="BR5" s="330" t="e">
        <f aca="false">IF($A5="N/A"," ",(IF(AW5&gt;0,($BM5*(8*($HE5))*V5),0)+IF(BG5&gt;0,($BM5*((BG5/AE5)*8*$HE5)*V5),0)))</f>
        <v>#NAME?</v>
      </c>
      <c r="BS5" s="330" t="e">
        <f aca="false">IF($A5="N/A"," ",(IF(AX5&gt;0,($BM5*(8*($HE5))*W5),0)+IF(BH5&gt;0,($BM5*((BH5))*W5),0)))</f>
        <v>#NAME?</v>
      </c>
      <c r="BT5" s="330" t="e">
        <f aca="false">IF($A5="N/A"," ",(IF(AY5&gt;0,($BM5*(8*($HF5))*X5),0)+IF(BI5&gt;0,($BM5*((BI5/AG5)*8*$HF5)*X5),0)))</f>
        <v>#NAME?</v>
      </c>
      <c r="BU5" s="330" t="e">
        <f aca="false">IF($A5="N/A"," ",(IF(AZ5&gt;0,($BM5*(8*($HF5))*Y5),0)+IF(BJ5&gt;0,($BM5*((BJ5/AH5)*8*$HF5)*Y5),0)))</f>
        <v>#NAME?</v>
      </c>
      <c r="BV5" s="330" t="e">
        <f aca="false">IF($A5="N/A"," ",(IF(BA5&gt;0,($BM5*(8*($HF5))*Z5),0)+IF(BK5&gt;0,($BM5*((BK5))*Z5),0)))</f>
        <v>#NAME?</v>
      </c>
      <c r="BW5" s="330" t="e">
        <f aca="false">IF($A5="N/A"," ",SUM(BN5:BV5))</f>
        <v>#NAME?</v>
      </c>
      <c r="BX5" s="331" t="e">
        <f aca="false">IF($A5="N/A"," ",(H5*(SUM(AS5:BA5)+SUM(BC5:BK5))*BM5))</f>
        <v>#NAME?</v>
      </c>
      <c r="BY5" s="332" t="e">
        <f aca="false">IF($A5="N/A"," ",((C5*D5)*(SUM($AS5:$BA5)+SUM($BC5:$BK5))*$BM5))</f>
        <v>#N/A</v>
      </c>
      <c r="BZ5" s="332" t="e">
        <f aca="false">IF($A5="N/A"," ",(F5*(SUM($AS5:$BA5)+SUM($BC5:$BK5))*$BM5))</f>
        <v>#NAME?</v>
      </c>
      <c r="CA5" s="333" t="e">
        <f aca="false">IF($A5="N/A"," ",(G5*(SUM($AS5:$BA5)+SUM($BC5:$BK5))*$BM5))</f>
        <v>#NAME?</v>
      </c>
      <c r="CB5" s="334" t="n">
        <f aca="false">IF(A5="N/A"," ",(VLOOKUP(A5,PowerVolTable,(IF(BMO=2,7,IF(BMO=1,6,8))),FALSE())))</f>
        <v>0.484</v>
      </c>
      <c r="CC5" s="334" t="n">
        <f aca="false">IF(A5="N/A"," ",(VLOOKUP(A5,IntraPowerVol,(IF(BMO=2,3,IF(BMO=1,2,4))),FALSE())*VLOOKUP(MONTH($A5),Volscale,2)))</f>
        <v>2.75</v>
      </c>
      <c r="CD5" s="335" t="n">
        <f aca="false">IF($A5="N/A"," ",(IF(DateToday&gt;$A5,$CC5,((($CB5^2)*((($A5-1)-DateToday)/((EOMONTH($A5,0)+1)-DateToday-15)))+((($CC5)^2)*((15)/((EOMONTH($A5,0)+1)-DateToday-15))))^0.5)))</f>
        <v>2.75</v>
      </c>
      <c r="CE5" s="334" t="e">
        <f aca="false">IF($A5="N/A"," ",(VLOOKUP($A5,GasVolTable,(IF(BMO=2,6,IF(BMO=1,7,5))),FALSE())))</f>
        <v>#N/A</v>
      </c>
      <c r="CF5" s="334" t="e">
        <f aca="false">IF($A5="N/A"," ",(VLOOKUP($A5,OmicronVol,(IF(BMO=2,3,IF(BMO=1,4,2))),FALSE())))</f>
        <v>#N/A</v>
      </c>
      <c r="CG5" s="335" t="e">
        <f aca="false">IF($A5="N/A"," ",(IF(DateToday&gt;$A5,$CF5,((($CE5^2)*((($A5-1)-DateToday)/((EOMONTH($A5,0)+1)-DateToday-15)))+((($CF5)^2)*((15)/((EOMONTH($A5,0)+1)-DateToday-15))))^0.5)))</f>
        <v>#N/A</v>
      </c>
      <c r="CH5" s="334" t="n">
        <f aca="false">IF($A5="N/A"," ",VLOOKUP($A5,CorrelationTable,2,FALSE()))</f>
        <v>0.9</v>
      </c>
      <c r="CI5" s="336" t="n">
        <f aca="false">IF($A5="N/A"," ",F5+G5+(D5*('Pricing Inputs'!T38)))</f>
        <v>7.5</v>
      </c>
      <c r="CJ5" s="334" t="n">
        <f aca="false">IF($A5="N/A"," ",IF(PV=1,0,'Pricing Inputs'!U38))</f>
        <v>2</v>
      </c>
      <c r="CK5" s="337" t="n">
        <f aca="false">IF($A5="N/A"," ",(1+CJ5/2)^(-2*((EOMONTH(A5,0)+20)-DateToday)/365.25))</f>
        <v>578930422193341</v>
      </c>
      <c r="CL5" s="338" t="n">
        <f aca="false">IF(A5="N/A"," ",IF(CC=2,(VLOOKUP(MONTH($A5),Hrtable,3))/1000,0))</f>
        <v>0</v>
      </c>
      <c r="CM5" s="339" t="n">
        <f aca="false">IF(A5="N/A"," ",IF(CC=2,(CL5*C5)+F5,0))</f>
        <v>0</v>
      </c>
      <c r="CN5" s="340" t="n">
        <f aca="false">IF($A5="N/A"," ",IF(CC=2,(VLOOKUP(A5,ScaledPrice,(IF(AND(Dayrun&gt;=1,Dayrun&lt;=6),2,4)))-((IF(R5&lt;&gt;0,$D5,$CL5)*$C5)+$F5+$G5)),0))</f>
        <v>0</v>
      </c>
      <c r="CO5" s="340" t="n">
        <f aca="false">IF($A5="N/A"," ",IF(CC=2,(IF(AND(Dayrun&gt;=1,Dayrun&lt;=6),I5,(VLOOKUP(A5,ScaledPrice,2))*(2-(VLOOKUP(A5,ScaledPrice,3))))-((IF(S5&lt;&gt;0,$D5,$CL5)*$C5)+$F5+$G5)),0))</f>
        <v>0</v>
      </c>
      <c r="CP5" s="340" t="n">
        <f aca="false">IF(A5="N/A"," ",IF(CC=2,(VLOOKUP(A5,ScaledPrice,9)-((IF(T5&lt;&gt;0,$D5,$CL5)*$C5)+$F5+$G5)),0))</f>
        <v>0</v>
      </c>
      <c r="CQ5" s="340" t="n">
        <f aca="false">IF(A5="N/A"," ",IF(CC=2,(IF(OR(Dayrun=2,Dayrun=3,Dayrun=5,Dayrun=6,Dayrun=8,Dayrun=9),VLOOKUP(A5,ScaledPrice,IF(AND(Dayrun&gt;=2,Dayrun&lt;=6),5,6)),0)-((IF(U5&lt;&gt;0,$D5,$CL5)*$C5)+$F5+$G5)),0))</f>
        <v>0</v>
      </c>
      <c r="CR5" s="340" t="n">
        <f aca="false">IF(A5="N/A"," ",IF(CC=2,(IF(OR(Dayrun=2,Dayrun=3,Dayrun=5,Dayrun=6,Dayrun=8,Dayrun=9),IF(AND(Dayrun&gt;=2,Dayrun&lt;=6),L5,(VLOOKUP(A5,ScaledPrice,5))*(2-(VLOOKUP(A5,ScaledPrice,3)))),0)-((IF(V5&lt;&gt;0,$D5,$CL5)*$C5)+$F5+$G5)),0))</f>
        <v>0</v>
      </c>
      <c r="CS5" s="340" t="n">
        <f aca="false">IF(A5="N/A"," ",IF(CC=2,(VLOOKUP(A5,ScaledPrice,9)-((IF(W5&lt;&gt;0,$D5,$CL5)*$C5)+$F5+$G5)),0))</f>
        <v>0</v>
      </c>
      <c r="CT5" s="340" t="n">
        <f aca="false">IF(A5="N/A"," ",IF(CC=2,(IF(OR(Dayrun=3,Dayrun=6,Dayrun=9),(VLOOKUP(A5,ScaledPrice,IF(AND(Dayrun&gt;=3,Dayrun&lt;=6),7,8))),0)-((IF(X5&lt;&gt;0,$D5,$CL5)*$C5)+$F5+$G5)),0))</f>
        <v>0</v>
      </c>
      <c r="CU5" s="340" t="n">
        <f aca="false">IF(A5="N/A"," ",IF(CC=2,(IF(OR(Dayrun=3,Dayrun=6,Dayrun=9),IF(AND(Dayrun&gt;=3,Dayrun&lt;=6),O5,(VLOOKUP(A5,ScaledPrice,7))*(2-(VLOOKUP(A5,ScaledPrice,3)))),0)-((IF(Y5&lt;&gt;0,$D5,$CL5)*$C5)+$F5+$G5)),0))</f>
        <v>0</v>
      </c>
      <c r="CV5" s="340" t="n">
        <f aca="false">IF(A5="N/A"," ",IF(CC=2,(VLOOKUP(A5,ScaledPrice,9)-((IF(Z5&lt;&gt;0,$D5,$CL5)*$C5)+$F5+$G5)),0))</f>
        <v>0</v>
      </c>
      <c r="CW5" s="318" t="n">
        <f aca="false">IF($A5="N/A"," ",IF(0&lt;&gt;CN5,IF(CC=2,8*$HD5,0),0))</f>
        <v>0</v>
      </c>
      <c r="CX5" s="318" t="n">
        <f aca="false">IF($A5="N/A"," ",IF(0&lt;&gt;CO5,IF(CC=2,8*$HD5,0),0))</f>
        <v>0</v>
      </c>
      <c r="CY5" s="318" t="n">
        <f aca="false">IF($A5="N/A"," ",IF(0&lt;&gt;CP5,IF(CC=2,8*$HD5,0),0))</f>
        <v>0</v>
      </c>
      <c r="CZ5" s="318" t="n">
        <f aca="false">IF($A5="N/A"," ",IF(0&lt;&gt;CQ5,IF(CC=2,8*$HE5,0),0))</f>
        <v>0</v>
      </c>
      <c r="DA5" s="318" t="n">
        <f aca="false">IF($A5="N/A"," ",IF(0&lt;&gt;CR5,IF(CC=2,8*$HE5,0),0))</f>
        <v>0</v>
      </c>
      <c r="DB5" s="318" t="n">
        <f aca="false">IF($A5="N/A"," ",IF(0&lt;&gt;CS5,IF(CC=2,8*$HE5,0),0))</f>
        <v>0</v>
      </c>
      <c r="DC5" s="318" t="n">
        <f aca="false">IF($A5="N/A"," ",IF(0&lt;&gt;CT5,IF(CC=2,8*$HF5,0),0))</f>
        <v>0</v>
      </c>
      <c r="DD5" s="318" t="n">
        <f aca="false">IF($A5="N/A"," ",IF(0&lt;&gt;CU5,IF(CC=2,8*$HF5,0),0))</f>
        <v>0</v>
      </c>
      <c r="DE5" s="318" t="n">
        <f aca="false">IF($A5="N/A"," ",IF(0&lt;&gt;CV5,IF(CC=2,8*$HF5,0),0))</f>
        <v>0</v>
      </c>
      <c r="DF5" s="341" t="n">
        <f aca="false">IF($A5="N/A"," ",IF(CC=2,(IF(MONTH(A5)&gt;=4,IF(MONTH(A5)&lt;=10,Inputs!$G$13,Inputs!$G$14),Inputs!$G$14))*$CK5,0))</f>
        <v>0</v>
      </c>
      <c r="DG5" s="342" t="n">
        <f aca="false">IF($A5="N/A"," ",IF(CC=2,$DF5*CW5*CN5,0))</f>
        <v>0</v>
      </c>
      <c r="DH5" s="342" t="n">
        <f aca="false">IF($A5="N/A"," ",IF(CC=2,$DF5*CX5*CO5,0))</f>
        <v>0</v>
      </c>
      <c r="DI5" s="342" t="n">
        <f aca="false">IF($A5="N/A"," ",IF(CC=2,$DF5*CY5*CP5,0))</f>
        <v>0</v>
      </c>
      <c r="DJ5" s="342" t="n">
        <f aca="false">IF($A5="N/A"," ",IF(CC=2,$DF5*CZ5*CQ5,0))</f>
        <v>0</v>
      </c>
      <c r="DK5" s="342" t="n">
        <f aca="false">IF($A5="N/A"," ",IF(CC=2,$DF5*DA5*CR5,0))</f>
        <v>0</v>
      </c>
      <c r="DL5" s="342" t="n">
        <f aca="false">IF($A5="N/A"," ",IF(CC=2,$DF5*DB5*CS5,0))</f>
        <v>0</v>
      </c>
      <c r="DM5" s="342" t="n">
        <f aca="false">IF($A5="N/A"," ",IF(CC=2,$DF5*DC5*CT5,0))</f>
        <v>0</v>
      </c>
      <c r="DN5" s="342" t="n">
        <f aca="false">IF($A5="N/A"," ",IF(CC=2,$DF5*DD5*CU5,0))</f>
        <v>0</v>
      </c>
      <c r="DO5" s="342" t="n">
        <f aca="false">IF($A5="N/A"," ",IF(CC=2,$DF5*DE5*CV5,0))</f>
        <v>0</v>
      </c>
      <c r="DP5" s="343" t="n">
        <f aca="false">IF($A5="N/A"," ",IF(CC=2,SUM(DG5:DO5),0))</f>
        <v>0</v>
      </c>
      <c r="DQ5" s="0" t="n">
        <f aca="false">IF(A5="N/A"," ",Perstart)</f>
        <v>0</v>
      </c>
      <c r="HD5" s="0" t="n">
        <f aca="false">IF($A5="N/A"," ",VLOOKUP($A5,NumberofDaysTable,2))</f>
        <v>20</v>
      </c>
      <c r="HE5" s="0" t="n">
        <f aca="false">IF($A5="N/A"," ",VLOOKUP($A5,NumberofDaysTable,3))</f>
        <v>4</v>
      </c>
      <c r="HF5" s="0" t="n">
        <f aca="false">IF($A5="N/A"," ",VLOOKUP($A5,NumberofDaysTable,4))</f>
        <v>4</v>
      </c>
    </row>
    <row r="6" customFormat="false" ht="12.75" hidden="false" customHeight="false" outlineLevel="0" collapsed="false">
      <c r="A6" s="308" t="str">
        <f aca="false">IF(A5="N/A","N/A",IF(EDATE(A5,1)&gt;Inputs!$K$3,"N/A",EDATE(A5,1)))</f>
        <v>N/A</v>
      </c>
      <c r="B6" s="309" t="str">
        <f aca="false">IF(A6="N/A"," ",YEAR(A6))</f>
        <v> </v>
      </c>
      <c r="C6" s="310" t="str">
        <f aca="false">IF(A6="N/A"," ",VLOOKUP(A6,ScaledPrice,10))</f>
        <v> </v>
      </c>
      <c r="D6" s="311" t="str">
        <f aca="false">IF(A6="N/A"," ",(VLOOKUP(MONTH($A6),Hrtable,2))/1000)</f>
        <v> </v>
      </c>
      <c r="E6" s="312" t="str">
        <f aca="false">IF($A6="N/A"," ",(C6-'Pricing Inputs'!T39)*D6)</f>
        <v> </v>
      </c>
      <c r="F6" s="313" t="str">
        <f aca="false">IF(A6="N/A"," ",VOM)</f>
        <v> </v>
      </c>
      <c r="G6" s="313" t="str">
        <f aca="false">IF(A6="N/A"," ",Perstart/IF(AND(Dayrun&gt;=4,Dayrun&lt;=6),16,IF(AND(Dayrun&gt;=7,Dayrun&lt;=9),8,24))/(BM6/CK6))</f>
        <v> </v>
      </c>
      <c r="H6" s="314" t="str">
        <f aca="false">IF(A6="N/A"," ",(C6*D6)+F6+G6)</f>
        <v> </v>
      </c>
      <c r="I6" s="315" t="str">
        <f aca="false">VLOOKUP(A6,ScaledPrice,(IF(AND(Dayrun&gt;=1,Dayrun&lt;=6),2,4)))</f>
        <v> </v>
      </c>
      <c r="J6" s="315" t="str">
        <f aca="false">IF(A6="N/A"," ",IF(AND(Dayrun&gt;=1,Dayrun&lt;=6),I6,(VLOOKUP(A6,ScaledPrice,2))*(2-(VLOOKUP(A6,ScaledPrice,3)))))</f>
        <v> </v>
      </c>
      <c r="K6" s="315" t="str">
        <f aca="false">IF(A6="N/A"," ",IF(AND(Dayrun&gt;=1,Dayrun&lt;=3),VLOOKUP(A6,ScaledPrice,9),0))</f>
        <v> </v>
      </c>
      <c r="L6" s="315" t="str">
        <f aca="false">IF(A6="N/A"," ",IF(OR(Dayrun=2,Dayrun=3,Dayrun=5,Dayrun=6,Dayrun=8,Dayrun=9),VLOOKUP(A6,ScaledPrice,IF(AND(Dayrun&gt;=2,Dayrun&lt;=6),5,6)),0))</f>
        <v> </v>
      </c>
      <c r="M6" s="315" t="str">
        <f aca="false">IF(A6="N/A"," ",IF(OR(Dayrun=2,Dayrun=3,Dayrun=5,Dayrun=6,Dayrun=8,Dayrun=9),IF(AND(Dayrun&gt;=2,Dayrun&lt;=6),L6,(VLOOKUP(A6,ScaledPrice,5))*(2-(VLOOKUP(A6,ScaledPrice,3)))),0))</f>
        <v> </v>
      </c>
      <c r="N6" s="315" t="str">
        <f aca="false">IF(A6="N/A"," ",IF(AND(Dayrun&gt;1,Dayrun&lt;=3),VLOOKUP(A6,ScaledPrice,9),0))</f>
        <v> </v>
      </c>
      <c r="O6" s="315" t="str">
        <f aca="false">IF(A6="N/A"," ",IF(OR(Dayrun=3,Dayrun=6,Dayrun=9),(VLOOKUP(A6,ScaledPrice,IF(AND(Dayrun&gt;=3,Dayrun&lt;=6),7,8))),0))</f>
        <v> </v>
      </c>
      <c r="P6" s="315" t="str">
        <f aca="false">IF(A6="N/A"," ",IF(OR(Dayrun=3,Dayrun=6,Dayrun=9),IF(AND(Dayrun&gt;=3,Dayrun&lt;=6),O6,(VLOOKUP(A6,ScaledPrice,7))*(2-(VLOOKUP(A6,ScaledPrice,3)))),0))</f>
        <v> </v>
      </c>
      <c r="Q6" s="315" t="str">
        <f aca="false">IF(A6="N/A"," ",IF(AND(Dayrun&gt;2,Dayrun&lt;=3),VLOOKUP(A6,ScaledPrice,9),0))</f>
        <v> </v>
      </c>
      <c r="R6" s="316" t="str">
        <f aca="false">IF($A6="N/A"," ",IF(Pricetype=2,MAX(I6-$H6,0),IF(Pricetype=1,(xSPRDOPT(I6,$E6,$CI6,0,($CD6+IF(Smile=TRUE(),VLOOKUP(MAX(-5,$H6-I6),Volsmile,2),0)),$CG6,$CH6,($A6-DateToday)+15,1,0)),I6-$H6)))</f>
        <v> </v>
      </c>
      <c r="S6" s="316" t="str">
        <f aca="false">IF($A6="N/A"," ",IF(Pricetype=2,MAX(J6-$H6,0),IF(Pricetype=1,(xSPRDOPT(J6,$E6,$CI6,0,($CD6+IF(Smile=TRUE(),VLOOKUP(MAX(-5,$H6-J6),Volsmile,2),0)),$CG6,$CH6,($A6-DateToday)+15,1,0)),J6-$H6)))</f>
        <v> </v>
      </c>
      <c r="T6" s="317" t="str">
        <f aca="false">IF($A6="N/A"," ",(IF(Pricetype=2,IF((K6-$H6)&lt;=0,0,(K6-$H6)),IF(K6&lt;&gt;0,(K6-$H6),0))))</f>
        <v> </v>
      </c>
      <c r="U6" s="316" t="str">
        <f aca="false">IF($A6="N/A"," ",IF(Pricetype=2,MAX(L6-$H6,0),IF(L6&lt;&gt;0,IF(Pricetype=1,(xSPRDOPT(L6,$E6,$CI6,0,($CD6+IF(Smile=TRUE(),VLOOKUP(MAX(-5,$H6-L6),Volsmile,2),0)),$CG6,$CH6,($A6-DateToday)+15,1,0)),L6-$H6),0)))</f>
        <v> </v>
      </c>
      <c r="V6" s="316" t="str">
        <f aca="false">IF($A6="N/A"," ",IF(Pricetype=2,MAX(M6-$H6,0),IF(M6&lt;&gt;0,IF(Pricetype=1,(xSPRDOPT(M6,$E6,$CI6,0,($CD6+IF(Smile=TRUE(),VLOOKUP(MAX(-5,$H6-M6),Volsmile,2),0)),$CG6,$CH6,($A6-DateToday)+15,1,0)),M6-$H6),0)))</f>
        <v> </v>
      </c>
      <c r="W6" s="317" t="str">
        <f aca="false">IF($A6="N/A"," ",(IF(Pricetype=2,IF((N6-$H6)&lt;=0,0,(N6-$H6)),IF(N6&lt;&gt;0,(N6-$H6),0))))</f>
        <v> </v>
      </c>
      <c r="X6" s="316" t="str">
        <f aca="false">IF($A6="N/A"," ",IF(Pricetype=2,MAX(O6-$H6,0),IF(O6&lt;&gt;0,IF(Pricetype=1,(xSPRDOPT(O6,$E6,$CI6,0,($CD6+IF(Smile=TRUE(),VLOOKUP(MAX(-5,$H6-O6),Volsmile,2),0)),$CG6,$CH6,($A6-DateToday)+15,1,0)),O6-$H6),0)))</f>
        <v> </v>
      </c>
      <c r="Y6" s="316" t="str">
        <f aca="false">IF($A6="N/A"," ",IF(Pricetype=2,MAX(P6-$H6,0),IF(P6&lt;&gt;0,IF(Pricetype=1,(xSPRDOPT(P6,$E6,$CI6,0,($CD6+IF(Smile=TRUE(),VLOOKUP(MAX(-5,$H6-P6),Volsmile,2),0)),$CG6,$CH6,($A6-DateToday)+15,1,0)),P6-$H6),0)))</f>
        <v> </v>
      </c>
      <c r="Z6" s="317" t="str">
        <f aca="false">IF($A6="N/A"," ",(IF(Pricetype=2,IF((Q6-$H6)&lt;=0,0,(Q6-$H6)),IF(Q6&lt;&gt;0,(Q6-$H6),0))))</f>
        <v> </v>
      </c>
      <c r="AA6" s="318" t="str">
        <f aca="false">IF($A6="N/A"," ",IF(VLOOKUP(MONTH(A6),ManualTable,2)=1,(IF(0&lt;&gt;R6,IF(Pricetype=1,(xSPRDOPT(I6,$E6,$CI6,0,($CD6+IF(Smile=TRUE(),VLOOKUP(MAX(-5,$H6-I6),Volsmile,2),0)),$CG6,$CH6,($A6-DateToday)+15,1,1))*(8*$HD6),8*$HD6),0)),0))</f>
        <v> </v>
      </c>
      <c r="AB6" s="318" t="str">
        <f aca="false">IF($A6="N/A"," ",IF(VLOOKUP(MONTH(A6),ManualTable,3)=1,(IF(S6&lt;&gt;0,IF(Pricetype=1,(xSPRDOPT(J6,$E6,$CI6,0,($CD6+IF(Smile=TRUE(),VLOOKUP(MAX(-5,$H6-J6),Volsmile,2),0)),$CG6,$CH6,($A6-DateToday)+15,1,1))*(8*$HD6),8*$HD6),0)),0))</f>
        <v> </v>
      </c>
      <c r="AC6" s="318" t="str">
        <f aca="false">IF($A6="N/A"," ",IF(VLOOKUP(MONTH(A6),ManualTable,4)=1,(IF(T6&lt;&gt;0,(8*$HD6),0)),0))</f>
        <v> </v>
      </c>
      <c r="AD6" s="318" t="str">
        <f aca="false">IF($A6="N/A"," ",IF(VLOOKUP(MONTH(A6),ManualTable,5)=1,(IF(U6&lt;&gt;0,IF(Pricetype=1,(xSPRDOPT(L6,$E6,$CI6,0,($CD6+IF(Smile=TRUE(),VLOOKUP(MAX(-5,$H6-L6),Volsmile,2),0)),$CG6,$CH6,($A6-DateToday)+15,1,1))*(8*$HE6),8*$HE6),0)),0))</f>
        <v> </v>
      </c>
      <c r="AE6" s="318" t="str">
        <f aca="false">IF($A6="N/A"," ",IF(VLOOKUP(MONTH(A6),ManualTable,6)=1,(IF(V6&lt;&gt;0,IF(Pricetype=1,(xSPRDOPT(M6,$E6,$CI6,0,($CD6+IF(Smile=TRUE(),VLOOKUP(MAX(-5,$H6-M6),Volsmile,2),0)),$CG6,$CH6,($A6-DateToday)+15,1,1))*(8*$HE6),8*$HE6),0)),0))</f>
        <v> </v>
      </c>
      <c r="AF6" s="318" t="str">
        <f aca="false">IF($A6="N/A"," ",IF(VLOOKUP(MONTH(A6),ManualTable,7)=1,(IF(W6&lt;&gt;0,(8*$HE6),0)),0))</f>
        <v> </v>
      </c>
      <c r="AG6" s="318" t="str">
        <f aca="false">IF($A6="N/A"," ",IF(VLOOKUP(MONTH(A6),ManualTable,8)=1,(IF(X6&lt;&gt;0,IF(Pricetype=1,(xSPRDOPT(O6,$E6,$CI6,0,($CD6+IF(Smile=TRUE(),VLOOKUP(MAX(-5,$H6-O6),Volsmile,2),0)),$CG6,$CH6,($A6-DateToday)+15,1,1))*(8*$HF6),8*$HF6),0)),0))</f>
        <v> </v>
      </c>
      <c r="AH6" s="318" t="str">
        <f aca="false">IF($A6="N/A"," ",IF(VLOOKUP(MONTH(A6),ManualTable,9)=1,(IF(Y6&lt;&gt;0,IF(Pricetype=1,(xSPRDOPT(P6,$E6,$CI6,0,($CD6+IF(Smile=TRUE(),VLOOKUP(MAX(-5,$H6-P6),Volsmile,2),0)),$CG6,$CH6,($A6-DateToday)+15,1,1))*(8*$HF6),8*$HF6),0)),0))</f>
        <v> </v>
      </c>
      <c r="AI6" s="318" t="str">
        <f aca="false">IF($A6="N/A"," ",IF(VLOOKUP(MONTH(A6),ManualTable,10)=1,(IF(Z6&lt;&gt;0,(8*($HF6)),0)),0))</f>
        <v> </v>
      </c>
      <c r="AJ6" s="344" t="str">
        <f aca="false">IF($A6="N/A"," ",RANK(R6,$R$4:$Z$15))</f>
        <v> </v>
      </c>
      <c r="AK6" s="321" t="str">
        <f aca="false">IF($A6="N/A"," ",RANK(S6,$R$4:$Z$15))</f>
        <v> </v>
      </c>
      <c r="AL6" s="321" t="str">
        <f aca="false">IF($A6="N/A"," ",RANK(T6,$R$4:$Z$15))</f>
        <v> </v>
      </c>
      <c r="AM6" s="321" t="str">
        <f aca="false">IF($A6="N/A"," ",RANK(U6,$R$4:$Z$15))</f>
        <v> </v>
      </c>
      <c r="AN6" s="321" t="str">
        <f aca="false">IF($A6="N/A"," ",RANK(V6,$R$4:$Z$15))</f>
        <v> </v>
      </c>
      <c r="AO6" s="321" t="str">
        <f aca="false">IF($A6="N/A"," ",RANK(W6,$R$4:$Z$15))</f>
        <v> </v>
      </c>
      <c r="AP6" s="321" t="str">
        <f aca="false">IF($A6="N/A"," ",RANK(X6,$R$4:$Z$15))</f>
        <v> </v>
      </c>
      <c r="AQ6" s="321" t="str">
        <f aca="false">IF($A6="N/A"," ",RANK(Y6,$R$4:$Z$15))</f>
        <v> </v>
      </c>
      <c r="AR6" s="345" t="str">
        <f aca="false">IF($A6="N/A"," ",RANK(Z6,$R$4:$Z$15))</f>
        <v> </v>
      </c>
      <c r="AS6" s="323" t="n">
        <f aca="false">IF($A6="N/A",0,IF(AJ6&lt;=$AR$2,AA6,0))</f>
        <v>0</v>
      </c>
      <c r="AT6" s="325" t="n">
        <f aca="false">IF($A6="N/A",0,IF(AK6&lt;=$AR$2,AB6,0))</f>
        <v>0</v>
      </c>
      <c r="AU6" s="325" t="n">
        <f aca="false">IF($A6="N/A",0,IF(AL6&lt;=$AR$2,AC6,0))</f>
        <v>0</v>
      </c>
      <c r="AV6" s="325" t="n">
        <f aca="false">IF($A6="N/A",0,IF(AM6&lt;=$AR$2,AD6,0))</f>
        <v>0</v>
      </c>
      <c r="AW6" s="325" t="n">
        <f aca="false">IF($A6="N/A",0,IF(AN6&lt;=$AR$2,AE6,0))</f>
        <v>0</v>
      </c>
      <c r="AX6" s="325" t="n">
        <f aca="false">IF($A6="N/A",0,IF(AO6&lt;=$AR$2,AF6,0))</f>
        <v>0</v>
      </c>
      <c r="AY6" s="325" t="n">
        <f aca="false">IF($A6="N/A",0,IF(AP6&lt;=$AR$2,AG6,0))</f>
        <v>0</v>
      </c>
      <c r="AZ6" s="325" t="n">
        <f aca="false">IF($A6="N/A",0,IF(AQ6&lt;=$AR$2,AH6,0))</f>
        <v>0</v>
      </c>
      <c r="BA6" s="325" t="n">
        <f aca="false">IF($A6="N/A",0,IF(AR6&lt;=$AR$2,AI6,0))</f>
        <v>0</v>
      </c>
      <c r="BB6" s="345"/>
      <c r="BC6" s="326" t="n">
        <f aca="false">IF($A6="N/A",0,IF(AND(AJ6=$AR$2+1,AS6=0),MIN($BB$15,AA6),0))</f>
        <v>0</v>
      </c>
      <c r="BD6" s="346" t="n">
        <f aca="false">IF($A6="N/A",0,IF(AND(AK6=$AR$2+1,AT6=0),MIN($BB$15,AB6),0))</f>
        <v>0</v>
      </c>
      <c r="BE6" s="346" t="n">
        <f aca="false">IF($A6="N/A",0,IF(AND(AL6=$AR$2+1,AU6=0),MIN($BB$15,AC6),0))</f>
        <v>0</v>
      </c>
      <c r="BF6" s="346" t="n">
        <f aca="false">IF($A6="N/A",0,IF(AND(AM6=$AR$2+1,AV6=0),MIN($BB$15,AD6),0))</f>
        <v>0</v>
      </c>
      <c r="BG6" s="346" t="n">
        <f aca="false">IF($A6="N/A",0,IF(AND(AN6=$AR$2+1,AW6=0),MIN($BB$15,AE6),0))</f>
        <v>0</v>
      </c>
      <c r="BH6" s="346" t="n">
        <f aca="false">IF($A6="N/A",0,IF(AND(AO6=$AR$2+1,AX6=0),MIN($BB$15,AF6),0))</f>
        <v>0</v>
      </c>
      <c r="BI6" s="346" t="n">
        <f aca="false">IF($A6="N/A",0,IF(AND(AP6=$AR$2+1,AY6=0),MIN($BB$15,AG6),0))</f>
        <v>0</v>
      </c>
      <c r="BJ6" s="346" t="n">
        <f aca="false">IF($A6="N/A",0,IF(AND(AQ6=$AR$2+1,AZ6=0),MIN($BB$15,AH6),0))</f>
        <v>0</v>
      </c>
      <c r="BK6" s="346" t="n">
        <f aca="false">IF($A6="N/A",0,IF(AND(AR6=$AR$2+1,BA6=0),MIN($BB$15,AI6),0))</f>
        <v>0</v>
      </c>
      <c r="BL6" s="347"/>
      <c r="BM6" s="329" t="str">
        <f aca="false">IF($A6="N/A"," ",(IF(MONTH(A6)&gt;=4,IF(MONTH(A6)&lt;=10,Inputs!$F$13-Inputs!$G$13,Inputs!$F$14-Inputs!$G$14),Inputs!$F$14-Inputs!$G$14))*$CK6*Availability)</f>
        <v> </v>
      </c>
      <c r="BN6" s="330" t="str">
        <f aca="false">IF($A6="N/A"," ",(IF(AS6&gt;0,($BM6*(8*($HD6))*R6),0)+IF(BC6&gt;0,($BM6*((BC6/AA6)*8*$HD6)*R6),0)))</f>
        <v> </v>
      </c>
      <c r="BO6" s="330" t="str">
        <f aca="false">IF($A6="N/A"," ",(IF(AT6&gt;0,($BM6*(8*($HD6))*S6),0)+IF(BD6&gt;0,($BM6*((BD6/AB6)*8*$HD6)*S6),0)))</f>
        <v> </v>
      </c>
      <c r="BP6" s="330" t="str">
        <f aca="false">IF($A6="N/A"," ",(IF(AU6&gt;0,($BM6*(8*($HD6))*T6),0)+IF(BE6&gt;0,($BM6*((BE6))*T6),0)))</f>
        <v> </v>
      </c>
      <c r="BQ6" s="330" t="str">
        <f aca="false">IF($A6="N/A"," ",(IF(AV6&gt;0,($BM6*(8*($HE6))*U6),0)+IF(BF6&gt;0,($BM6*((BF6/AD6)*8*$HE6)*U6),0)))</f>
        <v> </v>
      </c>
      <c r="BR6" s="330" t="str">
        <f aca="false">IF($A6="N/A"," ",(IF(AW6&gt;0,($BM6*(8*($HE6))*V6),0)+IF(BG6&gt;0,($BM6*((BG6/AE6)*8*$HE6)*V6),0)))</f>
        <v> </v>
      </c>
      <c r="BS6" s="330" t="str">
        <f aca="false">IF($A6="N/A"," ",(IF(AX6&gt;0,($BM6*(8*($HE6))*W6),0)+IF(BH6&gt;0,($BM6*((BH6))*W6),0)))</f>
        <v> </v>
      </c>
      <c r="BT6" s="330" t="str">
        <f aca="false">IF($A6="N/A"," ",(IF(AY6&gt;0,($BM6*(8*($HF6))*X6),0)+IF(BI6&gt;0,($BM6*((BI6/AG6)*8*$HF6)*X6),0)))</f>
        <v> </v>
      </c>
      <c r="BU6" s="330" t="str">
        <f aca="false">IF($A6="N/A"," ",(IF(AZ6&gt;0,($BM6*(8*($HF6))*Y6),0)+IF(BJ6&gt;0,($BM6*((BJ6/AH6)*8*$HF6)*Y6),0)))</f>
        <v> </v>
      </c>
      <c r="BV6" s="330" t="str">
        <f aca="false">IF($A6="N/A"," ",(IF(BA6&gt;0,($BM6*(8*($HF6))*Z6),0)+IF(BK6&gt;0,($BM6*((BK6))*Z6),0)))</f>
        <v> </v>
      </c>
      <c r="BW6" s="330" t="str">
        <f aca="false">IF($A6="N/A"," ",SUM(BN6:BV6))</f>
        <v> </v>
      </c>
      <c r="BX6" s="331" t="str">
        <f aca="false">IF($A6="N/A"," ",(H6*(SUM(AS6:BA6)+SUM(BC6:BK6))*BM6))</f>
        <v> </v>
      </c>
      <c r="BY6" s="332" t="str">
        <f aca="false">IF($A6="N/A"," ",((C6*D6)*(SUM($AS6:$BA6)+SUM($BC6:$BK6))*$BM6))</f>
        <v> </v>
      </c>
      <c r="BZ6" s="332" t="str">
        <f aca="false">IF($A6="N/A"," ",(F6*(SUM($AS6:$BA6)+SUM($BC6:$BK6))*$BM6))</f>
        <v> </v>
      </c>
      <c r="CA6" s="333" t="str">
        <f aca="false">IF($A6="N/A"," ",(G6*(SUM($AS6:$BA6)+SUM($BC6:$BK6))*$BM6))</f>
        <v> </v>
      </c>
      <c r="CB6" s="334" t="str">
        <f aca="false">IF(A6="N/A"," ",(VLOOKUP(A6,PowerVolTable,(IF(BMO=2,7,IF(BMO=1,6,8))),FALSE())))</f>
        <v> </v>
      </c>
      <c r="CC6" s="334" t="str">
        <f aca="false">IF(A6="N/A"," ",(VLOOKUP(A6,IntraPowerVol,(IF(BMO=2,3,IF(BMO=1,2,4))),FALSE())*VLOOKUP(MONTH($A6),Volscale,2)))</f>
        <v> </v>
      </c>
      <c r="CD6" s="335" t="str">
        <f aca="false">IF($A6="N/A"," ",(IF(DateToday&gt;$A6,$CC6,((($CB6^2)*((($A6-1)-DateToday)/((EOMONTH($A6,0)+1)-DateToday-15)))+((($CC6)^2)*((15)/((EOMONTH($A6,0)+1)-DateToday-15))))^0.5)))</f>
        <v> </v>
      </c>
      <c r="CE6" s="334" t="str">
        <f aca="false">IF($A6="N/A"," ",(VLOOKUP($A6,GasVolTable,(IF(BMO=2,6,IF(BMO=1,7,5))),FALSE())))</f>
        <v> </v>
      </c>
      <c r="CF6" s="334" t="str">
        <f aca="false">IF($A6="N/A"," ",(VLOOKUP($A6,OmicronVol,(IF(BMO=2,3,IF(BMO=1,4,2))),FALSE())))</f>
        <v> </v>
      </c>
      <c r="CG6" s="335" t="str">
        <f aca="false">IF($A6="N/A"," ",(IF(DateToday&gt;$A6,$CF6,((($CE6^2)*((($A6-1)-DateToday)/((EOMONTH($A6,0)+1)-DateToday-15)))+((($CF6)^2)*((15)/((EOMONTH($A6,0)+1)-DateToday-15))))^0.5)))</f>
        <v> </v>
      </c>
      <c r="CH6" s="334" t="str">
        <f aca="false">IF($A6="N/A"," ",VLOOKUP($A6,CorrelationTable,2,FALSE()))</f>
        <v> </v>
      </c>
      <c r="CI6" s="336" t="str">
        <f aca="false">IF($A6="N/A"," ",F6+G6+(D6*('Pricing Inputs'!T39)))</f>
        <v> </v>
      </c>
      <c r="CJ6" s="334" t="str">
        <f aca="false">IF($A6="N/A"," ",IF(PV=1,0,'Pricing Inputs'!U39))</f>
        <v> </v>
      </c>
      <c r="CK6" s="337" t="str">
        <f aca="false">IF($A6="N/A"," ",(1+CJ6/2)^(-2*((EOMONTH(A6,0)+20)-DateToday)/365.25))</f>
        <v> </v>
      </c>
      <c r="CL6" s="338" t="str">
        <f aca="false">IF(A6="N/A"," ",IF(CC=2,(VLOOKUP(MONTH($A6),Hrtable,3))/1000,0))</f>
        <v> </v>
      </c>
      <c r="CM6" s="339" t="str">
        <f aca="false">IF(A6="N/A"," ",IF(CC=2,(CL6*C6)+F6,0))</f>
        <v> </v>
      </c>
      <c r="CN6" s="340" t="str">
        <f aca="false">IF($A6="N/A"," ",IF(CC=2,(VLOOKUP(A6,ScaledPrice,(IF(AND(Dayrun&gt;=1,Dayrun&lt;=6),2,4)))-((IF(R6&lt;&gt;0,$D6,$CL6)*$C6)+$F6+$G6)),0))</f>
        <v> </v>
      </c>
      <c r="CO6" s="340" t="str">
        <f aca="false">IF($A6="N/A"," ",IF(CC=2,(IF(AND(Dayrun&gt;=1,Dayrun&lt;=6),I6,(VLOOKUP(A6,ScaledPrice,2))*(2-(VLOOKUP(A6,ScaledPrice,3))))-((IF(S6&lt;&gt;0,$D6,$CL6)*$C6)+$F6+$G6)),0))</f>
        <v> </v>
      </c>
      <c r="CP6" s="340" t="str">
        <f aca="false">IF(A6="N/A"," ",IF(CC=2,(VLOOKUP(A6,ScaledPrice,9)-((IF(T6&lt;&gt;0,$D6,$CL6)*$C6)+$F6+$G6)),0))</f>
        <v> </v>
      </c>
      <c r="CQ6" s="340" t="str">
        <f aca="false">IF(A6="N/A"," ",IF(CC=2,(IF(OR(Dayrun=2,Dayrun=3,Dayrun=5,Dayrun=6,Dayrun=8,Dayrun=9),VLOOKUP(A6,ScaledPrice,IF(AND(Dayrun&gt;=2,Dayrun&lt;=6),5,6)),0)-((IF(U6&lt;&gt;0,$D6,$CL6)*$C6)+$F6+$G6)),0))</f>
        <v> </v>
      </c>
      <c r="CR6" s="340" t="str">
        <f aca="false">IF(A6="N/A"," ",IF(CC=2,(IF(OR(Dayrun=2,Dayrun=3,Dayrun=5,Dayrun=6,Dayrun=8,Dayrun=9),IF(AND(Dayrun&gt;=2,Dayrun&lt;=6),L6,(VLOOKUP(A6,ScaledPrice,5))*(2-(VLOOKUP(A6,ScaledPrice,3)))),0)-((IF(V6&lt;&gt;0,$D6,$CL6)*$C6)+$F6+$G6)),0))</f>
        <v> </v>
      </c>
      <c r="CS6" s="340" t="str">
        <f aca="false">IF(A6="N/A"," ",IF(CC=2,(VLOOKUP(A6,ScaledPrice,9)-((IF(W6&lt;&gt;0,$D6,$CL6)*$C6)+$F6+$G6)),0))</f>
        <v> </v>
      </c>
      <c r="CT6" s="340" t="str">
        <f aca="false">IF(A6="N/A"," ",IF(CC=2,(IF(OR(Dayrun=3,Dayrun=6,Dayrun=9),(VLOOKUP(A6,ScaledPrice,IF(AND(Dayrun&gt;=3,Dayrun&lt;=6),7,8))),0)-((IF(X6&lt;&gt;0,$D6,$CL6)*$C6)+$F6+$G6)),0))</f>
        <v> </v>
      </c>
      <c r="CU6" s="340" t="str">
        <f aca="false">IF(A6="N/A"," ",IF(CC=2,(IF(OR(Dayrun=3,Dayrun=6,Dayrun=9),IF(AND(Dayrun&gt;=3,Dayrun&lt;=6),O6,(VLOOKUP(A6,ScaledPrice,7))*(2-(VLOOKUP(A6,ScaledPrice,3)))),0)-((IF(Y6&lt;&gt;0,$D6,$CL6)*$C6)+$F6+$G6)),0))</f>
        <v> </v>
      </c>
      <c r="CV6" s="340" t="str">
        <f aca="false">IF(A6="N/A"," ",IF(CC=2,(VLOOKUP(A6,ScaledPrice,9)-((IF(Z6&lt;&gt;0,$D6,$CL6)*$C6)+$F6+$G6)),0))</f>
        <v> </v>
      </c>
      <c r="CW6" s="318" t="str">
        <f aca="false">IF($A6="N/A"," ",IF(0&lt;&gt;CN6,IF(CC=2,8*$HD6,0),0))</f>
        <v> </v>
      </c>
      <c r="CX6" s="318" t="str">
        <f aca="false">IF($A6="N/A"," ",IF(0&lt;&gt;CO6,IF(CC=2,8*$HD6,0),0))</f>
        <v> </v>
      </c>
      <c r="CY6" s="318" t="str">
        <f aca="false">IF($A6="N/A"," ",IF(0&lt;&gt;CP6,IF(CC=2,8*$HD6,0),0))</f>
        <v> </v>
      </c>
      <c r="CZ6" s="318" t="str">
        <f aca="false">IF($A6="N/A"," ",IF(0&lt;&gt;CQ6,IF(CC=2,8*$HE6,0),0))</f>
        <v> </v>
      </c>
      <c r="DA6" s="318" t="str">
        <f aca="false">IF($A6="N/A"," ",IF(0&lt;&gt;CR6,IF(CC=2,8*$HE6,0),0))</f>
        <v> </v>
      </c>
      <c r="DB6" s="318" t="str">
        <f aca="false">IF($A6="N/A"," ",IF(0&lt;&gt;CS6,IF(CC=2,8*$HE6,0),0))</f>
        <v> </v>
      </c>
      <c r="DC6" s="318" t="str">
        <f aca="false">IF($A6="N/A"," ",IF(0&lt;&gt;CT6,IF(CC=2,8*$HF6,0),0))</f>
        <v> </v>
      </c>
      <c r="DD6" s="318" t="str">
        <f aca="false">IF($A6="N/A"," ",IF(0&lt;&gt;CU6,IF(CC=2,8*$HF6,0),0))</f>
        <v> </v>
      </c>
      <c r="DE6" s="318" t="str">
        <f aca="false">IF($A6="N/A"," ",IF(0&lt;&gt;CV6,IF(CC=2,8*$HF6,0),0))</f>
        <v> </v>
      </c>
      <c r="DF6" s="341" t="str">
        <f aca="false">IF($A6="N/A"," ",IF(CC=2,(IF(MONTH(A6)&gt;=4,IF(MONTH(A6)&lt;=10,Inputs!$G$13,Inputs!$G$14),Inputs!$G$14))*$CK6,0))</f>
        <v> </v>
      </c>
      <c r="DG6" s="342" t="str">
        <f aca="false">IF($A6="N/A"," ",IF(CC=2,$DF6*CW6*CN6,0))</f>
        <v> </v>
      </c>
      <c r="DH6" s="342" t="str">
        <f aca="false">IF($A6="N/A"," ",IF(CC=2,$DF6*CX6*CO6,0))</f>
        <v> </v>
      </c>
      <c r="DI6" s="342" t="str">
        <f aca="false">IF($A6="N/A"," ",IF(CC=2,$DF6*CY6*CP6,0))</f>
        <v> </v>
      </c>
      <c r="DJ6" s="342" t="str">
        <f aca="false">IF($A6="N/A"," ",IF(CC=2,$DF6*CZ6*CQ6,0))</f>
        <v> </v>
      </c>
      <c r="DK6" s="342" t="str">
        <f aca="false">IF($A6="N/A"," ",IF(CC=2,$DF6*DA6*CR6,0))</f>
        <v> </v>
      </c>
      <c r="DL6" s="342" t="str">
        <f aca="false">IF($A6="N/A"," ",IF(CC=2,$DF6*DB6*CS6,0))</f>
        <v> </v>
      </c>
      <c r="DM6" s="342" t="str">
        <f aca="false">IF($A6="N/A"," ",IF(CC=2,$DF6*DC6*CT6,0))</f>
        <v> </v>
      </c>
      <c r="DN6" s="342" t="str">
        <f aca="false">IF($A6="N/A"," ",IF(CC=2,$DF6*DD6*CU6,0))</f>
        <v> </v>
      </c>
      <c r="DO6" s="342" t="str">
        <f aca="false">IF($A6="N/A"," ",IF(CC=2,$DF6*DE6*CV6,0))</f>
        <v> </v>
      </c>
      <c r="DP6" s="343" t="str">
        <f aca="false">IF($A6="N/A"," ",IF(CC=2,SUM(DG6:DO6),0))</f>
        <v> </v>
      </c>
      <c r="DQ6" s="0" t="str">
        <f aca="false">IF(A6="N/A"," ",Perstart)</f>
        <v> </v>
      </c>
      <c r="HD6" s="0" t="str">
        <f aca="false">IF($A6="N/A"," ",VLOOKUP($A6,NumberofDaysTable,2))</f>
        <v> </v>
      </c>
      <c r="HE6" s="0" t="str">
        <f aca="false">IF($A6="N/A"," ",VLOOKUP($A6,NumberofDaysTable,3))</f>
        <v> </v>
      </c>
      <c r="HF6" s="0" t="str">
        <f aca="false">IF($A6="N/A"," ",VLOOKUP($A6,NumberofDaysTable,4))</f>
        <v> </v>
      </c>
    </row>
    <row r="7" customFormat="false" ht="12.75" hidden="false" customHeight="false" outlineLevel="0" collapsed="false">
      <c r="A7" s="308" t="str">
        <f aca="false">IF(A6="N/A","N/A",IF(EDATE(A6,1)&gt;Inputs!$K$3,"N/A",EDATE(A6,1)))</f>
        <v>N/A</v>
      </c>
      <c r="B7" s="309" t="str">
        <f aca="false">IF(A7="N/A"," ",YEAR(A7))</f>
        <v> </v>
      </c>
      <c r="C7" s="310" t="str">
        <f aca="false">IF(A7="N/A"," ",VLOOKUP(A7,ScaledPrice,10))</f>
        <v> </v>
      </c>
      <c r="D7" s="311" t="str">
        <f aca="false">IF(A7="N/A"," ",(VLOOKUP(MONTH($A7),Hrtable,2))/1000)</f>
        <v> </v>
      </c>
      <c r="E7" s="312" t="str">
        <f aca="false">IF($A7="N/A"," ",(C7-'Pricing Inputs'!T40)*D7)</f>
        <v> </v>
      </c>
      <c r="F7" s="313" t="str">
        <f aca="false">IF(A7="N/A"," ",VOM)</f>
        <v> </v>
      </c>
      <c r="G7" s="313" t="str">
        <f aca="false">IF(A7="N/A"," ",Perstart/IF(AND(Dayrun&gt;=4,Dayrun&lt;=6),16,IF(AND(Dayrun&gt;=7,Dayrun&lt;=9),8,24))/(BM7/CK7))</f>
        <v> </v>
      </c>
      <c r="H7" s="314" t="str">
        <f aca="false">IF(A7="N/A"," ",(C7*D7)+F7+G7)</f>
        <v> </v>
      </c>
      <c r="I7" s="315" t="str">
        <f aca="false">VLOOKUP(A7,ScaledPrice,(IF(AND(Dayrun&gt;=1,Dayrun&lt;=6),2,4)))</f>
        <v> </v>
      </c>
      <c r="J7" s="315" t="str">
        <f aca="false">IF(A7="N/A"," ",IF(AND(Dayrun&gt;=1,Dayrun&lt;=6),I7,(VLOOKUP(A7,ScaledPrice,2))*(2-(VLOOKUP(A7,ScaledPrice,3)))))</f>
        <v> </v>
      </c>
      <c r="K7" s="315" t="str">
        <f aca="false">IF(A7="N/A"," ",IF(AND(Dayrun&gt;=1,Dayrun&lt;=3),VLOOKUP(A7,ScaledPrice,9),0))</f>
        <v> </v>
      </c>
      <c r="L7" s="315" t="str">
        <f aca="false">IF(A7="N/A"," ",IF(OR(Dayrun=2,Dayrun=3,Dayrun=5,Dayrun=6,Dayrun=8,Dayrun=9),VLOOKUP(A7,ScaledPrice,IF(AND(Dayrun&gt;=2,Dayrun&lt;=6),5,6)),0))</f>
        <v> </v>
      </c>
      <c r="M7" s="315" t="str">
        <f aca="false">IF(A7="N/A"," ",IF(OR(Dayrun=2,Dayrun=3,Dayrun=5,Dayrun=6,Dayrun=8,Dayrun=9),IF(AND(Dayrun&gt;=2,Dayrun&lt;=6),L7,(VLOOKUP(A7,ScaledPrice,5))*(2-(VLOOKUP(A7,ScaledPrice,3)))),0))</f>
        <v> </v>
      </c>
      <c r="N7" s="315" t="str">
        <f aca="false">IF(A7="N/A"," ",IF(AND(Dayrun&gt;1,Dayrun&lt;=3),VLOOKUP(A7,ScaledPrice,9),0))</f>
        <v> </v>
      </c>
      <c r="O7" s="315" t="str">
        <f aca="false">IF(A7="N/A"," ",IF(OR(Dayrun=3,Dayrun=6,Dayrun=9),(VLOOKUP(A7,ScaledPrice,IF(AND(Dayrun&gt;=3,Dayrun&lt;=6),7,8))),0))</f>
        <v> </v>
      </c>
      <c r="P7" s="315" t="str">
        <f aca="false">IF(A7="N/A"," ",IF(OR(Dayrun=3,Dayrun=6,Dayrun=9),IF(AND(Dayrun&gt;=3,Dayrun&lt;=6),O7,(VLOOKUP(A7,ScaledPrice,7))*(2-(VLOOKUP(A7,ScaledPrice,3)))),0))</f>
        <v> </v>
      </c>
      <c r="Q7" s="315" t="str">
        <f aca="false">IF(A7="N/A"," ",IF(AND(Dayrun&gt;2,Dayrun&lt;=3),VLOOKUP(A7,ScaledPrice,9),0))</f>
        <v> </v>
      </c>
      <c r="R7" s="316" t="str">
        <f aca="false">IF($A7="N/A"," ",IF(Pricetype=2,MAX(I7-$H7,0),IF(Pricetype=1,(xSPRDOPT(I7,$E7,$CI7,0,($CD7+IF(Smile=TRUE(),VLOOKUP(MAX(-5,$H7-I7),Volsmile,2),0)),$CG7,$CH7,($A7-DateToday)+15,1,0)),I7-$H7)))</f>
        <v> </v>
      </c>
      <c r="S7" s="316" t="str">
        <f aca="false">IF($A7="N/A"," ",IF(Pricetype=2,MAX(J7-$H7,0),IF(Pricetype=1,(xSPRDOPT(J7,$E7,$CI7,0,($CD7+IF(Smile=TRUE(),VLOOKUP(MAX(-5,$H7-J7),Volsmile,2),0)),$CG7,$CH7,($A7-DateToday)+15,1,0)),J7-$H7)))</f>
        <v> </v>
      </c>
      <c r="T7" s="317" t="str">
        <f aca="false">IF($A7="N/A"," ",(IF(Pricetype=2,IF((K7-$H7)&lt;=0,0,(K7-$H7)),IF(K7&lt;&gt;0,(K7-$H7),0))))</f>
        <v> </v>
      </c>
      <c r="U7" s="316" t="str">
        <f aca="false">IF($A7="N/A"," ",IF(Pricetype=2,MAX(L7-$H7,0),IF(L7&lt;&gt;0,IF(Pricetype=1,(xSPRDOPT(L7,$E7,$CI7,0,($CD7+IF(Smile=TRUE(),VLOOKUP(MAX(-5,$H7-L7),Volsmile,2),0)),$CG7,$CH7,($A7-DateToday)+15,1,0)),L7-$H7),0)))</f>
        <v> </v>
      </c>
      <c r="V7" s="316" t="str">
        <f aca="false">IF($A7="N/A"," ",IF(Pricetype=2,MAX(M7-$H7,0),IF(M7&lt;&gt;0,IF(Pricetype=1,(xSPRDOPT(M7,$E7,$CI7,0,($CD7+IF(Smile=TRUE(),VLOOKUP(MAX(-5,$H7-M7),Volsmile,2),0)),$CG7,$CH7,($A7-DateToday)+15,1,0)),M7-$H7),0)))</f>
        <v> </v>
      </c>
      <c r="W7" s="317" t="str">
        <f aca="false">IF($A7="N/A"," ",(IF(Pricetype=2,IF((N7-$H7)&lt;=0,0,(N7-$H7)),IF(N7&lt;&gt;0,(N7-$H7),0))))</f>
        <v> </v>
      </c>
      <c r="X7" s="316" t="str">
        <f aca="false">IF($A7="N/A"," ",IF(Pricetype=2,MAX(O7-$H7,0),IF(O7&lt;&gt;0,IF(Pricetype=1,(xSPRDOPT(O7,$E7,$CI7,0,($CD7+IF(Smile=TRUE(),VLOOKUP(MAX(-5,$H7-O7),Volsmile,2),0)),$CG7,$CH7,($A7-DateToday)+15,1,0)),O7-$H7),0)))</f>
        <v> </v>
      </c>
      <c r="Y7" s="316" t="str">
        <f aca="false">IF($A7="N/A"," ",IF(Pricetype=2,MAX(P7-$H7,0),IF(P7&lt;&gt;0,IF(Pricetype=1,(xSPRDOPT(P7,$E7,$CI7,0,($CD7+IF(Smile=TRUE(),VLOOKUP(MAX(-5,$H7-P7),Volsmile,2),0)),$CG7,$CH7,($A7-DateToday)+15,1,0)),P7-$H7),0)))</f>
        <v> </v>
      </c>
      <c r="Z7" s="317" t="str">
        <f aca="false">IF($A7="N/A"," ",(IF(Pricetype=2,IF((Q7-$H7)&lt;=0,0,(Q7-$H7)),IF(Q7&lt;&gt;0,(Q7-$H7),0))))</f>
        <v> </v>
      </c>
      <c r="AA7" s="318" t="str">
        <f aca="false">IF($A7="N/A"," ",IF(VLOOKUP(MONTH(A7),ManualTable,2)=1,(IF(0&lt;&gt;R7,IF(Pricetype=1,(xSPRDOPT(I7,$E7,$CI7,0,($CD7+IF(Smile=TRUE(),VLOOKUP(MAX(-5,$H7-I7),Volsmile,2),0)),$CG7,$CH7,($A7-DateToday)+15,1,1))*(8*$HD7),8*$HD7),0)),0))</f>
        <v> </v>
      </c>
      <c r="AB7" s="318" t="str">
        <f aca="false">IF($A7="N/A"," ",IF(VLOOKUP(MONTH(A7),ManualTable,3)=1,(IF(S7&lt;&gt;0,IF(Pricetype=1,(xSPRDOPT(J7,$E7,$CI7,0,($CD7+IF(Smile=TRUE(),VLOOKUP(MAX(-5,$H7-J7),Volsmile,2),0)),$CG7,$CH7,($A7-DateToday)+15,1,1))*(8*$HD7),8*$HD7),0)),0))</f>
        <v> </v>
      </c>
      <c r="AC7" s="318" t="str">
        <f aca="false">IF($A7="N/A"," ",IF(VLOOKUP(MONTH(A7),ManualTable,4)=1,(IF(T7&lt;&gt;0,(8*$HD7),0)),0))</f>
        <v> </v>
      </c>
      <c r="AD7" s="318" t="str">
        <f aca="false">IF($A7="N/A"," ",IF(VLOOKUP(MONTH(A7),ManualTable,5)=1,(IF(U7&lt;&gt;0,IF(Pricetype=1,(xSPRDOPT(L7,$E7,$CI7,0,($CD7+IF(Smile=TRUE(),VLOOKUP(MAX(-5,$H7-L7),Volsmile,2),0)),$CG7,$CH7,($A7-DateToday)+15,1,1))*(8*$HE7),8*$HE7),0)),0))</f>
        <v> </v>
      </c>
      <c r="AE7" s="318" t="str">
        <f aca="false">IF($A7="N/A"," ",IF(VLOOKUP(MONTH(A7),ManualTable,6)=1,(IF(V7&lt;&gt;0,IF(Pricetype=1,(xSPRDOPT(M7,$E7,$CI7,0,($CD7+IF(Smile=TRUE(),VLOOKUP(MAX(-5,$H7-M7),Volsmile,2),0)),$CG7,$CH7,($A7-DateToday)+15,1,1))*(8*$HE7),8*$HE7),0)),0))</f>
        <v> </v>
      </c>
      <c r="AF7" s="318" t="str">
        <f aca="false">IF($A7="N/A"," ",IF(VLOOKUP(MONTH(A7),ManualTable,7)=1,(IF(W7&lt;&gt;0,(8*$HE7),0)),0))</f>
        <v> </v>
      </c>
      <c r="AG7" s="318" t="str">
        <f aca="false">IF($A7="N/A"," ",IF(VLOOKUP(MONTH(A7),ManualTable,8)=1,(IF(X7&lt;&gt;0,IF(Pricetype=1,(xSPRDOPT(O7,$E7,$CI7,0,($CD7+IF(Smile=TRUE(),VLOOKUP(MAX(-5,$H7-O7),Volsmile,2),0)),$CG7,$CH7,($A7-DateToday)+15,1,1))*(8*$HF7),8*$HF7),0)),0))</f>
        <v> </v>
      </c>
      <c r="AH7" s="318" t="str">
        <f aca="false">IF($A7="N/A"," ",IF(VLOOKUP(MONTH(A7),ManualTable,9)=1,(IF(Y7&lt;&gt;0,IF(Pricetype=1,(xSPRDOPT(P7,$E7,$CI7,0,($CD7+IF(Smile=TRUE(),VLOOKUP(MAX(-5,$H7-P7),Volsmile,2),0)),$CG7,$CH7,($A7-DateToday)+15,1,1))*(8*$HF7),8*$HF7),0)),0))</f>
        <v> </v>
      </c>
      <c r="AI7" s="318" t="str">
        <f aca="false">IF($A7="N/A"," ",IF(VLOOKUP(MONTH(A7),ManualTable,10)=1,(IF(Z7&lt;&gt;0,(8*($HF7)),0)),0))</f>
        <v> </v>
      </c>
      <c r="AJ7" s="344" t="str">
        <f aca="false">IF($A7="N/A"," ",RANK(R7,$R$4:$Z$15))</f>
        <v> </v>
      </c>
      <c r="AK7" s="321" t="str">
        <f aca="false">IF($A7="N/A"," ",RANK(S7,$R$4:$Z$15))</f>
        <v> </v>
      </c>
      <c r="AL7" s="321" t="str">
        <f aca="false">IF($A7="N/A"," ",RANK(T7,$R$4:$Z$15))</f>
        <v> </v>
      </c>
      <c r="AM7" s="321" t="str">
        <f aca="false">IF($A7="N/A"," ",RANK(U7,$R$4:$Z$15))</f>
        <v> </v>
      </c>
      <c r="AN7" s="321" t="str">
        <f aca="false">IF($A7="N/A"," ",RANK(V7,$R$4:$Z$15))</f>
        <v> </v>
      </c>
      <c r="AO7" s="321" t="str">
        <f aca="false">IF($A7="N/A"," ",RANK(W7,$R$4:$Z$15))</f>
        <v> </v>
      </c>
      <c r="AP7" s="321" t="str">
        <f aca="false">IF($A7="N/A"," ",RANK(X7,$R$4:$Z$15))</f>
        <v> </v>
      </c>
      <c r="AQ7" s="321" t="str">
        <f aca="false">IF($A7="N/A"," ",RANK(Y7,$R$4:$Z$15))</f>
        <v> </v>
      </c>
      <c r="AR7" s="345" t="str">
        <f aca="false">IF($A7="N/A"," ",RANK(Z7,$R$4:$Z$15))</f>
        <v> </v>
      </c>
      <c r="AS7" s="323" t="n">
        <f aca="false">IF($A7="N/A",0,IF(AJ7&lt;=$AR$2,AA7,0))</f>
        <v>0</v>
      </c>
      <c r="AT7" s="325" t="n">
        <f aca="false">IF($A7="N/A",0,IF(AK7&lt;=$AR$2,AB7,0))</f>
        <v>0</v>
      </c>
      <c r="AU7" s="325" t="n">
        <f aca="false">IF($A7="N/A",0,IF(AL7&lt;=$AR$2,AC7,0))</f>
        <v>0</v>
      </c>
      <c r="AV7" s="325" t="n">
        <f aca="false">IF($A7="N/A",0,IF(AM7&lt;=$AR$2,AD7,0))</f>
        <v>0</v>
      </c>
      <c r="AW7" s="325" t="n">
        <f aca="false">IF($A7="N/A",0,IF(AN7&lt;=$AR$2,AE7,0))</f>
        <v>0</v>
      </c>
      <c r="AX7" s="325" t="n">
        <f aca="false">IF($A7="N/A",0,IF(AO7&lt;=$AR$2,AF7,0))</f>
        <v>0</v>
      </c>
      <c r="AY7" s="325" t="n">
        <f aca="false">IF($A7="N/A",0,IF(AP7&lt;=$AR$2,AG7,0))</f>
        <v>0</v>
      </c>
      <c r="AZ7" s="325" t="n">
        <f aca="false">IF($A7="N/A",0,IF(AQ7&lt;=$AR$2,AH7,0))</f>
        <v>0</v>
      </c>
      <c r="BA7" s="325" t="n">
        <f aca="false">IF($A7="N/A",0,IF(AR7&lt;=$AR$2,AI7,0))</f>
        <v>0</v>
      </c>
      <c r="BB7" s="345"/>
      <c r="BC7" s="326" t="n">
        <f aca="false">IF($A7="N/A",0,IF(AND(AJ7=$AR$2+1,AS7=0),MIN($BB$15,AA7),0))</f>
        <v>0</v>
      </c>
      <c r="BD7" s="346" t="n">
        <f aca="false">IF($A7="N/A",0,IF(AND(AK7=$AR$2+1,AT7=0),MIN($BB$15,AB7),0))</f>
        <v>0</v>
      </c>
      <c r="BE7" s="346" t="n">
        <f aca="false">IF($A7="N/A",0,IF(AND(AL7=$AR$2+1,AU7=0),MIN($BB$15,AC7),0))</f>
        <v>0</v>
      </c>
      <c r="BF7" s="346" t="n">
        <f aca="false">IF($A7="N/A",0,IF(AND(AM7=$AR$2+1,AV7=0),MIN($BB$15,AD7),0))</f>
        <v>0</v>
      </c>
      <c r="BG7" s="346" t="n">
        <f aca="false">IF($A7="N/A",0,IF(AND(AN7=$AR$2+1,AW7=0),MIN($BB$15,AE7),0))</f>
        <v>0</v>
      </c>
      <c r="BH7" s="346" t="n">
        <f aca="false">IF($A7="N/A",0,IF(AND(AO7=$AR$2+1,AX7=0),MIN($BB$15,AF7),0))</f>
        <v>0</v>
      </c>
      <c r="BI7" s="346" t="n">
        <f aca="false">IF($A7="N/A",0,IF(AND(AP7=$AR$2+1,AY7=0),MIN($BB$15,AG7),0))</f>
        <v>0</v>
      </c>
      <c r="BJ7" s="346" t="n">
        <f aca="false">IF($A7="N/A",0,IF(AND(AQ7=$AR$2+1,AZ7=0),MIN($BB$15,AH7),0))</f>
        <v>0</v>
      </c>
      <c r="BK7" s="346" t="n">
        <f aca="false">IF($A7="N/A",0,IF(AND(AR7=$AR$2+1,BA7=0),MIN($BB$15,AI7),0))</f>
        <v>0</v>
      </c>
      <c r="BL7" s="347"/>
      <c r="BM7" s="329" t="str">
        <f aca="false">IF($A7="N/A"," ",(IF(MONTH(A7)&gt;=4,IF(MONTH(A7)&lt;=10,Inputs!$F$13-Inputs!$G$13,Inputs!$F$14-Inputs!$G$14),Inputs!$F$14-Inputs!$G$14))*$CK7*Availability)</f>
        <v> </v>
      </c>
      <c r="BN7" s="330" t="str">
        <f aca="false">IF($A7="N/A"," ",(IF(AS7&gt;0,($BM7*(8*($HD7))*R7),0)+IF(BC7&gt;0,($BM7*((BC7/AA7)*8*$HD7)*R7),0)))</f>
        <v> </v>
      </c>
      <c r="BO7" s="330" t="str">
        <f aca="false">IF($A7="N/A"," ",(IF(AT7&gt;0,($BM7*(8*($HD7))*S7),0)+IF(BD7&gt;0,($BM7*((BD7/AB7)*8*$HD7)*S7),0)))</f>
        <v> </v>
      </c>
      <c r="BP7" s="330" t="str">
        <f aca="false">IF($A7="N/A"," ",(IF(AU7&gt;0,($BM7*(8*($HD7))*T7),0)+IF(BE7&gt;0,($BM7*((BE7))*T7),0)))</f>
        <v> </v>
      </c>
      <c r="BQ7" s="330" t="str">
        <f aca="false">IF($A7="N/A"," ",(IF(AV7&gt;0,($BM7*(8*($HE7))*U7),0)+IF(BF7&gt;0,($BM7*((BF7/AD7)*8*$HE7)*U7),0)))</f>
        <v> </v>
      </c>
      <c r="BR7" s="330" t="str">
        <f aca="false">IF($A7="N/A"," ",(IF(AW7&gt;0,($BM7*(8*($HE7))*V7),0)+IF(BG7&gt;0,($BM7*((BG7/AE7)*8*$HE7)*V7),0)))</f>
        <v> </v>
      </c>
      <c r="BS7" s="330" t="str">
        <f aca="false">IF($A7="N/A"," ",(IF(AX7&gt;0,($BM7*(8*($HE7))*W7),0)+IF(BH7&gt;0,($BM7*((BH7))*W7),0)))</f>
        <v> </v>
      </c>
      <c r="BT7" s="330" t="str">
        <f aca="false">IF($A7="N/A"," ",(IF(AY7&gt;0,($BM7*(8*($HF7))*X7),0)+IF(BI7&gt;0,($BM7*((BI7/AG7)*8*$HF7)*X7),0)))</f>
        <v> </v>
      </c>
      <c r="BU7" s="330" t="str">
        <f aca="false">IF($A7="N/A"," ",(IF(AZ7&gt;0,($BM7*(8*($HF7))*Y7),0)+IF(BJ7&gt;0,($BM7*((BJ7/AH7)*8*$HF7)*Y7),0)))</f>
        <v> </v>
      </c>
      <c r="BV7" s="330" t="str">
        <f aca="false">IF($A7="N/A"," ",(IF(BA7&gt;0,($BM7*(8*($HF7))*Z7),0)+IF(BK7&gt;0,($BM7*((BK7))*Z7),0)))</f>
        <v> </v>
      </c>
      <c r="BW7" s="330" t="str">
        <f aca="false">IF($A7="N/A"," ",SUM(BN7:BV7))</f>
        <v> </v>
      </c>
      <c r="BX7" s="331" t="str">
        <f aca="false">IF($A7="N/A"," ",(H7*(SUM(AS7:BA7)+SUM(BC7:BK7))*BM7))</f>
        <v> </v>
      </c>
      <c r="BY7" s="332" t="str">
        <f aca="false">IF($A7="N/A"," ",((C7*D7)*(SUM($AS7:$BA7)+SUM($BC7:$BK7))*$BM7))</f>
        <v> </v>
      </c>
      <c r="BZ7" s="332" t="str">
        <f aca="false">IF($A7="N/A"," ",(F7*(SUM($AS7:$BA7)+SUM($BC7:$BK7))*$BM7))</f>
        <v> </v>
      </c>
      <c r="CA7" s="333" t="str">
        <f aca="false">IF($A7="N/A"," ",(G7*(SUM($AS7:$BA7)+SUM($BC7:$BK7))*$BM7))</f>
        <v> </v>
      </c>
      <c r="CB7" s="334" t="str">
        <f aca="false">IF(A7="N/A"," ",(VLOOKUP(A7,PowerVolTable,(IF(BMO=2,7,IF(BMO=1,6,8))),FALSE())))</f>
        <v> </v>
      </c>
      <c r="CC7" s="334" t="str">
        <f aca="false">IF(A7="N/A"," ",(VLOOKUP(A7,IntraPowerVol,(IF(BMO=2,3,IF(BMO=1,2,4))),FALSE())*VLOOKUP(MONTH($A7),Volscale,2)))</f>
        <v> </v>
      </c>
      <c r="CD7" s="335" t="str">
        <f aca="false">IF($A7="N/A"," ",(IF(DateToday&gt;$A7,$CC7,((($CB7^2)*((($A7-1)-DateToday)/((EOMONTH($A7,0)+1)-DateToday-15)))+((($CC7)^2)*((15)/((EOMONTH($A7,0)+1)-DateToday-15))))^0.5)))</f>
        <v> </v>
      </c>
      <c r="CE7" s="334" t="str">
        <f aca="false">IF($A7="N/A"," ",(VLOOKUP($A7,GasVolTable,(IF(BMO=2,6,IF(BMO=1,7,5))),FALSE())))</f>
        <v> </v>
      </c>
      <c r="CF7" s="334" t="str">
        <f aca="false">IF($A7="N/A"," ",(VLOOKUP($A7,OmicronVol,(IF(BMO=2,3,IF(BMO=1,4,2))),FALSE())))</f>
        <v> </v>
      </c>
      <c r="CG7" s="335" t="str">
        <f aca="false">IF($A7="N/A"," ",(IF(DateToday&gt;$A7,$CF7,((($CE7^2)*((($A7-1)-DateToday)/((EOMONTH($A7,0)+1)-DateToday-15)))+((($CF7)^2)*((15)/((EOMONTH($A7,0)+1)-DateToday-15))))^0.5)))</f>
        <v> </v>
      </c>
      <c r="CH7" s="334" t="str">
        <f aca="false">IF($A7="N/A"," ",VLOOKUP($A7,CorrelationTable,2,FALSE()))</f>
        <v> </v>
      </c>
      <c r="CI7" s="336" t="str">
        <f aca="false">IF($A7="N/A"," ",F7+G7+(D7*('Pricing Inputs'!T40)))</f>
        <v> </v>
      </c>
      <c r="CJ7" s="334" t="str">
        <f aca="false">IF($A7="N/A"," ",IF(PV=1,0,'Pricing Inputs'!U40))</f>
        <v> </v>
      </c>
      <c r="CK7" s="337" t="str">
        <f aca="false">IF($A7="N/A"," ",(1+CJ7/2)^(-2*((EOMONTH(A7,0)+20)-DateToday)/365.25))</f>
        <v> </v>
      </c>
      <c r="CL7" s="338" t="str">
        <f aca="false">IF(A7="N/A"," ",IF(CC=2,(VLOOKUP(MONTH($A7),Hrtable,3))/1000,0))</f>
        <v> </v>
      </c>
      <c r="CM7" s="339" t="str">
        <f aca="false">IF(A7="N/A"," ",IF(CC=2,(CL7*C7)+F7,0))</f>
        <v> </v>
      </c>
      <c r="CN7" s="340" t="str">
        <f aca="false">IF($A7="N/A"," ",IF(CC=2,(VLOOKUP(A7,ScaledPrice,(IF(AND(Dayrun&gt;=1,Dayrun&lt;=6),2,4)))-((IF(R7&lt;&gt;0,$D7,$CL7)*$C7)+$F7+$G7)),0))</f>
        <v> </v>
      </c>
      <c r="CO7" s="340" t="str">
        <f aca="false">IF($A7="N/A"," ",IF(CC=2,(IF(AND(Dayrun&gt;=1,Dayrun&lt;=6),I7,(VLOOKUP(A7,ScaledPrice,2))*(2-(VLOOKUP(A7,ScaledPrice,3))))-((IF(S7&lt;&gt;0,$D7,$CL7)*$C7)+$F7+$G7)),0))</f>
        <v> </v>
      </c>
      <c r="CP7" s="340" t="str">
        <f aca="false">IF(A7="N/A"," ",IF(CC=2,(VLOOKUP(A7,ScaledPrice,9)-((IF(T7&lt;&gt;0,$D7,$CL7)*$C7)+$F7+$G7)),0))</f>
        <v> </v>
      </c>
      <c r="CQ7" s="340" t="str">
        <f aca="false">IF(A7="N/A"," ",IF(CC=2,(IF(OR(Dayrun=2,Dayrun=3,Dayrun=5,Dayrun=6,Dayrun=8,Dayrun=9),VLOOKUP(A7,ScaledPrice,IF(AND(Dayrun&gt;=2,Dayrun&lt;=6),5,6)),0)-((IF(U7&lt;&gt;0,$D7,$CL7)*$C7)+$F7+$G7)),0))</f>
        <v> </v>
      </c>
      <c r="CR7" s="340" t="str">
        <f aca="false">IF(A7="N/A"," ",IF(CC=2,(IF(OR(Dayrun=2,Dayrun=3,Dayrun=5,Dayrun=6,Dayrun=8,Dayrun=9),IF(AND(Dayrun&gt;=2,Dayrun&lt;=6),L7,(VLOOKUP(A7,ScaledPrice,5))*(2-(VLOOKUP(A7,ScaledPrice,3)))),0)-((IF(V7&lt;&gt;0,$D7,$CL7)*$C7)+$F7+$G7)),0))</f>
        <v> </v>
      </c>
      <c r="CS7" s="340" t="str">
        <f aca="false">IF(A7="N/A"," ",IF(CC=2,(VLOOKUP(A7,ScaledPrice,9)-((IF(W7&lt;&gt;0,$D7,$CL7)*$C7)+$F7+$G7)),0))</f>
        <v> </v>
      </c>
      <c r="CT7" s="340" t="str">
        <f aca="false">IF(A7="N/A"," ",IF(CC=2,(IF(OR(Dayrun=3,Dayrun=6,Dayrun=9),(VLOOKUP(A7,ScaledPrice,IF(AND(Dayrun&gt;=3,Dayrun&lt;=6),7,8))),0)-((IF(X7&lt;&gt;0,$D7,$CL7)*$C7)+$F7+$G7)),0))</f>
        <v> </v>
      </c>
      <c r="CU7" s="340" t="str">
        <f aca="false">IF(A7="N/A"," ",IF(CC=2,(IF(OR(Dayrun=3,Dayrun=6,Dayrun=9),IF(AND(Dayrun&gt;=3,Dayrun&lt;=6),O7,(VLOOKUP(A7,ScaledPrice,7))*(2-(VLOOKUP(A7,ScaledPrice,3)))),0)-((IF(Y7&lt;&gt;0,$D7,$CL7)*$C7)+$F7+$G7)),0))</f>
        <v> </v>
      </c>
      <c r="CV7" s="340" t="str">
        <f aca="false">IF(A7="N/A"," ",IF(CC=2,(VLOOKUP(A7,ScaledPrice,9)-((IF(Z7&lt;&gt;0,$D7,$CL7)*$C7)+$F7+$G7)),0))</f>
        <v> </v>
      </c>
      <c r="CW7" s="318" t="str">
        <f aca="false">IF($A7="N/A"," ",IF(0&lt;&gt;CN7,IF(CC=2,8*$HD7,0),0))</f>
        <v> </v>
      </c>
      <c r="CX7" s="318" t="str">
        <f aca="false">IF($A7="N/A"," ",IF(0&lt;&gt;CO7,IF(CC=2,8*$HD7,0),0))</f>
        <v> </v>
      </c>
      <c r="CY7" s="318" t="str">
        <f aca="false">IF($A7="N/A"," ",IF(0&lt;&gt;CP7,IF(CC=2,8*$HD7,0),0))</f>
        <v> </v>
      </c>
      <c r="CZ7" s="318" t="str">
        <f aca="false">IF($A7="N/A"," ",IF(0&lt;&gt;CQ7,IF(CC=2,8*$HE7,0),0))</f>
        <v> </v>
      </c>
      <c r="DA7" s="318" t="str">
        <f aca="false">IF($A7="N/A"," ",IF(0&lt;&gt;CR7,IF(CC=2,8*$HE7,0),0))</f>
        <v> </v>
      </c>
      <c r="DB7" s="318" t="str">
        <f aca="false">IF($A7="N/A"," ",IF(0&lt;&gt;CS7,IF(CC=2,8*$HE7,0),0))</f>
        <v> </v>
      </c>
      <c r="DC7" s="318" t="str">
        <f aca="false">IF($A7="N/A"," ",IF(0&lt;&gt;CT7,IF(CC=2,8*$HF7,0),0))</f>
        <v> </v>
      </c>
      <c r="DD7" s="318" t="str">
        <f aca="false">IF($A7="N/A"," ",IF(0&lt;&gt;CU7,IF(CC=2,8*$HF7,0),0))</f>
        <v> </v>
      </c>
      <c r="DE7" s="318" t="str">
        <f aca="false">IF($A7="N/A"," ",IF(0&lt;&gt;CV7,IF(CC=2,8*$HF7,0),0))</f>
        <v> </v>
      </c>
      <c r="DF7" s="341" t="str">
        <f aca="false">IF($A7="N/A"," ",IF(CC=2,(IF(MONTH(A7)&gt;=4,IF(MONTH(A7)&lt;=10,Inputs!$G$13,Inputs!$G$14),Inputs!$G$14))*$CK7,0))</f>
        <v> </v>
      </c>
      <c r="DG7" s="342" t="str">
        <f aca="false">IF($A7="N/A"," ",IF(CC=2,$DF7*CW7*CN7,0))</f>
        <v> </v>
      </c>
      <c r="DH7" s="342" t="str">
        <f aca="false">IF($A7="N/A"," ",IF(CC=2,$DF7*CX7*CO7,0))</f>
        <v> </v>
      </c>
      <c r="DI7" s="342" t="str">
        <f aca="false">IF($A7="N/A"," ",IF(CC=2,$DF7*CY7*CP7,0))</f>
        <v> </v>
      </c>
      <c r="DJ7" s="342" t="str">
        <f aca="false">IF($A7="N/A"," ",IF(CC=2,$DF7*CZ7*CQ7,0))</f>
        <v> </v>
      </c>
      <c r="DK7" s="342" t="str">
        <f aca="false">IF($A7="N/A"," ",IF(CC=2,$DF7*DA7*CR7,0))</f>
        <v> </v>
      </c>
      <c r="DL7" s="342" t="str">
        <f aca="false">IF($A7="N/A"," ",IF(CC=2,$DF7*DB7*CS7,0))</f>
        <v> </v>
      </c>
      <c r="DM7" s="342" t="str">
        <f aca="false">IF($A7="N/A"," ",IF(CC=2,$DF7*DC7*CT7,0))</f>
        <v> </v>
      </c>
      <c r="DN7" s="342" t="str">
        <f aca="false">IF($A7="N/A"," ",IF(CC=2,$DF7*DD7*CU7,0))</f>
        <v> </v>
      </c>
      <c r="DO7" s="342" t="str">
        <f aca="false">IF($A7="N/A"," ",IF(CC=2,$DF7*DE7*CV7,0))</f>
        <v> </v>
      </c>
      <c r="DP7" s="343" t="str">
        <f aca="false">IF($A7="N/A"," ",IF(CC=2,SUM(DG7:DO7),0))</f>
        <v> </v>
      </c>
      <c r="DQ7" s="0" t="str">
        <f aca="false">IF(A7="N/A"," ",Perstart)</f>
        <v> </v>
      </c>
      <c r="HD7" s="0" t="str">
        <f aca="false">IF($A7="N/A"," ",VLOOKUP($A7,NumberofDaysTable,2))</f>
        <v> </v>
      </c>
      <c r="HE7" s="0" t="str">
        <f aca="false">IF($A7="N/A"," ",VLOOKUP($A7,NumberofDaysTable,3))</f>
        <v> </v>
      </c>
      <c r="HF7" s="0" t="str">
        <f aca="false">IF($A7="N/A"," ",VLOOKUP($A7,NumberofDaysTable,4))</f>
        <v> </v>
      </c>
    </row>
    <row r="8" customFormat="false" ht="12.75" hidden="false" customHeight="false" outlineLevel="0" collapsed="false">
      <c r="A8" s="308" t="str">
        <f aca="false">IF(A7="N/A","N/A",IF(EDATE(A7,1)&gt;Inputs!$K$3,"N/A",EDATE(A7,1)))</f>
        <v>N/A</v>
      </c>
      <c r="B8" s="309" t="str">
        <f aca="false">IF(A8="N/A"," ",YEAR(A8))</f>
        <v> </v>
      </c>
      <c r="C8" s="310" t="str">
        <f aca="false">IF(A8="N/A"," ",VLOOKUP(A8,ScaledPrice,10))</f>
        <v> </v>
      </c>
      <c r="D8" s="311" t="str">
        <f aca="false">IF(A8="N/A"," ",(VLOOKUP(MONTH($A8),Hrtable,2))/1000)</f>
        <v> </v>
      </c>
      <c r="E8" s="312" t="str">
        <f aca="false">IF($A8="N/A"," ",(C8-'Pricing Inputs'!T41)*D8)</f>
        <v> </v>
      </c>
      <c r="F8" s="313" t="str">
        <f aca="false">IF(A8="N/A"," ",VOM)</f>
        <v> </v>
      </c>
      <c r="G8" s="313" t="str">
        <f aca="false">IF(A8="N/A"," ",Perstart/IF(AND(Dayrun&gt;=4,Dayrun&lt;=6),16,IF(AND(Dayrun&gt;=7,Dayrun&lt;=9),8,24))/(BM8/CK8))</f>
        <v> </v>
      </c>
      <c r="H8" s="314" t="str">
        <f aca="false">IF(A8="N/A"," ",(C8*D8)+F8+G8)</f>
        <v> </v>
      </c>
      <c r="I8" s="315" t="str">
        <f aca="false">VLOOKUP(A8,ScaledPrice,(IF(AND(Dayrun&gt;=1,Dayrun&lt;=6),2,4)))</f>
        <v> </v>
      </c>
      <c r="J8" s="315" t="str">
        <f aca="false">IF(A8="N/A"," ",IF(AND(Dayrun&gt;=1,Dayrun&lt;=6),I8,(VLOOKUP(A8,ScaledPrice,2))*(2-(VLOOKUP(A8,ScaledPrice,3)))))</f>
        <v> </v>
      </c>
      <c r="K8" s="315" t="str">
        <f aca="false">IF(A8="N/A"," ",IF(AND(Dayrun&gt;=1,Dayrun&lt;=3),VLOOKUP(A8,ScaledPrice,9),0))</f>
        <v> </v>
      </c>
      <c r="L8" s="315" t="str">
        <f aca="false">IF(A8="N/A"," ",IF(OR(Dayrun=2,Dayrun=3,Dayrun=5,Dayrun=6,Dayrun=8,Dayrun=9),VLOOKUP(A8,ScaledPrice,IF(AND(Dayrun&gt;=2,Dayrun&lt;=6),5,6)),0))</f>
        <v> </v>
      </c>
      <c r="M8" s="315" t="str">
        <f aca="false">IF(A8="N/A"," ",IF(OR(Dayrun=2,Dayrun=3,Dayrun=5,Dayrun=6,Dayrun=8,Dayrun=9),IF(AND(Dayrun&gt;=2,Dayrun&lt;=6),L8,(VLOOKUP(A8,ScaledPrice,5))*(2-(VLOOKUP(A8,ScaledPrice,3)))),0))</f>
        <v> </v>
      </c>
      <c r="N8" s="315" t="str">
        <f aca="false">IF(A8="N/A"," ",IF(AND(Dayrun&gt;1,Dayrun&lt;=3),VLOOKUP(A8,ScaledPrice,9),0))</f>
        <v> </v>
      </c>
      <c r="O8" s="315" t="str">
        <f aca="false">IF(A8="N/A"," ",IF(OR(Dayrun=3,Dayrun=6,Dayrun=9),(VLOOKUP(A8,ScaledPrice,IF(AND(Dayrun&gt;=3,Dayrun&lt;=6),7,8))),0))</f>
        <v> </v>
      </c>
      <c r="P8" s="315" t="str">
        <f aca="false">IF(A8="N/A"," ",IF(OR(Dayrun=3,Dayrun=6,Dayrun=9),IF(AND(Dayrun&gt;=3,Dayrun&lt;=6),O8,(VLOOKUP(A8,ScaledPrice,7))*(2-(VLOOKUP(A8,ScaledPrice,3)))),0))</f>
        <v> </v>
      </c>
      <c r="Q8" s="315" t="str">
        <f aca="false">IF(A8="N/A"," ",IF(AND(Dayrun&gt;2,Dayrun&lt;=3),VLOOKUP(A8,ScaledPrice,9),0))</f>
        <v> </v>
      </c>
      <c r="R8" s="316" t="str">
        <f aca="false">IF($A8="N/A"," ",IF(Pricetype=2,MAX(I8-$H8,0),IF(Pricetype=1,(xSPRDOPT(I8,$E8,$CI8,0,($CD8+IF(Smile=TRUE(),VLOOKUP(MAX(-5,$H8-I8),Volsmile,2),0)),$CG8,$CH8,($A8-DateToday)+15,1,0)),I8-$H8)))</f>
        <v> </v>
      </c>
      <c r="S8" s="316" t="str">
        <f aca="false">IF($A8="N/A"," ",IF(Pricetype=2,MAX(J8-$H8,0),IF(Pricetype=1,(xSPRDOPT(J8,$E8,$CI8,0,($CD8+IF(Smile=TRUE(),VLOOKUP(MAX(-5,$H8-J8),Volsmile,2),0)),$CG8,$CH8,($A8-DateToday)+15,1,0)),J8-$H8)))</f>
        <v> </v>
      </c>
      <c r="T8" s="317" t="str">
        <f aca="false">IF($A8="N/A"," ",(IF(Pricetype=2,IF((K8-$H8)&lt;=0,0,(K8-$H8)),IF(K8&lt;&gt;0,(K8-$H8),0))))</f>
        <v> </v>
      </c>
      <c r="U8" s="316" t="str">
        <f aca="false">IF($A8="N/A"," ",IF(Pricetype=2,MAX(L8-$H8,0),IF(L8&lt;&gt;0,IF(Pricetype=1,(xSPRDOPT(L8,$E8,$CI8,0,($CD8+IF(Smile=TRUE(),VLOOKUP(MAX(-5,$H8-L8),Volsmile,2),0)),$CG8,$CH8,($A8-DateToday)+15,1,0)),L8-$H8),0)))</f>
        <v> </v>
      </c>
      <c r="V8" s="316" t="str">
        <f aca="false">IF($A8="N/A"," ",IF(Pricetype=2,MAX(M8-$H8,0),IF(M8&lt;&gt;0,IF(Pricetype=1,(xSPRDOPT(M8,$E8,$CI8,0,($CD8+IF(Smile=TRUE(),VLOOKUP(MAX(-5,$H8-M8),Volsmile,2),0)),$CG8,$CH8,($A8-DateToday)+15,1,0)),M8-$H8),0)))</f>
        <v> </v>
      </c>
      <c r="W8" s="317" t="str">
        <f aca="false">IF($A8="N/A"," ",(IF(Pricetype=2,IF((N8-$H8)&lt;=0,0,(N8-$H8)),IF(N8&lt;&gt;0,(N8-$H8),0))))</f>
        <v> </v>
      </c>
      <c r="X8" s="316" t="str">
        <f aca="false">IF($A8="N/A"," ",IF(Pricetype=2,MAX(O8-$H8,0),IF(O8&lt;&gt;0,IF(Pricetype=1,(xSPRDOPT(O8,$E8,$CI8,0,($CD8+IF(Smile=TRUE(),VLOOKUP(MAX(-5,$H8-O8),Volsmile,2),0)),$CG8,$CH8,($A8-DateToday)+15,1,0)),O8-$H8),0)))</f>
        <v> </v>
      </c>
      <c r="Y8" s="316" t="str">
        <f aca="false">IF($A8="N/A"," ",IF(Pricetype=2,MAX(P8-$H8,0),IF(P8&lt;&gt;0,IF(Pricetype=1,(xSPRDOPT(P8,$E8,$CI8,0,($CD8+IF(Smile=TRUE(),VLOOKUP(MAX(-5,$H8-P8),Volsmile,2),0)),$CG8,$CH8,($A8-DateToday)+15,1,0)),P8-$H8),0)))</f>
        <v> </v>
      </c>
      <c r="Z8" s="317" t="str">
        <f aca="false">IF($A8="N/A"," ",(IF(Pricetype=2,IF((Q8-$H8)&lt;=0,0,(Q8-$H8)),IF(Q8&lt;&gt;0,(Q8-$H8),0))))</f>
        <v> </v>
      </c>
      <c r="AA8" s="318" t="str">
        <f aca="false">IF($A8="N/A"," ",IF(VLOOKUP(MONTH(A8),ManualTable,2)=1,(IF(0&lt;&gt;R8,IF(Pricetype=1,(xSPRDOPT(I8,$E8,$CI8,0,($CD8+IF(Smile=TRUE(),VLOOKUP(MAX(-5,$H8-I8),Volsmile,2),0)),$CG8,$CH8,($A8-DateToday)+15,1,1))*(8*$HD8),8*$HD8),0)),0))</f>
        <v> </v>
      </c>
      <c r="AB8" s="318" t="str">
        <f aca="false">IF($A8="N/A"," ",IF(VLOOKUP(MONTH(A8),ManualTable,3)=1,(IF(S8&lt;&gt;0,IF(Pricetype=1,(xSPRDOPT(J8,$E8,$CI8,0,($CD8+IF(Smile=TRUE(),VLOOKUP(MAX(-5,$H8-J8),Volsmile,2),0)),$CG8,$CH8,($A8-DateToday)+15,1,1))*(8*$HD8),8*$HD8),0)),0))</f>
        <v> </v>
      </c>
      <c r="AC8" s="318" t="str">
        <f aca="false">IF($A8="N/A"," ",IF(VLOOKUP(MONTH(A8),ManualTable,4)=1,(IF(T8&lt;&gt;0,(8*$HD8),0)),0))</f>
        <v> </v>
      </c>
      <c r="AD8" s="318" t="str">
        <f aca="false">IF($A8="N/A"," ",IF(VLOOKUP(MONTH(A8),ManualTable,5)=1,(IF(U8&lt;&gt;0,IF(Pricetype=1,(xSPRDOPT(L8,$E8,$CI8,0,($CD8+IF(Smile=TRUE(),VLOOKUP(MAX(-5,$H8-L8),Volsmile,2),0)),$CG8,$CH8,($A8-DateToday)+15,1,1))*(8*$HE8),8*$HE8),0)),0))</f>
        <v> </v>
      </c>
      <c r="AE8" s="318" t="str">
        <f aca="false">IF($A8="N/A"," ",IF(VLOOKUP(MONTH(A8),ManualTable,6)=1,(IF(V8&lt;&gt;0,IF(Pricetype=1,(xSPRDOPT(M8,$E8,$CI8,0,($CD8+IF(Smile=TRUE(),VLOOKUP(MAX(-5,$H8-M8),Volsmile,2),0)),$CG8,$CH8,($A8-DateToday)+15,1,1))*(8*$HE8),8*$HE8),0)),0))</f>
        <v> </v>
      </c>
      <c r="AF8" s="318" t="str">
        <f aca="false">IF($A8="N/A"," ",IF(VLOOKUP(MONTH(A8),ManualTable,7)=1,(IF(W8&lt;&gt;0,(8*$HE8),0)),0))</f>
        <v> </v>
      </c>
      <c r="AG8" s="318" t="str">
        <f aca="false">IF($A8="N/A"," ",IF(VLOOKUP(MONTH(A8),ManualTable,8)=1,(IF(X8&lt;&gt;0,IF(Pricetype=1,(xSPRDOPT(O8,$E8,$CI8,0,($CD8+IF(Smile=TRUE(),VLOOKUP(MAX(-5,$H8-O8),Volsmile,2),0)),$CG8,$CH8,($A8-DateToday)+15,1,1))*(8*$HF8),8*$HF8),0)),0))</f>
        <v> </v>
      </c>
      <c r="AH8" s="318" t="str">
        <f aca="false">IF($A8="N/A"," ",IF(VLOOKUP(MONTH(A8),ManualTable,9)=1,(IF(Y8&lt;&gt;0,IF(Pricetype=1,(xSPRDOPT(P8,$E8,$CI8,0,($CD8+IF(Smile=TRUE(),VLOOKUP(MAX(-5,$H8-P8),Volsmile,2),0)),$CG8,$CH8,($A8-DateToday)+15,1,1))*(8*$HF8),8*$HF8),0)),0))</f>
        <v> </v>
      </c>
      <c r="AI8" s="318" t="str">
        <f aca="false">IF($A8="N/A"," ",IF(VLOOKUP(MONTH(A8),ManualTable,10)=1,(IF(Z8&lt;&gt;0,(8*($HF8)),0)),0))</f>
        <v> </v>
      </c>
      <c r="AJ8" s="344" t="str">
        <f aca="false">IF($A8="N/A"," ",RANK(R8,$R$4:$Z$15))</f>
        <v> </v>
      </c>
      <c r="AK8" s="321" t="str">
        <f aca="false">IF($A8="N/A"," ",RANK(S8,$R$4:$Z$15))</f>
        <v> </v>
      </c>
      <c r="AL8" s="321" t="str">
        <f aca="false">IF($A8="N/A"," ",RANK(T8,$R$4:$Z$15))</f>
        <v> </v>
      </c>
      <c r="AM8" s="321" t="str">
        <f aca="false">IF($A8="N/A"," ",RANK(U8,$R$4:$Z$15))</f>
        <v> </v>
      </c>
      <c r="AN8" s="321" t="str">
        <f aca="false">IF($A8="N/A"," ",RANK(V8,$R$4:$Z$15))</f>
        <v> </v>
      </c>
      <c r="AO8" s="321" t="str">
        <f aca="false">IF($A8="N/A"," ",RANK(W8,$R$4:$Z$15))</f>
        <v> </v>
      </c>
      <c r="AP8" s="321" t="str">
        <f aca="false">IF($A8="N/A"," ",RANK(X8,$R$4:$Z$15))</f>
        <v> </v>
      </c>
      <c r="AQ8" s="321" t="str">
        <f aca="false">IF($A8="N/A"," ",RANK(Y8,$R$4:$Z$15))</f>
        <v> </v>
      </c>
      <c r="AR8" s="345" t="str">
        <f aca="false">IF($A8="N/A"," ",RANK(Z8,$R$4:$Z$15))</f>
        <v> </v>
      </c>
      <c r="AS8" s="323" t="n">
        <f aca="false">IF($A8="N/A",0,IF(AJ8&lt;=$AR$2,AA8,0))</f>
        <v>0</v>
      </c>
      <c r="AT8" s="325" t="n">
        <f aca="false">IF($A8="N/A",0,IF(AK8&lt;=$AR$2,AB8,0))</f>
        <v>0</v>
      </c>
      <c r="AU8" s="325" t="n">
        <f aca="false">IF($A8="N/A",0,IF(AL8&lt;=$AR$2,AC8,0))</f>
        <v>0</v>
      </c>
      <c r="AV8" s="325" t="n">
        <f aca="false">IF($A8="N/A",0,IF(AM8&lt;=$AR$2,AD8,0))</f>
        <v>0</v>
      </c>
      <c r="AW8" s="325" t="n">
        <f aca="false">IF($A8="N/A",0,IF(AN8&lt;=$AR$2,AE8,0))</f>
        <v>0</v>
      </c>
      <c r="AX8" s="325" t="n">
        <f aca="false">IF($A8="N/A",0,IF(AO8&lt;=$AR$2,AF8,0))</f>
        <v>0</v>
      </c>
      <c r="AY8" s="325" t="n">
        <f aca="false">IF($A8="N/A",0,IF(AP8&lt;=$AR$2,AG8,0))</f>
        <v>0</v>
      </c>
      <c r="AZ8" s="325" t="n">
        <f aca="false">IF($A8="N/A",0,IF(AQ8&lt;=$AR$2,AH8,0))</f>
        <v>0</v>
      </c>
      <c r="BA8" s="325" t="n">
        <f aca="false">IF($A8="N/A",0,IF(AR8&lt;=$AR$2,AI8,0))</f>
        <v>0</v>
      </c>
      <c r="BB8" s="345"/>
      <c r="BC8" s="326" t="n">
        <f aca="false">IF($A8="N/A",0,IF(AND(AJ8=$AR$2+1,AS8=0),MIN($BB$15,AA8),0))</f>
        <v>0</v>
      </c>
      <c r="BD8" s="346" t="n">
        <f aca="false">IF($A8="N/A",0,IF(AND(AK8=$AR$2+1,AT8=0),MIN($BB$15,AB8),0))</f>
        <v>0</v>
      </c>
      <c r="BE8" s="346" t="n">
        <f aca="false">IF($A8="N/A",0,IF(AND(AL8=$AR$2+1,AU8=0),MIN($BB$15,AC8),0))</f>
        <v>0</v>
      </c>
      <c r="BF8" s="346" t="n">
        <f aca="false">IF($A8="N/A",0,IF(AND(AM8=$AR$2+1,AV8=0),MIN($BB$15,AD8),0))</f>
        <v>0</v>
      </c>
      <c r="BG8" s="346" t="n">
        <f aca="false">IF($A8="N/A",0,IF(AND(AN8=$AR$2+1,AW8=0),MIN($BB$15,AE8),0))</f>
        <v>0</v>
      </c>
      <c r="BH8" s="346" t="n">
        <f aca="false">IF($A8="N/A",0,IF(AND(AO8=$AR$2+1,AX8=0),MIN($BB$15,AF8),0))</f>
        <v>0</v>
      </c>
      <c r="BI8" s="346" t="n">
        <f aca="false">IF($A8="N/A",0,IF(AND(AP8=$AR$2+1,AY8=0),MIN($BB$15,AG8),0))</f>
        <v>0</v>
      </c>
      <c r="BJ8" s="346" t="n">
        <f aca="false">IF($A8="N/A",0,IF(AND(AQ8=$AR$2+1,AZ8=0),MIN($BB$15,AH8),0))</f>
        <v>0</v>
      </c>
      <c r="BK8" s="346" t="n">
        <f aca="false">IF($A8="N/A",0,IF(AND(AR8=$AR$2+1,BA8=0),MIN($BB$15,AI8),0))</f>
        <v>0</v>
      </c>
      <c r="BL8" s="347"/>
      <c r="BM8" s="329" t="str">
        <f aca="false">IF($A8="N/A"," ",(IF(MONTH(A8)&gt;=4,IF(MONTH(A8)&lt;=10,Inputs!$F$13-Inputs!$G$13,Inputs!$F$14-Inputs!$G$14),Inputs!$F$14-Inputs!$G$14))*$CK8*Availability)</f>
        <v> </v>
      </c>
      <c r="BN8" s="330" t="str">
        <f aca="false">IF($A8="N/A"," ",(IF(AS8&gt;0,($BM8*(8*($HD8))*R8),0)+IF(BC8&gt;0,($BM8*((BC8/AA8)*8*$HD8)*R8),0)))</f>
        <v> </v>
      </c>
      <c r="BO8" s="330" t="str">
        <f aca="false">IF($A8="N/A"," ",(IF(AT8&gt;0,($BM8*(8*($HD8))*S8),0)+IF(BD8&gt;0,($BM8*((BD8/AB8)*8*$HD8)*S8),0)))</f>
        <v> </v>
      </c>
      <c r="BP8" s="330" t="str">
        <f aca="false">IF($A8="N/A"," ",(IF(AU8&gt;0,($BM8*(8*($HD8))*T8),0)+IF(BE8&gt;0,($BM8*((BE8))*T8),0)))</f>
        <v> </v>
      </c>
      <c r="BQ8" s="330" t="str">
        <f aca="false">IF($A8="N/A"," ",(IF(AV8&gt;0,($BM8*(8*($HE8))*U8),0)+IF(BF8&gt;0,($BM8*((BF8/AD8)*8*$HE8)*U8),0)))</f>
        <v> </v>
      </c>
      <c r="BR8" s="330" t="str">
        <f aca="false">IF($A8="N/A"," ",(IF(AW8&gt;0,($BM8*(8*($HE8))*V8),0)+IF(BG8&gt;0,($BM8*((BG8/AE8)*8*$HE8)*V8),0)))</f>
        <v> </v>
      </c>
      <c r="BS8" s="330" t="str">
        <f aca="false">IF($A8="N/A"," ",(IF(AX8&gt;0,($BM8*(8*($HE8))*W8),0)+IF(BH8&gt;0,($BM8*((BH8))*W8),0)))</f>
        <v> </v>
      </c>
      <c r="BT8" s="330" t="str">
        <f aca="false">IF($A8="N/A"," ",(IF(AY8&gt;0,($BM8*(8*($HF8))*X8),0)+IF(BI8&gt;0,($BM8*((BI8/AG8)*8*$HF8)*X8),0)))</f>
        <v> </v>
      </c>
      <c r="BU8" s="330" t="str">
        <f aca="false">IF($A8="N/A"," ",(IF(AZ8&gt;0,($BM8*(8*($HF8))*Y8),0)+IF(BJ8&gt;0,($BM8*((BJ8/AH8)*8*$HF8)*Y8),0)))</f>
        <v> </v>
      </c>
      <c r="BV8" s="330" t="str">
        <f aca="false">IF($A8="N/A"," ",(IF(BA8&gt;0,($BM8*(8*($HF8))*Z8),0)+IF(BK8&gt;0,($BM8*((BK8))*Z8),0)))</f>
        <v> </v>
      </c>
      <c r="BW8" s="330" t="str">
        <f aca="false">IF($A8="N/A"," ",SUM(BN8:BV8))</f>
        <v> </v>
      </c>
      <c r="BX8" s="331" t="str">
        <f aca="false">IF($A8="N/A"," ",(H8*(SUM(AS8:BA8)+SUM(BC8:BK8))*BM8))</f>
        <v> </v>
      </c>
      <c r="BY8" s="332" t="str">
        <f aca="false">IF($A8="N/A"," ",((C8*D8)*(SUM($AS8:$BA8)+SUM($BC8:$BK8))*$BM8))</f>
        <v> </v>
      </c>
      <c r="BZ8" s="332" t="str">
        <f aca="false">IF($A8="N/A"," ",(F8*(SUM($AS8:$BA8)+SUM($BC8:$BK8))*$BM8))</f>
        <v> </v>
      </c>
      <c r="CA8" s="333" t="str">
        <f aca="false">IF($A8="N/A"," ",(G8*(SUM($AS8:$BA8)+SUM($BC8:$BK8))*$BM8))</f>
        <v> </v>
      </c>
      <c r="CB8" s="334" t="str">
        <f aca="false">IF(A8="N/A"," ",(VLOOKUP(A8,PowerVolTable,(IF(BMO=2,7,IF(BMO=1,6,8))),FALSE())))</f>
        <v> </v>
      </c>
      <c r="CC8" s="334" t="str">
        <f aca="false">IF(A8="N/A"," ",(VLOOKUP(A8,IntraPowerVol,(IF(BMO=2,3,IF(BMO=1,2,4))),FALSE())*VLOOKUP(MONTH($A8),Volscale,2)))</f>
        <v> </v>
      </c>
      <c r="CD8" s="335" t="str">
        <f aca="false">IF($A8="N/A"," ",(IF(DateToday&gt;$A8,$CC8,((($CB8^2)*((($A8-1)-DateToday)/((EOMONTH($A8,0)+1)-DateToday-15)))+((($CC8)^2)*((15)/((EOMONTH($A8,0)+1)-DateToday-15))))^0.5)))</f>
        <v> </v>
      </c>
      <c r="CE8" s="334" t="str">
        <f aca="false">IF($A8="N/A"," ",(VLOOKUP($A8,GasVolTable,(IF(BMO=2,6,IF(BMO=1,7,5))),FALSE())))</f>
        <v> </v>
      </c>
      <c r="CF8" s="334" t="str">
        <f aca="false">IF($A8="N/A"," ",(VLOOKUP($A8,OmicronVol,(IF(BMO=2,3,IF(BMO=1,4,2))),FALSE())))</f>
        <v> </v>
      </c>
      <c r="CG8" s="335" t="str">
        <f aca="false">IF($A8="N/A"," ",(IF(DateToday&gt;$A8,$CF8,((($CE8^2)*((($A8-1)-DateToday)/((EOMONTH($A8,0)+1)-DateToday-15)))+((($CF8)^2)*((15)/((EOMONTH($A8,0)+1)-DateToday-15))))^0.5)))</f>
        <v> </v>
      </c>
      <c r="CH8" s="334" t="str">
        <f aca="false">IF($A8="N/A"," ",VLOOKUP($A8,CorrelationTable,2,FALSE()))</f>
        <v> </v>
      </c>
      <c r="CI8" s="336" t="str">
        <f aca="false">IF($A8="N/A"," ",F8+G8+(D8*('Pricing Inputs'!T41)))</f>
        <v> </v>
      </c>
      <c r="CJ8" s="334" t="str">
        <f aca="false">IF($A8="N/A"," ",IF(PV=1,0,'Pricing Inputs'!U41))</f>
        <v> </v>
      </c>
      <c r="CK8" s="337" t="str">
        <f aca="false">IF($A8="N/A"," ",(1+CJ8/2)^(-2*((EOMONTH(A8,0)+20)-DateToday)/365.25))</f>
        <v> </v>
      </c>
      <c r="CL8" s="338" t="str">
        <f aca="false">IF(A8="N/A"," ",IF(CC=2,(VLOOKUP(MONTH($A8),Hrtable,3))/1000,0))</f>
        <v> </v>
      </c>
      <c r="CM8" s="339" t="str">
        <f aca="false">IF(A8="N/A"," ",IF(CC=2,(CL8*C8)+F8,0))</f>
        <v> </v>
      </c>
      <c r="CN8" s="340" t="str">
        <f aca="false">IF($A8="N/A"," ",IF(CC=2,(VLOOKUP(A8,ScaledPrice,(IF(AND(Dayrun&gt;=1,Dayrun&lt;=6),2,4)))-((IF(R8&lt;&gt;0,$D8,$CL8)*$C8)+$F8+$G8)),0))</f>
        <v> </v>
      </c>
      <c r="CO8" s="340" t="str">
        <f aca="false">IF($A8="N/A"," ",IF(CC=2,(IF(AND(Dayrun&gt;=1,Dayrun&lt;=6),I8,(VLOOKUP(A8,ScaledPrice,2))*(2-(VLOOKUP(A8,ScaledPrice,3))))-((IF(S8&lt;&gt;0,$D8,$CL8)*$C8)+$F8+$G8)),0))</f>
        <v> </v>
      </c>
      <c r="CP8" s="340" t="str">
        <f aca="false">IF(A8="N/A"," ",IF(CC=2,(VLOOKUP(A8,ScaledPrice,9)-((IF(T8&lt;&gt;0,$D8,$CL8)*$C8)+$F8+$G8)),0))</f>
        <v> </v>
      </c>
      <c r="CQ8" s="340" t="str">
        <f aca="false">IF(A8="N/A"," ",IF(CC=2,(IF(OR(Dayrun=2,Dayrun=3,Dayrun=5,Dayrun=6,Dayrun=8,Dayrun=9),VLOOKUP(A8,ScaledPrice,IF(AND(Dayrun&gt;=2,Dayrun&lt;=6),5,6)),0)-((IF(U8&lt;&gt;0,$D8,$CL8)*$C8)+$F8+$G8)),0))</f>
        <v> </v>
      </c>
      <c r="CR8" s="340" t="str">
        <f aca="false">IF(A8="N/A"," ",IF(CC=2,(IF(OR(Dayrun=2,Dayrun=3,Dayrun=5,Dayrun=6,Dayrun=8,Dayrun=9),IF(AND(Dayrun&gt;=2,Dayrun&lt;=6),L8,(VLOOKUP(A8,ScaledPrice,5))*(2-(VLOOKUP(A8,ScaledPrice,3)))),0)-((IF(V8&lt;&gt;0,$D8,$CL8)*$C8)+$F8+$G8)),0))</f>
        <v> </v>
      </c>
      <c r="CS8" s="340" t="str">
        <f aca="false">IF(A8="N/A"," ",IF(CC=2,(VLOOKUP(A8,ScaledPrice,9)-((IF(W8&lt;&gt;0,$D8,$CL8)*$C8)+$F8+$G8)),0))</f>
        <v> </v>
      </c>
      <c r="CT8" s="340" t="str">
        <f aca="false">IF(A8="N/A"," ",IF(CC=2,(IF(OR(Dayrun=3,Dayrun=6,Dayrun=9),(VLOOKUP(A8,ScaledPrice,IF(AND(Dayrun&gt;=3,Dayrun&lt;=6),7,8))),0)-((IF(X8&lt;&gt;0,$D8,$CL8)*$C8)+$F8+$G8)),0))</f>
        <v> </v>
      </c>
      <c r="CU8" s="340" t="str">
        <f aca="false">IF(A8="N/A"," ",IF(CC=2,(IF(OR(Dayrun=3,Dayrun=6,Dayrun=9),IF(AND(Dayrun&gt;=3,Dayrun&lt;=6),O8,(VLOOKUP(A8,ScaledPrice,7))*(2-(VLOOKUP(A8,ScaledPrice,3)))),0)-((IF(Y8&lt;&gt;0,$D8,$CL8)*$C8)+$F8+$G8)),0))</f>
        <v> </v>
      </c>
      <c r="CV8" s="340" t="str">
        <f aca="false">IF(A8="N/A"," ",IF(CC=2,(VLOOKUP(A8,ScaledPrice,9)-((IF(Z8&lt;&gt;0,$D8,$CL8)*$C8)+$F8+$G8)),0))</f>
        <v> </v>
      </c>
      <c r="CW8" s="318" t="str">
        <f aca="false">IF($A8="N/A"," ",IF(0&lt;&gt;CN8,IF(CC=2,8*$HD8,0),0))</f>
        <v> </v>
      </c>
      <c r="CX8" s="318" t="str">
        <f aca="false">IF($A8="N/A"," ",IF(0&lt;&gt;CO8,IF(CC=2,8*$HD8,0),0))</f>
        <v> </v>
      </c>
      <c r="CY8" s="318" t="str">
        <f aca="false">IF($A8="N/A"," ",IF(0&lt;&gt;CP8,IF(CC=2,8*$HD8,0),0))</f>
        <v> </v>
      </c>
      <c r="CZ8" s="318" t="str">
        <f aca="false">IF($A8="N/A"," ",IF(0&lt;&gt;CQ8,IF(CC=2,8*$HE8,0),0))</f>
        <v> </v>
      </c>
      <c r="DA8" s="318" t="str">
        <f aca="false">IF($A8="N/A"," ",IF(0&lt;&gt;CR8,IF(CC=2,8*$HE8,0),0))</f>
        <v> </v>
      </c>
      <c r="DB8" s="318" t="str">
        <f aca="false">IF($A8="N/A"," ",IF(0&lt;&gt;CS8,IF(CC=2,8*$HE8,0),0))</f>
        <v> </v>
      </c>
      <c r="DC8" s="318" t="str">
        <f aca="false">IF($A8="N/A"," ",IF(0&lt;&gt;CT8,IF(CC=2,8*$HF8,0),0))</f>
        <v> </v>
      </c>
      <c r="DD8" s="318" t="str">
        <f aca="false">IF($A8="N/A"," ",IF(0&lt;&gt;CU8,IF(CC=2,8*$HF8,0),0))</f>
        <v> </v>
      </c>
      <c r="DE8" s="318" t="str">
        <f aca="false">IF($A8="N/A"," ",IF(0&lt;&gt;CV8,IF(CC=2,8*$HF8,0),0))</f>
        <v> </v>
      </c>
      <c r="DF8" s="341" t="str">
        <f aca="false">IF($A8="N/A"," ",IF(CC=2,(IF(MONTH(A8)&gt;=4,IF(MONTH(A8)&lt;=10,Inputs!$G$13,Inputs!$G$14),Inputs!$G$14))*$CK8,0))</f>
        <v> </v>
      </c>
      <c r="DG8" s="342" t="str">
        <f aca="false">IF($A8="N/A"," ",IF(CC=2,$DF8*CW8*CN8,0))</f>
        <v> </v>
      </c>
      <c r="DH8" s="342" t="str">
        <f aca="false">IF($A8="N/A"," ",IF(CC=2,$DF8*CX8*CO8,0))</f>
        <v> </v>
      </c>
      <c r="DI8" s="342" t="str">
        <f aca="false">IF($A8="N/A"," ",IF(CC=2,$DF8*CY8*CP8,0))</f>
        <v> </v>
      </c>
      <c r="DJ8" s="342" t="str">
        <f aca="false">IF($A8="N/A"," ",IF(CC=2,$DF8*CZ8*CQ8,0))</f>
        <v> </v>
      </c>
      <c r="DK8" s="342" t="str">
        <f aca="false">IF($A8="N/A"," ",IF(CC=2,$DF8*DA8*CR8,0))</f>
        <v> </v>
      </c>
      <c r="DL8" s="342" t="str">
        <f aca="false">IF($A8="N/A"," ",IF(CC=2,$DF8*DB8*CS8,0))</f>
        <v> </v>
      </c>
      <c r="DM8" s="342" t="str">
        <f aca="false">IF($A8="N/A"," ",IF(CC=2,$DF8*DC8*CT8,0))</f>
        <v> </v>
      </c>
      <c r="DN8" s="342" t="str">
        <f aca="false">IF($A8="N/A"," ",IF(CC=2,$DF8*DD8*CU8,0))</f>
        <v> </v>
      </c>
      <c r="DO8" s="342" t="str">
        <f aca="false">IF($A8="N/A"," ",IF(CC=2,$DF8*DE8*CV8,0))</f>
        <v> </v>
      </c>
      <c r="DP8" s="343" t="str">
        <f aca="false">IF($A8="N/A"," ",IF(CC=2,SUM(DG8:DO8),0))</f>
        <v> </v>
      </c>
      <c r="DQ8" s="0" t="str">
        <f aca="false">IF(A8="N/A"," ",Perstart)</f>
        <v> </v>
      </c>
      <c r="HD8" s="0" t="str">
        <f aca="false">IF($A8="N/A"," ",VLOOKUP($A8,NumberofDaysTable,2))</f>
        <v> </v>
      </c>
      <c r="HE8" s="0" t="str">
        <f aca="false">IF($A8="N/A"," ",VLOOKUP($A8,NumberofDaysTable,3))</f>
        <v> </v>
      </c>
      <c r="HF8" s="0" t="str">
        <f aca="false">IF($A8="N/A"," ",VLOOKUP($A8,NumberofDaysTable,4))</f>
        <v> </v>
      </c>
    </row>
    <row r="9" customFormat="false" ht="12.75" hidden="false" customHeight="false" outlineLevel="0" collapsed="false">
      <c r="A9" s="308" t="str">
        <f aca="false">IF(A8="N/A","N/A",IF(EDATE(A8,1)&gt;Inputs!$K$3,"N/A",EDATE(A8,1)))</f>
        <v>N/A</v>
      </c>
      <c r="B9" s="309" t="str">
        <f aca="false">IF(A9="N/A"," ",YEAR(A9))</f>
        <v> </v>
      </c>
      <c r="C9" s="310" t="str">
        <f aca="false">IF(A9="N/A"," ",VLOOKUP(A9,ScaledPrice,10))</f>
        <v> </v>
      </c>
      <c r="D9" s="311" t="str">
        <f aca="false">IF(A9="N/A"," ",(VLOOKUP(MONTH($A9),Hrtable,2))/1000)</f>
        <v> </v>
      </c>
      <c r="E9" s="312" t="str">
        <f aca="false">IF($A9="N/A"," ",(C9-'Pricing Inputs'!T42)*D9)</f>
        <v> </v>
      </c>
      <c r="F9" s="313" t="str">
        <f aca="false">IF(A9="N/A"," ",VOM)</f>
        <v> </v>
      </c>
      <c r="G9" s="313" t="str">
        <f aca="false">IF(A9="N/A"," ",Perstart/IF(AND(Dayrun&gt;=4,Dayrun&lt;=6),16,IF(AND(Dayrun&gt;=7,Dayrun&lt;=9),8,24))/(BM9/CK9))</f>
        <v> </v>
      </c>
      <c r="H9" s="314" t="str">
        <f aca="false">IF(A9="N/A"," ",(C9*D9)+F9+G9)</f>
        <v> </v>
      </c>
      <c r="I9" s="315" t="str">
        <f aca="false">VLOOKUP(A9,ScaledPrice,(IF(AND(Dayrun&gt;=1,Dayrun&lt;=6),2,4)))</f>
        <v> </v>
      </c>
      <c r="J9" s="315" t="str">
        <f aca="false">IF(A9="N/A"," ",IF(AND(Dayrun&gt;=1,Dayrun&lt;=6),I9,(VLOOKUP(A9,ScaledPrice,2))*(2-(VLOOKUP(A9,ScaledPrice,3)))))</f>
        <v> </v>
      </c>
      <c r="K9" s="315" t="str">
        <f aca="false">IF(A9="N/A"," ",IF(AND(Dayrun&gt;=1,Dayrun&lt;=3),VLOOKUP(A9,ScaledPrice,9),0))</f>
        <v> </v>
      </c>
      <c r="L9" s="315" t="str">
        <f aca="false">IF(A9="N/A"," ",IF(OR(Dayrun=2,Dayrun=3,Dayrun=5,Dayrun=6,Dayrun=8,Dayrun=9),VLOOKUP(A9,ScaledPrice,IF(AND(Dayrun&gt;=2,Dayrun&lt;=6),5,6)),0))</f>
        <v> </v>
      </c>
      <c r="M9" s="315" t="str">
        <f aca="false">IF(A9="N/A"," ",IF(OR(Dayrun=2,Dayrun=3,Dayrun=5,Dayrun=6,Dayrun=8,Dayrun=9),IF(AND(Dayrun&gt;=2,Dayrun&lt;=6),L9,(VLOOKUP(A9,ScaledPrice,5))*(2-(VLOOKUP(A9,ScaledPrice,3)))),0))</f>
        <v> </v>
      </c>
      <c r="N9" s="315" t="str">
        <f aca="false">IF(A9="N/A"," ",IF(AND(Dayrun&gt;1,Dayrun&lt;=3),VLOOKUP(A9,ScaledPrice,9),0))</f>
        <v> </v>
      </c>
      <c r="O9" s="315" t="str">
        <f aca="false">IF(A9="N/A"," ",IF(OR(Dayrun=3,Dayrun=6,Dayrun=9),(VLOOKUP(A9,ScaledPrice,IF(AND(Dayrun&gt;=3,Dayrun&lt;=6),7,8))),0))</f>
        <v> </v>
      </c>
      <c r="P9" s="315" t="str">
        <f aca="false">IF(A9="N/A"," ",IF(OR(Dayrun=3,Dayrun=6,Dayrun=9),IF(AND(Dayrun&gt;=3,Dayrun&lt;=6),O9,(VLOOKUP(A9,ScaledPrice,7))*(2-(VLOOKUP(A9,ScaledPrice,3)))),0))</f>
        <v> </v>
      </c>
      <c r="Q9" s="315" t="str">
        <f aca="false">IF(A9="N/A"," ",IF(AND(Dayrun&gt;2,Dayrun&lt;=3),VLOOKUP(A9,ScaledPrice,9),0))</f>
        <v> </v>
      </c>
      <c r="R9" s="316" t="str">
        <f aca="false">IF($A9="N/A"," ",IF(Pricetype=2,MAX(I9-$H9,0),IF(Pricetype=1,(xSPRDOPT(I9,$E9,$CI9,0,($CD9+IF(Smile=TRUE(),VLOOKUP(MAX(-5,$H9-I9),Volsmile,2),0)),$CG9,$CH9,($A9-DateToday)+15,1,0)),I9-$H9)))</f>
        <v> </v>
      </c>
      <c r="S9" s="316" t="str">
        <f aca="false">IF($A9="N/A"," ",IF(Pricetype=2,MAX(J9-$H9,0),IF(Pricetype=1,(xSPRDOPT(J9,$E9,$CI9,0,($CD9+IF(Smile=TRUE(),VLOOKUP(MAX(-5,$H9-J9),Volsmile,2),0)),$CG9,$CH9,($A9-DateToday)+15,1,0)),J9-$H9)))</f>
        <v> </v>
      </c>
      <c r="T9" s="317" t="str">
        <f aca="false">IF($A9="N/A"," ",(IF(Pricetype=2,IF((K9-$H9)&lt;=0,0,(K9-$H9)),IF(K9&lt;&gt;0,(K9-$H9),0))))</f>
        <v> </v>
      </c>
      <c r="U9" s="316" t="str">
        <f aca="false">IF($A9="N/A"," ",IF(Pricetype=2,MAX(L9-$H9,0),IF(L9&lt;&gt;0,IF(Pricetype=1,(xSPRDOPT(L9,$E9,$CI9,0,($CD9+IF(Smile=TRUE(),VLOOKUP(MAX(-5,$H9-L9),Volsmile,2),0)),$CG9,$CH9,($A9-DateToday)+15,1,0)),L9-$H9),0)))</f>
        <v> </v>
      </c>
      <c r="V9" s="316" t="str">
        <f aca="false">IF($A9="N/A"," ",IF(Pricetype=2,MAX(M9-$H9,0),IF(M9&lt;&gt;0,IF(Pricetype=1,(xSPRDOPT(M9,$E9,$CI9,0,($CD9+IF(Smile=TRUE(),VLOOKUP(MAX(-5,$H9-M9),Volsmile,2),0)),$CG9,$CH9,($A9-DateToday)+15,1,0)),M9-$H9),0)))</f>
        <v> </v>
      </c>
      <c r="W9" s="317" t="str">
        <f aca="false">IF($A9="N/A"," ",(IF(Pricetype=2,IF((N9-$H9)&lt;=0,0,(N9-$H9)),IF(N9&lt;&gt;0,(N9-$H9),0))))</f>
        <v> </v>
      </c>
      <c r="X9" s="316" t="str">
        <f aca="false">IF($A9="N/A"," ",IF(Pricetype=2,MAX(O9-$H9,0),IF(O9&lt;&gt;0,IF(Pricetype=1,(xSPRDOPT(O9,$E9,$CI9,0,($CD9+IF(Smile=TRUE(),VLOOKUP(MAX(-5,$H9-O9),Volsmile,2),0)),$CG9,$CH9,($A9-DateToday)+15,1,0)),O9-$H9),0)))</f>
        <v> </v>
      </c>
      <c r="Y9" s="316" t="str">
        <f aca="false">IF($A9="N/A"," ",IF(Pricetype=2,MAX(P9-$H9,0),IF(P9&lt;&gt;0,IF(Pricetype=1,(xSPRDOPT(P9,$E9,$CI9,0,($CD9+IF(Smile=TRUE(),VLOOKUP(MAX(-5,$H9-P9),Volsmile,2),0)),$CG9,$CH9,($A9-DateToday)+15,1,0)),P9-$H9),0)))</f>
        <v> </v>
      </c>
      <c r="Z9" s="317" t="str">
        <f aca="false">IF($A9="N/A"," ",(IF(Pricetype=2,IF((Q9-$H9)&lt;=0,0,(Q9-$H9)),IF(Q9&lt;&gt;0,(Q9-$H9),0))))</f>
        <v> </v>
      </c>
      <c r="AA9" s="318" t="str">
        <f aca="false">IF($A9="N/A"," ",IF(VLOOKUP(MONTH(A9),ManualTable,2)=1,(IF(0&lt;&gt;R9,IF(Pricetype=1,(xSPRDOPT(I9,$E9,$CI9,0,($CD9+IF(Smile=TRUE(),VLOOKUP(MAX(-5,$H9-I9),Volsmile,2),0)),$CG9,$CH9,($A9-DateToday)+15,1,1))*(8*$HD9),8*$HD9),0)),0))</f>
        <v> </v>
      </c>
      <c r="AB9" s="318" t="str">
        <f aca="false">IF($A9="N/A"," ",IF(VLOOKUP(MONTH(A9),ManualTable,3)=1,(IF(S9&lt;&gt;0,IF(Pricetype=1,(xSPRDOPT(J9,$E9,$CI9,0,($CD9+IF(Smile=TRUE(),VLOOKUP(MAX(-5,$H9-J9),Volsmile,2),0)),$CG9,$CH9,($A9-DateToday)+15,1,1))*(8*$HD9),8*$HD9),0)),0))</f>
        <v> </v>
      </c>
      <c r="AC9" s="318" t="str">
        <f aca="false">IF($A9="N/A"," ",IF(VLOOKUP(MONTH(A9),ManualTable,4)=1,(IF(T9&lt;&gt;0,(8*$HD9),0)),0))</f>
        <v> </v>
      </c>
      <c r="AD9" s="318" t="str">
        <f aca="false">IF($A9="N/A"," ",IF(VLOOKUP(MONTH(A9),ManualTable,5)=1,(IF(U9&lt;&gt;0,IF(Pricetype=1,(xSPRDOPT(L9,$E9,$CI9,0,($CD9+IF(Smile=TRUE(),VLOOKUP(MAX(-5,$H9-L9),Volsmile,2),0)),$CG9,$CH9,($A9-DateToday)+15,1,1))*(8*$HE9),8*$HE9),0)),0))</f>
        <v> </v>
      </c>
      <c r="AE9" s="318" t="str">
        <f aca="false">IF($A9="N/A"," ",IF(VLOOKUP(MONTH(A9),ManualTable,6)=1,(IF(V9&lt;&gt;0,IF(Pricetype=1,(xSPRDOPT(M9,$E9,$CI9,0,($CD9+IF(Smile=TRUE(),VLOOKUP(MAX(-5,$H9-M9),Volsmile,2),0)),$CG9,$CH9,($A9-DateToday)+15,1,1))*(8*$HE9),8*$HE9),0)),0))</f>
        <v> </v>
      </c>
      <c r="AF9" s="318" t="str">
        <f aca="false">IF($A9="N/A"," ",IF(VLOOKUP(MONTH(A9),ManualTable,7)=1,(IF(W9&lt;&gt;0,(8*$HE9),0)),0))</f>
        <v> </v>
      </c>
      <c r="AG9" s="318" t="str">
        <f aca="false">IF($A9="N/A"," ",IF(VLOOKUP(MONTH(A9),ManualTable,8)=1,(IF(X9&lt;&gt;0,IF(Pricetype=1,(xSPRDOPT(O9,$E9,$CI9,0,($CD9+IF(Smile=TRUE(),VLOOKUP(MAX(-5,$H9-O9),Volsmile,2),0)),$CG9,$CH9,($A9-DateToday)+15,1,1))*(8*$HF9),8*$HF9),0)),0))</f>
        <v> </v>
      </c>
      <c r="AH9" s="318" t="str">
        <f aca="false">IF($A9="N/A"," ",IF(VLOOKUP(MONTH(A9),ManualTable,9)=1,(IF(Y9&lt;&gt;0,IF(Pricetype=1,(xSPRDOPT(P9,$E9,$CI9,0,($CD9+IF(Smile=TRUE(),VLOOKUP(MAX(-5,$H9-P9),Volsmile,2),0)),$CG9,$CH9,($A9-DateToday)+15,1,1))*(8*$HF9),8*$HF9),0)),0))</f>
        <v> </v>
      </c>
      <c r="AI9" s="318" t="str">
        <f aca="false">IF($A9="N/A"," ",IF(VLOOKUP(MONTH(A9),ManualTable,10)=1,(IF(Z9&lt;&gt;0,(8*($HF9)),0)),0))</f>
        <v> </v>
      </c>
      <c r="AJ9" s="344" t="str">
        <f aca="false">IF($A9="N/A"," ",RANK(R9,$R$4:$Z$15))</f>
        <v> </v>
      </c>
      <c r="AK9" s="321" t="str">
        <f aca="false">IF($A9="N/A"," ",RANK(S9,$R$4:$Z$15))</f>
        <v> </v>
      </c>
      <c r="AL9" s="321" t="str">
        <f aca="false">IF($A9="N/A"," ",RANK(T9,$R$4:$Z$15))</f>
        <v> </v>
      </c>
      <c r="AM9" s="321" t="str">
        <f aca="false">IF($A9="N/A"," ",RANK(U9,$R$4:$Z$15))</f>
        <v> </v>
      </c>
      <c r="AN9" s="321" t="str">
        <f aca="false">IF($A9="N/A"," ",RANK(V9,$R$4:$Z$15))</f>
        <v> </v>
      </c>
      <c r="AO9" s="321" t="str">
        <f aca="false">IF($A9="N/A"," ",RANK(W9,$R$4:$Z$15))</f>
        <v> </v>
      </c>
      <c r="AP9" s="321" t="str">
        <f aca="false">IF($A9="N/A"," ",RANK(X9,$R$4:$Z$15))</f>
        <v> </v>
      </c>
      <c r="AQ9" s="321" t="str">
        <f aca="false">IF($A9="N/A"," ",RANK(Y9,$R$4:$Z$15))</f>
        <v> </v>
      </c>
      <c r="AR9" s="345" t="str">
        <f aca="false">IF($A9="N/A"," ",RANK(Z9,$R$4:$Z$15))</f>
        <v> </v>
      </c>
      <c r="AS9" s="323" t="n">
        <f aca="false">IF($A9="N/A",0,IF(AJ9&lt;=$AR$2,AA9,0))</f>
        <v>0</v>
      </c>
      <c r="AT9" s="325" t="n">
        <f aca="false">IF($A9="N/A",0,IF(AK9&lt;=$AR$2,AB9,0))</f>
        <v>0</v>
      </c>
      <c r="AU9" s="325" t="n">
        <f aca="false">IF($A9="N/A",0,IF(AL9&lt;=$AR$2,AC9,0))</f>
        <v>0</v>
      </c>
      <c r="AV9" s="325" t="n">
        <f aca="false">IF($A9="N/A",0,IF(AM9&lt;=$AR$2,AD9,0))</f>
        <v>0</v>
      </c>
      <c r="AW9" s="325" t="n">
        <f aca="false">IF($A9="N/A",0,IF(AN9&lt;=$AR$2,AE9,0))</f>
        <v>0</v>
      </c>
      <c r="AX9" s="325" t="n">
        <f aca="false">IF($A9="N/A",0,IF(AO9&lt;=$AR$2,AF9,0))</f>
        <v>0</v>
      </c>
      <c r="AY9" s="325" t="n">
        <f aca="false">IF($A9="N/A",0,IF(AP9&lt;=$AR$2,AG9,0))</f>
        <v>0</v>
      </c>
      <c r="AZ9" s="325" t="n">
        <f aca="false">IF($A9="N/A",0,IF(AQ9&lt;=$AR$2,AH9,0))</f>
        <v>0</v>
      </c>
      <c r="BA9" s="325" t="n">
        <f aca="false">IF($A9="N/A",0,IF(AR9&lt;=$AR$2,AI9,0))</f>
        <v>0</v>
      </c>
      <c r="BB9" s="345"/>
      <c r="BC9" s="326" t="n">
        <f aca="false">IF($A9="N/A",0,IF(AND(AJ9=$AR$2+1,AS9=0),MIN($BB$15,AA9),0))</f>
        <v>0</v>
      </c>
      <c r="BD9" s="346" t="n">
        <f aca="false">IF($A9="N/A",0,IF(AND(AK9=$AR$2+1,AT9=0),MIN($BB$15,AB9),0))</f>
        <v>0</v>
      </c>
      <c r="BE9" s="346" t="n">
        <f aca="false">IF($A9="N/A",0,IF(AND(AL9=$AR$2+1,AU9=0),MIN($BB$15,AC9),0))</f>
        <v>0</v>
      </c>
      <c r="BF9" s="346" t="n">
        <f aca="false">IF($A9="N/A",0,IF(AND(AM9=$AR$2+1,AV9=0),MIN($BB$15,AD9),0))</f>
        <v>0</v>
      </c>
      <c r="BG9" s="346" t="n">
        <f aca="false">IF($A9="N/A",0,IF(AND(AN9=$AR$2+1,AW9=0),MIN($BB$15,AE9),0))</f>
        <v>0</v>
      </c>
      <c r="BH9" s="346" t="n">
        <f aca="false">IF($A9="N/A",0,IF(AND(AO9=$AR$2+1,AX9=0),MIN($BB$15,AF9),0))</f>
        <v>0</v>
      </c>
      <c r="BI9" s="346" t="n">
        <f aca="false">IF($A9="N/A",0,IF(AND(AP9=$AR$2+1,AY9=0),MIN($BB$15,AG9),0))</f>
        <v>0</v>
      </c>
      <c r="BJ9" s="346" t="n">
        <f aca="false">IF($A9="N/A",0,IF(AND(AQ9=$AR$2+1,AZ9=0),MIN($BB$15,AH9),0))</f>
        <v>0</v>
      </c>
      <c r="BK9" s="346" t="n">
        <f aca="false">IF($A9="N/A",0,IF(AND(AR9=$AR$2+1,BA9=0),MIN($BB$15,AI9),0))</f>
        <v>0</v>
      </c>
      <c r="BL9" s="347"/>
      <c r="BM9" s="329" t="str">
        <f aca="false">IF($A9="N/A"," ",(IF(MONTH(A9)&gt;=4,IF(MONTH(A9)&lt;=10,Inputs!$F$13-Inputs!$G$13,Inputs!$F$14-Inputs!$G$14),Inputs!$F$14-Inputs!$G$14))*$CK9*Availability)</f>
        <v> </v>
      </c>
      <c r="BN9" s="330" t="str">
        <f aca="false">IF($A9="N/A"," ",(IF(AS9&gt;0,($BM9*(8*($HD9))*R9),0)+IF(BC9&gt;0,($BM9*((BC9/AA9)*8*$HD9)*R9),0)))</f>
        <v> </v>
      </c>
      <c r="BO9" s="330" t="str">
        <f aca="false">IF($A9="N/A"," ",(IF(AT9&gt;0,($BM9*(8*($HD9))*S9),0)+IF(BD9&gt;0,($BM9*((BD9/AB9)*8*$HD9)*S9),0)))</f>
        <v> </v>
      </c>
      <c r="BP9" s="330" t="str">
        <f aca="false">IF($A9="N/A"," ",(IF(AU9&gt;0,($BM9*(8*($HD9))*T9),0)+IF(BE9&gt;0,($BM9*((BE9))*T9),0)))</f>
        <v> </v>
      </c>
      <c r="BQ9" s="330" t="str">
        <f aca="false">IF($A9="N/A"," ",(IF(AV9&gt;0,($BM9*(8*($HE9))*U9),0)+IF(BF9&gt;0,($BM9*((BF9/AD9)*8*$HE9)*U9),0)))</f>
        <v> </v>
      </c>
      <c r="BR9" s="330" t="str">
        <f aca="false">IF($A9="N/A"," ",(IF(AW9&gt;0,($BM9*(8*($HE9))*V9),0)+IF(BG9&gt;0,($BM9*((BG9/AE9)*8*$HE9)*V9),0)))</f>
        <v> </v>
      </c>
      <c r="BS9" s="330" t="str">
        <f aca="false">IF($A9="N/A"," ",(IF(AX9&gt;0,($BM9*(8*($HE9))*W9),0)+IF(BH9&gt;0,($BM9*((BH9))*W9),0)))</f>
        <v> </v>
      </c>
      <c r="BT9" s="330" t="str">
        <f aca="false">IF($A9="N/A"," ",(IF(AY9&gt;0,($BM9*(8*($HF9))*X9),0)+IF(BI9&gt;0,($BM9*((BI9/AG9)*8*$HF9)*X9),0)))</f>
        <v> </v>
      </c>
      <c r="BU9" s="330" t="str">
        <f aca="false">IF($A9="N/A"," ",(IF(AZ9&gt;0,($BM9*(8*($HF9))*Y9),0)+IF(BJ9&gt;0,($BM9*((BJ9/AH9)*8*$HF9)*Y9),0)))</f>
        <v> </v>
      </c>
      <c r="BV9" s="330" t="str">
        <f aca="false">IF($A9="N/A"," ",(IF(BA9&gt;0,($BM9*(8*($HF9))*Z9),0)+IF(BK9&gt;0,($BM9*((BK9))*Z9),0)))</f>
        <v> </v>
      </c>
      <c r="BW9" s="330" t="str">
        <f aca="false">IF($A9="N/A"," ",SUM(BN9:BV9))</f>
        <v> </v>
      </c>
      <c r="BX9" s="331" t="str">
        <f aca="false">IF($A9="N/A"," ",(H9*(SUM(AS9:BA9)+SUM(BC9:BK9))*BM9))</f>
        <v> </v>
      </c>
      <c r="BY9" s="332" t="str">
        <f aca="false">IF($A9="N/A"," ",((C9*D9)*(SUM($AS9:$BA9)+SUM($BC9:$BK9))*$BM9))</f>
        <v> </v>
      </c>
      <c r="BZ9" s="332" t="str">
        <f aca="false">IF($A9="N/A"," ",(F9*(SUM($AS9:$BA9)+SUM($BC9:$BK9))*$BM9))</f>
        <v> </v>
      </c>
      <c r="CA9" s="333" t="str">
        <f aca="false">IF($A9="N/A"," ",(G9*(SUM($AS9:$BA9)+SUM($BC9:$BK9))*$BM9))</f>
        <v> </v>
      </c>
      <c r="CB9" s="334" t="str">
        <f aca="false">IF(A9="N/A"," ",(VLOOKUP(A9,PowerVolTable,(IF(BMO=2,7,IF(BMO=1,6,8))),FALSE())))</f>
        <v> </v>
      </c>
      <c r="CC9" s="334" t="str">
        <f aca="false">IF(A9="N/A"," ",(VLOOKUP(A9,IntraPowerVol,(IF(BMO=2,3,IF(BMO=1,2,4))),FALSE())*VLOOKUP(MONTH($A9),Volscale,2)))</f>
        <v> </v>
      </c>
      <c r="CD9" s="335" t="str">
        <f aca="false">IF($A9="N/A"," ",(IF(DateToday&gt;$A9,$CC9,((($CB9^2)*((($A9-1)-DateToday)/((EOMONTH($A9,0)+1)-DateToday-15)))+((($CC9)^2)*((15)/((EOMONTH($A9,0)+1)-DateToday-15))))^0.5)))</f>
        <v> </v>
      </c>
      <c r="CE9" s="334" t="str">
        <f aca="false">IF($A9="N/A"," ",(VLOOKUP($A9,GasVolTable,(IF(BMO=2,6,IF(BMO=1,7,5))),FALSE())))</f>
        <v> </v>
      </c>
      <c r="CF9" s="334" t="str">
        <f aca="false">IF($A9="N/A"," ",(VLOOKUP($A9,OmicronVol,(IF(BMO=2,3,IF(BMO=1,4,2))),FALSE())))</f>
        <v> </v>
      </c>
      <c r="CG9" s="335" t="str">
        <f aca="false">IF($A9="N/A"," ",(IF(DateToday&gt;$A9,$CF9,((($CE9^2)*((($A9-1)-DateToday)/((EOMONTH($A9,0)+1)-DateToday-15)))+((($CF9)^2)*((15)/((EOMONTH($A9,0)+1)-DateToday-15))))^0.5)))</f>
        <v> </v>
      </c>
      <c r="CH9" s="334" t="str">
        <f aca="false">IF($A9="N/A"," ",VLOOKUP($A9,CorrelationTable,2,FALSE()))</f>
        <v> </v>
      </c>
      <c r="CI9" s="336" t="str">
        <f aca="false">IF($A9="N/A"," ",F9+G9+(D9*('Pricing Inputs'!T42)))</f>
        <v> </v>
      </c>
      <c r="CJ9" s="334" t="str">
        <f aca="false">IF($A9="N/A"," ",IF(PV=1,0,'Pricing Inputs'!U42))</f>
        <v> </v>
      </c>
      <c r="CK9" s="337" t="str">
        <f aca="false">IF($A9="N/A"," ",(1+CJ9/2)^(-2*((EOMONTH(A9,0)+20)-DateToday)/365.25))</f>
        <v> </v>
      </c>
      <c r="CL9" s="338" t="str">
        <f aca="false">IF(A9="N/A"," ",IF(CC=2,(VLOOKUP(MONTH($A9),Hrtable,3))/1000,0))</f>
        <v> </v>
      </c>
      <c r="CM9" s="339" t="str">
        <f aca="false">IF(A9="N/A"," ",IF(CC=2,(CL9*C9)+F9,0))</f>
        <v> </v>
      </c>
      <c r="CN9" s="340" t="str">
        <f aca="false">IF($A9="N/A"," ",IF(CC=2,(VLOOKUP(A9,ScaledPrice,(IF(AND(Dayrun&gt;=1,Dayrun&lt;=6),2,4)))-((IF(R9&lt;&gt;0,$D9,$CL9)*$C9)+$F9+$G9)),0))</f>
        <v> </v>
      </c>
      <c r="CO9" s="340" t="str">
        <f aca="false">IF($A9="N/A"," ",IF(CC=2,(IF(AND(Dayrun&gt;=1,Dayrun&lt;=6),I9,(VLOOKUP(A9,ScaledPrice,2))*(2-(VLOOKUP(A9,ScaledPrice,3))))-((IF(S9&lt;&gt;0,$D9,$CL9)*$C9)+$F9+$G9)),0))</f>
        <v> </v>
      </c>
      <c r="CP9" s="340" t="str">
        <f aca="false">IF(A9="N/A"," ",IF(CC=2,(VLOOKUP(A9,ScaledPrice,9)-((IF(T9&lt;&gt;0,$D9,$CL9)*$C9)+$F9+$G9)),0))</f>
        <v> </v>
      </c>
      <c r="CQ9" s="340" t="str">
        <f aca="false">IF(A9="N/A"," ",IF(CC=2,(IF(OR(Dayrun=2,Dayrun=3,Dayrun=5,Dayrun=6,Dayrun=8,Dayrun=9),VLOOKUP(A9,ScaledPrice,IF(AND(Dayrun&gt;=2,Dayrun&lt;=6),5,6)),0)-((IF(U9&lt;&gt;0,$D9,$CL9)*$C9)+$F9+$G9)),0))</f>
        <v> </v>
      </c>
      <c r="CR9" s="340" t="str">
        <f aca="false">IF(A9="N/A"," ",IF(CC=2,(IF(OR(Dayrun=2,Dayrun=3,Dayrun=5,Dayrun=6,Dayrun=8,Dayrun=9),IF(AND(Dayrun&gt;=2,Dayrun&lt;=6),L9,(VLOOKUP(A9,ScaledPrice,5))*(2-(VLOOKUP(A9,ScaledPrice,3)))),0)-((IF(V9&lt;&gt;0,$D9,$CL9)*$C9)+$F9+$G9)),0))</f>
        <v> </v>
      </c>
      <c r="CS9" s="340" t="str">
        <f aca="false">IF(A9="N/A"," ",IF(CC=2,(VLOOKUP(A9,ScaledPrice,9)-((IF(W9&lt;&gt;0,$D9,$CL9)*$C9)+$F9+$G9)),0))</f>
        <v> </v>
      </c>
      <c r="CT9" s="340" t="str">
        <f aca="false">IF(A9="N/A"," ",IF(CC=2,(IF(OR(Dayrun=3,Dayrun=6,Dayrun=9),(VLOOKUP(A9,ScaledPrice,IF(AND(Dayrun&gt;=3,Dayrun&lt;=6),7,8))),0)-((IF(X9&lt;&gt;0,$D9,$CL9)*$C9)+$F9+$G9)),0))</f>
        <v> </v>
      </c>
      <c r="CU9" s="340" t="str">
        <f aca="false">IF(A9="N/A"," ",IF(CC=2,(IF(OR(Dayrun=3,Dayrun=6,Dayrun=9),IF(AND(Dayrun&gt;=3,Dayrun&lt;=6),O9,(VLOOKUP(A9,ScaledPrice,7))*(2-(VLOOKUP(A9,ScaledPrice,3)))),0)-((IF(Y9&lt;&gt;0,$D9,$CL9)*$C9)+$F9+$G9)),0))</f>
        <v> </v>
      </c>
      <c r="CV9" s="340" t="str">
        <f aca="false">IF(A9="N/A"," ",IF(CC=2,(VLOOKUP(A9,ScaledPrice,9)-((IF(Z9&lt;&gt;0,$D9,$CL9)*$C9)+$F9+$G9)),0))</f>
        <v> </v>
      </c>
      <c r="CW9" s="318" t="str">
        <f aca="false">IF($A9="N/A"," ",IF(0&lt;&gt;CN9,IF(CC=2,8*$HD9,0),0))</f>
        <v> </v>
      </c>
      <c r="CX9" s="318" t="str">
        <f aca="false">IF($A9="N/A"," ",IF(0&lt;&gt;CO9,IF(CC=2,8*$HD9,0),0))</f>
        <v> </v>
      </c>
      <c r="CY9" s="318" t="str">
        <f aca="false">IF($A9="N/A"," ",IF(0&lt;&gt;CP9,IF(CC=2,8*$HD9,0),0))</f>
        <v> </v>
      </c>
      <c r="CZ9" s="318" t="str">
        <f aca="false">IF($A9="N/A"," ",IF(0&lt;&gt;CQ9,IF(CC=2,8*$HE9,0),0))</f>
        <v> </v>
      </c>
      <c r="DA9" s="318" t="str">
        <f aca="false">IF($A9="N/A"," ",IF(0&lt;&gt;CR9,IF(CC=2,8*$HE9,0),0))</f>
        <v> </v>
      </c>
      <c r="DB9" s="318" t="str">
        <f aca="false">IF($A9="N/A"," ",IF(0&lt;&gt;CS9,IF(CC=2,8*$HE9,0),0))</f>
        <v> </v>
      </c>
      <c r="DC9" s="318" t="str">
        <f aca="false">IF($A9="N/A"," ",IF(0&lt;&gt;CT9,IF(CC=2,8*$HF9,0),0))</f>
        <v> </v>
      </c>
      <c r="DD9" s="318" t="str">
        <f aca="false">IF($A9="N/A"," ",IF(0&lt;&gt;CU9,IF(CC=2,8*$HF9,0),0))</f>
        <v> </v>
      </c>
      <c r="DE9" s="318" t="str">
        <f aca="false">IF($A9="N/A"," ",IF(0&lt;&gt;CV9,IF(CC=2,8*$HF9,0),0))</f>
        <v> </v>
      </c>
      <c r="DF9" s="341" t="str">
        <f aca="false">IF($A9="N/A"," ",IF(CC=2,(IF(MONTH(A9)&gt;=4,IF(MONTH(A9)&lt;=10,Inputs!$G$13,Inputs!$G$14),Inputs!$G$14))*$CK9,0))</f>
        <v> </v>
      </c>
      <c r="DG9" s="342" t="str">
        <f aca="false">IF($A9="N/A"," ",IF(CC=2,$DF9*CW9*CN9,0))</f>
        <v> </v>
      </c>
      <c r="DH9" s="342" t="str">
        <f aca="false">IF($A9="N/A"," ",IF(CC=2,$DF9*CX9*CO9,0))</f>
        <v> </v>
      </c>
      <c r="DI9" s="342" t="str">
        <f aca="false">IF($A9="N/A"," ",IF(CC=2,$DF9*CY9*CP9,0))</f>
        <v> </v>
      </c>
      <c r="DJ9" s="342" t="str">
        <f aca="false">IF($A9="N/A"," ",IF(CC=2,$DF9*CZ9*CQ9,0))</f>
        <v> </v>
      </c>
      <c r="DK9" s="342" t="str">
        <f aca="false">IF($A9="N/A"," ",IF(CC=2,$DF9*DA9*CR9,0))</f>
        <v> </v>
      </c>
      <c r="DL9" s="342" t="str">
        <f aca="false">IF($A9="N/A"," ",IF(CC=2,$DF9*DB9*CS9,0))</f>
        <v> </v>
      </c>
      <c r="DM9" s="342" t="str">
        <f aca="false">IF($A9="N/A"," ",IF(CC=2,$DF9*DC9*CT9,0))</f>
        <v> </v>
      </c>
      <c r="DN9" s="342" t="str">
        <f aca="false">IF($A9="N/A"," ",IF(CC=2,$DF9*DD9*CU9,0))</f>
        <v> </v>
      </c>
      <c r="DO9" s="342" t="str">
        <f aca="false">IF($A9="N/A"," ",IF(CC=2,$DF9*DE9*CV9,0))</f>
        <v> </v>
      </c>
      <c r="DP9" s="343" t="str">
        <f aca="false">IF($A9="N/A"," ",IF(CC=2,SUM(DG9:DO9),0))</f>
        <v> </v>
      </c>
      <c r="DQ9" s="0" t="str">
        <f aca="false">IF(A9="N/A"," ",Perstart)</f>
        <v> </v>
      </c>
      <c r="HD9" s="0" t="str">
        <f aca="false">IF($A9="N/A"," ",VLOOKUP($A9,NumberofDaysTable,2))</f>
        <v> </v>
      </c>
      <c r="HE9" s="0" t="str">
        <f aca="false">IF($A9="N/A"," ",VLOOKUP($A9,NumberofDaysTable,3))</f>
        <v> </v>
      </c>
      <c r="HF9" s="0" t="str">
        <f aca="false">IF($A9="N/A"," ",VLOOKUP($A9,NumberofDaysTable,4))</f>
        <v> </v>
      </c>
    </row>
    <row r="10" customFormat="false" ht="12.75" hidden="false" customHeight="false" outlineLevel="0" collapsed="false">
      <c r="A10" s="308" t="str">
        <f aca="false">IF(A9="N/A","N/A",IF(EDATE(A9,1)&gt;Inputs!$K$3,"N/A",EDATE(A9,1)))</f>
        <v>N/A</v>
      </c>
      <c r="B10" s="309" t="str">
        <f aca="false">IF(A10="N/A"," ",YEAR(A10))</f>
        <v> </v>
      </c>
      <c r="C10" s="310" t="str">
        <f aca="false">IF(A10="N/A"," ",VLOOKUP(A10,ScaledPrice,10))</f>
        <v> </v>
      </c>
      <c r="D10" s="311" t="str">
        <f aca="false">IF(A10="N/A"," ",(VLOOKUP(MONTH($A10),Hrtable,2))/1000)</f>
        <v> </v>
      </c>
      <c r="E10" s="312" t="str">
        <f aca="false">IF($A10="N/A"," ",(C10-'Pricing Inputs'!T43)*D10)</f>
        <v> </v>
      </c>
      <c r="F10" s="313" t="str">
        <f aca="false">IF(A10="N/A"," ",VOM)</f>
        <v> </v>
      </c>
      <c r="G10" s="313" t="str">
        <f aca="false">IF(A10="N/A"," ",Perstart/IF(AND(Dayrun&gt;=4,Dayrun&lt;=6),16,IF(AND(Dayrun&gt;=7,Dayrun&lt;=9),8,24))/(BM10/CK10))</f>
        <v> </v>
      </c>
      <c r="H10" s="314" t="str">
        <f aca="false">IF(A10="N/A"," ",(C10*D10)+F10+G10)</f>
        <v> </v>
      </c>
      <c r="I10" s="315" t="str">
        <f aca="false">VLOOKUP(A10,ScaledPrice,(IF(AND(Dayrun&gt;=1,Dayrun&lt;=6),2,4)))</f>
        <v> </v>
      </c>
      <c r="J10" s="315" t="str">
        <f aca="false">IF(A10="N/A"," ",IF(AND(Dayrun&gt;=1,Dayrun&lt;=6),I10,(VLOOKUP(A10,ScaledPrice,2))*(2-(VLOOKUP(A10,ScaledPrice,3)))))</f>
        <v> </v>
      </c>
      <c r="K10" s="315" t="str">
        <f aca="false">IF(A10="N/A"," ",IF(AND(Dayrun&gt;=1,Dayrun&lt;=3),VLOOKUP(A10,ScaledPrice,9),0))</f>
        <v> </v>
      </c>
      <c r="L10" s="315" t="str">
        <f aca="false">IF(A10="N/A"," ",IF(OR(Dayrun=2,Dayrun=3,Dayrun=5,Dayrun=6,Dayrun=8,Dayrun=9),VLOOKUP(A10,ScaledPrice,IF(AND(Dayrun&gt;=2,Dayrun&lt;=6),5,6)),0))</f>
        <v> </v>
      </c>
      <c r="M10" s="315" t="str">
        <f aca="false">IF(A10="N/A"," ",IF(OR(Dayrun=2,Dayrun=3,Dayrun=5,Dayrun=6,Dayrun=8,Dayrun=9),IF(AND(Dayrun&gt;=2,Dayrun&lt;=6),L10,(VLOOKUP(A10,ScaledPrice,5))*(2-(VLOOKUP(A10,ScaledPrice,3)))),0))</f>
        <v> </v>
      </c>
      <c r="N10" s="315" t="str">
        <f aca="false">IF(A10="N/A"," ",IF(AND(Dayrun&gt;1,Dayrun&lt;=3),VLOOKUP(A10,ScaledPrice,9),0))</f>
        <v> </v>
      </c>
      <c r="O10" s="315" t="str">
        <f aca="false">IF(A10="N/A"," ",IF(OR(Dayrun=3,Dayrun=6,Dayrun=9),(VLOOKUP(A10,ScaledPrice,IF(AND(Dayrun&gt;=3,Dayrun&lt;=6),7,8))),0))</f>
        <v> </v>
      </c>
      <c r="P10" s="315" t="str">
        <f aca="false">IF(A10="N/A"," ",IF(OR(Dayrun=3,Dayrun=6,Dayrun=9),IF(AND(Dayrun&gt;=3,Dayrun&lt;=6),O10,(VLOOKUP(A10,ScaledPrice,7))*(2-(VLOOKUP(A10,ScaledPrice,3)))),0))</f>
        <v> </v>
      </c>
      <c r="Q10" s="315" t="str">
        <f aca="false">IF(A10="N/A"," ",IF(AND(Dayrun&gt;2,Dayrun&lt;=3),VLOOKUP(A10,ScaledPrice,9),0))</f>
        <v> </v>
      </c>
      <c r="R10" s="316" t="str">
        <f aca="false">IF($A10="N/A"," ",IF(Pricetype=2,MAX(I10-$H10,0),IF(Pricetype=1,(xSPRDOPT(I10,$E10,$CI10,0,($CD10+IF(Smile=TRUE(),VLOOKUP(MAX(-5,$H10-I10),Volsmile,2),0)),$CG10,$CH10,($A10-DateToday)+15,1,0)),I10-$H10)))</f>
        <v> </v>
      </c>
      <c r="S10" s="316" t="str">
        <f aca="false">IF($A10="N/A"," ",IF(Pricetype=2,MAX(J10-$H10,0),IF(Pricetype=1,(xSPRDOPT(J10,$E10,$CI10,0,($CD10+IF(Smile=TRUE(),VLOOKUP(MAX(-5,$H10-J10),Volsmile,2),0)),$CG10,$CH10,($A10-DateToday)+15,1,0)),J10-$H10)))</f>
        <v> </v>
      </c>
      <c r="T10" s="317" t="str">
        <f aca="false">IF($A10="N/A"," ",(IF(Pricetype=2,IF((K10-$H10)&lt;=0,0,(K10-$H10)),IF(K10&lt;&gt;0,(K10-$H10),0))))</f>
        <v> </v>
      </c>
      <c r="U10" s="316" t="str">
        <f aca="false">IF($A10="N/A"," ",IF(Pricetype=2,MAX(L10-$H10,0),IF(L10&lt;&gt;0,IF(Pricetype=1,(xSPRDOPT(L10,$E10,$CI10,0,($CD10+IF(Smile=TRUE(),VLOOKUP(MAX(-5,$H10-L10),Volsmile,2),0)),$CG10,$CH10,($A10-DateToday)+15,1,0)),L10-$H10),0)))</f>
        <v> </v>
      </c>
      <c r="V10" s="316" t="str">
        <f aca="false">IF($A10="N/A"," ",IF(Pricetype=2,MAX(M10-$H10,0),IF(M10&lt;&gt;0,IF(Pricetype=1,(xSPRDOPT(M10,$E10,$CI10,0,($CD10+IF(Smile=TRUE(),VLOOKUP(MAX(-5,$H10-M10),Volsmile,2),0)),$CG10,$CH10,($A10-DateToday)+15,1,0)),M10-$H10),0)))</f>
        <v> </v>
      </c>
      <c r="W10" s="317" t="str">
        <f aca="false">IF($A10="N/A"," ",(IF(Pricetype=2,IF((N10-$H10)&lt;=0,0,(N10-$H10)),IF(N10&lt;&gt;0,(N10-$H10),0))))</f>
        <v> </v>
      </c>
      <c r="X10" s="316" t="str">
        <f aca="false">IF($A10="N/A"," ",IF(Pricetype=2,MAX(O10-$H10,0),IF(O10&lt;&gt;0,IF(Pricetype=1,(xSPRDOPT(O10,$E10,$CI10,0,($CD10+IF(Smile=TRUE(),VLOOKUP(MAX(-5,$H10-O10),Volsmile,2),0)),$CG10,$CH10,($A10-DateToday)+15,1,0)),O10-$H10),0)))</f>
        <v> </v>
      </c>
      <c r="Y10" s="316" t="str">
        <f aca="false">IF($A10="N/A"," ",IF(Pricetype=2,MAX(P10-$H10,0),IF(P10&lt;&gt;0,IF(Pricetype=1,(xSPRDOPT(P10,$E10,$CI10,0,($CD10+IF(Smile=TRUE(),VLOOKUP(MAX(-5,$H10-P10),Volsmile,2),0)),$CG10,$CH10,($A10-DateToday)+15,1,0)),P10-$H10),0)))</f>
        <v> </v>
      </c>
      <c r="Z10" s="317" t="str">
        <f aca="false">IF($A10="N/A"," ",(IF(Pricetype=2,IF((Q10-$H10)&lt;=0,0,(Q10-$H10)),IF(Q10&lt;&gt;0,(Q10-$H10),0))))</f>
        <v> </v>
      </c>
      <c r="AA10" s="318" t="str">
        <f aca="false">IF($A10="N/A"," ",IF(VLOOKUP(MONTH(A10),ManualTable,2)=1,(IF(0&lt;&gt;R10,IF(Pricetype=1,(xSPRDOPT(I10,$E10,$CI10,0,($CD10+IF(Smile=TRUE(),VLOOKUP(MAX(-5,$H10-I10),Volsmile,2),0)),$CG10,$CH10,($A10-DateToday)+15,1,1))*(8*$HD10),8*$HD10),0)),0))</f>
        <v> </v>
      </c>
      <c r="AB10" s="318" t="str">
        <f aca="false">IF($A10="N/A"," ",IF(VLOOKUP(MONTH(A10),ManualTable,3)=1,(IF(S10&lt;&gt;0,IF(Pricetype=1,(xSPRDOPT(J10,$E10,$CI10,0,($CD10+IF(Smile=TRUE(),VLOOKUP(MAX(-5,$H10-J10),Volsmile,2),0)),$CG10,$CH10,($A10-DateToday)+15,1,1))*(8*$HD10),8*$HD10),0)),0))</f>
        <v> </v>
      </c>
      <c r="AC10" s="318" t="str">
        <f aca="false">IF($A10="N/A"," ",IF(VLOOKUP(MONTH(A10),ManualTable,4)=1,(IF(T10&lt;&gt;0,(8*$HD10),0)),0))</f>
        <v> </v>
      </c>
      <c r="AD10" s="318" t="str">
        <f aca="false">IF($A10="N/A"," ",IF(VLOOKUP(MONTH(A10),ManualTable,5)=1,(IF(U10&lt;&gt;0,IF(Pricetype=1,(xSPRDOPT(L10,$E10,$CI10,0,($CD10+IF(Smile=TRUE(),VLOOKUP(MAX(-5,$H10-L10),Volsmile,2),0)),$CG10,$CH10,($A10-DateToday)+15,1,1))*(8*$HE10),8*$HE10),0)),0))</f>
        <v> </v>
      </c>
      <c r="AE10" s="318" t="str">
        <f aca="false">IF($A10="N/A"," ",IF(VLOOKUP(MONTH(A10),ManualTable,6)=1,(IF(V10&lt;&gt;0,IF(Pricetype=1,(xSPRDOPT(M10,$E10,$CI10,0,($CD10+IF(Smile=TRUE(),VLOOKUP(MAX(-5,$H10-M10),Volsmile,2),0)),$CG10,$CH10,($A10-DateToday)+15,1,1))*(8*$HE10),8*$HE10),0)),0))</f>
        <v> </v>
      </c>
      <c r="AF10" s="318" t="str">
        <f aca="false">IF($A10="N/A"," ",IF(VLOOKUP(MONTH(A10),ManualTable,7)=1,(IF(W10&lt;&gt;0,(8*$HE10),0)),0))</f>
        <v> </v>
      </c>
      <c r="AG10" s="318" t="str">
        <f aca="false">IF($A10="N/A"," ",IF(VLOOKUP(MONTH(A10),ManualTable,8)=1,(IF(X10&lt;&gt;0,IF(Pricetype=1,(xSPRDOPT(O10,$E10,$CI10,0,($CD10+IF(Smile=TRUE(),VLOOKUP(MAX(-5,$H10-O10),Volsmile,2),0)),$CG10,$CH10,($A10-DateToday)+15,1,1))*(8*$HF10),8*$HF10),0)),0))</f>
        <v> </v>
      </c>
      <c r="AH10" s="318" t="str">
        <f aca="false">IF($A10="N/A"," ",IF(VLOOKUP(MONTH(A10),ManualTable,9)=1,(IF(Y10&lt;&gt;0,IF(Pricetype=1,(xSPRDOPT(P10,$E10,$CI10,0,($CD10+IF(Smile=TRUE(),VLOOKUP(MAX(-5,$H10-P10),Volsmile,2),0)),$CG10,$CH10,($A10-DateToday)+15,1,1))*(8*$HF10),8*$HF10),0)),0))</f>
        <v> </v>
      </c>
      <c r="AI10" s="318" t="str">
        <f aca="false">IF($A10="N/A"," ",IF(VLOOKUP(MONTH(A10),ManualTable,10)=1,(IF(Z10&lt;&gt;0,(8*($HF10)),0)),0))</f>
        <v> </v>
      </c>
      <c r="AJ10" s="344" t="str">
        <f aca="false">IF($A10="N/A"," ",RANK(R10,$R$4:$Z$15))</f>
        <v> </v>
      </c>
      <c r="AK10" s="321" t="str">
        <f aca="false">IF($A10="N/A"," ",RANK(S10,$R$4:$Z$15))</f>
        <v> </v>
      </c>
      <c r="AL10" s="321" t="str">
        <f aca="false">IF($A10="N/A"," ",RANK(T10,$R$4:$Z$15))</f>
        <v> </v>
      </c>
      <c r="AM10" s="321" t="str">
        <f aca="false">IF($A10="N/A"," ",RANK(U10,$R$4:$Z$15))</f>
        <v> </v>
      </c>
      <c r="AN10" s="321" t="str">
        <f aca="false">IF($A10="N/A"," ",RANK(V10,$R$4:$Z$15))</f>
        <v> </v>
      </c>
      <c r="AO10" s="321" t="str">
        <f aca="false">IF($A10="N/A"," ",RANK(W10,$R$4:$Z$15))</f>
        <v> </v>
      </c>
      <c r="AP10" s="321" t="str">
        <f aca="false">IF($A10="N/A"," ",RANK(X10,$R$4:$Z$15))</f>
        <v> </v>
      </c>
      <c r="AQ10" s="321" t="str">
        <f aca="false">IF($A10="N/A"," ",RANK(Y10,$R$4:$Z$15))</f>
        <v> </v>
      </c>
      <c r="AR10" s="345" t="str">
        <f aca="false">IF($A10="N/A"," ",RANK(Z10,$R$4:$Z$15))</f>
        <v> </v>
      </c>
      <c r="AS10" s="323" t="n">
        <f aca="false">IF($A10="N/A",0,IF(AJ10&lt;=$AR$2,AA10,0))</f>
        <v>0</v>
      </c>
      <c r="AT10" s="325" t="n">
        <f aca="false">IF($A10="N/A",0,IF(AK10&lt;=$AR$2,AB10,0))</f>
        <v>0</v>
      </c>
      <c r="AU10" s="325" t="n">
        <f aca="false">IF($A10="N/A",0,IF(AL10&lt;=$AR$2,AC10,0))</f>
        <v>0</v>
      </c>
      <c r="AV10" s="325" t="n">
        <f aca="false">IF($A10="N/A",0,IF(AM10&lt;=$AR$2,AD10,0))</f>
        <v>0</v>
      </c>
      <c r="AW10" s="325" t="n">
        <f aca="false">IF($A10="N/A",0,IF(AN10&lt;=$AR$2,AE10,0))</f>
        <v>0</v>
      </c>
      <c r="AX10" s="325" t="n">
        <f aca="false">IF($A10="N/A",0,IF(AO10&lt;=$AR$2,AF10,0))</f>
        <v>0</v>
      </c>
      <c r="AY10" s="325" t="n">
        <f aca="false">IF($A10="N/A",0,IF(AP10&lt;=$AR$2,AG10,0))</f>
        <v>0</v>
      </c>
      <c r="AZ10" s="325" t="n">
        <f aca="false">IF($A10="N/A",0,IF(AQ10&lt;=$AR$2,AH10,0))</f>
        <v>0</v>
      </c>
      <c r="BA10" s="325" t="n">
        <f aca="false">IF($A10="N/A",0,IF(AR10&lt;=$AR$2,AI10,0))</f>
        <v>0</v>
      </c>
      <c r="BB10" s="345"/>
      <c r="BC10" s="326" t="n">
        <f aca="false">IF($A10="N/A",0,IF(AND(AJ10=$AR$2+1,AS10=0),MIN($BB$15,AA10),0))</f>
        <v>0</v>
      </c>
      <c r="BD10" s="346" t="n">
        <f aca="false">IF($A10="N/A",0,IF(AND(AK10=$AR$2+1,AT10=0),MIN($BB$15,AB10),0))</f>
        <v>0</v>
      </c>
      <c r="BE10" s="346" t="n">
        <f aca="false">IF($A10="N/A",0,IF(AND(AL10=$AR$2+1,AU10=0),MIN($BB$15,AC10),0))</f>
        <v>0</v>
      </c>
      <c r="BF10" s="346" t="n">
        <f aca="false">IF($A10="N/A",0,IF(AND(AM10=$AR$2+1,AV10=0),MIN($BB$15,AD10),0))</f>
        <v>0</v>
      </c>
      <c r="BG10" s="346" t="n">
        <f aca="false">IF($A10="N/A",0,IF(AND(AN10=$AR$2+1,AW10=0),MIN($BB$15,AE10),0))</f>
        <v>0</v>
      </c>
      <c r="BH10" s="346" t="n">
        <f aca="false">IF($A10="N/A",0,IF(AND(AO10=$AR$2+1,AX10=0),MIN($BB$15,AF10),0))</f>
        <v>0</v>
      </c>
      <c r="BI10" s="346" t="n">
        <f aca="false">IF($A10="N/A",0,IF(AND(AP10=$AR$2+1,AY10=0),MIN($BB$15,AG10),0))</f>
        <v>0</v>
      </c>
      <c r="BJ10" s="346" t="n">
        <f aca="false">IF($A10="N/A",0,IF(AND(AQ10=$AR$2+1,AZ10=0),MIN($BB$15,AH10),0))</f>
        <v>0</v>
      </c>
      <c r="BK10" s="346" t="n">
        <f aca="false">IF($A10="N/A",0,IF(AND(AR10=$AR$2+1,BA10=0),MIN($BB$15,AI10),0))</f>
        <v>0</v>
      </c>
      <c r="BL10" s="347"/>
      <c r="BM10" s="329" t="str">
        <f aca="false">IF($A10="N/A"," ",(IF(MONTH(A10)&gt;=4,IF(MONTH(A10)&lt;=10,Inputs!$F$13-Inputs!$G$13,Inputs!$F$14-Inputs!$G$14),Inputs!$F$14-Inputs!$G$14))*$CK10*Availability)</f>
        <v> </v>
      </c>
      <c r="BN10" s="330" t="str">
        <f aca="false">IF($A10="N/A"," ",(IF(AS10&gt;0,($BM10*(8*($HD10))*R10),0)+IF(BC10&gt;0,($BM10*((BC10/AA10)*8*$HD10)*R10),0)))</f>
        <v> </v>
      </c>
      <c r="BO10" s="330" t="str">
        <f aca="false">IF($A10="N/A"," ",(IF(AT10&gt;0,($BM10*(8*($HD10))*S10),0)+IF(BD10&gt;0,($BM10*((BD10/AB10)*8*$HD10)*S10),0)))</f>
        <v> </v>
      </c>
      <c r="BP10" s="330" t="str">
        <f aca="false">IF($A10="N/A"," ",(IF(AU10&gt;0,($BM10*(8*($HD10))*T10),0)+IF(BE10&gt;0,($BM10*((BE10))*T10),0)))</f>
        <v> </v>
      </c>
      <c r="BQ10" s="330" t="str">
        <f aca="false">IF($A10="N/A"," ",(IF(AV10&gt;0,($BM10*(8*($HE10))*U10),0)+IF(BF10&gt;0,($BM10*((BF10/AD10)*8*$HE10)*U10),0)))</f>
        <v> </v>
      </c>
      <c r="BR10" s="330" t="str">
        <f aca="false">IF($A10="N/A"," ",(IF(AW10&gt;0,($BM10*(8*($HE10))*V10),0)+IF(BG10&gt;0,($BM10*((BG10/AE10)*8*$HE10)*V10),0)))</f>
        <v> </v>
      </c>
      <c r="BS10" s="330" t="str">
        <f aca="false">IF($A10="N/A"," ",(IF(AX10&gt;0,($BM10*(8*($HE10))*W10),0)+IF(BH10&gt;0,($BM10*((BH10))*W10),0)))</f>
        <v> </v>
      </c>
      <c r="BT10" s="330" t="str">
        <f aca="false">IF($A10="N/A"," ",(IF(AY10&gt;0,($BM10*(8*($HF10))*X10),0)+IF(BI10&gt;0,($BM10*((BI10/AG10)*8*$HF10)*X10),0)))</f>
        <v> </v>
      </c>
      <c r="BU10" s="330" t="str">
        <f aca="false">IF($A10="N/A"," ",(IF(AZ10&gt;0,($BM10*(8*($HF10))*Y10),0)+IF(BJ10&gt;0,($BM10*((BJ10/AH10)*8*$HF10)*Y10),0)))</f>
        <v> </v>
      </c>
      <c r="BV10" s="330" t="str">
        <f aca="false">IF($A10="N/A"," ",(IF(BA10&gt;0,($BM10*(8*($HF10))*Z10),0)+IF(BK10&gt;0,($BM10*((BK10))*Z10),0)))</f>
        <v> </v>
      </c>
      <c r="BW10" s="330" t="str">
        <f aca="false">IF($A10="N/A"," ",SUM(BN10:BV10))</f>
        <v> </v>
      </c>
      <c r="BX10" s="331" t="str">
        <f aca="false">IF($A10="N/A"," ",(H10*(SUM(AS10:BA10)+SUM(BC10:BK10))*BM10))</f>
        <v> </v>
      </c>
      <c r="BY10" s="332" t="str">
        <f aca="false">IF($A10="N/A"," ",((C10*D10)*(SUM($AS10:$BA10)+SUM($BC10:$BK10))*$BM10))</f>
        <v> </v>
      </c>
      <c r="BZ10" s="332" t="str">
        <f aca="false">IF($A10="N/A"," ",(F10*(SUM($AS10:$BA10)+SUM($BC10:$BK10))*$BM10))</f>
        <v> </v>
      </c>
      <c r="CA10" s="333" t="str">
        <f aca="false">IF($A10="N/A"," ",(G10*(SUM($AS10:$BA10)+SUM($BC10:$BK10))*$BM10))</f>
        <v> </v>
      </c>
      <c r="CB10" s="334" t="str">
        <f aca="false">IF(A10="N/A"," ",(VLOOKUP(A10,PowerVolTable,(IF(BMO=2,7,IF(BMO=1,6,8))),FALSE())))</f>
        <v> </v>
      </c>
      <c r="CC10" s="334" t="str">
        <f aca="false">IF(A10="N/A"," ",(VLOOKUP(A10,IntraPowerVol,(IF(BMO=2,3,IF(BMO=1,2,4))),FALSE())*VLOOKUP(MONTH($A10),Volscale,2)))</f>
        <v> </v>
      </c>
      <c r="CD10" s="335" t="str">
        <f aca="false">IF($A10="N/A"," ",(IF(DateToday&gt;$A10,$CC10,((($CB10^2)*((($A10-1)-DateToday)/((EOMONTH($A10,0)+1)-DateToday-15)))+((($CC10)^2)*((15)/((EOMONTH($A10,0)+1)-DateToday-15))))^0.5)))</f>
        <v> </v>
      </c>
      <c r="CE10" s="334" t="str">
        <f aca="false">IF($A10="N/A"," ",(VLOOKUP($A10,GasVolTable,(IF(BMO=2,6,IF(BMO=1,7,5))),FALSE())))</f>
        <v> </v>
      </c>
      <c r="CF10" s="334" t="str">
        <f aca="false">IF($A10="N/A"," ",(VLOOKUP($A10,OmicronVol,(IF(BMO=2,3,IF(BMO=1,4,2))),FALSE())))</f>
        <v> </v>
      </c>
      <c r="CG10" s="335" t="str">
        <f aca="false">IF($A10="N/A"," ",(IF(DateToday&gt;$A10,$CF10,((($CE10^2)*((($A10-1)-DateToday)/((EOMONTH($A10,0)+1)-DateToday-15)))+((($CF10)^2)*((15)/((EOMONTH($A10,0)+1)-DateToday-15))))^0.5)))</f>
        <v> </v>
      </c>
      <c r="CH10" s="334" t="str">
        <f aca="false">IF($A10="N/A"," ",VLOOKUP($A10,CorrelationTable,2,FALSE()))</f>
        <v> </v>
      </c>
      <c r="CI10" s="336" t="str">
        <f aca="false">IF($A10="N/A"," ",F10+G10+(D10*('Pricing Inputs'!T43)))</f>
        <v> </v>
      </c>
      <c r="CJ10" s="334" t="str">
        <f aca="false">IF($A10="N/A"," ",IF(PV=1,0,'Pricing Inputs'!U43))</f>
        <v> </v>
      </c>
      <c r="CK10" s="337" t="str">
        <f aca="false">IF($A10="N/A"," ",(1+CJ10/2)^(-2*((EOMONTH(A10,0)+20)-DateToday)/365.25))</f>
        <v> </v>
      </c>
      <c r="CL10" s="338" t="str">
        <f aca="false">IF(A10="N/A"," ",IF(CC=2,(VLOOKUP(MONTH($A10),Hrtable,3))/1000,0))</f>
        <v> </v>
      </c>
      <c r="CM10" s="339" t="str">
        <f aca="false">IF(A10="N/A"," ",IF(CC=2,(CL10*C10)+F10,0))</f>
        <v> </v>
      </c>
      <c r="CN10" s="340" t="str">
        <f aca="false">IF($A10="N/A"," ",IF(CC=2,(VLOOKUP(A10,ScaledPrice,(IF(AND(Dayrun&gt;=1,Dayrun&lt;=6),2,4)))-((IF(R10&lt;&gt;0,$D10,$CL10)*$C10)+$F10+$G10)),0))</f>
        <v> </v>
      </c>
      <c r="CO10" s="340" t="str">
        <f aca="false">IF($A10="N/A"," ",IF(CC=2,(IF(AND(Dayrun&gt;=1,Dayrun&lt;=6),I10,(VLOOKUP(A10,ScaledPrice,2))*(2-(VLOOKUP(A10,ScaledPrice,3))))-((IF(S10&lt;&gt;0,$D10,$CL10)*$C10)+$F10+$G10)),0))</f>
        <v> </v>
      </c>
      <c r="CP10" s="340" t="str">
        <f aca="false">IF(A10="N/A"," ",IF(CC=2,(VLOOKUP(A10,ScaledPrice,9)-((IF(T10&lt;&gt;0,$D10,$CL10)*$C10)+$F10+$G10)),0))</f>
        <v> </v>
      </c>
      <c r="CQ10" s="340" t="str">
        <f aca="false">IF(A10="N/A"," ",IF(CC=2,(IF(OR(Dayrun=2,Dayrun=3,Dayrun=5,Dayrun=6,Dayrun=8,Dayrun=9),VLOOKUP(A10,ScaledPrice,IF(AND(Dayrun&gt;=2,Dayrun&lt;=6),5,6)),0)-((IF(U10&lt;&gt;0,$D10,$CL10)*$C10)+$F10+$G10)),0))</f>
        <v> </v>
      </c>
      <c r="CR10" s="340" t="str">
        <f aca="false">IF(A10="N/A"," ",IF(CC=2,(IF(OR(Dayrun=2,Dayrun=3,Dayrun=5,Dayrun=6,Dayrun=8,Dayrun=9),IF(AND(Dayrun&gt;=2,Dayrun&lt;=6),L10,(VLOOKUP(A10,ScaledPrice,5))*(2-(VLOOKUP(A10,ScaledPrice,3)))),0)-((IF(V10&lt;&gt;0,$D10,$CL10)*$C10)+$F10+$G10)),0))</f>
        <v> </v>
      </c>
      <c r="CS10" s="340" t="str">
        <f aca="false">IF(A10="N/A"," ",IF(CC=2,(VLOOKUP(A10,ScaledPrice,9)-((IF(W10&lt;&gt;0,$D10,$CL10)*$C10)+$F10+$G10)),0))</f>
        <v> </v>
      </c>
      <c r="CT10" s="340" t="str">
        <f aca="false">IF(A10="N/A"," ",IF(CC=2,(IF(OR(Dayrun=3,Dayrun=6,Dayrun=9),(VLOOKUP(A10,ScaledPrice,IF(AND(Dayrun&gt;=3,Dayrun&lt;=6),7,8))),0)-((IF(X10&lt;&gt;0,$D10,$CL10)*$C10)+$F10+$G10)),0))</f>
        <v> </v>
      </c>
      <c r="CU10" s="340" t="str">
        <f aca="false">IF(A10="N/A"," ",IF(CC=2,(IF(OR(Dayrun=3,Dayrun=6,Dayrun=9),IF(AND(Dayrun&gt;=3,Dayrun&lt;=6),O10,(VLOOKUP(A10,ScaledPrice,7))*(2-(VLOOKUP(A10,ScaledPrice,3)))),0)-((IF(Y10&lt;&gt;0,$D10,$CL10)*$C10)+$F10+$G10)),0))</f>
        <v> </v>
      </c>
      <c r="CV10" s="340" t="str">
        <f aca="false">IF(A10="N/A"," ",IF(CC=2,(VLOOKUP(A10,ScaledPrice,9)-((IF(Z10&lt;&gt;0,$D10,$CL10)*$C10)+$F10+$G10)),0))</f>
        <v> </v>
      </c>
      <c r="CW10" s="318" t="str">
        <f aca="false">IF($A10="N/A"," ",IF(0&lt;&gt;CN10,IF(CC=2,8*$HD10,0),0))</f>
        <v> </v>
      </c>
      <c r="CX10" s="318" t="str">
        <f aca="false">IF($A10="N/A"," ",IF(0&lt;&gt;CO10,IF(CC=2,8*$HD10,0),0))</f>
        <v> </v>
      </c>
      <c r="CY10" s="318" t="str">
        <f aca="false">IF($A10="N/A"," ",IF(0&lt;&gt;CP10,IF(CC=2,8*$HD10,0),0))</f>
        <v> </v>
      </c>
      <c r="CZ10" s="318" t="str">
        <f aca="false">IF($A10="N/A"," ",IF(0&lt;&gt;CQ10,IF(CC=2,8*$HE10,0),0))</f>
        <v> </v>
      </c>
      <c r="DA10" s="318" t="str">
        <f aca="false">IF($A10="N/A"," ",IF(0&lt;&gt;CR10,IF(CC=2,8*$HE10,0),0))</f>
        <v> </v>
      </c>
      <c r="DB10" s="318" t="str">
        <f aca="false">IF($A10="N/A"," ",IF(0&lt;&gt;CS10,IF(CC=2,8*$HE10,0),0))</f>
        <v> </v>
      </c>
      <c r="DC10" s="318" t="str">
        <f aca="false">IF($A10="N/A"," ",IF(0&lt;&gt;CT10,IF(CC=2,8*$HF10,0),0))</f>
        <v> </v>
      </c>
      <c r="DD10" s="318" t="str">
        <f aca="false">IF($A10="N/A"," ",IF(0&lt;&gt;CU10,IF(CC=2,8*$HF10,0),0))</f>
        <v> </v>
      </c>
      <c r="DE10" s="318" t="str">
        <f aca="false">IF($A10="N/A"," ",IF(0&lt;&gt;CV10,IF(CC=2,8*$HF10,0),0))</f>
        <v> </v>
      </c>
      <c r="DF10" s="341" t="str">
        <f aca="false">IF($A10="N/A"," ",IF(CC=2,(IF(MONTH(A10)&gt;=4,IF(MONTH(A10)&lt;=10,Inputs!$G$13,Inputs!$G$14),Inputs!$G$14))*$CK10,0))</f>
        <v> </v>
      </c>
      <c r="DG10" s="342" t="str">
        <f aca="false">IF($A10="N/A"," ",IF(CC=2,$DF10*CW10*CN10,0))</f>
        <v> </v>
      </c>
      <c r="DH10" s="342" t="str">
        <f aca="false">IF($A10="N/A"," ",IF(CC=2,$DF10*CX10*CO10,0))</f>
        <v> </v>
      </c>
      <c r="DI10" s="342" t="str">
        <f aca="false">IF($A10="N/A"," ",IF(CC=2,$DF10*CY10*CP10,0))</f>
        <v> </v>
      </c>
      <c r="DJ10" s="342" t="str">
        <f aca="false">IF($A10="N/A"," ",IF(CC=2,$DF10*CZ10*CQ10,0))</f>
        <v> </v>
      </c>
      <c r="DK10" s="342" t="str">
        <f aca="false">IF($A10="N/A"," ",IF(CC=2,$DF10*DA10*CR10,0))</f>
        <v> </v>
      </c>
      <c r="DL10" s="342" t="str">
        <f aca="false">IF($A10="N/A"," ",IF(CC=2,$DF10*DB10*CS10,0))</f>
        <v> </v>
      </c>
      <c r="DM10" s="342" t="str">
        <f aca="false">IF($A10="N/A"," ",IF(CC=2,$DF10*DC10*CT10,0))</f>
        <v> </v>
      </c>
      <c r="DN10" s="342" t="str">
        <f aca="false">IF($A10="N/A"," ",IF(CC=2,$DF10*DD10*CU10,0))</f>
        <v> </v>
      </c>
      <c r="DO10" s="342" t="str">
        <f aca="false">IF($A10="N/A"," ",IF(CC=2,$DF10*DE10*CV10,0))</f>
        <v> </v>
      </c>
      <c r="DP10" s="343" t="str">
        <f aca="false">IF($A10="N/A"," ",IF(CC=2,SUM(DG10:DO10),0))</f>
        <v> </v>
      </c>
      <c r="DQ10" s="0" t="str">
        <f aca="false">IF(A10="N/A"," ",Perstart)</f>
        <v> </v>
      </c>
      <c r="HD10" s="0" t="str">
        <f aca="false">IF($A10="N/A"," ",VLOOKUP($A10,NumberofDaysTable,2))</f>
        <v> </v>
      </c>
      <c r="HE10" s="0" t="str">
        <f aca="false">IF($A10="N/A"," ",VLOOKUP($A10,NumberofDaysTable,3))</f>
        <v> </v>
      </c>
      <c r="HF10" s="0" t="str">
        <f aca="false">IF($A10="N/A"," ",VLOOKUP($A10,NumberofDaysTable,4))</f>
        <v> </v>
      </c>
    </row>
    <row r="11" customFormat="false" ht="12.75" hidden="false" customHeight="false" outlineLevel="0" collapsed="false">
      <c r="A11" s="308" t="str">
        <f aca="false">IF(A10="N/A","N/A",IF(EDATE(A10,1)&gt;Inputs!$K$3,"N/A",EDATE(A10,1)))</f>
        <v>N/A</v>
      </c>
      <c r="B11" s="309" t="str">
        <f aca="false">IF(A11="N/A"," ",YEAR(A11))</f>
        <v> </v>
      </c>
      <c r="C11" s="310" t="str">
        <f aca="false">IF(A11="N/A"," ",VLOOKUP(A11,ScaledPrice,10))</f>
        <v> </v>
      </c>
      <c r="D11" s="311" t="str">
        <f aca="false">IF(A11="N/A"," ",(VLOOKUP(MONTH($A11),Hrtable,2))/1000)</f>
        <v> </v>
      </c>
      <c r="E11" s="312" t="str">
        <f aca="false">IF($A11="N/A"," ",(C11-'Pricing Inputs'!T44)*D11)</f>
        <v> </v>
      </c>
      <c r="F11" s="313" t="str">
        <f aca="false">IF(A11="N/A"," ",VOM)</f>
        <v> </v>
      </c>
      <c r="G11" s="313" t="str">
        <f aca="false">IF(A11="N/A"," ",Perstart/IF(AND(Dayrun&gt;=4,Dayrun&lt;=6),16,IF(AND(Dayrun&gt;=7,Dayrun&lt;=9),8,24))/(BM11/CK11))</f>
        <v> </v>
      </c>
      <c r="H11" s="314" t="str">
        <f aca="false">IF(A11="N/A"," ",(C11*D11)+F11+G11)</f>
        <v> </v>
      </c>
      <c r="I11" s="315" t="str">
        <f aca="false">VLOOKUP(A11,ScaledPrice,(IF(AND(Dayrun&gt;=1,Dayrun&lt;=6),2,4)))</f>
        <v> </v>
      </c>
      <c r="J11" s="315" t="str">
        <f aca="false">IF(A11="N/A"," ",IF(AND(Dayrun&gt;=1,Dayrun&lt;=6),I11,(VLOOKUP(A11,ScaledPrice,2))*(2-(VLOOKUP(A11,ScaledPrice,3)))))</f>
        <v> </v>
      </c>
      <c r="K11" s="315" t="str">
        <f aca="false">IF(A11="N/A"," ",IF(AND(Dayrun&gt;=1,Dayrun&lt;=3),VLOOKUP(A11,ScaledPrice,9),0))</f>
        <v> </v>
      </c>
      <c r="L11" s="315" t="str">
        <f aca="false">IF(A11="N/A"," ",IF(OR(Dayrun=2,Dayrun=3,Dayrun=5,Dayrun=6,Dayrun=8,Dayrun=9),VLOOKUP(A11,ScaledPrice,IF(AND(Dayrun&gt;=2,Dayrun&lt;=6),5,6)),0))</f>
        <v> </v>
      </c>
      <c r="M11" s="315" t="str">
        <f aca="false">IF(A11="N/A"," ",IF(OR(Dayrun=2,Dayrun=3,Dayrun=5,Dayrun=6,Dayrun=8,Dayrun=9),IF(AND(Dayrun&gt;=2,Dayrun&lt;=6),L11,(VLOOKUP(A11,ScaledPrice,5))*(2-(VLOOKUP(A11,ScaledPrice,3)))),0))</f>
        <v> </v>
      </c>
      <c r="N11" s="315" t="str">
        <f aca="false">IF(A11="N/A"," ",IF(AND(Dayrun&gt;1,Dayrun&lt;=3),VLOOKUP(A11,ScaledPrice,9),0))</f>
        <v> </v>
      </c>
      <c r="O11" s="315" t="str">
        <f aca="false">IF(A11="N/A"," ",IF(OR(Dayrun=3,Dayrun=6,Dayrun=9),(VLOOKUP(A11,ScaledPrice,IF(AND(Dayrun&gt;=3,Dayrun&lt;=6),7,8))),0))</f>
        <v> </v>
      </c>
      <c r="P11" s="315" t="str">
        <f aca="false">IF(A11="N/A"," ",IF(OR(Dayrun=3,Dayrun=6,Dayrun=9),IF(AND(Dayrun&gt;=3,Dayrun&lt;=6),O11,(VLOOKUP(A11,ScaledPrice,7))*(2-(VLOOKUP(A11,ScaledPrice,3)))),0))</f>
        <v> </v>
      </c>
      <c r="Q11" s="315" t="str">
        <f aca="false">IF(A11="N/A"," ",IF(AND(Dayrun&gt;2,Dayrun&lt;=3),VLOOKUP(A11,ScaledPrice,9),0))</f>
        <v> </v>
      </c>
      <c r="R11" s="316" t="str">
        <f aca="false">IF($A11="N/A"," ",IF(Pricetype=2,MAX(I11-$H11,0),IF(Pricetype=1,(xSPRDOPT(I11,$E11,$CI11,0,($CD11+IF(Smile=TRUE(),VLOOKUP(MAX(-5,$H11-I11),Volsmile,2),0)),$CG11,$CH11,($A11-DateToday)+15,1,0)),I11-$H11)))</f>
        <v> </v>
      </c>
      <c r="S11" s="316" t="str">
        <f aca="false">IF($A11="N/A"," ",IF(Pricetype=2,MAX(J11-$H11,0),IF(Pricetype=1,(xSPRDOPT(J11,$E11,$CI11,0,($CD11+IF(Smile=TRUE(),VLOOKUP(MAX(-5,$H11-J11),Volsmile,2),0)),$CG11,$CH11,($A11-DateToday)+15,1,0)),J11-$H11)))</f>
        <v> </v>
      </c>
      <c r="T11" s="317" t="str">
        <f aca="false">IF($A11="N/A"," ",(IF(Pricetype=2,IF((K11-$H11)&lt;=0,0,(K11-$H11)),IF(K11&lt;&gt;0,(K11-$H11),0))))</f>
        <v> </v>
      </c>
      <c r="U11" s="316" t="str">
        <f aca="false">IF($A11="N/A"," ",IF(Pricetype=2,MAX(L11-$H11,0),IF(L11&lt;&gt;0,IF(Pricetype=1,(xSPRDOPT(L11,$E11,$CI11,0,($CD11+IF(Smile=TRUE(),VLOOKUP(MAX(-5,$H11-L11),Volsmile,2),0)),$CG11,$CH11,($A11-DateToday)+15,1,0)),L11-$H11),0)))</f>
        <v> </v>
      </c>
      <c r="V11" s="316" t="str">
        <f aca="false">IF($A11="N/A"," ",IF(Pricetype=2,MAX(M11-$H11,0),IF(M11&lt;&gt;0,IF(Pricetype=1,(xSPRDOPT(M11,$E11,$CI11,0,($CD11+IF(Smile=TRUE(),VLOOKUP(MAX(-5,$H11-M11),Volsmile,2),0)),$CG11,$CH11,($A11-DateToday)+15,1,0)),M11-$H11),0)))</f>
        <v> </v>
      </c>
      <c r="W11" s="317" t="str">
        <f aca="false">IF($A11="N/A"," ",(IF(Pricetype=2,IF((N11-$H11)&lt;=0,0,(N11-$H11)),IF(N11&lt;&gt;0,(N11-$H11),0))))</f>
        <v> </v>
      </c>
      <c r="X11" s="316" t="str">
        <f aca="false">IF($A11="N/A"," ",IF(Pricetype=2,MAX(O11-$H11,0),IF(O11&lt;&gt;0,IF(Pricetype=1,(xSPRDOPT(O11,$E11,$CI11,0,($CD11+IF(Smile=TRUE(),VLOOKUP(MAX(-5,$H11-O11),Volsmile,2),0)),$CG11,$CH11,($A11-DateToday)+15,1,0)),O11-$H11),0)))</f>
        <v> </v>
      </c>
      <c r="Y11" s="316" t="str">
        <f aca="false">IF($A11="N/A"," ",IF(Pricetype=2,MAX(P11-$H11,0),IF(P11&lt;&gt;0,IF(Pricetype=1,(xSPRDOPT(P11,$E11,$CI11,0,($CD11+IF(Smile=TRUE(),VLOOKUP(MAX(-5,$H11-P11),Volsmile,2),0)),$CG11,$CH11,($A11-DateToday)+15,1,0)),P11-$H11),0)))</f>
        <v> </v>
      </c>
      <c r="Z11" s="317" t="str">
        <f aca="false">IF($A11="N/A"," ",(IF(Pricetype=2,IF((Q11-$H11)&lt;=0,0,(Q11-$H11)),IF(Q11&lt;&gt;0,(Q11-$H11),0))))</f>
        <v> </v>
      </c>
      <c r="AA11" s="318" t="str">
        <f aca="false">IF($A11="N/A"," ",IF(VLOOKUP(MONTH(A11),ManualTable,2)=1,(IF(0&lt;&gt;R11,IF(Pricetype=1,(xSPRDOPT(I11,$E11,$CI11,0,($CD11+IF(Smile=TRUE(),VLOOKUP(MAX(-5,$H11-I11),Volsmile,2),0)),$CG11,$CH11,($A11-DateToday)+15,1,1))*(8*$HD11),8*$HD11),0)),0))</f>
        <v> </v>
      </c>
      <c r="AB11" s="318" t="str">
        <f aca="false">IF($A11="N/A"," ",IF(VLOOKUP(MONTH(A11),ManualTable,3)=1,(IF(S11&lt;&gt;0,IF(Pricetype=1,(xSPRDOPT(J11,$E11,$CI11,0,($CD11+IF(Smile=TRUE(),VLOOKUP(MAX(-5,$H11-J11),Volsmile,2),0)),$CG11,$CH11,($A11-DateToday)+15,1,1))*(8*$HD11),8*$HD11),0)),0))</f>
        <v> </v>
      </c>
      <c r="AC11" s="318" t="str">
        <f aca="false">IF($A11="N/A"," ",IF(VLOOKUP(MONTH(A11),ManualTable,4)=1,(IF(T11&lt;&gt;0,(8*$HD11),0)),0))</f>
        <v> </v>
      </c>
      <c r="AD11" s="318" t="str">
        <f aca="false">IF($A11="N/A"," ",IF(VLOOKUP(MONTH(A11),ManualTable,5)=1,(IF(U11&lt;&gt;0,IF(Pricetype=1,(xSPRDOPT(L11,$E11,$CI11,0,($CD11+IF(Smile=TRUE(),VLOOKUP(MAX(-5,$H11-L11),Volsmile,2),0)),$CG11,$CH11,($A11-DateToday)+15,1,1))*(8*$HE11),8*$HE11),0)),0))</f>
        <v> </v>
      </c>
      <c r="AE11" s="318" t="str">
        <f aca="false">IF($A11="N/A"," ",IF(VLOOKUP(MONTH(A11),ManualTable,6)=1,(IF(V11&lt;&gt;0,IF(Pricetype=1,(xSPRDOPT(M11,$E11,$CI11,0,($CD11+IF(Smile=TRUE(),VLOOKUP(MAX(-5,$H11-M11),Volsmile,2),0)),$CG11,$CH11,($A11-DateToday)+15,1,1))*(8*$HE11),8*$HE11),0)),0))</f>
        <v> </v>
      </c>
      <c r="AF11" s="318" t="str">
        <f aca="false">IF($A11="N/A"," ",IF(VLOOKUP(MONTH(A11),ManualTable,7)=1,(IF(W11&lt;&gt;0,(8*$HE11),0)),0))</f>
        <v> </v>
      </c>
      <c r="AG11" s="318" t="str">
        <f aca="false">IF($A11="N/A"," ",IF(VLOOKUP(MONTH(A11),ManualTable,8)=1,(IF(X11&lt;&gt;0,IF(Pricetype=1,(xSPRDOPT(O11,$E11,$CI11,0,($CD11+IF(Smile=TRUE(),VLOOKUP(MAX(-5,$H11-O11),Volsmile,2),0)),$CG11,$CH11,($A11-DateToday)+15,1,1))*(8*$HF11),8*$HF11),0)),0))</f>
        <v> </v>
      </c>
      <c r="AH11" s="318" t="str">
        <f aca="false">IF($A11="N/A"," ",IF(VLOOKUP(MONTH(A11),ManualTable,9)=1,(IF(Y11&lt;&gt;0,IF(Pricetype=1,(xSPRDOPT(P11,$E11,$CI11,0,($CD11+IF(Smile=TRUE(),VLOOKUP(MAX(-5,$H11-P11),Volsmile,2),0)),$CG11,$CH11,($A11-DateToday)+15,1,1))*(8*$HF11),8*$HF11),0)),0))</f>
        <v> </v>
      </c>
      <c r="AI11" s="318" t="str">
        <f aca="false">IF($A11="N/A"," ",IF(VLOOKUP(MONTH(A11),ManualTable,10)=1,(IF(Z11&lt;&gt;0,(8*($HF11)),0)),0))</f>
        <v> </v>
      </c>
      <c r="AJ11" s="344" t="str">
        <f aca="false">IF($A11="N/A"," ",RANK(R11,$R$4:$Z$15))</f>
        <v> </v>
      </c>
      <c r="AK11" s="321" t="str">
        <f aca="false">IF($A11="N/A"," ",RANK(S11,$R$4:$Z$15))</f>
        <v> </v>
      </c>
      <c r="AL11" s="321" t="str">
        <f aca="false">IF($A11="N/A"," ",RANK(T11,$R$4:$Z$15))</f>
        <v> </v>
      </c>
      <c r="AM11" s="321" t="str">
        <f aca="false">IF($A11="N/A"," ",RANK(U11,$R$4:$Z$15))</f>
        <v> </v>
      </c>
      <c r="AN11" s="321" t="str">
        <f aca="false">IF($A11="N/A"," ",RANK(V11,$R$4:$Z$15))</f>
        <v> </v>
      </c>
      <c r="AO11" s="321" t="str">
        <f aca="false">IF($A11="N/A"," ",RANK(W11,$R$4:$Z$15))</f>
        <v> </v>
      </c>
      <c r="AP11" s="321" t="str">
        <f aca="false">IF($A11="N/A"," ",RANK(X11,$R$4:$Z$15))</f>
        <v> </v>
      </c>
      <c r="AQ11" s="321" t="str">
        <f aca="false">IF($A11="N/A"," ",RANK(Y11,$R$4:$Z$15))</f>
        <v> </v>
      </c>
      <c r="AR11" s="345" t="str">
        <f aca="false">IF($A11="N/A"," ",RANK(Z11,$R$4:$Z$15))</f>
        <v> </v>
      </c>
      <c r="AS11" s="323" t="n">
        <f aca="false">IF($A11="N/A",0,IF(AJ11&lt;=$AR$2,AA11,0))</f>
        <v>0</v>
      </c>
      <c r="AT11" s="325" t="n">
        <f aca="false">IF($A11="N/A",0,IF(AK11&lt;=$AR$2,AB11,0))</f>
        <v>0</v>
      </c>
      <c r="AU11" s="325" t="n">
        <f aca="false">IF($A11="N/A",0,IF(AL11&lt;=$AR$2,AC11,0))</f>
        <v>0</v>
      </c>
      <c r="AV11" s="325" t="n">
        <f aca="false">IF($A11="N/A",0,IF(AM11&lt;=$AR$2,AD11,0))</f>
        <v>0</v>
      </c>
      <c r="AW11" s="325" t="n">
        <f aca="false">IF($A11="N/A",0,IF(AN11&lt;=$AR$2,AE11,0))</f>
        <v>0</v>
      </c>
      <c r="AX11" s="325" t="n">
        <f aca="false">IF($A11="N/A",0,IF(AO11&lt;=$AR$2,AF11,0))</f>
        <v>0</v>
      </c>
      <c r="AY11" s="325" t="n">
        <f aca="false">IF($A11="N/A",0,IF(AP11&lt;=$AR$2,AG11,0))</f>
        <v>0</v>
      </c>
      <c r="AZ11" s="325" t="n">
        <f aca="false">IF($A11="N/A",0,IF(AQ11&lt;=$AR$2,AH11,0))</f>
        <v>0</v>
      </c>
      <c r="BA11" s="325" t="n">
        <f aca="false">IF($A11="N/A",0,IF(AR11&lt;=$AR$2,AI11,0))</f>
        <v>0</v>
      </c>
      <c r="BB11" s="345"/>
      <c r="BC11" s="326" t="n">
        <f aca="false">IF($A11="N/A",0,IF(AND(AJ11=$AR$2+1,AS11=0),MIN($BB$15,AA11),0))</f>
        <v>0</v>
      </c>
      <c r="BD11" s="346" t="n">
        <f aca="false">IF($A11="N/A",0,IF(AND(AK11=$AR$2+1,AT11=0),MIN($BB$15,AB11),0))</f>
        <v>0</v>
      </c>
      <c r="BE11" s="346" t="n">
        <f aca="false">IF($A11="N/A",0,IF(AND(AL11=$AR$2+1,AU11=0),MIN($BB$15,AC11),0))</f>
        <v>0</v>
      </c>
      <c r="BF11" s="346" t="n">
        <f aca="false">IF($A11="N/A",0,IF(AND(AM11=$AR$2+1,AV11=0),MIN($BB$15,AD11),0))</f>
        <v>0</v>
      </c>
      <c r="BG11" s="346" t="n">
        <f aca="false">IF($A11="N/A",0,IF(AND(AN11=$AR$2+1,AW11=0),MIN($BB$15,AE11),0))</f>
        <v>0</v>
      </c>
      <c r="BH11" s="346" t="n">
        <f aca="false">IF($A11="N/A",0,IF(AND(AO11=$AR$2+1,AX11=0),MIN($BB$15,AF11),0))</f>
        <v>0</v>
      </c>
      <c r="BI11" s="346" t="n">
        <f aca="false">IF($A11="N/A",0,IF(AND(AP11=$AR$2+1,AY11=0),MIN($BB$15,AG11),0))</f>
        <v>0</v>
      </c>
      <c r="BJ11" s="346" t="n">
        <f aca="false">IF($A11="N/A",0,IF(AND(AQ11=$AR$2+1,AZ11=0),MIN($BB$15,AH11),0))</f>
        <v>0</v>
      </c>
      <c r="BK11" s="346" t="n">
        <f aca="false">IF($A11="N/A",0,IF(AND(AR11=$AR$2+1,BA11=0),MIN($BB$15,AI11),0))</f>
        <v>0</v>
      </c>
      <c r="BL11" s="347"/>
      <c r="BM11" s="329" t="str">
        <f aca="false">IF($A11="N/A"," ",(IF(MONTH(A11)&gt;=4,IF(MONTH(A11)&lt;=10,Inputs!$F$13-Inputs!$G$13,Inputs!$F$14-Inputs!$G$14),Inputs!$F$14-Inputs!$G$14))*$CK11*Availability)</f>
        <v> </v>
      </c>
      <c r="BN11" s="330" t="str">
        <f aca="false">IF($A11="N/A"," ",(IF(AS11&gt;0,($BM11*(8*($HD11))*R11),0)+IF(BC11&gt;0,($BM11*((BC11/AA11)*8*$HD11)*R11),0)))</f>
        <v> </v>
      </c>
      <c r="BO11" s="330" t="str">
        <f aca="false">IF($A11="N/A"," ",(IF(AT11&gt;0,($BM11*(8*($HD11))*S11),0)+IF(BD11&gt;0,($BM11*((BD11/AB11)*8*$HD11)*S11),0)))</f>
        <v> </v>
      </c>
      <c r="BP11" s="330" t="str">
        <f aca="false">IF($A11="N/A"," ",(IF(AU11&gt;0,($BM11*(8*($HD11))*T11),0)+IF(BE11&gt;0,($BM11*((BE11))*T11),0)))</f>
        <v> </v>
      </c>
      <c r="BQ11" s="330" t="str">
        <f aca="false">IF($A11="N/A"," ",(IF(AV11&gt;0,($BM11*(8*($HE11))*U11),0)+IF(BF11&gt;0,($BM11*((BF11/AD11)*8*$HE11)*U11),0)))</f>
        <v> </v>
      </c>
      <c r="BR11" s="330" t="str">
        <f aca="false">IF($A11="N/A"," ",(IF(AW11&gt;0,($BM11*(8*($HE11))*V11),0)+IF(BG11&gt;0,($BM11*((BG11/AE11)*8*$HE11)*V11),0)))</f>
        <v> </v>
      </c>
      <c r="BS11" s="330" t="str">
        <f aca="false">IF($A11="N/A"," ",(IF(AX11&gt;0,($BM11*(8*($HE11))*W11),0)+IF(BH11&gt;0,($BM11*((BH11))*W11),0)))</f>
        <v> </v>
      </c>
      <c r="BT11" s="330" t="str">
        <f aca="false">IF($A11="N/A"," ",(IF(AY11&gt;0,($BM11*(8*($HF11))*X11),0)+IF(BI11&gt;0,($BM11*((BI11/AG11)*8*$HF11)*X11),0)))</f>
        <v> </v>
      </c>
      <c r="BU11" s="330" t="str">
        <f aca="false">IF($A11="N/A"," ",(IF(AZ11&gt;0,($BM11*(8*($HF11))*Y11),0)+IF(BJ11&gt;0,($BM11*((BJ11/AH11)*8*$HF11)*Y11),0)))</f>
        <v> </v>
      </c>
      <c r="BV11" s="330" t="str">
        <f aca="false">IF($A11="N/A"," ",(IF(BA11&gt;0,($BM11*(8*($HF11))*Z11),0)+IF(BK11&gt;0,($BM11*((BK11))*Z11),0)))</f>
        <v> </v>
      </c>
      <c r="BW11" s="330" t="str">
        <f aca="false">IF($A11="N/A"," ",SUM(BN11:BV11))</f>
        <v> </v>
      </c>
      <c r="BX11" s="331" t="str">
        <f aca="false">IF($A11="N/A"," ",(H11*(SUM(AS11:BA11)+SUM(BC11:BK11))*BM11))</f>
        <v> </v>
      </c>
      <c r="BY11" s="332" t="str">
        <f aca="false">IF($A11="N/A"," ",((C11*D11)*(SUM($AS11:$BA11)+SUM($BC11:$BK11))*$BM11))</f>
        <v> </v>
      </c>
      <c r="BZ11" s="332" t="str">
        <f aca="false">IF($A11="N/A"," ",(F11*(SUM($AS11:$BA11)+SUM($BC11:$BK11))*$BM11))</f>
        <v> </v>
      </c>
      <c r="CA11" s="333" t="str">
        <f aca="false">IF($A11="N/A"," ",(G11*(SUM($AS11:$BA11)+SUM($BC11:$BK11))*$BM11))</f>
        <v> </v>
      </c>
      <c r="CB11" s="334" t="str">
        <f aca="false">IF(A11="N/A"," ",(VLOOKUP(A11,PowerVolTable,(IF(BMO=2,7,IF(BMO=1,6,8))),FALSE())))</f>
        <v> </v>
      </c>
      <c r="CC11" s="334" t="str">
        <f aca="false">IF(A11="N/A"," ",(VLOOKUP(A11,IntraPowerVol,(IF(BMO=2,3,IF(BMO=1,2,4))),FALSE())*VLOOKUP(MONTH($A11),Volscale,2)))</f>
        <v> </v>
      </c>
      <c r="CD11" s="335" t="str">
        <f aca="false">IF($A11="N/A"," ",(IF(DateToday&gt;$A11,$CC11,((($CB11^2)*((($A11-1)-DateToday)/((EOMONTH($A11,0)+1)-DateToday-15)))+((($CC11)^2)*((15)/((EOMONTH($A11,0)+1)-DateToday-15))))^0.5)))</f>
        <v> </v>
      </c>
      <c r="CE11" s="334" t="str">
        <f aca="false">IF($A11="N/A"," ",(VLOOKUP($A11,GasVolTable,(IF(BMO=2,6,IF(BMO=1,7,5))),FALSE())))</f>
        <v> </v>
      </c>
      <c r="CF11" s="334" t="str">
        <f aca="false">IF($A11="N/A"," ",(VLOOKUP($A11,OmicronVol,(IF(BMO=2,3,IF(BMO=1,4,2))),FALSE())))</f>
        <v> </v>
      </c>
      <c r="CG11" s="335" t="str">
        <f aca="false">IF($A11="N/A"," ",(IF(DateToday&gt;$A11,$CF11,((($CE11^2)*((($A11-1)-DateToday)/((EOMONTH($A11,0)+1)-DateToday-15)))+((($CF11)^2)*((15)/((EOMONTH($A11,0)+1)-DateToday-15))))^0.5)))</f>
        <v> </v>
      </c>
      <c r="CH11" s="334" t="str">
        <f aca="false">IF($A11="N/A"," ",VLOOKUP($A11,CorrelationTable,2,FALSE()))</f>
        <v> </v>
      </c>
      <c r="CI11" s="336" t="str">
        <f aca="false">IF($A11="N/A"," ",F11+G11+(D11*('Pricing Inputs'!T44)))</f>
        <v> </v>
      </c>
      <c r="CJ11" s="334" t="str">
        <f aca="false">IF($A11="N/A"," ",IF(PV=1,0,'Pricing Inputs'!U44))</f>
        <v> </v>
      </c>
      <c r="CK11" s="337" t="str">
        <f aca="false">IF($A11="N/A"," ",(1+CJ11/2)^(-2*((EOMONTH(A11,0)+20)-DateToday)/365.25))</f>
        <v> </v>
      </c>
      <c r="CL11" s="338" t="str">
        <f aca="false">IF(A11="N/A"," ",IF(CC=2,(VLOOKUP(MONTH($A11),Hrtable,3))/1000,0))</f>
        <v> </v>
      </c>
      <c r="CM11" s="339" t="str">
        <f aca="false">IF(A11="N/A"," ",IF(CC=2,(CL11*C11)+F11,0))</f>
        <v> </v>
      </c>
      <c r="CN11" s="340" t="str">
        <f aca="false">IF($A11="N/A"," ",IF(CC=2,(VLOOKUP(A11,ScaledPrice,(IF(AND(Dayrun&gt;=1,Dayrun&lt;=6),2,4)))-((IF(R11&lt;&gt;0,$D11,$CL11)*$C11)+$F11+$G11)),0))</f>
        <v> </v>
      </c>
      <c r="CO11" s="340" t="str">
        <f aca="false">IF($A11="N/A"," ",IF(CC=2,(IF(AND(Dayrun&gt;=1,Dayrun&lt;=6),I11,(VLOOKUP(A11,ScaledPrice,2))*(2-(VLOOKUP(A11,ScaledPrice,3))))-((IF(S11&lt;&gt;0,$D11,$CL11)*$C11)+$F11+$G11)),0))</f>
        <v> </v>
      </c>
      <c r="CP11" s="340" t="str">
        <f aca="false">IF(A11="N/A"," ",IF(CC=2,(VLOOKUP(A11,ScaledPrice,9)-((IF(T11&lt;&gt;0,$D11,$CL11)*$C11)+$F11+$G11)),0))</f>
        <v> </v>
      </c>
      <c r="CQ11" s="340" t="str">
        <f aca="false">IF(A11="N/A"," ",IF(CC=2,(IF(OR(Dayrun=2,Dayrun=3,Dayrun=5,Dayrun=6,Dayrun=8,Dayrun=9),VLOOKUP(A11,ScaledPrice,IF(AND(Dayrun&gt;=2,Dayrun&lt;=6),5,6)),0)-((IF(U11&lt;&gt;0,$D11,$CL11)*$C11)+$F11+$G11)),0))</f>
        <v> </v>
      </c>
      <c r="CR11" s="340" t="str">
        <f aca="false">IF(A11="N/A"," ",IF(CC=2,(IF(OR(Dayrun=2,Dayrun=3,Dayrun=5,Dayrun=6,Dayrun=8,Dayrun=9),IF(AND(Dayrun&gt;=2,Dayrun&lt;=6),L11,(VLOOKUP(A11,ScaledPrice,5))*(2-(VLOOKUP(A11,ScaledPrice,3)))),0)-((IF(V11&lt;&gt;0,$D11,$CL11)*$C11)+$F11+$G11)),0))</f>
        <v> </v>
      </c>
      <c r="CS11" s="340" t="str">
        <f aca="false">IF(A11="N/A"," ",IF(CC=2,(VLOOKUP(A11,ScaledPrice,9)-((IF(W11&lt;&gt;0,$D11,$CL11)*$C11)+$F11+$G11)),0))</f>
        <v> </v>
      </c>
      <c r="CT11" s="340" t="str">
        <f aca="false">IF(A11="N/A"," ",IF(CC=2,(IF(OR(Dayrun=3,Dayrun=6,Dayrun=9),(VLOOKUP(A11,ScaledPrice,IF(AND(Dayrun&gt;=3,Dayrun&lt;=6),7,8))),0)-((IF(X11&lt;&gt;0,$D11,$CL11)*$C11)+$F11+$G11)),0))</f>
        <v> </v>
      </c>
      <c r="CU11" s="340" t="str">
        <f aca="false">IF(A11="N/A"," ",IF(CC=2,(IF(OR(Dayrun=3,Dayrun=6,Dayrun=9),IF(AND(Dayrun&gt;=3,Dayrun&lt;=6),O11,(VLOOKUP(A11,ScaledPrice,7))*(2-(VLOOKUP(A11,ScaledPrice,3)))),0)-((IF(Y11&lt;&gt;0,$D11,$CL11)*$C11)+$F11+$G11)),0))</f>
        <v> </v>
      </c>
      <c r="CV11" s="340" t="str">
        <f aca="false">IF(A11="N/A"," ",IF(CC=2,(VLOOKUP(A11,ScaledPrice,9)-((IF(Z11&lt;&gt;0,$D11,$CL11)*$C11)+$F11+$G11)),0))</f>
        <v> </v>
      </c>
      <c r="CW11" s="318" t="str">
        <f aca="false">IF($A11="N/A"," ",IF(0&lt;&gt;CN11,IF(CC=2,8*$HD11,0),0))</f>
        <v> </v>
      </c>
      <c r="CX11" s="318" t="str">
        <f aca="false">IF($A11="N/A"," ",IF(0&lt;&gt;CO11,IF(CC=2,8*$HD11,0),0))</f>
        <v> </v>
      </c>
      <c r="CY11" s="318" t="str">
        <f aca="false">IF($A11="N/A"," ",IF(0&lt;&gt;CP11,IF(CC=2,8*$HD11,0),0))</f>
        <v> </v>
      </c>
      <c r="CZ11" s="318" t="str">
        <f aca="false">IF($A11="N/A"," ",IF(0&lt;&gt;CQ11,IF(CC=2,8*$HE11,0),0))</f>
        <v> </v>
      </c>
      <c r="DA11" s="318" t="str">
        <f aca="false">IF($A11="N/A"," ",IF(0&lt;&gt;CR11,IF(CC=2,8*$HE11,0),0))</f>
        <v> </v>
      </c>
      <c r="DB11" s="318" t="str">
        <f aca="false">IF($A11="N/A"," ",IF(0&lt;&gt;CS11,IF(CC=2,8*$HE11,0),0))</f>
        <v> </v>
      </c>
      <c r="DC11" s="318" t="str">
        <f aca="false">IF($A11="N/A"," ",IF(0&lt;&gt;CT11,IF(CC=2,8*$HF11,0),0))</f>
        <v> </v>
      </c>
      <c r="DD11" s="318" t="str">
        <f aca="false">IF($A11="N/A"," ",IF(0&lt;&gt;CU11,IF(CC=2,8*$HF11,0),0))</f>
        <v> </v>
      </c>
      <c r="DE11" s="318" t="str">
        <f aca="false">IF($A11="N/A"," ",IF(0&lt;&gt;CV11,IF(CC=2,8*$HF11,0),0))</f>
        <v> </v>
      </c>
      <c r="DF11" s="341" t="str">
        <f aca="false">IF($A11="N/A"," ",IF(CC=2,(IF(MONTH(A11)&gt;=4,IF(MONTH(A11)&lt;=10,Inputs!$G$13,Inputs!$G$14),Inputs!$G$14))*$CK11,0))</f>
        <v> </v>
      </c>
      <c r="DG11" s="342" t="str">
        <f aca="false">IF($A11="N/A"," ",IF(CC=2,$DF11*CW11*CN11,0))</f>
        <v> </v>
      </c>
      <c r="DH11" s="342" t="str">
        <f aca="false">IF($A11="N/A"," ",IF(CC=2,$DF11*CX11*CO11,0))</f>
        <v> </v>
      </c>
      <c r="DI11" s="342" t="str">
        <f aca="false">IF($A11="N/A"," ",IF(CC=2,$DF11*CY11*CP11,0))</f>
        <v> </v>
      </c>
      <c r="DJ11" s="342" t="str">
        <f aca="false">IF($A11="N/A"," ",IF(CC=2,$DF11*CZ11*CQ11,0))</f>
        <v> </v>
      </c>
      <c r="DK11" s="342" t="str">
        <f aca="false">IF($A11="N/A"," ",IF(CC=2,$DF11*DA11*CR11,0))</f>
        <v> </v>
      </c>
      <c r="DL11" s="342" t="str">
        <f aca="false">IF($A11="N/A"," ",IF(CC=2,$DF11*DB11*CS11,0))</f>
        <v> </v>
      </c>
      <c r="DM11" s="342" t="str">
        <f aca="false">IF($A11="N/A"," ",IF(CC=2,$DF11*DC11*CT11,0))</f>
        <v> </v>
      </c>
      <c r="DN11" s="342" t="str">
        <f aca="false">IF($A11="N/A"," ",IF(CC=2,$DF11*DD11*CU11,0))</f>
        <v> </v>
      </c>
      <c r="DO11" s="342" t="str">
        <f aca="false">IF($A11="N/A"," ",IF(CC=2,$DF11*DE11*CV11,0))</f>
        <v> </v>
      </c>
      <c r="DP11" s="343" t="str">
        <f aca="false">IF($A11="N/A"," ",IF(CC=2,SUM(DG11:DO11),0))</f>
        <v> </v>
      </c>
      <c r="DQ11" s="0" t="str">
        <f aca="false">IF(A11="N/A"," ",Perstart)</f>
        <v> </v>
      </c>
      <c r="HD11" s="0" t="str">
        <f aca="false">IF($A11="N/A"," ",VLOOKUP($A11,NumberofDaysTable,2))</f>
        <v> </v>
      </c>
      <c r="HE11" s="0" t="str">
        <f aca="false">IF($A11="N/A"," ",VLOOKUP($A11,NumberofDaysTable,3))</f>
        <v> </v>
      </c>
      <c r="HF11" s="0" t="str">
        <f aca="false">IF($A11="N/A"," ",VLOOKUP($A11,NumberofDaysTable,4))</f>
        <v> </v>
      </c>
    </row>
    <row r="12" customFormat="false" ht="12.75" hidden="false" customHeight="false" outlineLevel="0" collapsed="false">
      <c r="A12" s="308" t="str">
        <f aca="false">IF(A11="N/A","N/A",IF(EDATE(A11,1)&gt;Inputs!$K$3,"N/A",EDATE(A11,1)))</f>
        <v>N/A</v>
      </c>
      <c r="B12" s="309" t="str">
        <f aca="false">IF(A12="N/A"," ",YEAR(A12))</f>
        <v> </v>
      </c>
      <c r="C12" s="310" t="str">
        <f aca="false">IF(A12="N/A"," ",VLOOKUP(A12,ScaledPrice,10))</f>
        <v> </v>
      </c>
      <c r="D12" s="311" t="str">
        <f aca="false">IF(A12="N/A"," ",(VLOOKUP(MONTH($A12),Hrtable,2))/1000)</f>
        <v> </v>
      </c>
      <c r="E12" s="312" t="str">
        <f aca="false">IF($A12="N/A"," ",(C12-'Pricing Inputs'!T45)*D12)</f>
        <v> </v>
      </c>
      <c r="F12" s="313" t="str">
        <f aca="false">IF(A12="N/A"," ",VOM)</f>
        <v> </v>
      </c>
      <c r="G12" s="313" t="str">
        <f aca="false">IF(A12="N/A"," ",Perstart/IF(AND(Dayrun&gt;=4,Dayrun&lt;=6),16,IF(AND(Dayrun&gt;=7,Dayrun&lt;=9),8,24))/(BM12/CK12))</f>
        <v> </v>
      </c>
      <c r="H12" s="314" t="str">
        <f aca="false">IF(A12="N/A"," ",(C12*D12)+F12+G12)</f>
        <v> </v>
      </c>
      <c r="I12" s="315" t="str">
        <f aca="false">VLOOKUP(A12,ScaledPrice,(IF(AND(Dayrun&gt;=1,Dayrun&lt;=6),2,4)))</f>
        <v> </v>
      </c>
      <c r="J12" s="315" t="str">
        <f aca="false">IF(A12="N/A"," ",IF(AND(Dayrun&gt;=1,Dayrun&lt;=6),I12,(VLOOKUP(A12,ScaledPrice,2))*(2-(VLOOKUP(A12,ScaledPrice,3)))))</f>
        <v> </v>
      </c>
      <c r="K12" s="315" t="str">
        <f aca="false">IF(A12="N/A"," ",IF(AND(Dayrun&gt;=1,Dayrun&lt;=3),VLOOKUP(A12,ScaledPrice,9),0))</f>
        <v> </v>
      </c>
      <c r="L12" s="315" t="str">
        <f aca="false">IF(A12="N/A"," ",IF(OR(Dayrun=2,Dayrun=3,Dayrun=5,Dayrun=6,Dayrun=8,Dayrun=9),VLOOKUP(A12,ScaledPrice,IF(AND(Dayrun&gt;=2,Dayrun&lt;=6),5,6)),0))</f>
        <v> </v>
      </c>
      <c r="M12" s="315" t="str">
        <f aca="false">IF(A12="N/A"," ",IF(OR(Dayrun=2,Dayrun=3,Dayrun=5,Dayrun=6,Dayrun=8,Dayrun=9),IF(AND(Dayrun&gt;=2,Dayrun&lt;=6),L12,(VLOOKUP(A12,ScaledPrice,5))*(2-(VLOOKUP(A12,ScaledPrice,3)))),0))</f>
        <v> </v>
      </c>
      <c r="N12" s="315" t="str">
        <f aca="false">IF(A12="N/A"," ",IF(AND(Dayrun&gt;1,Dayrun&lt;=3),VLOOKUP(A12,ScaledPrice,9),0))</f>
        <v> </v>
      </c>
      <c r="O12" s="315" t="str">
        <f aca="false">IF(A12="N/A"," ",IF(OR(Dayrun=3,Dayrun=6,Dayrun=9),(VLOOKUP(A12,ScaledPrice,IF(AND(Dayrun&gt;=3,Dayrun&lt;=6),7,8))),0))</f>
        <v> </v>
      </c>
      <c r="P12" s="315" t="str">
        <f aca="false">IF(A12="N/A"," ",IF(OR(Dayrun=3,Dayrun=6,Dayrun=9),IF(AND(Dayrun&gt;=3,Dayrun&lt;=6),O12,(VLOOKUP(A12,ScaledPrice,7))*(2-(VLOOKUP(A12,ScaledPrice,3)))),0))</f>
        <v> </v>
      </c>
      <c r="Q12" s="315" t="str">
        <f aca="false">IF(A12="N/A"," ",IF(AND(Dayrun&gt;2,Dayrun&lt;=3),VLOOKUP(A12,ScaledPrice,9),0))</f>
        <v> </v>
      </c>
      <c r="R12" s="316" t="str">
        <f aca="false">IF($A12="N/A"," ",IF(Pricetype=2,MAX(I12-$H12,0),IF(Pricetype=1,(xSPRDOPT(I12,$E12,$CI12,0,($CD12+IF(Smile=TRUE(),VLOOKUP(MAX(-5,$H12-I12),Volsmile,2),0)),$CG12,$CH12,($A12-DateToday)+15,1,0)),I12-$H12)))</f>
        <v> </v>
      </c>
      <c r="S12" s="316" t="str">
        <f aca="false">IF($A12="N/A"," ",IF(Pricetype=2,MAX(J12-$H12,0),IF(Pricetype=1,(xSPRDOPT(J12,$E12,$CI12,0,($CD12+IF(Smile=TRUE(),VLOOKUP(MAX(-5,$H12-J12),Volsmile,2),0)),$CG12,$CH12,($A12-DateToday)+15,1,0)),J12-$H12)))</f>
        <v> </v>
      </c>
      <c r="T12" s="317" t="str">
        <f aca="false">IF($A12="N/A"," ",(IF(Pricetype=2,IF((K12-$H12)&lt;=0,0,(K12-$H12)),IF(K12&lt;&gt;0,(K12-$H12),0))))</f>
        <v> </v>
      </c>
      <c r="U12" s="316" t="str">
        <f aca="false">IF($A12="N/A"," ",IF(Pricetype=2,MAX(L12-$H12,0),IF(L12&lt;&gt;0,IF(Pricetype=1,(xSPRDOPT(L12,$E12,$CI12,0,($CD12+IF(Smile=TRUE(),VLOOKUP(MAX(-5,$H12-L12),Volsmile,2),0)),$CG12,$CH12,($A12-DateToday)+15,1,0)),L12-$H12),0)))</f>
        <v> </v>
      </c>
      <c r="V12" s="316" t="str">
        <f aca="false">IF($A12="N/A"," ",IF(Pricetype=2,MAX(M12-$H12,0),IF(M12&lt;&gt;0,IF(Pricetype=1,(xSPRDOPT(M12,$E12,$CI12,0,($CD12+IF(Smile=TRUE(),VLOOKUP(MAX(-5,$H12-M12),Volsmile,2),0)),$CG12,$CH12,($A12-DateToday)+15,1,0)),M12-$H12),0)))</f>
        <v> </v>
      </c>
      <c r="W12" s="317" t="str">
        <f aca="false">IF($A12="N/A"," ",(IF(Pricetype=2,IF((N12-$H12)&lt;=0,0,(N12-$H12)),IF(N12&lt;&gt;0,(N12-$H12),0))))</f>
        <v> </v>
      </c>
      <c r="X12" s="316" t="str">
        <f aca="false">IF($A12="N/A"," ",IF(Pricetype=2,MAX(O12-$H12,0),IF(O12&lt;&gt;0,IF(Pricetype=1,(xSPRDOPT(O12,$E12,$CI12,0,($CD12+IF(Smile=TRUE(),VLOOKUP(MAX(-5,$H12-O12),Volsmile,2),0)),$CG12,$CH12,($A12-DateToday)+15,1,0)),O12-$H12),0)))</f>
        <v> </v>
      </c>
      <c r="Y12" s="316" t="str">
        <f aca="false">IF($A12="N/A"," ",IF(Pricetype=2,MAX(P12-$H12,0),IF(P12&lt;&gt;0,IF(Pricetype=1,(xSPRDOPT(P12,$E12,$CI12,0,($CD12+IF(Smile=TRUE(),VLOOKUP(MAX(-5,$H12-P12),Volsmile,2),0)),$CG12,$CH12,($A12-DateToday)+15,1,0)),P12-$H12),0)))</f>
        <v> </v>
      </c>
      <c r="Z12" s="317" t="str">
        <f aca="false">IF($A12="N/A"," ",(IF(Pricetype=2,IF((Q12-$H12)&lt;=0,0,(Q12-$H12)),IF(Q12&lt;&gt;0,(Q12-$H12),0))))</f>
        <v> </v>
      </c>
      <c r="AA12" s="318" t="str">
        <f aca="false">IF($A12="N/A"," ",IF(VLOOKUP(MONTH(A12),ManualTable,2)=1,(IF(0&lt;&gt;R12,IF(Pricetype=1,(xSPRDOPT(I12,$E12,$CI12,0,($CD12+IF(Smile=TRUE(),VLOOKUP(MAX(-5,$H12-I12),Volsmile,2),0)),$CG12,$CH12,($A12-DateToday)+15,1,1))*(8*$HD12),8*$HD12),0)),0))</f>
        <v> </v>
      </c>
      <c r="AB12" s="318" t="str">
        <f aca="false">IF($A12="N/A"," ",IF(VLOOKUP(MONTH(A12),ManualTable,3)=1,(IF(S12&lt;&gt;0,IF(Pricetype=1,(xSPRDOPT(J12,$E12,$CI12,0,($CD12+IF(Smile=TRUE(),VLOOKUP(MAX(-5,$H12-J12),Volsmile,2),0)),$CG12,$CH12,($A12-DateToday)+15,1,1))*(8*$HD12),8*$HD12),0)),0))</f>
        <v> </v>
      </c>
      <c r="AC12" s="318" t="str">
        <f aca="false">IF($A12="N/A"," ",IF(VLOOKUP(MONTH(A12),ManualTable,4)=1,(IF(T12&lt;&gt;0,(8*$HD12),0)),0))</f>
        <v> </v>
      </c>
      <c r="AD12" s="318" t="str">
        <f aca="false">IF($A12="N/A"," ",IF(VLOOKUP(MONTH(A12),ManualTable,5)=1,(IF(U12&lt;&gt;0,IF(Pricetype=1,(xSPRDOPT(L12,$E12,$CI12,0,($CD12+IF(Smile=TRUE(),VLOOKUP(MAX(-5,$H12-L12),Volsmile,2),0)),$CG12,$CH12,($A12-DateToday)+15,1,1))*(8*$HE12),8*$HE12),0)),0))</f>
        <v> </v>
      </c>
      <c r="AE12" s="318" t="str">
        <f aca="false">IF($A12="N/A"," ",IF(VLOOKUP(MONTH(A12),ManualTable,6)=1,(IF(V12&lt;&gt;0,IF(Pricetype=1,(xSPRDOPT(M12,$E12,$CI12,0,($CD12+IF(Smile=TRUE(),VLOOKUP(MAX(-5,$H12-M12),Volsmile,2),0)),$CG12,$CH12,($A12-DateToday)+15,1,1))*(8*$HE12),8*$HE12),0)),0))</f>
        <v> </v>
      </c>
      <c r="AF12" s="318" t="str">
        <f aca="false">IF($A12="N/A"," ",IF(VLOOKUP(MONTH(A12),ManualTable,7)=1,(IF(W12&lt;&gt;0,(8*$HE12),0)),0))</f>
        <v> </v>
      </c>
      <c r="AG12" s="318" t="str">
        <f aca="false">IF($A12="N/A"," ",IF(VLOOKUP(MONTH(A12),ManualTable,8)=1,(IF(X12&lt;&gt;0,IF(Pricetype=1,(xSPRDOPT(O12,$E12,$CI12,0,($CD12+IF(Smile=TRUE(),VLOOKUP(MAX(-5,$H12-O12),Volsmile,2),0)),$CG12,$CH12,($A12-DateToday)+15,1,1))*(8*$HF12),8*$HF12),0)),0))</f>
        <v> </v>
      </c>
      <c r="AH12" s="318" t="str">
        <f aca="false">IF($A12="N/A"," ",IF(VLOOKUP(MONTH(A12),ManualTable,9)=1,(IF(Y12&lt;&gt;0,IF(Pricetype=1,(xSPRDOPT(P12,$E12,$CI12,0,($CD12+IF(Smile=TRUE(),VLOOKUP(MAX(-5,$H12-P12),Volsmile,2),0)),$CG12,$CH12,($A12-DateToday)+15,1,1))*(8*$HF12),8*$HF12),0)),0))</f>
        <v> </v>
      </c>
      <c r="AI12" s="318" t="str">
        <f aca="false">IF($A12="N/A"," ",IF(VLOOKUP(MONTH(A12),ManualTable,10)=1,(IF(Z12&lt;&gt;0,(8*($HF12)),0)),0))</f>
        <v> </v>
      </c>
      <c r="AJ12" s="344" t="str">
        <f aca="false">IF($A12="N/A"," ",RANK(R12,$R$4:$Z$15))</f>
        <v> </v>
      </c>
      <c r="AK12" s="321" t="str">
        <f aca="false">IF($A12="N/A"," ",RANK(S12,$R$4:$Z$15))</f>
        <v> </v>
      </c>
      <c r="AL12" s="321" t="str">
        <f aca="false">IF($A12="N/A"," ",RANK(T12,$R$4:$Z$15))</f>
        <v> </v>
      </c>
      <c r="AM12" s="321" t="str">
        <f aca="false">IF($A12="N/A"," ",RANK(U12,$R$4:$Z$15))</f>
        <v> </v>
      </c>
      <c r="AN12" s="321" t="str">
        <f aca="false">IF($A12="N/A"," ",RANK(V12,$R$4:$Z$15))</f>
        <v> </v>
      </c>
      <c r="AO12" s="321" t="str">
        <f aca="false">IF($A12="N/A"," ",RANK(W12,$R$4:$Z$15))</f>
        <v> </v>
      </c>
      <c r="AP12" s="321" t="str">
        <f aca="false">IF($A12="N/A"," ",RANK(X12,$R$4:$Z$15))</f>
        <v> </v>
      </c>
      <c r="AQ12" s="321" t="str">
        <f aca="false">IF($A12="N/A"," ",RANK(Y12,$R$4:$Z$15))</f>
        <v> </v>
      </c>
      <c r="AR12" s="345" t="str">
        <f aca="false">IF($A12="N/A"," ",RANK(Z12,$R$4:$Z$15))</f>
        <v> </v>
      </c>
      <c r="AS12" s="323" t="n">
        <f aca="false">IF($A12="N/A",0,IF(AJ12&lt;=$AR$2,AA12,0))</f>
        <v>0</v>
      </c>
      <c r="AT12" s="325" t="n">
        <f aca="false">IF($A12="N/A",0,IF(AK12&lt;=$AR$2,AB12,0))</f>
        <v>0</v>
      </c>
      <c r="AU12" s="325" t="n">
        <f aca="false">IF($A12="N/A",0,IF(AL12&lt;=$AR$2,AC12,0))</f>
        <v>0</v>
      </c>
      <c r="AV12" s="325" t="n">
        <f aca="false">IF($A12="N/A",0,IF(AM12&lt;=$AR$2,AD12,0))</f>
        <v>0</v>
      </c>
      <c r="AW12" s="325" t="n">
        <f aca="false">IF($A12="N/A",0,IF(AN12&lt;=$AR$2,AE12,0))</f>
        <v>0</v>
      </c>
      <c r="AX12" s="325" t="n">
        <f aca="false">IF($A12="N/A",0,IF(AO12&lt;=$AR$2,AF12,0))</f>
        <v>0</v>
      </c>
      <c r="AY12" s="325" t="n">
        <f aca="false">IF($A12="N/A",0,IF(AP12&lt;=$AR$2,AG12,0))</f>
        <v>0</v>
      </c>
      <c r="AZ12" s="325" t="n">
        <f aca="false">IF($A12="N/A",0,IF(AQ12&lt;=$AR$2,AH12,0))</f>
        <v>0</v>
      </c>
      <c r="BA12" s="325" t="n">
        <f aca="false">IF($A12="N/A",0,IF(AR12&lt;=$AR$2,AI12,0))</f>
        <v>0</v>
      </c>
      <c r="BB12" s="345"/>
      <c r="BC12" s="326" t="n">
        <f aca="false">IF($A12="N/A",0,IF(AND(AJ12=$AR$2+1,AS12=0),MIN($BB$15,AA12),0))</f>
        <v>0</v>
      </c>
      <c r="BD12" s="346" t="n">
        <f aca="false">IF($A12="N/A",0,IF(AND(AK12=$AR$2+1,AT12=0),MIN($BB$15,AB12),0))</f>
        <v>0</v>
      </c>
      <c r="BE12" s="346" t="n">
        <f aca="false">IF($A12="N/A",0,IF(AND(AL12=$AR$2+1,AU12=0),MIN($BB$15,AC12),0))</f>
        <v>0</v>
      </c>
      <c r="BF12" s="346" t="n">
        <f aca="false">IF($A12="N/A",0,IF(AND(AM12=$AR$2+1,AV12=0),MIN($BB$15,AD12),0))</f>
        <v>0</v>
      </c>
      <c r="BG12" s="346" t="n">
        <f aca="false">IF($A12="N/A",0,IF(AND(AN12=$AR$2+1,AW12=0),MIN($BB$15,AE12),0))</f>
        <v>0</v>
      </c>
      <c r="BH12" s="346" t="n">
        <f aca="false">IF($A12="N/A",0,IF(AND(AO12=$AR$2+1,AX12=0),MIN($BB$15,AF12),0))</f>
        <v>0</v>
      </c>
      <c r="BI12" s="346" t="n">
        <f aca="false">IF($A12="N/A",0,IF(AND(AP12=$AR$2+1,AY12=0),MIN($BB$15,AG12),0))</f>
        <v>0</v>
      </c>
      <c r="BJ12" s="346" t="n">
        <f aca="false">IF($A12="N/A",0,IF(AND(AQ12=$AR$2+1,AZ12=0),MIN($BB$15,AH12),0))</f>
        <v>0</v>
      </c>
      <c r="BK12" s="346" t="n">
        <f aca="false">IF($A12="N/A",0,IF(AND(AR12=$AR$2+1,BA12=0),MIN($BB$15,AI12),0))</f>
        <v>0</v>
      </c>
      <c r="BL12" s="347"/>
      <c r="BM12" s="329" t="str">
        <f aca="false">IF($A12="N/A"," ",(IF(MONTH(A12)&gt;=4,IF(MONTH(A12)&lt;=10,Inputs!$F$13-Inputs!$G$13,Inputs!$F$14-Inputs!$G$14),Inputs!$F$14-Inputs!$G$14))*$CK12*Availability)</f>
        <v> </v>
      </c>
      <c r="BN12" s="330" t="str">
        <f aca="false">IF($A12="N/A"," ",(IF(AS12&gt;0,($BM12*(8*($HD12))*R12),0)+IF(BC12&gt;0,($BM12*((BC12/AA12)*8*$HD12)*R12),0)))</f>
        <v> </v>
      </c>
      <c r="BO12" s="330" t="str">
        <f aca="false">IF($A12="N/A"," ",(IF(AT12&gt;0,($BM12*(8*($HD12))*S12),0)+IF(BD12&gt;0,($BM12*((BD12/AB12)*8*$HD12)*S12),0)))</f>
        <v> </v>
      </c>
      <c r="BP12" s="330" t="str">
        <f aca="false">IF($A12="N/A"," ",(IF(AU12&gt;0,($BM12*(8*($HD12))*T12),0)+IF(BE12&gt;0,($BM12*((BE12))*T12),0)))</f>
        <v> </v>
      </c>
      <c r="BQ12" s="330" t="str">
        <f aca="false">IF($A12="N/A"," ",(IF(AV12&gt;0,($BM12*(8*($HE12))*U12),0)+IF(BF12&gt;0,($BM12*((BF12/AD12)*8*$HE12)*U12),0)))</f>
        <v> </v>
      </c>
      <c r="BR12" s="330" t="str">
        <f aca="false">IF($A12="N/A"," ",(IF(AW12&gt;0,($BM12*(8*($HE12))*V12),0)+IF(BG12&gt;0,($BM12*((BG12/AE12)*8*$HE12)*V12),0)))</f>
        <v> </v>
      </c>
      <c r="BS12" s="330" t="str">
        <f aca="false">IF($A12="N/A"," ",(IF(AX12&gt;0,($BM12*(8*($HE12))*W12),0)+IF(BH12&gt;0,($BM12*((BH12))*W12),0)))</f>
        <v> </v>
      </c>
      <c r="BT12" s="330" t="str">
        <f aca="false">IF($A12="N/A"," ",(IF(AY12&gt;0,($BM12*(8*($HF12))*X12),0)+IF(BI12&gt;0,($BM12*((BI12/AG12)*8*$HF12)*X12),0)))</f>
        <v> </v>
      </c>
      <c r="BU12" s="330" t="str">
        <f aca="false">IF($A12="N/A"," ",(IF(AZ12&gt;0,($BM12*(8*($HF12))*Y12),0)+IF(BJ12&gt;0,($BM12*((BJ12/AH12)*8*$HF12)*Y12),0)))</f>
        <v> </v>
      </c>
      <c r="BV12" s="330" t="str">
        <f aca="false">IF($A12="N/A"," ",(IF(BA12&gt;0,($BM12*(8*($HF12))*Z12),0)+IF(BK12&gt;0,($BM12*((BK12))*Z12),0)))</f>
        <v> </v>
      </c>
      <c r="BW12" s="330" t="str">
        <f aca="false">IF($A12="N/A"," ",SUM(BN12:BV12))</f>
        <v> </v>
      </c>
      <c r="BX12" s="331" t="str">
        <f aca="false">IF($A12="N/A"," ",(H12*(SUM(AS12:BA12)+SUM(BC12:BK12))*BM12))</f>
        <v> </v>
      </c>
      <c r="BY12" s="332" t="str">
        <f aca="false">IF($A12="N/A"," ",((C12*D12)*(SUM($AS12:$BA12)+SUM($BC12:$BK12))*$BM12))</f>
        <v> </v>
      </c>
      <c r="BZ12" s="332" t="str">
        <f aca="false">IF($A12="N/A"," ",(F12*(SUM($AS12:$BA12)+SUM($BC12:$BK12))*$BM12))</f>
        <v> </v>
      </c>
      <c r="CA12" s="333" t="str">
        <f aca="false">IF($A12="N/A"," ",(G12*(SUM($AS12:$BA12)+SUM($BC12:$BK12))*$BM12))</f>
        <v> </v>
      </c>
      <c r="CB12" s="334" t="str">
        <f aca="false">IF(A12="N/A"," ",(VLOOKUP(A12,PowerVolTable,(IF(BMO=2,7,IF(BMO=1,6,8))),FALSE())))</f>
        <v> </v>
      </c>
      <c r="CC12" s="334" t="str">
        <f aca="false">IF(A12="N/A"," ",(VLOOKUP(A12,IntraPowerVol,(IF(BMO=2,3,IF(BMO=1,2,4))),FALSE())*VLOOKUP(MONTH($A12),Volscale,2)))</f>
        <v> </v>
      </c>
      <c r="CD12" s="335" t="str">
        <f aca="false">IF($A12="N/A"," ",(IF(DateToday&gt;$A12,$CC12,((($CB12^2)*((($A12-1)-DateToday)/((EOMONTH($A12,0)+1)-DateToday-15)))+((($CC12)^2)*((15)/((EOMONTH($A12,0)+1)-DateToday-15))))^0.5)))</f>
        <v> </v>
      </c>
      <c r="CE12" s="334" t="str">
        <f aca="false">IF($A12="N/A"," ",(VLOOKUP($A12,GasVolTable,(IF(BMO=2,6,IF(BMO=1,7,5))),FALSE())))</f>
        <v> </v>
      </c>
      <c r="CF12" s="334" t="str">
        <f aca="false">IF($A12="N/A"," ",(VLOOKUP($A12,OmicronVol,(IF(BMO=2,3,IF(BMO=1,4,2))),FALSE())))</f>
        <v> </v>
      </c>
      <c r="CG12" s="335" t="str">
        <f aca="false">IF($A12="N/A"," ",(IF(DateToday&gt;$A12,$CF12,((($CE12^2)*((($A12-1)-DateToday)/((EOMONTH($A12,0)+1)-DateToday-15)))+((($CF12)^2)*((15)/((EOMONTH($A12,0)+1)-DateToday-15))))^0.5)))</f>
        <v> </v>
      </c>
      <c r="CH12" s="334" t="str">
        <f aca="false">IF($A12="N/A"," ",VLOOKUP($A12,CorrelationTable,2,FALSE()))</f>
        <v> </v>
      </c>
      <c r="CI12" s="336" t="str">
        <f aca="false">IF($A12="N/A"," ",F12+G12+(D12*('Pricing Inputs'!T45)))</f>
        <v> </v>
      </c>
      <c r="CJ12" s="334" t="str">
        <f aca="false">IF($A12="N/A"," ",IF(PV=1,0,'Pricing Inputs'!U45))</f>
        <v> </v>
      </c>
      <c r="CK12" s="337" t="str">
        <f aca="false">IF($A12="N/A"," ",(1+CJ12/2)^(-2*((EOMONTH(A12,0)+20)-DateToday)/365.25))</f>
        <v> </v>
      </c>
      <c r="CL12" s="338" t="str">
        <f aca="false">IF(A12="N/A"," ",IF(CC=2,(VLOOKUP(MONTH($A12),Hrtable,3))/1000,0))</f>
        <v> </v>
      </c>
      <c r="CM12" s="339" t="str">
        <f aca="false">IF(A12="N/A"," ",IF(CC=2,(CL12*C12)+F12,0))</f>
        <v> </v>
      </c>
      <c r="CN12" s="340" t="str">
        <f aca="false">IF($A12="N/A"," ",IF(CC=2,(VLOOKUP(A12,ScaledPrice,(IF(AND(Dayrun&gt;=1,Dayrun&lt;=6),2,4)))-((IF(R12&lt;&gt;0,$D12,$CL12)*$C12)+$F12+$G12)),0))</f>
        <v> </v>
      </c>
      <c r="CO12" s="340" t="str">
        <f aca="false">IF($A12="N/A"," ",IF(CC=2,(IF(AND(Dayrun&gt;=1,Dayrun&lt;=6),I12,(VLOOKUP(A12,ScaledPrice,2))*(2-(VLOOKUP(A12,ScaledPrice,3))))-((IF(S12&lt;&gt;0,$D12,$CL12)*$C12)+$F12+$G12)),0))</f>
        <v> </v>
      </c>
      <c r="CP12" s="340" t="str">
        <f aca="false">IF(A12="N/A"," ",IF(CC=2,(VLOOKUP(A12,ScaledPrice,9)-((IF(T12&lt;&gt;0,$D12,$CL12)*$C12)+$F12+$G12)),0))</f>
        <v> </v>
      </c>
      <c r="CQ12" s="340" t="str">
        <f aca="false">IF(A12="N/A"," ",IF(CC=2,(IF(OR(Dayrun=2,Dayrun=3,Dayrun=5,Dayrun=6,Dayrun=8,Dayrun=9),VLOOKUP(A12,ScaledPrice,IF(AND(Dayrun&gt;=2,Dayrun&lt;=6),5,6)),0)-((IF(U12&lt;&gt;0,$D12,$CL12)*$C12)+$F12+$G12)),0))</f>
        <v> </v>
      </c>
      <c r="CR12" s="340" t="str">
        <f aca="false">IF(A12="N/A"," ",IF(CC=2,(IF(OR(Dayrun=2,Dayrun=3,Dayrun=5,Dayrun=6,Dayrun=8,Dayrun=9),IF(AND(Dayrun&gt;=2,Dayrun&lt;=6),L12,(VLOOKUP(A12,ScaledPrice,5))*(2-(VLOOKUP(A12,ScaledPrice,3)))),0)-((IF(V12&lt;&gt;0,$D12,$CL12)*$C12)+$F12+$G12)),0))</f>
        <v> </v>
      </c>
      <c r="CS12" s="340" t="str">
        <f aca="false">IF(A12="N/A"," ",IF(CC=2,(VLOOKUP(A12,ScaledPrice,9)-((IF(W12&lt;&gt;0,$D12,$CL12)*$C12)+$F12+$G12)),0))</f>
        <v> </v>
      </c>
      <c r="CT12" s="340" t="str">
        <f aca="false">IF(A12="N/A"," ",IF(CC=2,(IF(OR(Dayrun=3,Dayrun=6,Dayrun=9),(VLOOKUP(A12,ScaledPrice,IF(AND(Dayrun&gt;=3,Dayrun&lt;=6),7,8))),0)-((IF(X12&lt;&gt;0,$D12,$CL12)*$C12)+$F12+$G12)),0))</f>
        <v> </v>
      </c>
      <c r="CU12" s="340" t="str">
        <f aca="false">IF(A12="N/A"," ",IF(CC=2,(IF(OR(Dayrun=3,Dayrun=6,Dayrun=9),IF(AND(Dayrun&gt;=3,Dayrun&lt;=6),O12,(VLOOKUP(A12,ScaledPrice,7))*(2-(VLOOKUP(A12,ScaledPrice,3)))),0)-((IF(Y12&lt;&gt;0,$D12,$CL12)*$C12)+$F12+$G12)),0))</f>
        <v> </v>
      </c>
      <c r="CV12" s="340" t="str">
        <f aca="false">IF(A12="N/A"," ",IF(CC=2,(VLOOKUP(A12,ScaledPrice,9)-((IF(Z12&lt;&gt;0,$D12,$CL12)*$C12)+$F12+$G12)),0))</f>
        <v> </v>
      </c>
      <c r="CW12" s="318" t="str">
        <f aca="false">IF($A12="N/A"," ",IF(0&lt;&gt;CN12,IF(CC=2,8*$HD12,0),0))</f>
        <v> </v>
      </c>
      <c r="CX12" s="318" t="str">
        <f aca="false">IF($A12="N/A"," ",IF(0&lt;&gt;CO12,IF(CC=2,8*$HD12,0),0))</f>
        <v> </v>
      </c>
      <c r="CY12" s="318" t="str">
        <f aca="false">IF($A12="N/A"," ",IF(0&lt;&gt;CP12,IF(CC=2,8*$HD12,0),0))</f>
        <v> </v>
      </c>
      <c r="CZ12" s="318" t="str">
        <f aca="false">IF($A12="N/A"," ",IF(0&lt;&gt;CQ12,IF(CC=2,8*$HE12,0),0))</f>
        <v> </v>
      </c>
      <c r="DA12" s="318" t="str">
        <f aca="false">IF($A12="N/A"," ",IF(0&lt;&gt;CR12,IF(CC=2,8*$HE12,0),0))</f>
        <v> </v>
      </c>
      <c r="DB12" s="318" t="str">
        <f aca="false">IF($A12="N/A"," ",IF(0&lt;&gt;CS12,IF(CC=2,8*$HE12,0),0))</f>
        <v> </v>
      </c>
      <c r="DC12" s="318" t="str">
        <f aca="false">IF($A12="N/A"," ",IF(0&lt;&gt;CT12,IF(CC=2,8*$HF12,0),0))</f>
        <v> </v>
      </c>
      <c r="DD12" s="318" t="str">
        <f aca="false">IF($A12="N/A"," ",IF(0&lt;&gt;CU12,IF(CC=2,8*$HF12,0),0))</f>
        <v> </v>
      </c>
      <c r="DE12" s="318" t="str">
        <f aca="false">IF($A12="N/A"," ",IF(0&lt;&gt;CV12,IF(CC=2,8*$HF12,0),0))</f>
        <v> </v>
      </c>
      <c r="DF12" s="341" t="str">
        <f aca="false">IF($A12="N/A"," ",IF(CC=2,(IF(MONTH(A12)&gt;=4,IF(MONTH(A12)&lt;=10,Inputs!$G$13,Inputs!$G$14),Inputs!$G$14))*$CK12,0))</f>
        <v> </v>
      </c>
      <c r="DG12" s="342" t="str">
        <f aca="false">IF($A12="N/A"," ",IF(CC=2,$DF12*CW12*CN12,0))</f>
        <v> </v>
      </c>
      <c r="DH12" s="342" t="str">
        <f aca="false">IF($A12="N/A"," ",IF(CC=2,$DF12*CX12*CO12,0))</f>
        <v> </v>
      </c>
      <c r="DI12" s="342" t="str">
        <f aca="false">IF($A12="N/A"," ",IF(CC=2,$DF12*CY12*CP12,0))</f>
        <v> </v>
      </c>
      <c r="DJ12" s="342" t="str">
        <f aca="false">IF($A12="N/A"," ",IF(CC=2,$DF12*CZ12*CQ12,0))</f>
        <v> </v>
      </c>
      <c r="DK12" s="342" t="str">
        <f aca="false">IF($A12="N/A"," ",IF(CC=2,$DF12*DA12*CR12,0))</f>
        <v> </v>
      </c>
      <c r="DL12" s="342" t="str">
        <f aca="false">IF($A12="N/A"," ",IF(CC=2,$DF12*DB12*CS12,0))</f>
        <v> </v>
      </c>
      <c r="DM12" s="342" t="str">
        <f aca="false">IF($A12="N/A"," ",IF(CC=2,$DF12*DC12*CT12,0))</f>
        <v> </v>
      </c>
      <c r="DN12" s="342" t="str">
        <f aca="false">IF($A12="N/A"," ",IF(CC=2,$DF12*DD12*CU12,0))</f>
        <v> </v>
      </c>
      <c r="DO12" s="342" t="str">
        <f aca="false">IF($A12="N/A"," ",IF(CC=2,$DF12*DE12*CV12,0))</f>
        <v> </v>
      </c>
      <c r="DP12" s="343" t="str">
        <f aca="false">IF($A12="N/A"," ",IF(CC=2,SUM(DG12:DO12),0))</f>
        <v> </v>
      </c>
      <c r="DQ12" s="0" t="str">
        <f aca="false">IF(A12="N/A"," ",Perstart)</f>
        <v> </v>
      </c>
      <c r="HD12" s="0" t="str">
        <f aca="false">IF($A12="N/A"," ",VLOOKUP($A12,NumberofDaysTable,2))</f>
        <v> </v>
      </c>
      <c r="HE12" s="0" t="str">
        <f aca="false">IF($A12="N/A"," ",VLOOKUP($A12,NumberofDaysTable,3))</f>
        <v> </v>
      </c>
      <c r="HF12" s="0" t="str">
        <f aca="false">IF($A12="N/A"," ",VLOOKUP($A12,NumberofDaysTable,4))</f>
        <v> </v>
      </c>
    </row>
    <row r="13" customFormat="false" ht="12.75" hidden="false" customHeight="false" outlineLevel="0" collapsed="false">
      <c r="A13" s="308" t="str">
        <f aca="false">IF(A12="N/A","N/A",IF(EDATE(A12,1)&gt;Inputs!$K$3,"N/A",EDATE(A12,1)))</f>
        <v>N/A</v>
      </c>
      <c r="B13" s="309" t="str">
        <f aca="false">IF(A13="N/A"," ",YEAR(A13))</f>
        <v> </v>
      </c>
      <c r="C13" s="310" t="str">
        <f aca="false">IF(A13="N/A"," ",VLOOKUP(A13,ScaledPrice,10))</f>
        <v> </v>
      </c>
      <c r="D13" s="311" t="str">
        <f aca="false">IF(A13="N/A"," ",(VLOOKUP(MONTH($A13),Hrtable,2))/1000)</f>
        <v> </v>
      </c>
      <c r="E13" s="312" t="str">
        <f aca="false">IF($A13="N/A"," ",(C13-'Pricing Inputs'!T46)*D13)</f>
        <v> </v>
      </c>
      <c r="F13" s="313" t="str">
        <f aca="false">IF(A13="N/A"," ",VOM)</f>
        <v> </v>
      </c>
      <c r="G13" s="313" t="str">
        <f aca="false">IF(A13="N/A"," ",Perstart/IF(AND(Dayrun&gt;=4,Dayrun&lt;=6),16,IF(AND(Dayrun&gt;=7,Dayrun&lt;=9),8,24))/(BM13/CK13))</f>
        <v> </v>
      </c>
      <c r="H13" s="314" t="str">
        <f aca="false">IF(A13="N/A"," ",(C13*D13)+F13+G13)</f>
        <v> </v>
      </c>
      <c r="I13" s="315" t="str">
        <f aca="false">VLOOKUP(A13,ScaledPrice,(IF(AND(Dayrun&gt;=1,Dayrun&lt;=6),2,4)))</f>
        <v> </v>
      </c>
      <c r="J13" s="315" t="str">
        <f aca="false">IF(A13="N/A"," ",IF(AND(Dayrun&gt;=1,Dayrun&lt;=6),I13,(VLOOKUP(A13,ScaledPrice,2))*(2-(VLOOKUP(A13,ScaledPrice,3)))))</f>
        <v> </v>
      </c>
      <c r="K13" s="315" t="str">
        <f aca="false">IF(A13="N/A"," ",IF(AND(Dayrun&gt;=1,Dayrun&lt;=3),VLOOKUP(A13,ScaledPrice,9),0))</f>
        <v> </v>
      </c>
      <c r="L13" s="315" t="str">
        <f aca="false">IF(A13="N/A"," ",IF(OR(Dayrun=2,Dayrun=3,Dayrun=5,Dayrun=6,Dayrun=8,Dayrun=9),VLOOKUP(A13,ScaledPrice,IF(AND(Dayrun&gt;=2,Dayrun&lt;=6),5,6)),0))</f>
        <v> </v>
      </c>
      <c r="M13" s="315" t="str">
        <f aca="false">IF(A13="N/A"," ",IF(OR(Dayrun=2,Dayrun=3,Dayrun=5,Dayrun=6,Dayrun=8,Dayrun=9),IF(AND(Dayrun&gt;=2,Dayrun&lt;=6),L13,(VLOOKUP(A13,ScaledPrice,5))*(2-(VLOOKUP(A13,ScaledPrice,3)))),0))</f>
        <v> </v>
      </c>
      <c r="N13" s="315" t="str">
        <f aca="false">IF(A13="N/A"," ",IF(AND(Dayrun&gt;1,Dayrun&lt;=3),VLOOKUP(A13,ScaledPrice,9),0))</f>
        <v> </v>
      </c>
      <c r="O13" s="315" t="str">
        <f aca="false">IF(A13="N/A"," ",IF(OR(Dayrun=3,Dayrun=6,Dayrun=9),(VLOOKUP(A13,ScaledPrice,IF(AND(Dayrun&gt;=3,Dayrun&lt;=6),7,8))),0))</f>
        <v> </v>
      </c>
      <c r="P13" s="315" t="str">
        <f aca="false">IF(A13="N/A"," ",IF(OR(Dayrun=3,Dayrun=6,Dayrun=9),IF(AND(Dayrun&gt;=3,Dayrun&lt;=6),O13,(VLOOKUP(A13,ScaledPrice,7))*(2-(VLOOKUP(A13,ScaledPrice,3)))),0))</f>
        <v> </v>
      </c>
      <c r="Q13" s="315" t="str">
        <f aca="false">IF(A13="N/A"," ",IF(AND(Dayrun&gt;2,Dayrun&lt;=3),VLOOKUP(A13,ScaledPrice,9),0))</f>
        <v> </v>
      </c>
      <c r="R13" s="316" t="str">
        <f aca="false">IF($A13="N/A"," ",IF(Pricetype=2,MAX(I13-$H13,0),IF(Pricetype=1,(xSPRDOPT(I13,$E13,$CI13,0,($CD13+IF(Smile=TRUE(),VLOOKUP(MAX(-5,$H13-I13),Volsmile,2),0)),$CG13,$CH13,($A13-DateToday)+15,1,0)),I13-$H13)))</f>
        <v> </v>
      </c>
      <c r="S13" s="316" t="str">
        <f aca="false">IF($A13="N/A"," ",IF(Pricetype=2,MAX(J13-$H13,0),IF(Pricetype=1,(xSPRDOPT(J13,$E13,$CI13,0,($CD13+IF(Smile=TRUE(),VLOOKUP(MAX(-5,$H13-J13),Volsmile,2),0)),$CG13,$CH13,($A13-DateToday)+15,1,0)),J13-$H13)))</f>
        <v> </v>
      </c>
      <c r="T13" s="317" t="str">
        <f aca="false">IF($A13="N/A"," ",(IF(Pricetype=2,IF((K13-$H13)&lt;=0,0,(K13-$H13)),IF(K13&lt;&gt;0,(K13-$H13),0))))</f>
        <v> </v>
      </c>
      <c r="U13" s="316" t="str">
        <f aca="false">IF($A13="N/A"," ",IF(Pricetype=2,MAX(L13-$H13,0),IF(L13&lt;&gt;0,IF(Pricetype=1,(xSPRDOPT(L13,$E13,$CI13,0,($CD13+IF(Smile=TRUE(),VLOOKUP(MAX(-5,$H13-L13),Volsmile,2),0)),$CG13,$CH13,($A13-DateToday)+15,1,0)),L13-$H13),0)))</f>
        <v> </v>
      </c>
      <c r="V13" s="316" t="str">
        <f aca="false">IF($A13="N/A"," ",IF(Pricetype=2,MAX(M13-$H13,0),IF(M13&lt;&gt;0,IF(Pricetype=1,(xSPRDOPT(M13,$E13,$CI13,0,($CD13+IF(Smile=TRUE(),VLOOKUP(MAX(-5,$H13-M13),Volsmile,2),0)),$CG13,$CH13,($A13-DateToday)+15,1,0)),M13-$H13),0)))</f>
        <v> </v>
      </c>
      <c r="W13" s="317" t="str">
        <f aca="false">IF($A13="N/A"," ",(IF(Pricetype=2,IF((N13-$H13)&lt;=0,0,(N13-$H13)),IF(N13&lt;&gt;0,(N13-$H13),0))))</f>
        <v> </v>
      </c>
      <c r="X13" s="316" t="str">
        <f aca="false">IF($A13="N/A"," ",IF(Pricetype=2,MAX(O13-$H13,0),IF(O13&lt;&gt;0,IF(Pricetype=1,(xSPRDOPT(O13,$E13,$CI13,0,($CD13+IF(Smile=TRUE(),VLOOKUP(MAX(-5,$H13-O13),Volsmile,2),0)),$CG13,$CH13,($A13-DateToday)+15,1,0)),O13-$H13),0)))</f>
        <v> </v>
      </c>
      <c r="Y13" s="316" t="str">
        <f aca="false">IF($A13="N/A"," ",IF(Pricetype=2,MAX(P13-$H13,0),IF(P13&lt;&gt;0,IF(Pricetype=1,(xSPRDOPT(P13,$E13,$CI13,0,($CD13+IF(Smile=TRUE(),VLOOKUP(MAX(-5,$H13-P13),Volsmile,2),0)),$CG13,$CH13,($A13-DateToday)+15,1,0)),P13-$H13),0)))</f>
        <v> </v>
      </c>
      <c r="Z13" s="317" t="str">
        <f aca="false">IF($A13="N/A"," ",(IF(Pricetype=2,IF((Q13-$H13)&lt;=0,0,(Q13-$H13)),IF(Q13&lt;&gt;0,(Q13-$H13),0))))</f>
        <v> </v>
      </c>
      <c r="AA13" s="318" t="str">
        <f aca="false">IF($A13="N/A"," ",IF(VLOOKUP(MONTH(A13),ManualTable,2)=1,(IF(0&lt;&gt;R13,IF(Pricetype=1,(xSPRDOPT(I13,$E13,$CI13,0,($CD13+IF(Smile=TRUE(),VLOOKUP(MAX(-5,$H13-I13),Volsmile,2),0)),$CG13,$CH13,($A13-DateToday)+15,1,1))*(8*$HD13),8*$HD13),0)),0))</f>
        <v> </v>
      </c>
      <c r="AB13" s="318" t="str">
        <f aca="false">IF($A13="N/A"," ",IF(VLOOKUP(MONTH(A13),ManualTable,3)=1,(IF(S13&lt;&gt;0,IF(Pricetype=1,(xSPRDOPT(J13,$E13,$CI13,0,($CD13+IF(Smile=TRUE(),VLOOKUP(MAX(-5,$H13-J13),Volsmile,2),0)),$CG13,$CH13,($A13-DateToday)+15,1,1))*(8*$HD13),8*$HD13),0)),0))</f>
        <v> </v>
      </c>
      <c r="AC13" s="318" t="str">
        <f aca="false">IF($A13="N/A"," ",IF(VLOOKUP(MONTH(A13),ManualTable,4)=1,(IF(T13&lt;&gt;0,(8*$HD13),0)),0))</f>
        <v> </v>
      </c>
      <c r="AD13" s="318" t="str">
        <f aca="false">IF($A13="N/A"," ",IF(VLOOKUP(MONTH(A13),ManualTable,5)=1,(IF(U13&lt;&gt;0,IF(Pricetype=1,(xSPRDOPT(L13,$E13,$CI13,0,($CD13+IF(Smile=TRUE(),VLOOKUP(MAX(-5,$H13-L13),Volsmile,2),0)),$CG13,$CH13,($A13-DateToday)+15,1,1))*(8*$HE13),8*$HE13),0)),0))</f>
        <v> </v>
      </c>
      <c r="AE13" s="318" t="str">
        <f aca="false">IF($A13="N/A"," ",IF(VLOOKUP(MONTH(A13),ManualTable,6)=1,(IF(V13&lt;&gt;0,IF(Pricetype=1,(xSPRDOPT(M13,$E13,$CI13,0,($CD13+IF(Smile=TRUE(),VLOOKUP(MAX(-5,$H13-M13),Volsmile,2),0)),$CG13,$CH13,($A13-DateToday)+15,1,1))*(8*$HE13),8*$HE13),0)),0))</f>
        <v> </v>
      </c>
      <c r="AF13" s="318" t="str">
        <f aca="false">IF($A13="N/A"," ",IF(VLOOKUP(MONTH(A13),ManualTable,7)=1,(IF(W13&lt;&gt;0,(8*$HE13),0)),0))</f>
        <v> </v>
      </c>
      <c r="AG13" s="318" t="str">
        <f aca="false">IF($A13="N/A"," ",IF(VLOOKUP(MONTH(A13),ManualTable,8)=1,(IF(X13&lt;&gt;0,IF(Pricetype=1,(xSPRDOPT(O13,$E13,$CI13,0,($CD13+IF(Smile=TRUE(),VLOOKUP(MAX(-5,$H13-O13),Volsmile,2),0)),$CG13,$CH13,($A13-DateToday)+15,1,1))*(8*$HF13),8*$HF13),0)),0))</f>
        <v> </v>
      </c>
      <c r="AH13" s="318" t="str">
        <f aca="false">IF($A13="N/A"," ",IF(VLOOKUP(MONTH(A13),ManualTable,9)=1,(IF(Y13&lt;&gt;0,IF(Pricetype=1,(xSPRDOPT(P13,$E13,$CI13,0,($CD13+IF(Smile=TRUE(),VLOOKUP(MAX(-5,$H13-P13),Volsmile,2),0)),$CG13,$CH13,($A13-DateToday)+15,1,1))*(8*$HF13),8*$HF13),0)),0))</f>
        <v> </v>
      </c>
      <c r="AI13" s="318" t="str">
        <f aca="false">IF($A13="N/A"," ",IF(VLOOKUP(MONTH(A13),ManualTable,10)=1,(IF(Z13&lt;&gt;0,(8*($HF13)),0)),0))</f>
        <v> </v>
      </c>
      <c r="AJ13" s="344" t="str">
        <f aca="false">IF($A13="N/A"," ",RANK(R13,$R$4:$Z$15))</f>
        <v> </v>
      </c>
      <c r="AK13" s="321" t="str">
        <f aca="false">IF($A13="N/A"," ",RANK(S13,$R$4:$Z$15))</f>
        <v> </v>
      </c>
      <c r="AL13" s="321" t="str">
        <f aca="false">IF($A13="N/A"," ",RANK(T13,$R$4:$Z$15))</f>
        <v> </v>
      </c>
      <c r="AM13" s="321" t="str">
        <f aca="false">IF($A13="N/A"," ",RANK(U13,$R$4:$Z$15))</f>
        <v> </v>
      </c>
      <c r="AN13" s="321" t="str">
        <f aca="false">IF($A13="N/A"," ",RANK(V13,$R$4:$Z$15))</f>
        <v> </v>
      </c>
      <c r="AO13" s="321" t="str">
        <f aca="false">IF($A13="N/A"," ",RANK(W13,$R$4:$Z$15))</f>
        <v> </v>
      </c>
      <c r="AP13" s="321" t="str">
        <f aca="false">IF($A13="N/A"," ",RANK(X13,$R$4:$Z$15))</f>
        <v> </v>
      </c>
      <c r="AQ13" s="321" t="str">
        <f aca="false">IF($A13="N/A"," ",RANK(Y13,$R$4:$Z$15))</f>
        <v> </v>
      </c>
      <c r="AR13" s="345" t="str">
        <f aca="false">IF($A13="N/A"," ",RANK(Z13,$R$4:$Z$15))</f>
        <v> </v>
      </c>
      <c r="AS13" s="323" t="n">
        <f aca="false">IF($A13="N/A",0,IF(AJ13&lt;=$AR$2,AA13,0))</f>
        <v>0</v>
      </c>
      <c r="AT13" s="325" t="n">
        <f aca="false">IF($A13="N/A",0,IF(AK13&lt;=$AR$2,AB13,0))</f>
        <v>0</v>
      </c>
      <c r="AU13" s="325" t="n">
        <f aca="false">IF($A13="N/A",0,IF(AL13&lt;=$AR$2,AC13,0))</f>
        <v>0</v>
      </c>
      <c r="AV13" s="325" t="n">
        <f aca="false">IF($A13="N/A",0,IF(AM13&lt;=$AR$2,AD13,0))</f>
        <v>0</v>
      </c>
      <c r="AW13" s="325" t="n">
        <f aca="false">IF($A13="N/A",0,IF(AN13&lt;=$AR$2,AE13,0))</f>
        <v>0</v>
      </c>
      <c r="AX13" s="325" t="n">
        <f aca="false">IF($A13="N/A",0,IF(AO13&lt;=$AR$2,AF13,0))</f>
        <v>0</v>
      </c>
      <c r="AY13" s="325" t="n">
        <f aca="false">IF($A13="N/A",0,IF(AP13&lt;=$AR$2,AG13,0))</f>
        <v>0</v>
      </c>
      <c r="AZ13" s="325" t="n">
        <f aca="false">IF($A13="N/A",0,IF(AQ13&lt;=$AR$2,AH13,0))</f>
        <v>0</v>
      </c>
      <c r="BA13" s="325" t="n">
        <f aca="false">IF($A13="N/A",0,IF(AR13&lt;=$AR$2,AI13,0))</f>
        <v>0</v>
      </c>
      <c r="BB13" s="348" t="s">
        <v>1319</v>
      </c>
      <c r="BC13" s="326" t="n">
        <f aca="false">IF($A13="N/A",0,IF(AND(AJ13=$AR$2+1,AS13=0),MIN($BB$15,AA13),0))</f>
        <v>0</v>
      </c>
      <c r="BD13" s="346" t="n">
        <f aca="false">IF($A13="N/A",0,IF(AND(AK13=$AR$2+1,AT13=0),MIN($BB$15,AB13),0))</f>
        <v>0</v>
      </c>
      <c r="BE13" s="346" t="n">
        <f aca="false">IF($A13="N/A",0,IF(AND(AL13=$AR$2+1,AU13=0),MIN($BB$15,AC13),0))</f>
        <v>0</v>
      </c>
      <c r="BF13" s="346" t="n">
        <f aca="false">IF($A13="N/A",0,IF(AND(AM13=$AR$2+1,AV13=0),MIN($BB$15,AD13),0))</f>
        <v>0</v>
      </c>
      <c r="BG13" s="346" t="n">
        <f aca="false">IF($A13="N/A",0,IF(AND(AN13=$AR$2+1,AW13=0),MIN($BB$15,AE13),0))</f>
        <v>0</v>
      </c>
      <c r="BH13" s="346" t="n">
        <f aca="false">IF($A13="N/A",0,IF(AND(AO13=$AR$2+1,AX13=0),MIN($BB$15,AF13),0))</f>
        <v>0</v>
      </c>
      <c r="BI13" s="346" t="n">
        <f aca="false">IF($A13="N/A",0,IF(AND(AP13=$AR$2+1,AY13=0),MIN($BB$15,AG13),0))</f>
        <v>0</v>
      </c>
      <c r="BJ13" s="346" t="n">
        <f aca="false">IF($A13="N/A",0,IF(AND(AQ13=$AR$2+1,AZ13=0),MIN($BB$15,AH13),0))</f>
        <v>0</v>
      </c>
      <c r="BK13" s="346" t="n">
        <f aca="false">IF($A13="N/A",0,IF(AND(AR13=$AR$2+1,BA13=0),MIN($BB$15,AI13),0))</f>
        <v>0</v>
      </c>
      <c r="BL13" s="347" t="s">
        <v>1359</v>
      </c>
      <c r="BM13" s="329" t="str">
        <f aca="false">IF($A13="N/A"," ",(IF(MONTH(A13)&gt;=4,IF(MONTH(A13)&lt;=10,Inputs!$F$13-Inputs!$G$13,Inputs!$F$14-Inputs!$G$14),Inputs!$F$14-Inputs!$G$14))*$CK13*Availability)</f>
        <v> </v>
      </c>
      <c r="BN13" s="330" t="str">
        <f aca="false">IF($A13="N/A"," ",(IF(AS13&gt;0,($BM13*(8*($HD13))*R13),0)+IF(BC13&gt;0,($BM13*((BC13/AA13)*8*$HD13)*R13),0)))</f>
        <v> </v>
      </c>
      <c r="BO13" s="330" t="str">
        <f aca="false">IF($A13="N/A"," ",(IF(AT13&gt;0,($BM13*(8*($HD13))*S13),0)+IF(BD13&gt;0,($BM13*((BD13/AB13)*8*$HD13)*S13),0)))</f>
        <v> </v>
      </c>
      <c r="BP13" s="330" t="str">
        <f aca="false">IF($A13="N/A"," ",(IF(AU13&gt;0,($BM13*(8*($HD13))*T13),0)+IF(BE13&gt;0,($BM13*((BE13))*T13),0)))</f>
        <v> </v>
      </c>
      <c r="BQ13" s="330" t="str">
        <f aca="false">IF($A13="N/A"," ",(IF(AV13&gt;0,($BM13*(8*($HE13))*U13),0)+IF(BF13&gt;0,($BM13*((BF13/AD13)*8*$HE13)*U13),0)))</f>
        <v> </v>
      </c>
      <c r="BR13" s="330" t="str">
        <f aca="false">IF($A13="N/A"," ",(IF(AW13&gt;0,($BM13*(8*($HE13))*V13),0)+IF(BG13&gt;0,($BM13*((BG13/AE13)*8*$HE13)*V13),0)))</f>
        <v> </v>
      </c>
      <c r="BS13" s="330" t="str">
        <f aca="false">IF($A13="N/A"," ",(IF(AX13&gt;0,($BM13*(8*($HE13))*W13),0)+IF(BH13&gt;0,($BM13*((BH13))*W13),0)))</f>
        <v> </v>
      </c>
      <c r="BT13" s="330" t="str">
        <f aca="false">IF($A13="N/A"," ",(IF(AY13&gt;0,($BM13*(8*($HF13))*X13),0)+IF(BI13&gt;0,($BM13*((BI13/AG13)*8*$HF13)*X13),0)))</f>
        <v> </v>
      </c>
      <c r="BU13" s="330" t="str">
        <f aca="false">IF($A13="N/A"," ",(IF(AZ13&gt;0,($BM13*(8*($HF13))*Y13),0)+IF(BJ13&gt;0,($BM13*((BJ13/AH13)*8*$HF13)*Y13),0)))</f>
        <v> </v>
      </c>
      <c r="BV13" s="330" t="str">
        <f aca="false">IF($A13="N/A"," ",(IF(BA13&gt;0,($BM13*(8*($HF13))*Z13),0)+IF(BK13&gt;0,($BM13*((BK13))*Z13),0)))</f>
        <v> </v>
      </c>
      <c r="BW13" s="330" t="str">
        <f aca="false">IF($A13="N/A"," ",SUM(BN13:BV13))</f>
        <v> </v>
      </c>
      <c r="BX13" s="331" t="str">
        <f aca="false">IF($A13="N/A"," ",(H13*(SUM(AS13:BA13)+SUM(BC13:BK13))*BM13))</f>
        <v> </v>
      </c>
      <c r="BY13" s="332" t="str">
        <f aca="false">IF($A13="N/A"," ",((C13*D13)*(SUM($AS13:$BA13)+SUM($BC13:$BK13))*$BM13))</f>
        <v> </v>
      </c>
      <c r="BZ13" s="332" t="str">
        <f aca="false">IF($A13="N/A"," ",(F13*(SUM($AS13:$BA13)+SUM($BC13:$BK13))*$BM13))</f>
        <v> </v>
      </c>
      <c r="CA13" s="333" t="str">
        <f aca="false">IF($A13="N/A"," ",(G13*(SUM($AS13:$BA13)+SUM($BC13:$BK13))*$BM13))</f>
        <v> </v>
      </c>
      <c r="CB13" s="334" t="str">
        <f aca="false">IF(A13="N/A"," ",(VLOOKUP(A13,PowerVolTable,(IF(BMO=2,7,IF(BMO=1,6,8))),FALSE())))</f>
        <v> </v>
      </c>
      <c r="CC13" s="334" t="str">
        <f aca="false">IF(A13="N/A"," ",(VLOOKUP(A13,IntraPowerVol,(IF(BMO=2,3,IF(BMO=1,2,4))),FALSE())*VLOOKUP(MONTH($A13),Volscale,2)))</f>
        <v> </v>
      </c>
      <c r="CD13" s="335" t="str">
        <f aca="false">IF($A13="N/A"," ",(IF(DateToday&gt;$A13,$CC13,((($CB13^2)*((($A13-1)-DateToday)/((EOMONTH($A13,0)+1)-DateToday-15)))+((($CC13)^2)*((15)/((EOMONTH($A13,0)+1)-DateToday-15))))^0.5)))</f>
        <v> </v>
      </c>
      <c r="CE13" s="334" t="str">
        <f aca="false">IF($A13="N/A"," ",(VLOOKUP($A13,GasVolTable,(IF(BMO=2,6,IF(BMO=1,7,5))),FALSE())))</f>
        <v> </v>
      </c>
      <c r="CF13" s="334" t="str">
        <f aca="false">IF($A13="N/A"," ",(VLOOKUP($A13,OmicronVol,(IF(BMO=2,3,IF(BMO=1,4,2))),FALSE())))</f>
        <v> </v>
      </c>
      <c r="CG13" s="335" t="str">
        <f aca="false">IF($A13="N/A"," ",(IF(DateToday&gt;$A13,$CF13,((($CE13^2)*((($A13-1)-DateToday)/((EOMONTH($A13,0)+1)-DateToday-15)))+((($CF13)^2)*((15)/((EOMONTH($A13,0)+1)-DateToday-15))))^0.5)))</f>
        <v> </v>
      </c>
      <c r="CH13" s="334" t="str">
        <f aca="false">IF($A13="N/A"," ",VLOOKUP($A13,CorrelationTable,2,FALSE()))</f>
        <v> </v>
      </c>
      <c r="CI13" s="336" t="str">
        <f aca="false">IF($A13="N/A"," ",F13+G13+(D13*('Pricing Inputs'!T46)))</f>
        <v> </v>
      </c>
      <c r="CJ13" s="334" t="str">
        <f aca="false">IF($A13="N/A"," ",IF(PV=1,0,'Pricing Inputs'!U46))</f>
        <v> </v>
      </c>
      <c r="CK13" s="337" t="str">
        <f aca="false">IF($A13="N/A"," ",(1+CJ13/2)^(-2*((EOMONTH(A13,0)+20)-DateToday)/365.25))</f>
        <v> </v>
      </c>
      <c r="CL13" s="338" t="str">
        <f aca="false">IF(A13="N/A"," ",IF(CC=2,(VLOOKUP(MONTH($A13),Hrtable,3))/1000,0))</f>
        <v> </v>
      </c>
      <c r="CM13" s="339" t="str">
        <f aca="false">IF(A13="N/A"," ",IF(CC=2,(CL13*C13)+F13,0))</f>
        <v> </v>
      </c>
      <c r="CN13" s="340" t="str">
        <f aca="false">IF($A13="N/A"," ",IF(CC=2,(VLOOKUP(A13,ScaledPrice,(IF(AND(Dayrun&gt;=1,Dayrun&lt;=6),2,4)))-((IF(R13&lt;&gt;0,$D13,$CL13)*$C13)+$F13+$G13)),0))</f>
        <v> </v>
      </c>
      <c r="CO13" s="340" t="str">
        <f aca="false">IF($A13="N/A"," ",IF(CC=2,(IF(AND(Dayrun&gt;=1,Dayrun&lt;=6),I13,(VLOOKUP(A13,ScaledPrice,2))*(2-(VLOOKUP(A13,ScaledPrice,3))))-((IF(S13&lt;&gt;0,$D13,$CL13)*$C13)+$F13+$G13)),0))</f>
        <v> </v>
      </c>
      <c r="CP13" s="340" t="str">
        <f aca="false">IF(A13="N/A"," ",IF(CC=2,(VLOOKUP(A13,ScaledPrice,9)-((IF(T13&lt;&gt;0,$D13,$CL13)*$C13)+$F13+$G13)),0))</f>
        <v> </v>
      </c>
      <c r="CQ13" s="340" t="str">
        <f aca="false">IF(A13="N/A"," ",IF(CC=2,(IF(OR(Dayrun=2,Dayrun=3,Dayrun=5,Dayrun=6,Dayrun=8,Dayrun=9),VLOOKUP(A13,ScaledPrice,IF(AND(Dayrun&gt;=2,Dayrun&lt;=6),5,6)),0)-((IF(U13&lt;&gt;0,$D13,$CL13)*$C13)+$F13+$G13)),0))</f>
        <v> </v>
      </c>
      <c r="CR13" s="340" t="str">
        <f aca="false">IF(A13="N/A"," ",IF(CC=2,(IF(OR(Dayrun=2,Dayrun=3,Dayrun=5,Dayrun=6,Dayrun=8,Dayrun=9),IF(AND(Dayrun&gt;=2,Dayrun&lt;=6),L13,(VLOOKUP(A13,ScaledPrice,5))*(2-(VLOOKUP(A13,ScaledPrice,3)))),0)-((IF(V13&lt;&gt;0,$D13,$CL13)*$C13)+$F13+$G13)),0))</f>
        <v> </v>
      </c>
      <c r="CS13" s="340" t="str">
        <f aca="false">IF(A13="N/A"," ",IF(CC=2,(VLOOKUP(A13,ScaledPrice,9)-((IF(W13&lt;&gt;0,$D13,$CL13)*$C13)+$F13+$G13)),0))</f>
        <v> </v>
      </c>
      <c r="CT13" s="340" t="str">
        <f aca="false">IF(A13="N/A"," ",IF(CC=2,(IF(OR(Dayrun=3,Dayrun=6,Dayrun=9),(VLOOKUP(A13,ScaledPrice,IF(AND(Dayrun&gt;=3,Dayrun&lt;=6),7,8))),0)-((IF(X13&lt;&gt;0,$D13,$CL13)*$C13)+$F13+$G13)),0))</f>
        <v> </v>
      </c>
      <c r="CU13" s="340" t="str">
        <f aca="false">IF(A13="N/A"," ",IF(CC=2,(IF(OR(Dayrun=3,Dayrun=6,Dayrun=9),IF(AND(Dayrun&gt;=3,Dayrun&lt;=6),O13,(VLOOKUP(A13,ScaledPrice,7))*(2-(VLOOKUP(A13,ScaledPrice,3)))),0)-((IF(Y13&lt;&gt;0,$D13,$CL13)*$C13)+$F13+$G13)),0))</f>
        <v> </v>
      </c>
      <c r="CV13" s="340" t="str">
        <f aca="false">IF(A13="N/A"," ",IF(CC=2,(VLOOKUP(A13,ScaledPrice,9)-((IF(Z13&lt;&gt;0,$D13,$CL13)*$C13)+$F13+$G13)),0))</f>
        <v> </v>
      </c>
      <c r="CW13" s="318" t="str">
        <f aca="false">IF($A13="N/A"," ",IF(0&lt;&gt;CN13,IF(CC=2,8*$HD13,0),0))</f>
        <v> </v>
      </c>
      <c r="CX13" s="318" t="str">
        <f aca="false">IF($A13="N/A"," ",IF(0&lt;&gt;CO13,IF(CC=2,8*$HD13,0),0))</f>
        <v> </v>
      </c>
      <c r="CY13" s="318" t="str">
        <f aca="false">IF($A13="N/A"," ",IF(0&lt;&gt;CP13,IF(CC=2,8*$HD13,0),0))</f>
        <v> </v>
      </c>
      <c r="CZ13" s="318" t="str">
        <f aca="false">IF($A13="N/A"," ",IF(0&lt;&gt;CQ13,IF(CC=2,8*$HE13,0),0))</f>
        <v> </v>
      </c>
      <c r="DA13" s="318" t="str">
        <f aca="false">IF($A13="N/A"," ",IF(0&lt;&gt;CR13,IF(CC=2,8*$HE13,0),0))</f>
        <v> </v>
      </c>
      <c r="DB13" s="318" t="str">
        <f aca="false">IF($A13="N/A"," ",IF(0&lt;&gt;CS13,IF(CC=2,8*$HE13,0),0))</f>
        <v> </v>
      </c>
      <c r="DC13" s="318" t="str">
        <f aca="false">IF($A13="N/A"," ",IF(0&lt;&gt;CT13,IF(CC=2,8*$HF13,0),0))</f>
        <v> </v>
      </c>
      <c r="DD13" s="318" t="str">
        <f aca="false">IF($A13="N/A"," ",IF(0&lt;&gt;CU13,IF(CC=2,8*$HF13,0),0))</f>
        <v> </v>
      </c>
      <c r="DE13" s="318" t="str">
        <f aca="false">IF($A13="N/A"," ",IF(0&lt;&gt;CV13,IF(CC=2,8*$HF13,0),0))</f>
        <v> </v>
      </c>
      <c r="DF13" s="341" t="str">
        <f aca="false">IF($A13="N/A"," ",IF(CC=2,(IF(MONTH(A13)&gt;=4,IF(MONTH(A13)&lt;=10,Inputs!$G$13,Inputs!$G$14),Inputs!$G$14))*$CK13,0))</f>
        <v> </v>
      </c>
      <c r="DG13" s="342" t="str">
        <f aca="false">IF($A13="N/A"," ",IF(CC=2,$DF13*CW13*CN13,0))</f>
        <v> </v>
      </c>
      <c r="DH13" s="342" t="str">
        <f aca="false">IF($A13="N/A"," ",IF(CC=2,$DF13*CX13*CO13,0))</f>
        <v> </v>
      </c>
      <c r="DI13" s="342" t="str">
        <f aca="false">IF($A13="N/A"," ",IF(CC=2,$DF13*CY13*CP13,0))</f>
        <v> </v>
      </c>
      <c r="DJ13" s="342" t="str">
        <f aca="false">IF($A13="N/A"," ",IF(CC=2,$DF13*CZ13*CQ13,0))</f>
        <v> </v>
      </c>
      <c r="DK13" s="342" t="str">
        <f aca="false">IF($A13="N/A"," ",IF(CC=2,$DF13*DA13*CR13,0))</f>
        <v> </v>
      </c>
      <c r="DL13" s="342" t="str">
        <f aca="false">IF($A13="N/A"," ",IF(CC=2,$DF13*DB13*CS13,0))</f>
        <v> </v>
      </c>
      <c r="DM13" s="342" t="str">
        <f aca="false">IF($A13="N/A"," ",IF(CC=2,$DF13*DC13*CT13,0))</f>
        <v> </v>
      </c>
      <c r="DN13" s="342" t="str">
        <f aca="false">IF($A13="N/A"," ",IF(CC=2,$DF13*DD13*CU13,0))</f>
        <v> </v>
      </c>
      <c r="DO13" s="342" t="str">
        <f aca="false">IF($A13="N/A"," ",IF(CC=2,$DF13*DE13*CV13,0))</f>
        <v> </v>
      </c>
      <c r="DP13" s="343" t="str">
        <f aca="false">IF($A13="N/A"," ",IF(CC=2,SUM(DG13:DO13),0))</f>
        <v> </v>
      </c>
      <c r="DQ13" s="0" t="str">
        <f aca="false">IF(A13="N/A"," ",Perstart)</f>
        <v> </v>
      </c>
      <c r="HD13" s="0" t="str">
        <f aca="false">IF($A13="N/A"," ",VLOOKUP($A13,NumberofDaysTable,2))</f>
        <v> </v>
      </c>
      <c r="HE13" s="0" t="str">
        <f aca="false">IF($A13="N/A"," ",VLOOKUP($A13,NumberofDaysTable,3))</f>
        <v> </v>
      </c>
      <c r="HF13" s="0" t="str">
        <f aca="false">IF($A13="N/A"," ",VLOOKUP($A13,NumberofDaysTable,4))</f>
        <v> </v>
      </c>
    </row>
    <row r="14" customFormat="false" ht="12.75" hidden="false" customHeight="false" outlineLevel="0" collapsed="false">
      <c r="A14" s="308" t="str">
        <f aca="false">IF(A13="N/A","N/A",IF(EDATE(A13,1)&gt;Inputs!$K$3,"N/A",EDATE(A13,1)))</f>
        <v>N/A</v>
      </c>
      <c r="B14" s="309" t="str">
        <f aca="false">IF(A14="N/A"," ",YEAR(A14))</f>
        <v> </v>
      </c>
      <c r="C14" s="310" t="str">
        <f aca="false">IF(A14="N/A"," ",VLOOKUP(A14,ScaledPrice,10))</f>
        <v> </v>
      </c>
      <c r="D14" s="311" t="str">
        <f aca="false">IF(A14="N/A"," ",(VLOOKUP(MONTH($A14),Hrtable,2))/1000)</f>
        <v> </v>
      </c>
      <c r="E14" s="312" t="str">
        <f aca="false">IF($A14="N/A"," ",(C14-'Pricing Inputs'!T47)*D14)</f>
        <v> </v>
      </c>
      <c r="F14" s="313" t="str">
        <f aca="false">IF(A14="N/A"," ",VOM)</f>
        <v> </v>
      </c>
      <c r="G14" s="313" t="str">
        <f aca="false">IF(A14="N/A"," ",Perstart/IF(AND(Dayrun&gt;=4,Dayrun&lt;=6),16,IF(AND(Dayrun&gt;=7,Dayrun&lt;=9),8,24))/(BM14/CK14))</f>
        <v> </v>
      </c>
      <c r="H14" s="314" t="str">
        <f aca="false">IF(A14="N/A"," ",(C14*D14)+F14+G14)</f>
        <v> </v>
      </c>
      <c r="I14" s="315" t="str">
        <f aca="false">VLOOKUP(A14,ScaledPrice,(IF(AND(Dayrun&gt;=1,Dayrun&lt;=6),2,4)))</f>
        <v> </v>
      </c>
      <c r="J14" s="315" t="str">
        <f aca="false">IF(A14="N/A"," ",IF(AND(Dayrun&gt;=1,Dayrun&lt;=6),I14,(VLOOKUP(A14,ScaledPrice,2))*(2-(VLOOKUP(A14,ScaledPrice,3)))))</f>
        <v> </v>
      </c>
      <c r="K14" s="315" t="str">
        <f aca="false">IF(A14="N/A"," ",IF(AND(Dayrun&gt;=1,Dayrun&lt;=3),VLOOKUP(A14,ScaledPrice,9),0))</f>
        <v> </v>
      </c>
      <c r="L14" s="315" t="str">
        <f aca="false">IF(A14="N/A"," ",IF(OR(Dayrun=2,Dayrun=3,Dayrun=5,Dayrun=6,Dayrun=8,Dayrun=9),VLOOKUP(A14,ScaledPrice,IF(AND(Dayrun&gt;=2,Dayrun&lt;=6),5,6)),0))</f>
        <v> </v>
      </c>
      <c r="M14" s="315" t="str">
        <f aca="false">IF(A14="N/A"," ",IF(OR(Dayrun=2,Dayrun=3,Dayrun=5,Dayrun=6,Dayrun=8,Dayrun=9),IF(AND(Dayrun&gt;=2,Dayrun&lt;=6),L14,(VLOOKUP(A14,ScaledPrice,5))*(2-(VLOOKUP(A14,ScaledPrice,3)))),0))</f>
        <v> </v>
      </c>
      <c r="N14" s="315" t="str">
        <f aca="false">IF(A14="N/A"," ",IF(AND(Dayrun&gt;1,Dayrun&lt;=3),VLOOKUP(A14,ScaledPrice,9),0))</f>
        <v> </v>
      </c>
      <c r="O14" s="315" t="str">
        <f aca="false">IF(A14="N/A"," ",IF(OR(Dayrun=3,Dayrun=6,Dayrun=9),(VLOOKUP(A14,ScaledPrice,IF(AND(Dayrun&gt;=3,Dayrun&lt;=6),7,8))),0))</f>
        <v> </v>
      </c>
      <c r="P14" s="315" t="str">
        <f aca="false">IF(A14="N/A"," ",IF(OR(Dayrun=3,Dayrun=6,Dayrun=9),IF(AND(Dayrun&gt;=3,Dayrun&lt;=6),O14,(VLOOKUP(A14,ScaledPrice,7))*(2-(VLOOKUP(A14,ScaledPrice,3)))),0))</f>
        <v> </v>
      </c>
      <c r="Q14" s="315" t="str">
        <f aca="false">IF(A14="N/A"," ",IF(AND(Dayrun&gt;2,Dayrun&lt;=3),VLOOKUP(A14,ScaledPrice,9),0))</f>
        <v> </v>
      </c>
      <c r="R14" s="316" t="str">
        <f aca="false">IF($A14="N/A"," ",IF(Pricetype=2,MAX(I14-$H14,0),IF(Pricetype=1,(xSPRDOPT(I14,$E14,$CI14,0,($CD14+IF(Smile=TRUE(),VLOOKUP(MAX(-5,$H14-I14),Volsmile,2),0)),$CG14,$CH14,($A14-DateToday)+15,1,0)),I14-$H14)))</f>
        <v> </v>
      </c>
      <c r="S14" s="316" t="str">
        <f aca="false">IF($A14="N/A"," ",IF(Pricetype=2,MAX(J14-$H14,0),IF(Pricetype=1,(xSPRDOPT(J14,$E14,$CI14,0,($CD14+IF(Smile=TRUE(),VLOOKUP(MAX(-5,$H14-J14),Volsmile,2),0)),$CG14,$CH14,($A14-DateToday)+15,1,0)),J14-$H14)))</f>
        <v> </v>
      </c>
      <c r="T14" s="317" t="str">
        <f aca="false">IF($A14="N/A"," ",(IF(Pricetype=2,IF((K14-$H14)&lt;=0,0,(K14-$H14)),IF(K14&lt;&gt;0,(K14-$H14),0))))</f>
        <v> </v>
      </c>
      <c r="U14" s="316" t="str">
        <f aca="false">IF($A14="N/A"," ",IF(Pricetype=2,MAX(L14-$H14,0),IF(L14&lt;&gt;0,IF(Pricetype=1,(xSPRDOPT(L14,$E14,$CI14,0,($CD14+IF(Smile=TRUE(),VLOOKUP(MAX(-5,$H14-L14),Volsmile,2),0)),$CG14,$CH14,($A14-DateToday)+15,1,0)),L14-$H14),0)))</f>
        <v> </v>
      </c>
      <c r="V14" s="316" t="str">
        <f aca="false">IF($A14="N/A"," ",IF(Pricetype=2,MAX(M14-$H14,0),IF(M14&lt;&gt;0,IF(Pricetype=1,(xSPRDOPT(M14,$E14,$CI14,0,($CD14+IF(Smile=TRUE(),VLOOKUP(MAX(-5,$H14-M14),Volsmile,2),0)),$CG14,$CH14,($A14-DateToday)+15,1,0)),M14-$H14),0)))</f>
        <v> </v>
      </c>
      <c r="W14" s="317" t="str">
        <f aca="false">IF($A14="N/A"," ",(IF(Pricetype=2,IF((N14-$H14)&lt;=0,0,(N14-$H14)),IF(N14&lt;&gt;0,(N14-$H14),0))))</f>
        <v> </v>
      </c>
      <c r="X14" s="316" t="str">
        <f aca="false">IF($A14="N/A"," ",IF(Pricetype=2,MAX(O14-$H14,0),IF(O14&lt;&gt;0,IF(Pricetype=1,(xSPRDOPT(O14,$E14,$CI14,0,($CD14+IF(Smile=TRUE(),VLOOKUP(MAX(-5,$H14-O14),Volsmile,2),0)),$CG14,$CH14,($A14-DateToday)+15,1,0)),O14-$H14),0)))</f>
        <v> </v>
      </c>
      <c r="Y14" s="316" t="str">
        <f aca="false">IF($A14="N/A"," ",IF(Pricetype=2,MAX(P14-$H14,0),IF(P14&lt;&gt;0,IF(Pricetype=1,(xSPRDOPT(P14,$E14,$CI14,0,($CD14+IF(Smile=TRUE(),VLOOKUP(MAX(-5,$H14-P14),Volsmile,2),0)),$CG14,$CH14,($A14-DateToday)+15,1,0)),P14-$H14),0)))</f>
        <v> </v>
      </c>
      <c r="Z14" s="317" t="str">
        <f aca="false">IF($A14="N/A"," ",(IF(Pricetype=2,IF((Q14-$H14)&lt;=0,0,(Q14-$H14)),IF(Q14&lt;&gt;0,(Q14-$H14),0))))</f>
        <v> </v>
      </c>
      <c r="AA14" s="318" t="str">
        <f aca="false">IF($A14="N/A"," ",IF(VLOOKUP(MONTH(A14),ManualTable,2)=1,(IF(0&lt;&gt;R14,IF(Pricetype=1,(xSPRDOPT(I14,$E14,$CI14,0,($CD14+IF(Smile=TRUE(),VLOOKUP(MAX(-5,$H14-I14),Volsmile,2),0)),$CG14,$CH14,($A14-DateToday)+15,1,1))*(8*$HD14),8*$HD14),0)),0))</f>
        <v> </v>
      </c>
      <c r="AB14" s="318" t="str">
        <f aca="false">IF($A14="N/A"," ",IF(VLOOKUP(MONTH(A14),ManualTable,3)=1,(IF(S14&lt;&gt;0,IF(Pricetype=1,(xSPRDOPT(J14,$E14,$CI14,0,($CD14+IF(Smile=TRUE(),VLOOKUP(MAX(-5,$H14-J14),Volsmile,2),0)),$CG14,$CH14,($A14-DateToday)+15,1,1))*(8*$HD14),8*$HD14),0)),0))</f>
        <v> </v>
      </c>
      <c r="AC14" s="318" t="str">
        <f aca="false">IF($A14="N/A"," ",IF(VLOOKUP(MONTH(A14),ManualTable,4)=1,(IF(T14&lt;&gt;0,(8*$HD14),0)),0))</f>
        <v> </v>
      </c>
      <c r="AD14" s="318" t="str">
        <f aca="false">IF($A14="N/A"," ",IF(VLOOKUP(MONTH(A14),ManualTable,5)=1,(IF(U14&lt;&gt;0,IF(Pricetype=1,(xSPRDOPT(L14,$E14,$CI14,0,($CD14+IF(Smile=TRUE(),VLOOKUP(MAX(-5,$H14-L14),Volsmile,2),0)),$CG14,$CH14,($A14-DateToday)+15,1,1))*(8*$HE14),8*$HE14),0)),0))</f>
        <v> </v>
      </c>
      <c r="AE14" s="318" t="str">
        <f aca="false">IF($A14="N/A"," ",IF(VLOOKUP(MONTH(A14),ManualTable,6)=1,(IF(V14&lt;&gt;0,IF(Pricetype=1,(xSPRDOPT(M14,$E14,$CI14,0,($CD14+IF(Smile=TRUE(),VLOOKUP(MAX(-5,$H14-M14),Volsmile,2),0)),$CG14,$CH14,($A14-DateToday)+15,1,1))*(8*$HE14),8*$HE14),0)),0))</f>
        <v> </v>
      </c>
      <c r="AF14" s="318" t="str">
        <f aca="false">IF($A14="N/A"," ",IF(VLOOKUP(MONTH(A14),ManualTable,7)=1,(IF(W14&lt;&gt;0,(8*$HE14),0)),0))</f>
        <v> </v>
      </c>
      <c r="AG14" s="318" t="str">
        <f aca="false">IF($A14="N/A"," ",IF(VLOOKUP(MONTH(A14),ManualTable,8)=1,(IF(X14&lt;&gt;0,IF(Pricetype=1,(xSPRDOPT(O14,$E14,$CI14,0,($CD14+IF(Smile=TRUE(),VLOOKUP(MAX(-5,$H14-O14),Volsmile,2),0)),$CG14,$CH14,($A14-DateToday)+15,1,1))*(8*$HF14),8*$HF14),0)),0))</f>
        <v> </v>
      </c>
      <c r="AH14" s="318" t="str">
        <f aca="false">IF($A14="N/A"," ",IF(VLOOKUP(MONTH(A14),ManualTable,9)=1,(IF(Y14&lt;&gt;0,IF(Pricetype=1,(xSPRDOPT(P14,$E14,$CI14,0,($CD14+IF(Smile=TRUE(),VLOOKUP(MAX(-5,$H14-P14),Volsmile,2),0)),$CG14,$CH14,($A14-DateToday)+15,1,1))*(8*$HF14),8*$HF14),0)),0))</f>
        <v> </v>
      </c>
      <c r="AI14" s="318" t="str">
        <f aca="false">IF($A14="N/A"," ",IF(VLOOKUP(MONTH(A14),ManualTable,10)=1,(IF(Z14&lt;&gt;0,(8*($HF14)),0)),0))</f>
        <v> </v>
      </c>
      <c r="AJ14" s="344" t="str">
        <f aca="false">IF($A14="N/A"," ",RANK(R14,$R$4:$Z$15))</f>
        <v> </v>
      </c>
      <c r="AK14" s="321" t="str">
        <f aca="false">IF($A14="N/A"," ",RANK(S14,$R$4:$Z$15))</f>
        <v> </v>
      </c>
      <c r="AL14" s="321" t="str">
        <f aca="false">IF($A14="N/A"," ",RANK(T14,$R$4:$Z$15))</f>
        <v> </v>
      </c>
      <c r="AM14" s="321" t="str">
        <f aca="false">IF($A14="N/A"," ",RANK(U14,$R$4:$Z$15))</f>
        <v> </v>
      </c>
      <c r="AN14" s="321" t="str">
        <f aca="false">IF($A14="N/A"," ",RANK(V14,$R$4:$Z$15))</f>
        <v> </v>
      </c>
      <c r="AO14" s="321" t="str">
        <f aca="false">IF($A14="N/A"," ",RANK(W14,$R$4:$Z$15))</f>
        <v> </v>
      </c>
      <c r="AP14" s="321" t="str">
        <f aca="false">IF($A14="N/A"," ",RANK(X14,$R$4:$Z$15))</f>
        <v> </v>
      </c>
      <c r="AQ14" s="321" t="str">
        <f aca="false">IF($A14="N/A"," ",RANK(Y14,$R$4:$Z$15))</f>
        <v> </v>
      </c>
      <c r="AR14" s="345" t="str">
        <f aca="false">IF($A14="N/A"," ",RANK(Z14,$R$4:$Z$15))</f>
        <v> </v>
      </c>
      <c r="AS14" s="323" t="n">
        <f aca="false">IF($A14="N/A",0,IF(AJ14&lt;=$AR$2,AA14,0))</f>
        <v>0</v>
      </c>
      <c r="AT14" s="325" t="n">
        <f aca="false">IF($A14="N/A",0,IF(AK14&lt;=$AR$2,AB14,0))</f>
        <v>0</v>
      </c>
      <c r="AU14" s="325" t="n">
        <f aca="false">IF($A14="N/A",0,IF(AL14&lt;=$AR$2,AC14,0))</f>
        <v>0</v>
      </c>
      <c r="AV14" s="325" t="n">
        <f aca="false">IF($A14="N/A",0,IF(AM14&lt;=$AR$2,AD14,0))</f>
        <v>0</v>
      </c>
      <c r="AW14" s="325" t="n">
        <f aca="false">IF($A14="N/A",0,IF(AN14&lt;=$AR$2,AE14,0))</f>
        <v>0</v>
      </c>
      <c r="AX14" s="325" t="n">
        <f aca="false">IF($A14="N/A",0,IF(AO14&lt;=$AR$2,AF14,0))</f>
        <v>0</v>
      </c>
      <c r="AY14" s="325" t="n">
        <f aca="false">IF($A14="N/A",0,IF(AP14&lt;=$AR$2,AG14,0))</f>
        <v>0</v>
      </c>
      <c r="AZ14" s="325" t="n">
        <f aca="false">IF($A14="N/A",0,IF(AQ14&lt;=$AR$2,AH14,0))</f>
        <v>0</v>
      </c>
      <c r="BA14" s="325" t="n">
        <f aca="false">IF($A14="N/A",0,IF(AR14&lt;=$AR$2,AI14,0))</f>
        <v>0</v>
      </c>
      <c r="BB14" s="345" t="e">
        <f aca="false">SUM(AS4:BA15)</f>
        <v>#NAME?</v>
      </c>
      <c r="BC14" s="326" t="n">
        <f aca="false">IF($A14="N/A",0,IF(AND(AJ14=$AR$2+1,AS14=0),MIN($BB$15,AA14),0))</f>
        <v>0</v>
      </c>
      <c r="BD14" s="346" t="n">
        <f aca="false">IF($A14="N/A",0,IF(AND(AK14=$AR$2+1,AT14=0),MIN($BB$15,AB14),0))</f>
        <v>0</v>
      </c>
      <c r="BE14" s="346" t="n">
        <f aca="false">IF($A14="N/A",0,IF(AND(AL14=$AR$2+1,AU14=0),MIN($BB$15,AC14),0))</f>
        <v>0</v>
      </c>
      <c r="BF14" s="346" t="n">
        <f aca="false">IF($A14="N/A",0,IF(AND(AM14=$AR$2+1,AV14=0),MIN($BB$15,AD14),0))</f>
        <v>0</v>
      </c>
      <c r="BG14" s="346" t="n">
        <f aca="false">IF($A14="N/A",0,IF(AND(AN14=$AR$2+1,AW14=0),MIN($BB$15,AE14),0))</f>
        <v>0</v>
      </c>
      <c r="BH14" s="346" t="n">
        <f aca="false">IF($A14="N/A",0,IF(AND(AO14=$AR$2+1,AX14=0),MIN($BB$15,AF14),0))</f>
        <v>0</v>
      </c>
      <c r="BI14" s="346" t="n">
        <f aca="false">IF($A14="N/A",0,IF(AND(AP14=$AR$2+1,AY14=0),MIN($BB$15,AG14),0))</f>
        <v>0</v>
      </c>
      <c r="BJ14" s="346" t="n">
        <f aca="false">IF($A14="N/A",0,IF(AND(AQ14=$AR$2+1,AZ14=0),MIN($BB$15,AH14),0))</f>
        <v>0</v>
      </c>
      <c r="BK14" s="346" t="n">
        <f aca="false">IF($A14="N/A",0,IF(AND(AR14=$AR$2+1,BA14=0),MIN($BB$15,AI14),0))</f>
        <v>0</v>
      </c>
      <c r="BL14" s="345" t="e">
        <f aca="false">SUM(BC4:BK15)</f>
        <v>#NAME?</v>
      </c>
      <c r="BM14" s="329" t="str">
        <f aca="false">IF($A14="N/A"," ",(IF(MONTH(A14)&gt;=4,IF(MONTH(A14)&lt;=10,Inputs!$F$13-Inputs!$G$13,Inputs!$F$14-Inputs!$G$14),Inputs!$F$14-Inputs!$G$14))*$CK14*Availability)</f>
        <v> </v>
      </c>
      <c r="BN14" s="330" t="str">
        <f aca="false">IF($A14="N/A"," ",(IF(AS14&gt;0,($BM14*(8*($HD14))*R14),0)+IF(BC14&gt;0,($BM14*((BC14/AA14)*8*$HD14)*R14),0)))</f>
        <v> </v>
      </c>
      <c r="BO14" s="330" t="str">
        <f aca="false">IF($A14="N/A"," ",(IF(AT14&gt;0,($BM14*(8*($HD14))*S14),0)+IF(BD14&gt;0,($BM14*((BD14/AB14)*8*$HD14)*S14),0)))</f>
        <v> </v>
      </c>
      <c r="BP14" s="330" t="str">
        <f aca="false">IF($A14="N/A"," ",(IF(AU14&gt;0,($BM14*(8*($HD14))*T14),0)+IF(BE14&gt;0,($BM14*((BE14))*T14),0)))</f>
        <v> </v>
      </c>
      <c r="BQ14" s="330" t="str">
        <f aca="false">IF($A14="N/A"," ",(IF(AV14&gt;0,($BM14*(8*($HE14))*U14),0)+IF(BF14&gt;0,($BM14*((BF14/AD14)*8*$HE14)*U14),0)))</f>
        <v> </v>
      </c>
      <c r="BR14" s="330" t="str">
        <f aca="false">IF($A14="N/A"," ",(IF(AW14&gt;0,($BM14*(8*($HE14))*V14),0)+IF(BG14&gt;0,($BM14*((BG14/AE14)*8*$HE14)*V14),0)))</f>
        <v> </v>
      </c>
      <c r="BS14" s="330" t="str">
        <f aca="false">IF($A14="N/A"," ",(IF(AX14&gt;0,($BM14*(8*($HE14))*W14),0)+IF(BH14&gt;0,($BM14*((BH14))*W14),0)))</f>
        <v> </v>
      </c>
      <c r="BT14" s="330" t="str">
        <f aca="false">IF($A14="N/A"," ",(IF(AY14&gt;0,($BM14*(8*($HF14))*X14),0)+IF(BI14&gt;0,($BM14*((BI14/AG14)*8*$HF14)*X14),0)))</f>
        <v> </v>
      </c>
      <c r="BU14" s="330" t="str">
        <f aca="false">IF($A14="N/A"," ",(IF(AZ14&gt;0,($BM14*(8*($HF14))*Y14),0)+IF(BJ14&gt;0,($BM14*((BJ14/AH14)*8*$HF14)*Y14),0)))</f>
        <v> </v>
      </c>
      <c r="BV14" s="330" t="str">
        <f aca="false">IF($A14="N/A"," ",(IF(BA14&gt;0,($BM14*(8*($HF14))*Z14),0)+IF(BK14&gt;0,($BM14*((BK14))*Z14),0)))</f>
        <v> </v>
      </c>
      <c r="BW14" s="330" t="str">
        <f aca="false">IF($A14="N/A"," ",SUM(BN14:BV14))</f>
        <v> </v>
      </c>
      <c r="BX14" s="331" t="str">
        <f aca="false">IF($A14="N/A"," ",(H14*(SUM(AS14:BA14)+SUM(BC14:BK14))*BM14))</f>
        <v> </v>
      </c>
      <c r="BY14" s="332" t="str">
        <f aca="false">IF($A14="N/A"," ",((C14*D14)*(SUM($AS14:$BA14)+SUM($BC14:$BK14))*$BM14))</f>
        <v> </v>
      </c>
      <c r="BZ14" s="332" t="str">
        <f aca="false">IF($A14="N/A"," ",(F14*(SUM($AS14:$BA14)+SUM($BC14:$BK14))*$BM14))</f>
        <v> </v>
      </c>
      <c r="CA14" s="333" t="str">
        <f aca="false">IF($A14="N/A"," ",(G14*(SUM($AS14:$BA14)+SUM($BC14:$BK14))*$BM14))</f>
        <v> </v>
      </c>
      <c r="CB14" s="334" t="str">
        <f aca="false">IF(A14="N/A"," ",(VLOOKUP(A14,PowerVolTable,(IF(BMO=2,7,IF(BMO=1,6,8))),FALSE())))</f>
        <v> </v>
      </c>
      <c r="CC14" s="334" t="str">
        <f aca="false">IF(A14="N/A"," ",(VLOOKUP(A14,IntraPowerVol,(IF(BMO=2,3,IF(BMO=1,2,4))),FALSE())*VLOOKUP(MONTH($A14),Volscale,2)))</f>
        <v> </v>
      </c>
      <c r="CD14" s="335" t="str">
        <f aca="false">IF($A14="N/A"," ",(IF(DateToday&gt;$A14,$CC14,((($CB14^2)*((($A14-1)-DateToday)/((EOMONTH($A14,0)+1)-DateToday-15)))+((($CC14)^2)*((15)/((EOMONTH($A14,0)+1)-DateToday-15))))^0.5)))</f>
        <v> </v>
      </c>
      <c r="CE14" s="334" t="str">
        <f aca="false">IF($A14="N/A"," ",(VLOOKUP($A14,GasVolTable,(IF(BMO=2,6,IF(BMO=1,7,5))),FALSE())))</f>
        <v> </v>
      </c>
      <c r="CF14" s="334" t="str">
        <f aca="false">IF($A14="N/A"," ",(VLOOKUP($A14,OmicronVol,(IF(BMO=2,3,IF(BMO=1,4,2))),FALSE())))</f>
        <v> </v>
      </c>
      <c r="CG14" s="335" t="str">
        <f aca="false">IF($A14="N/A"," ",(IF(DateToday&gt;$A14,$CF14,((($CE14^2)*((($A14-1)-DateToday)/((EOMONTH($A14,0)+1)-DateToday-15)))+((($CF14)^2)*((15)/((EOMONTH($A14,0)+1)-DateToday-15))))^0.5)))</f>
        <v> </v>
      </c>
      <c r="CH14" s="334" t="str">
        <f aca="false">IF($A14="N/A"," ",VLOOKUP($A14,CorrelationTable,2,FALSE()))</f>
        <v> </v>
      </c>
      <c r="CI14" s="336" t="str">
        <f aca="false">IF($A14="N/A"," ",F14+G14+(D14*('Pricing Inputs'!T47)))</f>
        <v> </v>
      </c>
      <c r="CJ14" s="334" t="str">
        <f aca="false">IF($A14="N/A"," ",IF(PV=1,0,'Pricing Inputs'!U47))</f>
        <v> </v>
      </c>
      <c r="CK14" s="337" t="str">
        <f aca="false">IF($A14="N/A"," ",(1+CJ14/2)^(-2*((EOMONTH(A14,0)+20)-DateToday)/365.25))</f>
        <v> </v>
      </c>
      <c r="CL14" s="338" t="str">
        <f aca="false">IF(A14="N/A"," ",IF(CC=2,(VLOOKUP(MONTH($A14),Hrtable,3))/1000,0))</f>
        <v> </v>
      </c>
      <c r="CM14" s="339" t="str">
        <f aca="false">IF(A14="N/A"," ",IF(CC=2,(CL14*C14)+F14,0))</f>
        <v> </v>
      </c>
      <c r="CN14" s="340" t="str">
        <f aca="false">IF($A14="N/A"," ",IF(CC=2,(VLOOKUP(A14,ScaledPrice,(IF(AND(Dayrun&gt;=1,Dayrun&lt;=6),2,4)))-((IF(R14&lt;&gt;0,$D14,$CL14)*$C14)+$F14+$G14)),0))</f>
        <v> </v>
      </c>
      <c r="CO14" s="340" t="str">
        <f aca="false">IF($A14="N/A"," ",IF(CC=2,(IF(AND(Dayrun&gt;=1,Dayrun&lt;=6),I14,(VLOOKUP(A14,ScaledPrice,2))*(2-(VLOOKUP(A14,ScaledPrice,3))))-((IF(S14&lt;&gt;0,$D14,$CL14)*$C14)+$F14+$G14)),0))</f>
        <v> </v>
      </c>
      <c r="CP14" s="340" t="str">
        <f aca="false">IF(A14="N/A"," ",IF(CC=2,(VLOOKUP(A14,ScaledPrice,9)-((IF(T14&lt;&gt;0,$D14,$CL14)*$C14)+$F14+$G14)),0))</f>
        <v> </v>
      </c>
      <c r="CQ14" s="340" t="str">
        <f aca="false">IF(A14="N/A"," ",IF(CC=2,(IF(OR(Dayrun=2,Dayrun=3,Dayrun=5,Dayrun=6,Dayrun=8,Dayrun=9),VLOOKUP(A14,ScaledPrice,IF(AND(Dayrun&gt;=2,Dayrun&lt;=6),5,6)),0)-((IF(U14&lt;&gt;0,$D14,$CL14)*$C14)+$F14+$G14)),0))</f>
        <v> </v>
      </c>
      <c r="CR14" s="340" t="str">
        <f aca="false">IF(A14="N/A"," ",IF(CC=2,(IF(OR(Dayrun=2,Dayrun=3,Dayrun=5,Dayrun=6,Dayrun=8,Dayrun=9),IF(AND(Dayrun&gt;=2,Dayrun&lt;=6),L14,(VLOOKUP(A14,ScaledPrice,5))*(2-(VLOOKUP(A14,ScaledPrice,3)))),0)-((IF(V14&lt;&gt;0,$D14,$CL14)*$C14)+$F14+$G14)),0))</f>
        <v> </v>
      </c>
      <c r="CS14" s="340" t="str">
        <f aca="false">IF(A14="N/A"," ",IF(CC=2,(VLOOKUP(A14,ScaledPrice,9)-((IF(W14&lt;&gt;0,$D14,$CL14)*$C14)+$F14+$G14)),0))</f>
        <v> </v>
      </c>
      <c r="CT14" s="340" t="str">
        <f aca="false">IF(A14="N/A"," ",IF(CC=2,(IF(OR(Dayrun=3,Dayrun=6,Dayrun=9),(VLOOKUP(A14,ScaledPrice,IF(AND(Dayrun&gt;=3,Dayrun&lt;=6),7,8))),0)-((IF(X14&lt;&gt;0,$D14,$CL14)*$C14)+$F14+$G14)),0))</f>
        <v> </v>
      </c>
      <c r="CU14" s="340" t="str">
        <f aca="false">IF(A14="N/A"," ",IF(CC=2,(IF(OR(Dayrun=3,Dayrun=6,Dayrun=9),IF(AND(Dayrun&gt;=3,Dayrun&lt;=6),O14,(VLOOKUP(A14,ScaledPrice,7))*(2-(VLOOKUP(A14,ScaledPrice,3)))),0)-((IF(Y14&lt;&gt;0,$D14,$CL14)*$C14)+$F14+$G14)),0))</f>
        <v> </v>
      </c>
      <c r="CV14" s="340" t="str">
        <f aca="false">IF(A14="N/A"," ",IF(CC=2,(VLOOKUP(A14,ScaledPrice,9)-((IF(Z14&lt;&gt;0,$D14,$CL14)*$C14)+$F14+$G14)),0))</f>
        <v> </v>
      </c>
      <c r="CW14" s="318" t="str">
        <f aca="false">IF($A14="N/A"," ",IF(0&lt;&gt;CN14,IF(CC=2,8*$HD14,0),0))</f>
        <v> </v>
      </c>
      <c r="CX14" s="318" t="str">
        <f aca="false">IF($A14="N/A"," ",IF(0&lt;&gt;CO14,IF(CC=2,8*$HD14,0),0))</f>
        <v> </v>
      </c>
      <c r="CY14" s="318" t="str">
        <f aca="false">IF($A14="N/A"," ",IF(0&lt;&gt;CP14,IF(CC=2,8*$HD14,0),0))</f>
        <v> </v>
      </c>
      <c r="CZ14" s="318" t="str">
        <f aca="false">IF($A14="N/A"," ",IF(0&lt;&gt;CQ14,IF(CC=2,8*$HE14,0),0))</f>
        <v> </v>
      </c>
      <c r="DA14" s="318" t="str">
        <f aca="false">IF($A14="N/A"," ",IF(0&lt;&gt;CR14,IF(CC=2,8*$HE14,0),0))</f>
        <v> </v>
      </c>
      <c r="DB14" s="318" t="str">
        <f aca="false">IF($A14="N/A"," ",IF(0&lt;&gt;CS14,IF(CC=2,8*$HE14,0),0))</f>
        <v> </v>
      </c>
      <c r="DC14" s="318" t="str">
        <f aca="false">IF($A14="N/A"," ",IF(0&lt;&gt;CT14,IF(CC=2,8*$HF14,0),0))</f>
        <v> </v>
      </c>
      <c r="DD14" s="318" t="str">
        <f aca="false">IF($A14="N/A"," ",IF(0&lt;&gt;CU14,IF(CC=2,8*$HF14,0),0))</f>
        <v> </v>
      </c>
      <c r="DE14" s="318" t="str">
        <f aca="false">IF($A14="N/A"," ",IF(0&lt;&gt;CV14,IF(CC=2,8*$HF14,0),0))</f>
        <v> </v>
      </c>
      <c r="DF14" s="341" t="str">
        <f aca="false">IF($A14="N/A"," ",IF(CC=2,(IF(MONTH(A14)&gt;=4,IF(MONTH(A14)&lt;=10,Inputs!$G$13,Inputs!$G$14),Inputs!$G$14))*$CK14,0))</f>
        <v> </v>
      </c>
      <c r="DG14" s="342" t="str">
        <f aca="false">IF($A14="N/A"," ",IF(CC=2,$DF14*CW14*CN14,0))</f>
        <v> </v>
      </c>
      <c r="DH14" s="342" t="str">
        <f aca="false">IF($A14="N/A"," ",IF(CC=2,$DF14*CX14*CO14,0))</f>
        <v> </v>
      </c>
      <c r="DI14" s="342" t="str">
        <f aca="false">IF($A14="N/A"," ",IF(CC=2,$DF14*CY14*CP14,0))</f>
        <v> </v>
      </c>
      <c r="DJ14" s="342" t="str">
        <f aca="false">IF($A14="N/A"," ",IF(CC=2,$DF14*CZ14*CQ14,0))</f>
        <v> </v>
      </c>
      <c r="DK14" s="342" t="str">
        <f aca="false">IF($A14="N/A"," ",IF(CC=2,$DF14*DA14*CR14,0))</f>
        <v> </v>
      </c>
      <c r="DL14" s="342" t="str">
        <f aca="false">IF($A14="N/A"," ",IF(CC=2,$DF14*DB14*CS14,0))</f>
        <v> </v>
      </c>
      <c r="DM14" s="342" t="str">
        <f aca="false">IF($A14="N/A"," ",IF(CC=2,$DF14*DC14*CT14,0))</f>
        <v> </v>
      </c>
      <c r="DN14" s="342" t="str">
        <f aca="false">IF($A14="N/A"," ",IF(CC=2,$DF14*DD14*CU14,0))</f>
        <v> </v>
      </c>
      <c r="DO14" s="342" t="str">
        <f aca="false">IF($A14="N/A"," ",IF(CC=2,$DF14*DE14*CV14,0))</f>
        <v> </v>
      </c>
      <c r="DP14" s="343" t="str">
        <f aca="false">IF($A14="N/A"," ",IF(CC=2,SUM(DG14:DO14),0))</f>
        <v> </v>
      </c>
      <c r="DQ14" s="0" t="str">
        <f aca="false">IF(A14="N/A"," ",Perstart)</f>
        <v> </v>
      </c>
      <c r="HD14" s="0" t="str">
        <f aca="false">IF($A14="N/A"," ",VLOOKUP($A14,NumberofDaysTable,2))</f>
        <v> </v>
      </c>
      <c r="HE14" s="0" t="str">
        <f aca="false">IF($A14="N/A"," ",VLOOKUP($A14,NumberofDaysTable,3))</f>
        <v> </v>
      </c>
      <c r="HF14" s="0" t="str">
        <f aca="false">IF($A14="N/A"," ",VLOOKUP($A14,NumberofDaysTable,4))</f>
        <v> </v>
      </c>
    </row>
    <row r="15" customFormat="false" ht="12.75" hidden="false" customHeight="false" outlineLevel="0" collapsed="false">
      <c r="A15" s="308" t="str">
        <f aca="false">IF(A14="N/A","N/A",IF(EDATE(A14,1)&gt;Inputs!$K$3,"N/A",EDATE(A14,1)))</f>
        <v>N/A</v>
      </c>
      <c r="B15" s="309" t="str">
        <f aca="false">IF(A15="N/A"," ",YEAR(A15))</f>
        <v> </v>
      </c>
      <c r="C15" s="310" t="str">
        <f aca="false">IF(A15="N/A"," ",VLOOKUP(A15,ScaledPrice,10))</f>
        <v> </v>
      </c>
      <c r="D15" s="311" t="str">
        <f aca="false">IF(A15="N/A"," ",(VLOOKUP(MONTH($A15),Hrtable,2))/1000)</f>
        <v> </v>
      </c>
      <c r="E15" s="312" t="str">
        <f aca="false">IF($A15="N/A"," ",(C15-'Pricing Inputs'!T48)*D15)</f>
        <v> </v>
      </c>
      <c r="F15" s="313" t="str">
        <f aca="false">IF(A15="N/A"," ",VOM)</f>
        <v> </v>
      </c>
      <c r="G15" s="313" t="str">
        <f aca="false">IF(A15="N/A"," ",Perstart/IF(AND(Dayrun&gt;=4,Dayrun&lt;=6),16,IF(AND(Dayrun&gt;=7,Dayrun&lt;=9),8,24))/(BM15/CK15))</f>
        <v> </v>
      </c>
      <c r="H15" s="314" t="str">
        <f aca="false">IF(A15="N/A"," ",(C15*D15)+F15+G15)</f>
        <v> </v>
      </c>
      <c r="I15" s="315" t="str">
        <f aca="false">VLOOKUP(A15,ScaledPrice,(IF(AND(Dayrun&gt;=1,Dayrun&lt;=6),2,4)))</f>
        <v> </v>
      </c>
      <c r="J15" s="315" t="str">
        <f aca="false">IF(A15="N/A"," ",IF(AND(Dayrun&gt;=1,Dayrun&lt;=6),I15,(VLOOKUP(A15,ScaledPrice,2))*(2-(VLOOKUP(A15,ScaledPrice,3)))))</f>
        <v> </v>
      </c>
      <c r="K15" s="315" t="str">
        <f aca="false">IF(A15="N/A"," ",IF(AND(Dayrun&gt;=1,Dayrun&lt;=3),VLOOKUP(A15,ScaledPrice,9),0))</f>
        <v> </v>
      </c>
      <c r="L15" s="315" t="str">
        <f aca="false">IF(A15="N/A"," ",IF(OR(Dayrun=2,Dayrun=3,Dayrun=5,Dayrun=6,Dayrun=8,Dayrun=9),VLOOKUP(A15,ScaledPrice,IF(AND(Dayrun&gt;=2,Dayrun&lt;=6),5,6)),0))</f>
        <v> </v>
      </c>
      <c r="M15" s="315" t="str">
        <f aca="false">IF(A15="N/A"," ",IF(OR(Dayrun=2,Dayrun=3,Dayrun=5,Dayrun=6,Dayrun=8,Dayrun=9),IF(AND(Dayrun&gt;=2,Dayrun&lt;=6),L15,(VLOOKUP(A15,ScaledPrice,5))*(2-(VLOOKUP(A15,ScaledPrice,3)))),0))</f>
        <v> </v>
      </c>
      <c r="N15" s="315" t="str">
        <f aca="false">IF(A15="N/A"," ",IF(AND(Dayrun&gt;1,Dayrun&lt;=3),VLOOKUP(A15,ScaledPrice,9),0))</f>
        <v> </v>
      </c>
      <c r="O15" s="315" t="str">
        <f aca="false">IF(A15="N/A"," ",IF(OR(Dayrun=3,Dayrun=6,Dayrun=9),(VLOOKUP(A15,ScaledPrice,IF(AND(Dayrun&gt;=3,Dayrun&lt;=6),7,8))),0))</f>
        <v> </v>
      </c>
      <c r="P15" s="315" t="str">
        <f aca="false">IF(A15="N/A"," ",IF(OR(Dayrun=3,Dayrun=6,Dayrun=9),IF(AND(Dayrun&gt;=3,Dayrun&lt;=6),O15,(VLOOKUP(A15,ScaledPrice,7))*(2-(VLOOKUP(A15,ScaledPrice,3)))),0))</f>
        <v> </v>
      </c>
      <c r="Q15" s="315" t="str">
        <f aca="false">IF(A15="N/A"," ",IF(AND(Dayrun&gt;2,Dayrun&lt;=3),VLOOKUP(A15,ScaledPrice,9),0))</f>
        <v> </v>
      </c>
      <c r="R15" s="316" t="str">
        <f aca="false">IF($A15="N/A"," ",IF(Pricetype=2,MAX(I15-$H15,0),IF(Pricetype=1,(xSPRDOPT(I15,$E15,$CI15,0,($CD15+IF(Smile=TRUE(),VLOOKUP(MAX(-5,$H15-I15),Volsmile,2),0)),$CG15,$CH15,($A15-DateToday)+15,1,0)),I15-$H15)))</f>
        <v> </v>
      </c>
      <c r="S15" s="316" t="str">
        <f aca="false">IF($A15="N/A"," ",IF(Pricetype=2,MAX(J15-$H15,0),IF(Pricetype=1,(xSPRDOPT(J15,$E15,$CI15,0,($CD15+IF(Smile=TRUE(),VLOOKUP(MAX(-5,$H15-J15),Volsmile,2),0)),$CG15,$CH15,($A15-DateToday)+15,1,0)),J15-$H15)))</f>
        <v> </v>
      </c>
      <c r="T15" s="317" t="str">
        <f aca="false">IF($A15="N/A"," ",(IF(Pricetype=2,IF((K15-$H15)&lt;=0,0,(K15-$H15)),IF(K15&lt;&gt;0,(K15-$H15),0))))</f>
        <v> </v>
      </c>
      <c r="U15" s="316" t="str">
        <f aca="false">IF($A15="N/A"," ",IF(Pricetype=2,MAX(L15-$H15,0),IF(L15&lt;&gt;0,IF(Pricetype=1,(xSPRDOPT(L15,$E15,$CI15,0,($CD15+IF(Smile=TRUE(),VLOOKUP(MAX(-5,$H15-L15),Volsmile,2),0)),$CG15,$CH15,($A15-DateToday)+15,1,0)),L15-$H15),0)))</f>
        <v> </v>
      </c>
      <c r="V15" s="316" t="str">
        <f aca="false">IF($A15="N/A"," ",IF(Pricetype=2,MAX(M15-$H15,0),IF(M15&lt;&gt;0,IF(Pricetype=1,(xSPRDOPT(M15,$E15,$CI15,0,($CD15+IF(Smile=TRUE(),VLOOKUP(MAX(-5,$H15-M15),Volsmile,2),0)),$CG15,$CH15,($A15-DateToday)+15,1,0)),M15-$H15),0)))</f>
        <v> </v>
      </c>
      <c r="W15" s="317" t="str">
        <f aca="false">IF($A15="N/A"," ",(IF(Pricetype=2,IF((N15-$H15)&lt;=0,0,(N15-$H15)),IF(N15&lt;&gt;0,(N15-$H15),0))))</f>
        <v> </v>
      </c>
      <c r="X15" s="316" t="str">
        <f aca="false">IF($A15="N/A"," ",IF(Pricetype=2,MAX(O15-$H15,0),IF(O15&lt;&gt;0,IF(Pricetype=1,(xSPRDOPT(O15,$E15,$CI15,0,($CD15+IF(Smile=TRUE(),VLOOKUP(MAX(-5,$H15-O15),Volsmile,2),0)),$CG15,$CH15,($A15-DateToday)+15,1,0)),O15-$H15),0)))</f>
        <v> </v>
      </c>
      <c r="Y15" s="316" t="str">
        <f aca="false">IF($A15="N/A"," ",IF(Pricetype=2,MAX(P15-$H15,0),IF(P15&lt;&gt;0,IF(Pricetype=1,(xSPRDOPT(P15,$E15,$CI15,0,($CD15+IF(Smile=TRUE(),VLOOKUP(MAX(-5,$H15-P15),Volsmile,2),0)),$CG15,$CH15,($A15-DateToday)+15,1,0)),P15-$H15),0)))</f>
        <v> </v>
      </c>
      <c r="Z15" s="317" t="str">
        <f aca="false">IF($A15="N/A"," ",(IF(Pricetype=2,IF((Q15-$H15)&lt;=0,0,(Q15-$H15)),IF(Q15&lt;&gt;0,(Q15-$H15),0))))</f>
        <v> </v>
      </c>
      <c r="AA15" s="318" t="str">
        <f aca="false">IF($A15="N/A"," ",IF(VLOOKUP(MONTH(A15),ManualTable,2)=1,(IF(0&lt;&gt;R15,IF(Pricetype=1,(xSPRDOPT(I15,$E15,$CI15,0,($CD15+IF(Smile=TRUE(),VLOOKUP(MAX(-5,$H15-I15),Volsmile,2),0)),$CG15,$CH15,($A15-DateToday)+15,1,1))*(8*$HD15),8*$HD15),0)),0))</f>
        <v> </v>
      </c>
      <c r="AB15" s="318" t="str">
        <f aca="false">IF($A15="N/A"," ",IF(VLOOKUP(MONTH(A15),ManualTable,3)=1,(IF(S15&lt;&gt;0,IF(Pricetype=1,(xSPRDOPT(J15,$E15,$CI15,0,($CD15+IF(Smile=TRUE(),VLOOKUP(MAX(-5,$H15-J15),Volsmile,2),0)),$CG15,$CH15,($A15-DateToday)+15,1,1))*(8*$HD15),8*$HD15),0)),0))</f>
        <v> </v>
      </c>
      <c r="AC15" s="318" t="str">
        <f aca="false">IF($A15="N/A"," ",IF(VLOOKUP(MONTH(A15),ManualTable,4)=1,(IF(T15&lt;&gt;0,(8*$HD15),0)),0))</f>
        <v> </v>
      </c>
      <c r="AD15" s="318" t="str">
        <f aca="false">IF($A15="N/A"," ",IF(VLOOKUP(MONTH(A15),ManualTable,5)=1,(IF(U15&lt;&gt;0,IF(Pricetype=1,(xSPRDOPT(L15,$E15,$CI15,0,($CD15+IF(Smile=TRUE(),VLOOKUP(MAX(-5,$H15-L15),Volsmile,2),0)),$CG15,$CH15,($A15-DateToday)+15,1,1))*(8*$HE15),8*$HE15),0)),0))</f>
        <v> </v>
      </c>
      <c r="AE15" s="318" t="str">
        <f aca="false">IF($A15="N/A"," ",IF(VLOOKUP(MONTH(A15),ManualTable,6)=1,(IF(V15&lt;&gt;0,IF(Pricetype=1,(xSPRDOPT(M15,$E15,$CI15,0,($CD15+IF(Smile=TRUE(),VLOOKUP(MAX(-5,$H15-M15),Volsmile,2),0)),$CG15,$CH15,($A15-DateToday)+15,1,1))*(8*$HE15),8*$HE15),0)),0))</f>
        <v> </v>
      </c>
      <c r="AF15" s="318" t="str">
        <f aca="false">IF($A15="N/A"," ",IF(VLOOKUP(MONTH(A15),ManualTable,7)=1,(IF(W15&lt;&gt;0,(8*$HE15),0)),0))</f>
        <v> </v>
      </c>
      <c r="AG15" s="318" t="str">
        <f aca="false">IF($A15="N/A"," ",IF(VLOOKUP(MONTH(A15),ManualTable,8)=1,(IF(X15&lt;&gt;0,IF(Pricetype=1,(xSPRDOPT(O15,$E15,$CI15,0,($CD15+IF(Smile=TRUE(),VLOOKUP(MAX(-5,$H15-O15),Volsmile,2),0)),$CG15,$CH15,($A15-DateToday)+15,1,1))*(8*$HF15),8*$HF15),0)),0))</f>
        <v> </v>
      </c>
      <c r="AH15" s="318" t="str">
        <f aca="false">IF($A15="N/A"," ",IF(VLOOKUP(MONTH(A15),ManualTable,9)=1,(IF(Y15&lt;&gt;0,IF(Pricetype=1,(xSPRDOPT(P15,$E15,$CI15,0,($CD15+IF(Smile=TRUE(),VLOOKUP(MAX(-5,$H15-P15),Volsmile,2),0)),$CG15,$CH15,($A15-DateToday)+15,1,1))*(8*$HF15),8*$HF15),0)),0))</f>
        <v> </v>
      </c>
      <c r="AI15" s="318" t="str">
        <f aca="false">IF($A15="N/A"," ",IF(VLOOKUP(MONTH(A15),ManualTable,10)=1,(IF(Z15&lt;&gt;0,(8*($HF15)),0)),0))</f>
        <v> </v>
      </c>
      <c r="AJ15" s="349" t="str">
        <f aca="false">IF($A15="N/A"," ",RANK(R15,$R$4:$Z$15))</f>
        <v> </v>
      </c>
      <c r="AK15" s="350" t="str">
        <f aca="false">IF($A15="N/A"," ",RANK(S15,$R$4:$Z$15))</f>
        <v> </v>
      </c>
      <c r="AL15" s="350" t="str">
        <f aca="false">IF($A15="N/A"," ",RANK(T15,$R$4:$Z$15))</f>
        <v> </v>
      </c>
      <c r="AM15" s="350" t="str">
        <f aca="false">IF($A15="N/A"," ",RANK(U15,$R$4:$Z$15))</f>
        <v> </v>
      </c>
      <c r="AN15" s="350" t="str">
        <f aca="false">IF($A15="N/A"," ",RANK(V15,$R$4:$Z$15))</f>
        <v> </v>
      </c>
      <c r="AO15" s="321" t="str">
        <f aca="false">IF($A15="N/A"," ",RANK(W15,$R$4:$Z$15))</f>
        <v> </v>
      </c>
      <c r="AP15" s="350" t="str">
        <f aca="false">IF($A15="N/A"," ",RANK(X15,$R$4:$Z$15))</f>
        <v> </v>
      </c>
      <c r="AQ15" s="350" t="str">
        <f aca="false">IF($A15="N/A"," ",RANK(Y15,$R$4:$Z$15))</f>
        <v> </v>
      </c>
      <c r="AR15" s="351" t="str">
        <f aca="false">IF($A15="N/A"," ",RANK(Z15,$R$4:$Z$15))</f>
        <v> </v>
      </c>
      <c r="AS15" s="352" t="n">
        <f aca="false">IF($A15="N/A",0,IF(AJ15&lt;=$AR$2,AA15,0))</f>
        <v>0</v>
      </c>
      <c r="AT15" s="353" t="n">
        <f aca="false">IF($A15="N/A",0,IF(AK15&lt;=$AR$2,AB15,0))</f>
        <v>0</v>
      </c>
      <c r="AU15" s="353" t="n">
        <f aca="false">IF($A15="N/A",0,IF(AL15&lt;=$AR$2,AC15,0))</f>
        <v>0</v>
      </c>
      <c r="AV15" s="353" t="n">
        <f aca="false">IF($A15="N/A",0,IF(AM15&lt;=$AR$2,AD15,0))</f>
        <v>0</v>
      </c>
      <c r="AW15" s="353" t="n">
        <f aca="false">IF($A15="N/A",0,IF(AN15&lt;=$AR$2,AE15,0))</f>
        <v>0</v>
      </c>
      <c r="AX15" s="353" t="n">
        <f aca="false">IF($A15="N/A",0,IF(AO15&lt;=$AR$2,AF15,0))</f>
        <v>0</v>
      </c>
      <c r="AY15" s="353" t="n">
        <f aca="false">IF($A15="N/A",0,IF(AP15&lt;=$AR$2,AG15,0))</f>
        <v>0</v>
      </c>
      <c r="AZ15" s="353" t="n">
        <f aca="false">IF($A15="N/A",0,IF(AQ15&lt;=$AR$2,AH15,0))</f>
        <v>0</v>
      </c>
      <c r="BA15" s="353" t="n">
        <f aca="false">IF($A15="N/A",0,IF(AR15&lt;=$AR$2,AI15,0))</f>
        <v>0</v>
      </c>
      <c r="BB15" s="351" t="e">
        <f aca="false">IF(($AZ$2-BB14)&gt;=0,$AZ$2-BB14,0)</f>
        <v>#NAME?</v>
      </c>
      <c r="BC15" s="354" t="n">
        <f aca="false">IF($A15="N/A",0,IF(AND(AJ15=$AR$2+1,AS15=0),MIN($BB$15,AA15),0))</f>
        <v>0</v>
      </c>
      <c r="BD15" s="355" t="n">
        <f aca="false">IF($A15="N/A",0,IF(AND(AK15=$AR$2+1,AT15=0),MIN($BB$15,AB15),0))</f>
        <v>0</v>
      </c>
      <c r="BE15" s="346" t="n">
        <f aca="false">IF($A15="N/A",0,IF(AND(AL15=$AR$2+1,AU15=0),MIN($BB$15,AC15),0))</f>
        <v>0</v>
      </c>
      <c r="BF15" s="355" t="n">
        <f aca="false">IF($A15="N/A",0,IF(AND(AM15=$AR$2+1,AV15=0),MIN($BB$15,AD15),0))</f>
        <v>0</v>
      </c>
      <c r="BG15" s="355" t="n">
        <f aca="false">IF($A15="N/A",0,IF(AND(AN15=$AR$2+1,AW15=0),MIN($BB$15,AE15),0))</f>
        <v>0</v>
      </c>
      <c r="BH15" s="346" t="n">
        <f aca="false">IF($A15="N/A",0,IF(AND(AO15=$AR$2+1,AX15=0),MIN($BB$15,AF15),0))</f>
        <v>0</v>
      </c>
      <c r="BI15" s="355" t="n">
        <f aca="false">IF($A15="N/A",0,IF(AND(AP15=$AR$2+1,AY15=0),MIN($BB$15,AG15),0))</f>
        <v>0</v>
      </c>
      <c r="BJ15" s="355" t="n">
        <f aca="false">IF($A15="N/A",0,IF(AND(AQ15=$AR$2+1,AZ15=0),MIN($BB$15,AH15),0))</f>
        <v>0</v>
      </c>
      <c r="BK15" s="355" t="n">
        <f aca="false">IF($A15="N/A",0,IF(AND(AR15=$AR$2+1,BA15=0),MIN($BB$15,AI15),0))</f>
        <v>0</v>
      </c>
      <c r="BL15" s="356" t="e">
        <f aca="false">BB14+BL14</f>
        <v>#NAME?</v>
      </c>
      <c r="BM15" s="329" t="str">
        <f aca="false">IF($A15="N/A"," ",(IF(MONTH(A15)&gt;=4,IF(MONTH(A15)&lt;=10,Inputs!$F$13-Inputs!$G$13,Inputs!$F$14-Inputs!$G$14),Inputs!$F$14-Inputs!$G$14))*$CK15*Availability)</f>
        <v> </v>
      </c>
      <c r="BN15" s="330" t="str">
        <f aca="false">IF($A15="N/A"," ",(IF(AS15&gt;0,($BM15*(8*($HD15))*R15),0)+IF(BC15&gt;0,($BM15*((BC15/AA15)*8*$HD15)*R15),0)))</f>
        <v> </v>
      </c>
      <c r="BO15" s="330" t="str">
        <f aca="false">IF($A15="N/A"," ",(IF(AT15&gt;0,($BM15*(8*($HD15))*S15),0)+IF(BD15&gt;0,($BM15*((BD15/AB15)*8*$HD15)*S15),0)))</f>
        <v> </v>
      </c>
      <c r="BP15" s="330" t="str">
        <f aca="false">IF($A15="N/A"," ",(IF(AU15&gt;0,($BM15*(8*($HD15))*T15),0)+IF(BE15&gt;0,($BM15*((BE15))*T15),0)))</f>
        <v> </v>
      </c>
      <c r="BQ15" s="330" t="str">
        <f aca="false">IF($A15="N/A"," ",(IF(AV15&gt;0,($BM15*(8*($HE15))*U15),0)+IF(BF15&gt;0,($BM15*((BF15/AD15)*8*$HE15)*U15),0)))</f>
        <v> </v>
      </c>
      <c r="BR15" s="330" t="str">
        <f aca="false">IF($A15="N/A"," ",(IF(AW15&gt;0,($BM15*(8*($HE15))*V15),0)+IF(BG15&gt;0,($BM15*((BG15/AE15)*8*$HE15)*V15),0)))</f>
        <v> </v>
      </c>
      <c r="BS15" s="330" t="str">
        <f aca="false">IF($A15="N/A"," ",(IF(AX15&gt;0,($BM15*(8*($HE15))*W15),0)+IF(BH15&gt;0,($BM15*((BH15))*W15),0)))</f>
        <v> </v>
      </c>
      <c r="BT15" s="330" t="str">
        <f aca="false">IF($A15="N/A"," ",(IF(AY15&gt;0,($BM15*(8*($HF15))*X15),0)+IF(BI15&gt;0,($BM15*((BI15/AG15)*8*$HF15)*X15),0)))</f>
        <v> </v>
      </c>
      <c r="BU15" s="330" t="str">
        <f aca="false">IF($A15="N/A"," ",(IF(AZ15&gt;0,($BM15*(8*($HF15))*Y15),0)+IF(BJ15&gt;0,($BM15*((BJ15/AH15)*8*$HF15)*Y15),0)))</f>
        <v> </v>
      </c>
      <c r="BV15" s="330" t="str">
        <f aca="false">IF($A15="N/A"," ",(IF(BA15&gt;0,($BM15*(8*($HF15))*Z15),0)+IF(BK15&gt;0,($BM15*((BK15))*Z15),0)))</f>
        <v> </v>
      </c>
      <c r="BW15" s="330" t="str">
        <f aca="false">IF($A15="N/A"," ",SUM(BN15:BV15))</f>
        <v> </v>
      </c>
      <c r="BX15" s="331" t="str">
        <f aca="false">IF($A15="N/A"," ",(H15*(SUM(AS15:BA15)+SUM(BC15:BK15))*BM15))</f>
        <v> </v>
      </c>
      <c r="BY15" s="332" t="str">
        <f aca="false">IF($A15="N/A"," ",((C15*D15)*(SUM($AS15:$BA15)+SUM($BC15:$BK15))*$BM15))</f>
        <v> </v>
      </c>
      <c r="BZ15" s="332" t="str">
        <f aca="false">IF($A15="N/A"," ",(F15*(SUM($AS15:$BA15)+SUM($BC15:$BK15))*$BM15))</f>
        <v> </v>
      </c>
      <c r="CA15" s="333" t="str">
        <f aca="false">IF($A15="N/A"," ",(G15*(SUM($AS15:$BA15)+SUM($BC15:$BK15))*$BM15))</f>
        <v> </v>
      </c>
      <c r="CB15" s="334" t="str">
        <f aca="false">IF(A15="N/A"," ",(VLOOKUP(A15,PowerVolTable,(IF(BMO=2,7,IF(BMO=1,6,8))),FALSE())))</f>
        <v> </v>
      </c>
      <c r="CC15" s="334" t="str">
        <f aca="false">IF(A15="N/A"," ",(VLOOKUP(A15,IntraPowerVol,(IF(BMO=2,3,IF(BMO=1,2,4))),FALSE())*VLOOKUP(MONTH($A15),Volscale,2)))</f>
        <v> </v>
      </c>
      <c r="CD15" s="335" t="str">
        <f aca="false">IF($A15="N/A"," ",(IF(DateToday&gt;$A15,$CC15,((($CB15^2)*((($A15-1)-DateToday)/((EOMONTH($A15,0)+1)-DateToday-15)))+((($CC15)^2)*((15)/((EOMONTH($A15,0)+1)-DateToday-15))))^0.5)))</f>
        <v> </v>
      </c>
      <c r="CE15" s="334" t="str">
        <f aca="false">IF($A15="N/A"," ",(VLOOKUP($A15,GasVolTable,(IF(BMO=2,6,IF(BMO=1,7,5))),FALSE())))</f>
        <v> </v>
      </c>
      <c r="CF15" s="334" t="str">
        <f aca="false">IF($A15="N/A"," ",(VLOOKUP($A15,OmicronVol,(IF(BMO=2,3,IF(BMO=1,4,2))),FALSE())))</f>
        <v> </v>
      </c>
      <c r="CG15" s="335" t="str">
        <f aca="false">IF($A15="N/A"," ",(IF(DateToday&gt;$A15,$CF15,((($CE15^2)*((($A15-1)-DateToday)/((EOMONTH($A15,0)+1)-DateToday-15)))+((($CF15)^2)*((15)/((EOMONTH($A15,0)+1)-DateToday-15))))^0.5)))</f>
        <v> </v>
      </c>
      <c r="CH15" s="334" t="str">
        <f aca="false">IF($A15="N/A"," ",VLOOKUP($A15,CorrelationTable,2,FALSE()))</f>
        <v> </v>
      </c>
      <c r="CI15" s="336" t="str">
        <f aca="false">IF($A15="N/A"," ",F15+G15+(D15*('Pricing Inputs'!T48)))</f>
        <v> </v>
      </c>
      <c r="CJ15" s="334" t="str">
        <f aca="false">IF($A15="N/A"," ",IF(PV=1,0,'Pricing Inputs'!U48))</f>
        <v> </v>
      </c>
      <c r="CK15" s="337" t="str">
        <f aca="false">IF($A15="N/A"," ",(1+CJ15/2)^(-2*((EOMONTH(A15,0)+20)-DateToday)/365.25))</f>
        <v> </v>
      </c>
      <c r="CL15" s="338" t="str">
        <f aca="false">IF(A15="N/A"," ",IF(CC=2,(VLOOKUP(MONTH($A15),Hrtable,3))/1000,0))</f>
        <v> </v>
      </c>
      <c r="CM15" s="339" t="str">
        <f aca="false">IF(A15="N/A"," ",IF(CC=2,(CL15*C15)+F15,0))</f>
        <v> </v>
      </c>
      <c r="CN15" s="340" t="str">
        <f aca="false">IF($A15="N/A"," ",IF(CC=2,(VLOOKUP(A15,ScaledPrice,(IF(AND(Dayrun&gt;=1,Dayrun&lt;=6),2,4)))-((IF(R15&lt;&gt;0,$D15,$CL15)*$C15)+$F15+$G15)),0))</f>
        <v> </v>
      </c>
      <c r="CO15" s="340" t="str">
        <f aca="false">IF($A15="N/A"," ",IF(CC=2,(IF(AND(Dayrun&gt;=1,Dayrun&lt;=6),I15,(VLOOKUP(A15,ScaledPrice,2))*(2-(VLOOKUP(A15,ScaledPrice,3))))-((IF(S15&lt;&gt;0,$D15,$CL15)*$C15)+$F15+$G15)),0))</f>
        <v> </v>
      </c>
      <c r="CP15" s="340" t="str">
        <f aca="false">IF(A15="N/A"," ",IF(CC=2,(VLOOKUP(A15,ScaledPrice,9)-((IF(T15&lt;&gt;0,$D15,$CL15)*$C15)+$F15+$G15)),0))</f>
        <v> </v>
      </c>
      <c r="CQ15" s="340" t="str">
        <f aca="false">IF(A15="N/A"," ",IF(CC=2,(IF(OR(Dayrun=2,Dayrun=3,Dayrun=5,Dayrun=6,Dayrun=8,Dayrun=9),VLOOKUP(A15,ScaledPrice,IF(AND(Dayrun&gt;=2,Dayrun&lt;=6),5,6)),0)-((IF(U15&lt;&gt;0,$D15,$CL15)*$C15)+$F15+$G15)),0))</f>
        <v> </v>
      </c>
      <c r="CR15" s="340" t="str">
        <f aca="false">IF(A15="N/A"," ",IF(CC=2,(IF(OR(Dayrun=2,Dayrun=3,Dayrun=5,Dayrun=6,Dayrun=8,Dayrun=9),IF(AND(Dayrun&gt;=2,Dayrun&lt;=6),L15,(VLOOKUP(A15,ScaledPrice,5))*(2-(VLOOKUP(A15,ScaledPrice,3)))),0)-((IF(V15&lt;&gt;0,$D15,$CL15)*$C15)+$F15+$G15)),0))</f>
        <v> </v>
      </c>
      <c r="CS15" s="340" t="str">
        <f aca="false">IF(A15="N/A"," ",IF(CC=2,(VLOOKUP(A15,ScaledPrice,9)-((IF(W15&lt;&gt;0,$D15,$CL15)*$C15)+$F15+$G15)),0))</f>
        <v> </v>
      </c>
      <c r="CT15" s="340" t="str">
        <f aca="false">IF(A15="N/A"," ",IF(CC=2,(IF(OR(Dayrun=3,Dayrun=6,Dayrun=9),(VLOOKUP(A15,ScaledPrice,IF(AND(Dayrun&gt;=3,Dayrun&lt;=6),7,8))),0)-((IF(X15&lt;&gt;0,$D15,$CL15)*$C15)+$F15+$G15)),0))</f>
        <v> </v>
      </c>
      <c r="CU15" s="340" t="str">
        <f aca="false">IF(A15="N/A"," ",IF(CC=2,(IF(OR(Dayrun=3,Dayrun=6,Dayrun=9),IF(AND(Dayrun&gt;=3,Dayrun&lt;=6),O15,(VLOOKUP(A15,ScaledPrice,7))*(2-(VLOOKUP(A15,ScaledPrice,3)))),0)-((IF(Y15&lt;&gt;0,$D15,$CL15)*$C15)+$F15+$G15)),0))</f>
        <v> </v>
      </c>
      <c r="CV15" s="340" t="str">
        <f aca="false">IF(A15="N/A"," ",IF(CC=2,(VLOOKUP(A15,ScaledPrice,9)-((IF(Z15&lt;&gt;0,$D15,$CL15)*$C15)+$F15+$G15)),0))</f>
        <v> </v>
      </c>
      <c r="CW15" s="318" t="str">
        <f aca="false">IF($A15="N/A"," ",IF(0&lt;&gt;CN15,IF(CC=2,8*$HD15,0),0))</f>
        <v> </v>
      </c>
      <c r="CX15" s="318" t="str">
        <f aca="false">IF($A15="N/A"," ",IF(0&lt;&gt;CO15,IF(CC=2,8*$HD15,0),0))</f>
        <v> </v>
      </c>
      <c r="CY15" s="318" t="str">
        <f aca="false">IF($A15="N/A"," ",IF(0&lt;&gt;CP15,IF(CC=2,8*$HD15,0),0))</f>
        <v> </v>
      </c>
      <c r="CZ15" s="318" t="str">
        <f aca="false">IF($A15="N/A"," ",IF(0&lt;&gt;CQ15,IF(CC=2,8*$HE15,0),0))</f>
        <v> </v>
      </c>
      <c r="DA15" s="318" t="str">
        <f aca="false">IF($A15="N/A"," ",IF(0&lt;&gt;CR15,IF(CC=2,8*$HE15,0),0))</f>
        <v> </v>
      </c>
      <c r="DB15" s="318" t="str">
        <f aca="false">IF($A15="N/A"," ",IF(0&lt;&gt;CS15,IF(CC=2,8*$HE15,0),0))</f>
        <v> </v>
      </c>
      <c r="DC15" s="318" t="str">
        <f aca="false">IF($A15="N/A"," ",IF(0&lt;&gt;CT15,IF(CC=2,8*$HF15,0),0))</f>
        <v> </v>
      </c>
      <c r="DD15" s="318" t="str">
        <f aca="false">IF($A15="N/A"," ",IF(0&lt;&gt;CU15,IF(CC=2,8*$HF15,0),0))</f>
        <v> </v>
      </c>
      <c r="DE15" s="318" t="str">
        <f aca="false">IF($A15="N/A"," ",IF(0&lt;&gt;CV15,IF(CC=2,8*$HF15,0),0))</f>
        <v> </v>
      </c>
      <c r="DF15" s="341" t="str">
        <f aca="false">IF($A15="N/A"," ",IF(CC=2,(IF(MONTH(A15)&gt;=4,IF(MONTH(A15)&lt;=10,Inputs!$G$13,Inputs!$G$14),Inputs!$G$14))*$CK15,0))</f>
        <v> </v>
      </c>
      <c r="DG15" s="342" t="str">
        <f aca="false">IF($A15="N/A"," ",IF(CC=2,$DF15*CW15*CN15,0))</f>
        <v> </v>
      </c>
      <c r="DH15" s="342" t="str">
        <f aca="false">IF($A15="N/A"," ",IF(CC=2,$DF15*CX15*CO15,0))</f>
        <v> </v>
      </c>
      <c r="DI15" s="342" t="str">
        <f aca="false">IF($A15="N/A"," ",IF(CC=2,$DF15*CY15*CP15,0))</f>
        <v> </v>
      </c>
      <c r="DJ15" s="342" t="str">
        <f aca="false">IF($A15="N/A"," ",IF(CC=2,$DF15*CZ15*CQ15,0))</f>
        <v> </v>
      </c>
      <c r="DK15" s="342" t="str">
        <f aca="false">IF($A15="N/A"," ",IF(CC=2,$DF15*DA15*CR15,0))</f>
        <v> </v>
      </c>
      <c r="DL15" s="342" t="str">
        <f aca="false">IF($A15="N/A"," ",IF(CC=2,$DF15*DB15*CS15,0))</f>
        <v> </v>
      </c>
      <c r="DM15" s="342" t="str">
        <f aca="false">IF($A15="N/A"," ",IF(CC=2,$DF15*DC15*CT15,0))</f>
        <v> </v>
      </c>
      <c r="DN15" s="342" t="str">
        <f aca="false">IF($A15="N/A"," ",IF(CC=2,$DF15*DD15*CU15,0))</f>
        <v> </v>
      </c>
      <c r="DO15" s="342" t="str">
        <f aca="false">IF($A15="N/A"," ",IF(CC=2,$DF15*DE15*CV15,0))</f>
        <v> </v>
      </c>
      <c r="DP15" s="343" t="str">
        <f aca="false">IF($A15="N/A"," ",IF(CC=2,SUM(DG15:DO15),0))</f>
        <v> </v>
      </c>
      <c r="DQ15" s="0" t="str">
        <f aca="false">IF(A15="N/A"," ",Perstart)</f>
        <v> </v>
      </c>
      <c r="HD15" s="0" t="str">
        <f aca="false">IF($A15="N/A"," ",VLOOKUP($A15,NumberofDaysTable,2))</f>
        <v> </v>
      </c>
      <c r="HE15" s="0" t="str">
        <f aca="false">IF($A15="N/A"," ",VLOOKUP($A15,NumberofDaysTable,3))</f>
        <v> </v>
      </c>
      <c r="HF15" s="0" t="str">
        <f aca="false">IF($A15="N/A"," ",VLOOKUP($A15,NumberofDaysTable,4))</f>
        <v> </v>
      </c>
    </row>
    <row r="16" customFormat="false" ht="12.75" hidden="false" customHeight="false" outlineLevel="0" collapsed="false">
      <c r="A16" s="308" t="str">
        <f aca="false">IF(A15="N/A","N/A",IF(EDATE(A15,1)&gt;Inputs!$K$3,"N/A",EDATE(A15,1)))</f>
        <v>N/A</v>
      </c>
      <c r="B16" s="309" t="str">
        <f aca="false">IF(A16="N/A"," ",YEAR(A16))</f>
        <v> </v>
      </c>
      <c r="C16" s="310" t="str">
        <f aca="false">IF(A16="N/A"," ",VLOOKUP(A16,ScaledPrice,10))</f>
        <v> </v>
      </c>
      <c r="D16" s="311" t="str">
        <f aca="false">IF(A16="N/A"," ",(VLOOKUP(MONTH($A16),Hrtable,2))/1000)</f>
        <v> </v>
      </c>
      <c r="E16" s="312" t="str">
        <f aca="false">IF($A16="N/A"," ",(C16-'Pricing Inputs'!T49)*D16)</f>
        <v> </v>
      </c>
      <c r="F16" s="313" t="str">
        <f aca="false">IF(A16="N/A"," ",$F4*(1+VOMesc))</f>
        <v> </v>
      </c>
      <c r="G16" s="313" t="str">
        <f aca="false">IF(A16="N/A"," ",Perstart/IF(AND(Dayrun&gt;=4,Dayrun&lt;=6),16,IF(AND(Dayrun&gt;=7,Dayrun&lt;=9),8,24))/(BM16/CK16))</f>
        <v> </v>
      </c>
      <c r="H16" s="314" t="str">
        <f aca="false">IF(A16="N/A"," ",(C16*D16)+F16+G16)</f>
        <v> </v>
      </c>
      <c r="I16" s="315" t="str">
        <f aca="false">VLOOKUP(A16,ScaledPrice,(IF(AND(Dayrun&gt;=1,Dayrun&lt;=6),2,4)))</f>
        <v> </v>
      </c>
      <c r="J16" s="315" t="str">
        <f aca="false">IF(A16="N/A"," ",IF(AND(Dayrun&gt;=1,Dayrun&lt;=6),I16,(VLOOKUP(A16,ScaledPrice,2))*(2-(VLOOKUP(A16,ScaledPrice,3)))))</f>
        <v> </v>
      </c>
      <c r="K16" s="315" t="str">
        <f aca="false">IF(A16="N/A"," ",IF(AND(Dayrun&gt;=1,Dayrun&lt;=3),VLOOKUP(A16,ScaledPrice,9),0))</f>
        <v> </v>
      </c>
      <c r="L16" s="315" t="str">
        <f aca="false">IF(A16="N/A"," ",IF(OR(Dayrun=2,Dayrun=3,Dayrun=5,Dayrun=6,Dayrun=8,Dayrun=9),VLOOKUP(A16,ScaledPrice,IF(AND(Dayrun&gt;=2,Dayrun&lt;=6),5,6)),0))</f>
        <v> </v>
      </c>
      <c r="M16" s="315" t="str">
        <f aca="false">IF(A16="N/A"," ",IF(OR(Dayrun=2,Dayrun=3,Dayrun=5,Dayrun=6,Dayrun=8,Dayrun=9),IF(AND(Dayrun&gt;=2,Dayrun&lt;=6),L16,(VLOOKUP(A16,ScaledPrice,5))*(2-(VLOOKUP(A16,ScaledPrice,3)))),0))</f>
        <v> </v>
      </c>
      <c r="N16" s="315" t="str">
        <f aca="false">IF(A16="N/A"," ",IF(AND(Dayrun&gt;1,Dayrun&lt;=3),VLOOKUP(A16,ScaledPrice,9),0))</f>
        <v> </v>
      </c>
      <c r="O16" s="315" t="str">
        <f aca="false">IF(A16="N/A"," ",IF(OR(Dayrun=3,Dayrun=6,Dayrun=9),(VLOOKUP(A16,ScaledPrice,IF(AND(Dayrun&gt;=3,Dayrun&lt;=6),7,8))),0))</f>
        <v> </v>
      </c>
      <c r="P16" s="315" t="str">
        <f aca="false">IF(A16="N/A"," ",IF(OR(Dayrun=3,Dayrun=6,Dayrun=9),IF(AND(Dayrun&gt;=3,Dayrun&lt;=6),O16,(VLOOKUP(A16,ScaledPrice,7))*(2-(VLOOKUP(A16,ScaledPrice,3)))),0))</f>
        <v> </v>
      </c>
      <c r="Q16" s="315" t="str">
        <f aca="false">IF(A16="N/A"," ",IF(AND(Dayrun&gt;2,Dayrun&lt;=3),VLOOKUP(A16,ScaledPrice,9),0))</f>
        <v> </v>
      </c>
      <c r="R16" s="316" t="str">
        <f aca="false">IF($A16="N/A"," ",IF(Pricetype=2,MAX(I16-$H16,0),IF(Pricetype=1,(xSPRDOPT(I16,$E16,$CI16,0,($CD16+IF(Smile=TRUE(),VLOOKUP(MAX(-5,$H16-I16),Volsmile,2),0)),$CG16,$CH16,($A16-DateToday)+15,1,0)),I16-$H16)))</f>
        <v> </v>
      </c>
      <c r="S16" s="316" t="str">
        <f aca="false">IF($A16="N/A"," ",IF(Pricetype=2,MAX(J16-$H16,0),IF(Pricetype=1,(xSPRDOPT(J16,$E16,$CI16,0,($CD16+IF(Smile=TRUE(),VLOOKUP(MAX(-5,$H16-J16),Volsmile,2),0)),$CG16,$CH16,($A16-DateToday)+15,1,0)),J16-$H16)))</f>
        <v> </v>
      </c>
      <c r="T16" s="317" t="str">
        <f aca="false">IF($A16="N/A"," ",(IF(Pricetype=2,IF((K16-$H16)&lt;=0,0,(K16-$H16)),IF(K16&lt;&gt;0,(K16-$H16),0))))</f>
        <v> </v>
      </c>
      <c r="U16" s="316" t="str">
        <f aca="false">IF($A16="N/A"," ",IF(Pricetype=2,MAX(L16-$H16,0),IF(L16&lt;&gt;0,IF(Pricetype=1,(xSPRDOPT(L16,$E16,$CI16,0,($CD16+IF(Smile=TRUE(),VLOOKUP(MAX(-5,$H16-L16),Volsmile,2),0)),$CG16,$CH16,($A16-DateToday)+15,1,0)),L16-$H16),0)))</f>
        <v> </v>
      </c>
      <c r="V16" s="316" t="str">
        <f aca="false">IF($A16="N/A"," ",IF(Pricetype=2,MAX(M16-$H16,0),IF(M16&lt;&gt;0,IF(Pricetype=1,(xSPRDOPT(M16,$E16,$CI16,0,($CD16+IF(Smile=TRUE(),VLOOKUP(MAX(-5,$H16-M16),Volsmile,2),0)),$CG16,$CH16,($A16-DateToday)+15,1,0)),M16-$H16),0)))</f>
        <v> </v>
      </c>
      <c r="W16" s="317" t="str">
        <f aca="false">IF($A16="N/A"," ",(IF(Pricetype=2,IF((N16-$H16)&lt;=0,0,(N16-$H16)),IF(N16&lt;&gt;0,(N16-$H16),0))))</f>
        <v> </v>
      </c>
      <c r="X16" s="316" t="str">
        <f aca="false">IF($A16="N/A"," ",IF(Pricetype=2,MAX(O16-$H16,0),IF(O16&lt;&gt;0,IF(Pricetype=1,(xSPRDOPT(O16,$E16,$CI16,0,($CD16+IF(Smile=TRUE(),VLOOKUP(MAX(-5,$H16-O16),Volsmile,2),0)),$CG16,$CH16,($A16-DateToday)+15,1,0)),O16-$H16),0)))</f>
        <v> </v>
      </c>
      <c r="Y16" s="316" t="str">
        <f aca="false">IF($A16="N/A"," ",IF(Pricetype=2,MAX(P16-$H16,0),IF(P16&lt;&gt;0,IF(Pricetype=1,(xSPRDOPT(P16,$E16,$CI16,0,($CD16+IF(Smile=TRUE(),VLOOKUP(MAX(-5,$H16-P16),Volsmile,2),0)),$CG16,$CH16,($A16-DateToday)+15,1,0)),P16-$H16),0)))</f>
        <v> </v>
      </c>
      <c r="Z16" s="317" t="str">
        <f aca="false">IF($A16="N/A"," ",(IF(Pricetype=2,IF((Q16-$H16)&lt;=0,0,(Q16-$H16)),IF(Q16&lt;&gt;0,(Q16-$H16),0))))</f>
        <v> </v>
      </c>
      <c r="AA16" s="318" t="str">
        <f aca="false">IF($A16="N/A"," ",IF(VLOOKUP(MONTH(A16),ManualTable,2)=1,(IF(0&lt;&gt;R16,IF(Pricetype=1,(xSPRDOPT(I16,$E16,$CI16,0,($CD16+IF(Smile=TRUE(),VLOOKUP(MAX(-5,$H16-I16),Volsmile,2),0)),$CG16,$CH16,($A16-DateToday)+15,1,1))*(8*$HD16),8*$HD16),0)),0))</f>
        <v> </v>
      </c>
      <c r="AB16" s="318" t="str">
        <f aca="false">IF($A16="N/A"," ",IF(VLOOKUP(MONTH(A16),ManualTable,3)=1,(IF(S16&lt;&gt;0,IF(Pricetype=1,(xSPRDOPT(J16,$E16,$CI16,0,($CD16+IF(Smile=TRUE(),VLOOKUP(MAX(-5,$H16-J16),Volsmile,2),0)),$CG16,$CH16,($A16-DateToday)+15,1,1))*(8*$HD16),8*$HD16),0)),0))</f>
        <v> </v>
      </c>
      <c r="AC16" s="318" t="str">
        <f aca="false">IF($A16="N/A"," ",IF(VLOOKUP(MONTH(A16),ManualTable,4)=1,(IF(T16&lt;&gt;0,(8*$HD16),0)),0))</f>
        <v> </v>
      </c>
      <c r="AD16" s="318" t="str">
        <f aca="false">IF($A16="N/A"," ",IF(VLOOKUP(MONTH(A16),ManualTable,5)=1,(IF(U16&lt;&gt;0,IF(Pricetype=1,(xSPRDOPT(L16,$E16,$CI16,0,($CD16+IF(Smile=TRUE(),VLOOKUP(MAX(-5,$H16-L16),Volsmile,2),0)),$CG16,$CH16,($A16-DateToday)+15,1,1))*(8*$HE16),8*$HE16),0)),0))</f>
        <v> </v>
      </c>
      <c r="AE16" s="318" t="str">
        <f aca="false">IF($A16="N/A"," ",IF(VLOOKUP(MONTH(A16),ManualTable,6)=1,(IF(V16&lt;&gt;0,IF(Pricetype=1,(xSPRDOPT(M16,$E16,$CI16,0,($CD16+IF(Smile=TRUE(),VLOOKUP(MAX(-5,$H16-M16),Volsmile,2),0)),$CG16,$CH16,($A16-DateToday)+15,1,1))*(8*$HE16),8*$HE16),0)),0))</f>
        <v> </v>
      </c>
      <c r="AF16" s="318" t="str">
        <f aca="false">IF($A16="N/A"," ",IF(VLOOKUP(MONTH(A16),ManualTable,7)=1,(IF(W16&lt;&gt;0,(8*$HE16),0)),0))</f>
        <v> </v>
      </c>
      <c r="AG16" s="318" t="str">
        <f aca="false">IF($A16="N/A"," ",IF(VLOOKUP(MONTH(A16),ManualTable,8)=1,(IF(X16&lt;&gt;0,IF(Pricetype=1,(xSPRDOPT(O16,$E16,$CI16,0,($CD16+IF(Smile=TRUE(),VLOOKUP(MAX(-5,$H16-O16),Volsmile,2),0)),$CG16,$CH16,($A16-DateToday)+15,1,1))*(8*$HF16),8*$HF16),0)),0))</f>
        <v> </v>
      </c>
      <c r="AH16" s="318" t="str">
        <f aca="false">IF($A16="N/A"," ",IF(VLOOKUP(MONTH(A16),ManualTable,9)=1,(IF(Y16&lt;&gt;0,IF(Pricetype=1,(xSPRDOPT(P16,$E16,$CI16,0,($CD16+IF(Smile=TRUE(),VLOOKUP(MAX(-5,$H16-P16),Volsmile,2),0)),$CG16,$CH16,($A16-DateToday)+15,1,1))*(8*$HF16),8*$HF16),0)),0))</f>
        <v> </v>
      </c>
      <c r="AI16" s="318" t="str">
        <f aca="false">IF($A16="N/A"," ",IF(VLOOKUP(MONTH(A16),ManualTable,10)=1,(IF(Z16&lt;&gt;0,(8*($HF16)),0)),0))</f>
        <v> </v>
      </c>
      <c r="AJ16" s="319" t="str">
        <f aca="false">IF($A16="N/A"," ",RANK(R16,$R$16:$Z$27))</f>
        <v> </v>
      </c>
      <c r="AK16" s="320" t="str">
        <f aca="false">IF($A16="N/A"," ",RANK(S16,$R$16:$Z$27))</f>
        <v> </v>
      </c>
      <c r="AL16" s="321" t="str">
        <f aca="false">IF($A16="N/A"," ",RANK(T16,$R$16:$Z$27))</f>
        <v> </v>
      </c>
      <c r="AM16" s="320" t="str">
        <f aca="false">IF($A16="N/A"," ",RANK(U16,$R$16:$Z$27))</f>
        <v> </v>
      </c>
      <c r="AN16" s="320" t="str">
        <f aca="false">IF($A16="N/A"," ",RANK(V16,$R$16:$Z$27))</f>
        <v> </v>
      </c>
      <c r="AO16" s="320" t="str">
        <f aca="false">IF($A16="N/A"," ",RANK(W16,$R$16:$Z$27))</f>
        <v> </v>
      </c>
      <c r="AP16" s="320" t="str">
        <f aca="false">IF($A16="N/A"," ",RANK(X16,$R$16:$Z$27))</f>
        <v> </v>
      </c>
      <c r="AQ16" s="320" t="str">
        <f aca="false">IF($A16="N/A"," ",RANK(Y16,$R$16:$Z$27))</f>
        <v> </v>
      </c>
      <c r="AR16" s="322" t="str">
        <f aca="false">IF($A16="N/A"," ",RANK(Z16,$R$16:$Z$27))</f>
        <v> </v>
      </c>
      <c r="AS16" s="357" t="str">
        <f aca="false">IF($A16="N/A"," ",IF(AJ16&lt;=$AR$2,AA16,0))</f>
        <v> </v>
      </c>
      <c r="AT16" s="324" t="str">
        <f aca="false">IF($A16="N/A"," ",IF(AK16&lt;=$AR$2,AB16,0))</f>
        <v> </v>
      </c>
      <c r="AU16" s="325" t="str">
        <f aca="false">IF($A16="N/A"," ",IF(AL16&lt;=$AR$2,AC16,0))</f>
        <v> </v>
      </c>
      <c r="AV16" s="324" t="str">
        <f aca="false">IF($A16="N/A"," ",IF(AM16&lt;=$AR$2,AD16,0))</f>
        <v> </v>
      </c>
      <c r="AW16" s="325" t="str">
        <f aca="false">IF($A16="N/A"," ",IF(AN16&lt;=$AR$2,AE16,0))</f>
        <v> </v>
      </c>
      <c r="AX16" s="325" t="str">
        <f aca="false">IF($A16="N/A"," ",IF(AO16&lt;=$AR$2,AF16,0))</f>
        <v> </v>
      </c>
      <c r="AY16" s="324" t="str">
        <f aca="false">IF($A16="N/A"," ",IF(AP16&lt;=$AR$2,AG16,0))</f>
        <v> </v>
      </c>
      <c r="AZ16" s="324" t="str">
        <f aca="false">IF($A16="N/A"," ",IF(AQ16&lt;=$AR$2,AH16,0))</f>
        <v> </v>
      </c>
      <c r="BA16" s="324" t="str">
        <f aca="false">IF($A16="N/A"," ",IF(AR16&lt;=$AR$2,AI16,0))</f>
        <v> </v>
      </c>
      <c r="BB16" s="320"/>
      <c r="BC16" s="358" t="str">
        <f aca="false">IF($A16="N/A"," ",IF(AND(AJ16=$AR$2+1,AS16=0),MIN($BB$27,AA16),0))</f>
        <v> </v>
      </c>
      <c r="BD16" s="327" t="str">
        <f aca="false">IF($A16="N/A"," ",IF(AND(AK16=$AR$2+1,AT16=0),MIN($BB$27,AB16),0))</f>
        <v> </v>
      </c>
      <c r="BE16" s="327" t="str">
        <f aca="false">IF($A16="N/A"," ",IF(AND(AL16=$AR$2+1,AU16=0),MIN($BB$27,AC16),0))</f>
        <v> </v>
      </c>
      <c r="BF16" s="327" t="str">
        <f aca="false">IF($A16="N/A"," ",IF(AND(AM16=$AR$2+1,AV16=0),MIN($BB$27,AD16),0))</f>
        <v> </v>
      </c>
      <c r="BG16" s="327" t="str">
        <f aca="false">IF($A16="N/A"," ",IF(AND(AN16=$AR$2+1,AW16=0),MIN($BB$27,AE16),0))</f>
        <v> </v>
      </c>
      <c r="BH16" s="327" t="str">
        <f aca="false">IF($A16="N/A"," ",IF(AND(AO16=$AR$2+1,AX16=0),MIN($BB$27,AF16),0))</f>
        <v> </v>
      </c>
      <c r="BI16" s="327" t="str">
        <f aca="false">IF($A16="N/A"," ",IF(AND(AP16=$AR$2+1,AY16=0),MIN($BB$27,AG16),0))</f>
        <v> </v>
      </c>
      <c r="BJ16" s="327" t="str">
        <f aca="false">IF($A16="N/A"," ",IF(AND(AQ16=$AR$2+1,AZ16=0),MIN($BB$27,AH16),0))</f>
        <v> </v>
      </c>
      <c r="BK16" s="327" t="str">
        <f aca="false">IF($A16="N/A"," ",IF(AND(AR16=$AR$2+1,BA16=0),MIN($BB$27,AI16),0))</f>
        <v> </v>
      </c>
      <c r="BL16" s="359"/>
      <c r="BM16" s="329" t="str">
        <f aca="false">IF($A16="N/A"," ",(IF(MONTH(A16)&gt;=4,IF(MONTH(A16)&lt;=10,Inputs!$F$13-Inputs!$G$13,Inputs!$F$14-Inputs!$G$14),Inputs!$F$14-Inputs!$G$14))*$CK16*Availability)</f>
        <v> </v>
      </c>
      <c r="BN16" s="330" t="str">
        <f aca="false">IF($A16="N/A"," ",(IF(AS16&gt;0,($BM16*(8*($HD16))*R16),0)+IF(BC16&gt;0,($BM16*((BC16/AA16)*8*$HD16)*R16),0)))</f>
        <v> </v>
      </c>
      <c r="BO16" s="330" t="str">
        <f aca="false">IF($A16="N/A"," ",(IF(AT16&gt;0,($BM16*(8*($HD16))*S16),0)+IF(BD16&gt;0,($BM16*((BD16/AB16)*8*$HD16)*S16),0)))</f>
        <v> </v>
      </c>
      <c r="BP16" s="330" t="str">
        <f aca="false">IF($A16="N/A"," ",(IF(AU16&gt;0,($BM16*(8*($HD16))*T16),0)+IF(BE16&gt;0,($BM16*((BE16))*T16),0)))</f>
        <v> </v>
      </c>
      <c r="BQ16" s="330" t="str">
        <f aca="false">IF($A16="N/A"," ",(IF(AV16&gt;0,($BM16*(8*($HE16))*U16),0)+IF(BF16&gt;0,($BM16*((BF16/AD16)*8*$HE16)*U16),0)))</f>
        <v> </v>
      </c>
      <c r="BR16" s="330" t="str">
        <f aca="false">IF($A16="N/A"," ",(IF(AW16&gt;0,($BM16*(8*($HE16))*V16),0)+IF(BG16&gt;0,($BM16*((BG16/AE16)*8*$HE16)*V16),0)))</f>
        <v> </v>
      </c>
      <c r="BS16" s="330" t="str">
        <f aca="false">IF($A16="N/A"," ",(IF(AX16&gt;0,($BM16*(8*($HE16))*W16),0)+IF(BH16&gt;0,($BM16*((BH16))*W16),0)))</f>
        <v> </v>
      </c>
      <c r="BT16" s="330" t="str">
        <f aca="false">IF($A16="N/A"," ",(IF(AY16&gt;0,($BM16*(8*($HF16))*X16),0)+IF(BI16&gt;0,($BM16*((BI16/AG16)*8*$HF16)*X16),0)))</f>
        <v> </v>
      </c>
      <c r="BU16" s="330" t="str">
        <f aca="false">IF($A16="N/A"," ",(IF(AZ16&gt;0,($BM16*(8*($HF16))*Y16),0)+IF(BJ16&gt;0,($BM16*((BJ16/AH16)*8*$HF16)*Y16),0)))</f>
        <v> </v>
      </c>
      <c r="BV16" s="330" t="str">
        <f aca="false">IF($A16="N/A"," ",(IF(BA16&gt;0,($BM16*(8*($HF16))*Z16),0)+IF(BK16&gt;0,($BM16*((BK16))*Z16),0)))</f>
        <v> </v>
      </c>
      <c r="BW16" s="330" t="str">
        <f aca="false">IF($A16="N/A"," ",SUM(BN16:BV16))</f>
        <v> </v>
      </c>
      <c r="BX16" s="331" t="str">
        <f aca="false">IF($A16="N/A"," ",(H16*(SUM(AS16:BA16)+SUM(BC16:BK16))*BM16))</f>
        <v> </v>
      </c>
      <c r="BY16" s="332" t="str">
        <f aca="false">IF($A16="N/A"," ",((C16*D16)*(SUM($AS16:$BA16)+SUM($BC16:$BK16))*$BM16))</f>
        <v> </v>
      </c>
      <c r="BZ16" s="332" t="str">
        <f aca="false">IF($A16="N/A"," ",(F16*(SUM($AS16:$BA16)+SUM($BC16:$BK16))*$BM16))</f>
        <v> </v>
      </c>
      <c r="CA16" s="333" t="str">
        <f aca="false">IF($A16="N/A"," ",(G16*(SUM($AS16:$BA16)+SUM($BC16:$BK16))*$BM16))</f>
        <v> </v>
      </c>
      <c r="CB16" s="334" t="str">
        <f aca="false">IF(A16="N/A"," ",(VLOOKUP(A16,PowerVolTable,(IF(BMO=2,7,IF(BMO=1,6,8))),FALSE())))</f>
        <v> </v>
      </c>
      <c r="CC16" s="334" t="str">
        <f aca="false">IF(A16="N/A"," ",(VLOOKUP(A16,IntraPowerVol,(IF(BMO=2,3,IF(BMO=1,2,4))),FALSE())*VLOOKUP(MONTH($A16),Volscale,2)))</f>
        <v> </v>
      </c>
      <c r="CD16" s="335" t="str">
        <f aca="false">IF($A16="N/A"," ",(IF(DateToday&gt;$A16,$CC16,((($CB16^2)*((($A16-1)-DateToday)/((EOMONTH($A16,0)+1)-DateToday-15)))+((($CC16)^2)*((15)/((EOMONTH($A16,0)+1)-DateToday-15))))^0.5)))</f>
        <v> </v>
      </c>
      <c r="CE16" s="334" t="str">
        <f aca="false">IF($A16="N/A"," ",(VLOOKUP($A16,GasVolTable,(IF(BMO=2,6,IF(BMO=1,7,5))),FALSE())))</f>
        <v> </v>
      </c>
      <c r="CF16" s="334" t="str">
        <f aca="false">IF($A16="N/A"," ",(VLOOKUP($A16,OmicronVol,(IF(BMO=2,3,IF(BMO=1,4,2))),FALSE())))</f>
        <v> </v>
      </c>
      <c r="CG16" s="335" t="str">
        <f aca="false">IF($A16="N/A"," ",(IF(DateToday&gt;$A16,$CF16,((($CE16^2)*((($A16-1)-DateToday)/((EOMONTH($A16,0)+1)-DateToday-15)))+((($CF16)^2)*((15)/((EOMONTH($A16,0)+1)-DateToday-15))))^0.5)))</f>
        <v> </v>
      </c>
      <c r="CH16" s="334" t="str">
        <f aca="false">IF($A16="N/A"," ",VLOOKUP($A16,CorrelationTable,2,FALSE()))</f>
        <v> </v>
      </c>
      <c r="CI16" s="336" t="str">
        <f aca="false">IF($A16="N/A"," ",F16+G16+(D16*('Pricing Inputs'!T49)))</f>
        <v> </v>
      </c>
      <c r="CJ16" s="334" t="str">
        <f aca="false">IF($A16="N/A"," ",IF(PV=1,0,'Pricing Inputs'!U49))</f>
        <v> </v>
      </c>
      <c r="CK16" s="337" t="str">
        <f aca="false">IF($A16="N/A"," ",(1+CJ16/2)^(-2*((EOMONTH(A16,0)+20)-DateToday)/365.25))</f>
        <v> </v>
      </c>
      <c r="CL16" s="338" t="str">
        <f aca="false">IF(A16="N/A"," ",IF(CC=2,(VLOOKUP(MONTH($A16),Hrtable,3))/1000,0))</f>
        <v> </v>
      </c>
      <c r="CM16" s="339" t="str">
        <f aca="false">IF(A16="N/A"," ",IF(CC=2,(CL16*C16)+F16,0))</f>
        <v> </v>
      </c>
      <c r="CN16" s="340" t="str">
        <f aca="false">IF($A16="N/A"," ",IF(CC=2,(VLOOKUP(A16,ScaledPrice,(IF(AND(Dayrun&gt;=1,Dayrun&lt;=6),2,4)))-((IF(R16&lt;&gt;0,$D16,$CL16)*$C16)+$F16+$G16)),0))</f>
        <v> </v>
      </c>
      <c r="CO16" s="340" t="str">
        <f aca="false">IF($A16="N/A"," ",IF(CC=2,(IF(AND(Dayrun&gt;=1,Dayrun&lt;=6),I16,(VLOOKUP(A16,ScaledPrice,2))*(2-(VLOOKUP(A16,ScaledPrice,3))))-((IF(S16&lt;&gt;0,$D16,$CL16)*$C16)+$F16+$G16)),0))</f>
        <v> </v>
      </c>
      <c r="CP16" s="340" t="str">
        <f aca="false">IF(A16="N/A"," ",IF(CC=2,(VLOOKUP(A16,ScaledPrice,9)-((IF(T16&lt;&gt;0,$D16,$CL16)*$C16)+$F16+$G16)),0))</f>
        <v> </v>
      </c>
      <c r="CQ16" s="340" t="str">
        <f aca="false">IF(A16="N/A"," ",IF(CC=2,(IF(OR(Dayrun=2,Dayrun=3,Dayrun=5,Dayrun=6,Dayrun=8,Dayrun=9),VLOOKUP(A16,ScaledPrice,IF(AND(Dayrun&gt;=2,Dayrun&lt;=6),5,6)),0)-((IF(U16&lt;&gt;0,$D16,$CL16)*$C16)+$F16+$G16)),0))</f>
        <v> </v>
      </c>
      <c r="CR16" s="340" t="str">
        <f aca="false">IF(A16="N/A"," ",IF(CC=2,(IF(OR(Dayrun=2,Dayrun=3,Dayrun=5,Dayrun=6,Dayrun=8,Dayrun=9),IF(AND(Dayrun&gt;=2,Dayrun&lt;=6),L16,(VLOOKUP(A16,ScaledPrice,5))*(2-(VLOOKUP(A16,ScaledPrice,3)))),0)-((IF(V16&lt;&gt;0,$D16,$CL16)*$C16)+$F16+$G16)),0))</f>
        <v> </v>
      </c>
      <c r="CS16" s="340" t="str">
        <f aca="false">IF(A16="N/A"," ",IF(CC=2,(VLOOKUP(A16,ScaledPrice,9)-((IF(W16&lt;&gt;0,$D16,$CL16)*$C16)+$F16+$G16)),0))</f>
        <v> </v>
      </c>
      <c r="CT16" s="340" t="str">
        <f aca="false">IF(A16="N/A"," ",IF(CC=2,(IF(OR(Dayrun=3,Dayrun=6,Dayrun=9),(VLOOKUP(A16,ScaledPrice,IF(AND(Dayrun&gt;=3,Dayrun&lt;=6),7,8))),0)-((IF(X16&lt;&gt;0,$D16,$CL16)*$C16)+$F16+$G16)),0))</f>
        <v> </v>
      </c>
      <c r="CU16" s="340" t="str">
        <f aca="false">IF(A16="N/A"," ",IF(CC=2,(IF(OR(Dayrun=3,Dayrun=6,Dayrun=9),IF(AND(Dayrun&gt;=3,Dayrun&lt;=6),O16,(VLOOKUP(A16,ScaledPrice,7))*(2-(VLOOKUP(A16,ScaledPrice,3)))),0)-((IF(Y16&lt;&gt;0,$D16,$CL16)*$C16)+$F16+$G16)),0))</f>
        <v> </v>
      </c>
      <c r="CV16" s="340" t="str">
        <f aca="false">IF(A16="N/A"," ",IF(CC=2,(VLOOKUP(A16,ScaledPrice,9)-((IF(Z16&lt;&gt;0,$D16,$CL16)*$C16)+$F16+$G16)),0))</f>
        <v> </v>
      </c>
      <c r="CW16" s="318" t="str">
        <f aca="false">IF($A16="N/A"," ",IF(0&lt;&gt;CN16,IF(CC=2,8*$HD16,0),0))</f>
        <v> </v>
      </c>
      <c r="CX16" s="318" t="str">
        <f aca="false">IF($A16="N/A"," ",IF(0&lt;&gt;CO16,IF(CC=2,8*$HD16,0),0))</f>
        <v> </v>
      </c>
      <c r="CY16" s="318" t="str">
        <f aca="false">IF($A16="N/A"," ",IF(0&lt;&gt;CP16,IF(CC=2,8*$HD16,0),0))</f>
        <v> </v>
      </c>
      <c r="CZ16" s="318" t="str">
        <f aca="false">IF($A16="N/A"," ",IF(0&lt;&gt;CQ16,IF(CC=2,8*$HE16,0),0))</f>
        <v> </v>
      </c>
      <c r="DA16" s="318" t="str">
        <f aca="false">IF($A16="N/A"," ",IF(0&lt;&gt;CR16,IF(CC=2,8*$HE16,0),0))</f>
        <v> </v>
      </c>
      <c r="DB16" s="318" t="str">
        <f aca="false">IF($A16="N/A"," ",IF(0&lt;&gt;CS16,IF(CC=2,8*$HE16,0),0))</f>
        <v> </v>
      </c>
      <c r="DC16" s="318" t="str">
        <f aca="false">IF($A16="N/A"," ",IF(0&lt;&gt;CT16,IF(CC=2,8*$HF16,0),0))</f>
        <v> </v>
      </c>
      <c r="DD16" s="318" t="str">
        <f aca="false">IF($A16="N/A"," ",IF(0&lt;&gt;CU16,IF(CC=2,8*$HF16,0),0))</f>
        <v> </v>
      </c>
      <c r="DE16" s="318" t="str">
        <f aca="false">IF($A16="N/A"," ",IF(0&lt;&gt;CV16,IF(CC=2,8*$HF16,0),0))</f>
        <v> </v>
      </c>
      <c r="DF16" s="341" t="str">
        <f aca="false">IF($A16="N/A"," ",IF(CC=2,(IF(MONTH(A16)&gt;=4,IF(MONTH(A16)&lt;=10,Inputs!$G$13,Inputs!$G$14),Inputs!$G$14))*$CK16,0))</f>
        <v> </v>
      </c>
      <c r="DG16" s="342" t="str">
        <f aca="false">IF($A16="N/A"," ",IF(CC=2,$DF16*CW16*CN16,0))</f>
        <v> </v>
      </c>
      <c r="DH16" s="342" t="str">
        <f aca="false">IF($A16="N/A"," ",IF(CC=2,$DF16*CX16*CO16,0))</f>
        <v> </v>
      </c>
      <c r="DI16" s="342" t="str">
        <f aca="false">IF($A16="N/A"," ",IF(CC=2,$DF16*CY16*CP16,0))</f>
        <v> </v>
      </c>
      <c r="DJ16" s="342" t="str">
        <f aca="false">IF($A16="N/A"," ",IF(CC=2,$DF16*CZ16*CQ16,0))</f>
        <v> </v>
      </c>
      <c r="DK16" s="342" t="str">
        <f aca="false">IF($A16="N/A"," ",IF(CC=2,$DF16*DA16*CR16,0))</f>
        <v> </v>
      </c>
      <c r="DL16" s="342" t="str">
        <f aca="false">IF($A16="N/A"," ",IF(CC=2,$DF16*DB16*CS16,0))</f>
        <v> </v>
      </c>
      <c r="DM16" s="342" t="str">
        <f aca="false">IF($A16="N/A"," ",IF(CC=2,$DF16*DC16*CT16,0))</f>
        <v> </v>
      </c>
      <c r="DN16" s="342" t="str">
        <f aca="false">IF($A16="N/A"," ",IF(CC=2,$DF16*DD16*CU16,0))</f>
        <v> </v>
      </c>
      <c r="DO16" s="342" t="str">
        <f aca="false">IF($A16="N/A"," ",IF(CC=2,$DF16*DE16*CV16,0))</f>
        <v> </v>
      </c>
      <c r="DP16" s="343" t="str">
        <f aca="false">IF($A16="N/A"," ",IF(CC=2,SUM(DG16:DO16),0))</f>
        <v> </v>
      </c>
      <c r="DQ16" s="0" t="str">
        <f aca="false">IF(A16="N/A"," ",Perstart)</f>
        <v> </v>
      </c>
      <c r="HD16" s="0" t="str">
        <f aca="false">IF($A16="N/A"," ",VLOOKUP($A16,NumberofDaysTable,2))</f>
        <v> </v>
      </c>
      <c r="HE16" s="0" t="str">
        <f aca="false">IF($A16="N/A"," ",VLOOKUP($A16,NumberofDaysTable,3))</f>
        <v> </v>
      </c>
      <c r="HF16" s="0" t="str">
        <f aca="false">IF($A16="N/A"," ",VLOOKUP($A16,NumberofDaysTable,4))</f>
        <v> </v>
      </c>
    </row>
    <row r="17" customFormat="false" ht="12.75" hidden="false" customHeight="false" outlineLevel="0" collapsed="false">
      <c r="A17" s="308" t="str">
        <f aca="false">IF(A16="N/A","N/A",IF(EDATE(A16,1)&gt;Inputs!$K$3,"N/A",EDATE(A16,1)))</f>
        <v>N/A</v>
      </c>
      <c r="B17" s="309" t="str">
        <f aca="false">IF(A17="N/A"," ",YEAR(A17))</f>
        <v> </v>
      </c>
      <c r="C17" s="310" t="str">
        <f aca="false">IF(A17="N/A"," ",VLOOKUP(A17,ScaledPrice,10))</f>
        <v> </v>
      </c>
      <c r="D17" s="311" t="str">
        <f aca="false">IF(A17="N/A"," ",(VLOOKUP(MONTH($A17),Hrtable,2))/1000)</f>
        <v> </v>
      </c>
      <c r="E17" s="312" t="str">
        <f aca="false">IF($A17="N/A"," ",(C17-'Pricing Inputs'!T50)*D17)</f>
        <v> </v>
      </c>
      <c r="F17" s="313" t="str">
        <f aca="false">IF(A17="N/A"," ",$F5*(1+VOMesc))</f>
        <v> </v>
      </c>
      <c r="G17" s="313" t="str">
        <f aca="false">IF(A17="N/A"," ",Perstart/IF(AND(Dayrun&gt;=4,Dayrun&lt;=6),16,IF(AND(Dayrun&gt;=7,Dayrun&lt;=9),8,24))/(BM17/CK17))</f>
        <v> </v>
      </c>
      <c r="H17" s="314" t="str">
        <f aca="false">IF(A17="N/A"," ",(C17*D17)+F17+G17)</f>
        <v> </v>
      </c>
      <c r="I17" s="315" t="str">
        <f aca="false">VLOOKUP(A17,ScaledPrice,(IF(AND(Dayrun&gt;=1,Dayrun&lt;=6),2,4)))</f>
        <v> </v>
      </c>
      <c r="J17" s="315" t="str">
        <f aca="false">IF(A17="N/A"," ",IF(AND(Dayrun&gt;=1,Dayrun&lt;=6),I17,(VLOOKUP(A17,ScaledPrice,2))*(2-(VLOOKUP(A17,ScaledPrice,3)))))</f>
        <v> </v>
      </c>
      <c r="K17" s="315" t="str">
        <f aca="false">IF(A17="N/A"," ",IF(AND(Dayrun&gt;=1,Dayrun&lt;=3),VLOOKUP(A17,ScaledPrice,9),0))</f>
        <v> </v>
      </c>
      <c r="L17" s="315" t="str">
        <f aca="false">IF(A17="N/A"," ",IF(OR(Dayrun=2,Dayrun=3,Dayrun=5,Dayrun=6,Dayrun=8,Dayrun=9),VLOOKUP(A17,ScaledPrice,IF(AND(Dayrun&gt;=2,Dayrun&lt;=6),5,6)),0))</f>
        <v> </v>
      </c>
      <c r="M17" s="315" t="str">
        <f aca="false">IF(A17="N/A"," ",IF(OR(Dayrun=2,Dayrun=3,Dayrun=5,Dayrun=6,Dayrun=8,Dayrun=9),IF(AND(Dayrun&gt;=2,Dayrun&lt;=6),L17,(VLOOKUP(A17,ScaledPrice,5))*(2-(VLOOKUP(A17,ScaledPrice,3)))),0))</f>
        <v> </v>
      </c>
      <c r="N17" s="315" t="str">
        <f aca="false">IF(A17="N/A"," ",IF(AND(Dayrun&gt;1,Dayrun&lt;=3),VLOOKUP(A17,ScaledPrice,9),0))</f>
        <v> </v>
      </c>
      <c r="O17" s="315" t="str">
        <f aca="false">IF(A17="N/A"," ",IF(OR(Dayrun=3,Dayrun=6,Dayrun=9),(VLOOKUP(A17,ScaledPrice,IF(AND(Dayrun&gt;=3,Dayrun&lt;=6),7,8))),0))</f>
        <v> </v>
      </c>
      <c r="P17" s="315" t="str">
        <f aca="false">IF(A17="N/A"," ",IF(OR(Dayrun=3,Dayrun=6,Dayrun=9),IF(AND(Dayrun&gt;=3,Dayrun&lt;=6),O17,(VLOOKUP(A17,ScaledPrice,7))*(2-(VLOOKUP(A17,ScaledPrice,3)))),0))</f>
        <v> </v>
      </c>
      <c r="Q17" s="315" t="str">
        <f aca="false">IF(A17="N/A"," ",IF(AND(Dayrun&gt;2,Dayrun&lt;=3),VLOOKUP(A17,ScaledPrice,9),0))</f>
        <v> </v>
      </c>
      <c r="R17" s="316" t="str">
        <f aca="false">IF($A17="N/A"," ",IF(Pricetype=2,MAX(I17-$H17,0),IF(Pricetype=1,(xSPRDOPT(I17,$E17,$CI17,0,($CD17+IF(Smile=TRUE(),VLOOKUP(MAX(-5,$H17-I17),Volsmile,2),0)),$CG17,$CH17,($A17-DateToday)+15,1,0)),I17-$H17)))</f>
        <v> </v>
      </c>
      <c r="S17" s="316" t="str">
        <f aca="false">IF($A17="N/A"," ",IF(Pricetype=2,MAX(J17-$H17,0),IF(Pricetype=1,(xSPRDOPT(J17,$E17,$CI17,0,($CD17+IF(Smile=TRUE(),VLOOKUP(MAX(-5,$H17-J17),Volsmile,2),0)),$CG17,$CH17,($A17-DateToday)+15,1,0)),J17-$H17)))</f>
        <v> </v>
      </c>
      <c r="T17" s="317" t="str">
        <f aca="false">IF($A17="N/A"," ",(IF(Pricetype=2,IF((K17-$H17)&lt;=0,0,(K17-$H17)),IF(K17&lt;&gt;0,(K17-$H17),0))))</f>
        <v> </v>
      </c>
      <c r="U17" s="316" t="str">
        <f aca="false">IF($A17="N/A"," ",IF(Pricetype=2,MAX(L17-$H17,0),IF(L17&lt;&gt;0,IF(Pricetype=1,(xSPRDOPT(L17,$E17,$CI17,0,($CD17+IF(Smile=TRUE(),VLOOKUP(MAX(-5,$H17-L17),Volsmile,2),0)),$CG17,$CH17,($A17-DateToday)+15,1,0)),L17-$H17),0)))</f>
        <v> </v>
      </c>
      <c r="V17" s="316" t="str">
        <f aca="false">IF($A17="N/A"," ",IF(Pricetype=2,MAX(M17-$H17,0),IF(M17&lt;&gt;0,IF(Pricetype=1,(xSPRDOPT(M17,$E17,$CI17,0,($CD17+IF(Smile=TRUE(),VLOOKUP(MAX(-5,$H17-M17),Volsmile,2),0)),$CG17,$CH17,($A17-DateToday)+15,1,0)),M17-$H17),0)))</f>
        <v> </v>
      </c>
      <c r="W17" s="317" t="str">
        <f aca="false">IF($A17="N/A"," ",(IF(Pricetype=2,IF((N17-$H17)&lt;=0,0,(N17-$H17)),IF(N17&lt;&gt;0,(N17-$H17),0))))</f>
        <v> </v>
      </c>
      <c r="X17" s="316" t="str">
        <f aca="false">IF($A17="N/A"," ",IF(Pricetype=2,MAX(O17-$H17,0),IF(O17&lt;&gt;0,IF(Pricetype=1,(xSPRDOPT(O17,$E17,$CI17,0,($CD17+IF(Smile=TRUE(),VLOOKUP(MAX(-5,$H17-O17),Volsmile,2),0)),$CG17,$CH17,($A17-DateToday)+15,1,0)),O17-$H17),0)))</f>
        <v> </v>
      </c>
      <c r="Y17" s="316" t="str">
        <f aca="false">IF($A17="N/A"," ",IF(Pricetype=2,MAX(P17-$H17,0),IF(P17&lt;&gt;0,IF(Pricetype=1,(xSPRDOPT(P17,$E17,$CI17,0,($CD17+IF(Smile=TRUE(),VLOOKUP(MAX(-5,$H17-P17),Volsmile,2),0)),$CG17,$CH17,($A17-DateToday)+15,1,0)),P17-$H17),0)))</f>
        <v> </v>
      </c>
      <c r="Z17" s="317" t="str">
        <f aca="false">IF($A17="N/A"," ",(IF(Pricetype=2,IF((Q17-$H17)&lt;=0,0,(Q17-$H17)),IF(Q17&lt;&gt;0,(Q17-$H17),0))))</f>
        <v> </v>
      </c>
      <c r="AA17" s="318" t="str">
        <f aca="false">IF($A17="N/A"," ",IF(VLOOKUP(MONTH(A17),ManualTable,2)=1,(IF(0&lt;&gt;R17,IF(Pricetype=1,(xSPRDOPT(I17,$E17,$CI17,0,($CD17+IF(Smile=TRUE(),VLOOKUP(MAX(-5,$H17-I17),Volsmile,2),0)),$CG17,$CH17,($A17-DateToday)+15,1,1))*(8*$HD17),8*$HD17),0)),0))</f>
        <v> </v>
      </c>
      <c r="AB17" s="318" t="str">
        <f aca="false">IF($A17="N/A"," ",IF(VLOOKUP(MONTH(A17),ManualTable,3)=1,(IF(S17&lt;&gt;0,IF(Pricetype=1,(xSPRDOPT(J17,$E17,$CI17,0,($CD17+IF(Smile=TRUE(),VLOOKUP(MAX(-5,$H17-J17),Volsmile,2),0)),$CG17,$CH17,($A17-DateToday)+15,1,1))*(8*$HD17),8*$HD17),0)),0))</f>
        <v> </v>
      </c>
      <c r="AC17" s="318" t="str">
        <f aca="false">IF($A17="N/A"," ",IF(VLOOKUP(MONTH(A17),ManualTable,4)=1,(IF(T17&lt;&gt;0,(8*$HD17),0)),0))</f>
        <v> </v>
      </c>
      <c r="AD17" s="318" t="str">
        <f aca="false">IF($A17="N/A"," ",IF(VLOOKUP(MONTH(A17),ManualTable,5)=1,(IF(U17&lt;&gt;0,IF(Pricetype=1,(xSPRDOPT(L17,$E17,$CI17,0,($CD17+IF(Smile=TRUE(),VLOOKUP(MAX(-5,$H17-L17),Volsmile,2),0)),$CG17,$CH17,($A17-DateToday)+15,1,1))*(8*$HE17),8*$HE17),0)),0))</f>
        <v> </v>
      </c>
      <c r="AE17" s="318" t="str">
        <f aca="false">IF($A17="N/A"," ",IF(VLOOKUP(MONTH(A17),ManualTable,6)=1,(IF(V17&lt;&gt;0,IF(Pricetype=1,(xSPRDOPT(M17,$E17,$CI17,0,($CD17+IF(Smile=TRUE(),VLOOKUP(MAX(-5,$H17-M17),Volsmile,2),0)),$CG17,$CH17,($A17-DateToday)+15,1,1))*(8*$HE17),8*$HE17),0)),0))</f>
        <v> </v>
      </c>
      <c r="AF17" s="318" t="str">
        <f aca="false">IF($A17="N/A"," ",IF(VLOOKUP(MONTH(A17),ManualTable,7)=1,(IF(W17&lt;&gt;0,(8*$HE17),0)),0))</f>
        <v> </v>
      </c>
      <c r="AG17" s="318" t="str">
        <f aca="false">IF($A17="N/A"," ",IF(VLOOKUP(MONTH(A17),ManualTable,8)=1,(IF(X17&lt;&gt;0,IF(Pricetype=1,(xSPRDOPT(O17,$E17,$CI17,0,($CD17+IF(Smile=TRUE(),VLOOKUP(MAX(-5,$H17-O17),Volsmile,2),0)),$CG17,$CH17,($A17-DateToday)+15,1,1))*(8*$HF17),8*$HF17),0)),0))</f>
        <v> </v>
      </c>
      <c r="AH17" s="318" t="str">
        <f aca="false">IF($A17="N/A"," ",IF(VLOOKUP(MONTH(A17),ManualTable,9)=1,(IF(Y17&lt;&gt;0,IF(Pricetype=1,(xSPRDOPT(P17,$E17,$CI17,0,($CD17+IF(Smile=TRUE(),VLOOKUP(MAX(-5,$H17-P17),Volsmile,2),0)),$CG17,$CH17,($A17-DateToday)+15,1,1))*(8*$HF17),8*$HF17),0)),0))</f>
        <v> </v>
      </c>
      <c r="AI17" s="318" t="str">
        <f aca="false">IF($A17="N/A"," ",IF(VLOOKUP(MONTH(A17),ManualTable,10)=1,(IF(Z17&lt;&gt;0,(8*($HF17)),0)),0))</f>
        <v> </v>
      </c>
      <c r="AJ17" s="344" t="str">
        <f aca="false">IF($A17="N/A"," ",RANK(R17,$R$16:$Z$27))</f>
        <v> </v>
      </c>
      <c r="AK17" s="321" t="str">
        <f aca="false">IF($A17="N/A"," ",RANK(S17,$R$16:$Z$27))</f>
        <v> </v>
      </c>
      <c r="AL17" s="321" t="str">
        <f aca="false">IF($A17="N/A"," ",RANK(T17,$R$16:$Z$27))</f>
        <v> </v>
      </c>
      <c r="AM17" s="321" t="str">
        <f aca="false">IF($A17="N/A"," ",RANK(U17,$R$16:$Z$27))</f>
        <v> </v>
      </c>
      <c r="AN17" s="321" t="str">
        <f aca="false">IF($A17="N/A"," ",RANK(V17,$R$16:$Z$27))</f>
        <v> </v>
      </c>
      <c r="AO17" s="321" t="str">
        <f aca="false">IF($A17="N/A"," ",RANK(W17,$R$16:$Z$27))</f>
        <v> </v>
      </c>
      <c r="AP17" s="321" t="str">
        <f aca="false">IF($A17="N/A"," ",RANK(X17,$R$16:$Z$27))</f>
        <v> </v>
      </c>
      <c r="AQ17" s="321" t="str">
        <f aca="false">IF($A17="N/A"," ",RANK(Y17,$R$16:$Z$27))</f>
        <v> </v>
      </c>
      <c r="AR17" s="345" t="str">
        <f aca="false">IF($A17="N/A"," ",RANK(Z17,$R$16:$Z$27))</f>
        <v> </v>
      </c>
      <c r="AS17" s="323" t="str">
        <f aca="false">IF($A17="N/A"," ",IF(AJ17&lt;=$AR$2,AA17,0))</f>
        <v> </v>
      </c>
      <c r="AT17" s="325" t="str">
        <f aca="false">IF($A17="N/A"," ",IF(AK17&lt;=$AR$2,AB17,0))</f>
        <v> </v>
      </c>
      <c r="AU17" s="325" t="str">
        <f aca="false">IF($A17="N/A"," ",IF(AL17&lt;=$AR$2,AC17,0))</f>
        <v> </v>
      </c>
      <c r="AV17" s="325" t="str">
        <f aca="false">IF($A17="N/A"," ",IF(AM17&lt;=$AR$2,AD17,0))</f>
        <v> </v>
      </c>
      <c r="AW17" s="325" t="str">
        <f aca="false">IF($A17="N/A"," ",IF(AN17&lt;=$AR$2,AE17,0))</f>
        <v> </v>
      </c>
      <c r="AX17" s="325" t="str">
        <f aca="false">IF($A17="N/A"," ",IF(AO17&lt;=$AR$2,AF17,0))</f>
        <v> </v>
      </c>
      <c r="AY17" s="325" t="str">
        <f aca="false">IF($A17="N/A"," ",IF(AP17&lt;=$AR$2,AG17,0))</f>
        <v> </v>
      </c>
      <c r="AZ17" s="325" t="str">
        <f aca="false">IF($A17="N/A"," ",IF(AQ17&lt;=$AR$2,AH17,0))</f>
        <v> </v>
      </c>
      <c r="BA17" s="325" t="str">
        <f aca="false">IF($A17="N/A"," ",IF(AR17&lt;=$AR$2,AI17,0))</f>
        <v> </v>
      </c>
      <c r="BB17" s="321"/>
      <c r="BC17" s="326" t="str">
        <f aca="false">IF($A17="N/A"," ",IF(AND(AJ17=$AR$2+1,AS17=0),MIN($BB$27,AA17),0))</f>
        <v> </v>
      </c>
      <c r="BD17" s="346" t="str">
        <f aca="false">IF($A17="N/A"," ",IF(AND(AK17=$AR$2+1,AT17=0),MIN($BB$27,AB17),0))</f>
        <v> </v>
      </c>
      <c r="BE17" s="346" t="str">
        <f aca="false">IF($A17="N/A"," ",IF(AND(AL17=$AR$2+1,AU17=0),MIN($BB$27,AC17),0))</f>
        <v> </v>
      </c>
      <c r="BF17" s="346" t="str">
        <f aca="false">IF($A17="N/A"," ",IF(AND(AM17=$AR$2+1,AV17=0),MIN($BB$27,AD17),0))</f>
        <v> </v>
      </c>
      <c r="BG17" s="346" t="str">
        <f aca="false">IF($A17="N/A"," ",IF(AND(AN17=$AR$2+1,AW17=0),MIN($BB$27,AE17),0))</f>
        <v> </v>
      </c>
      <c r="BH17" s="346" t="str">
        <f aca="false">IF($A17="N/A"," ",IF(AND(AO17=$AR$2+1,AX17=0),MIN($BB$27,AF17),0))</f>
        <v> </v>
      </c>
      <c r="BI17" s="346" t="str">
        <f aca="false">IF($A17="N/A"," ",IF(AND(AP17=$AR$2+1,AY17=0),MIN($BB$27,AG17),0))</f>
        <v> </v>
      </c>
      <c r="BJ17" s="346" t="str">
        <f aca="false">IF($A17="N/A"," ",IF(AND(AQ17=$AR$2+1,AZ17=0),MIN($BB$27,AH17),0))</f>
        <v> </v>
      </c>
      <c r="BK17" s="346" t="str">
        <f aca="false">IF($A17="N/A"," ",IF(AND(AR17=$AR$2+1,BA17=0),MIN($BB$27,AI17),0))</f>
        <v> </v>
      </c>
      <c r="BL17" s="360"/>
      <c r="BM17" s="329" t="str">
        <f aca="false">IF($A17="N/A"," ",(IF(MONTH(A17)&gt;=4,IF(MONTH(A17)&lt;=10,Inputs!$F$13-Inputs!$G$13,Inputs!$F$14-Inputs!$G$14),Inputs!$F$14-Inputs!$G$14))*$CK17*Availability)</f>
        <v> </v>
      </c>
      <c r="BN17" s="330" t="str">
        <f aca="false">IF($A17="N/A"," ",(IF(AS17&gt;0,($BM17*(8*($HD17))*R17),0)+IF(BC17&gt;0,($BM17*((BC17/AA17)*8*$HD17)*R17),0)))</f>
        <v> </v>
      </c>
      <c r="BO17" s="330" t="str">
        <f aca="false">IF($A17="N/A"," ",(IF(AT17&gt;0,($BM17*(8*($HD17))*S17),0)+IF(BD17&gt;0,($BM17*((BD17/AB17)*8*$HD17)*S17),0)))</f>
        <v> </v>
      </c>
      <c r="BP17" s="330" t="str">
        <f aca="false">IF($A17="N/A"," ",(IF(AU17&gt;0,($BM17*(8*($HD17))*T17),0)+IF(BE17&gt;0,($BM17*((BE17))*T17),0)))</f>
        <v> </v>
      </c>
      <c r="BQ17" s="330" t="str">
        <f aca="false">IF($A17="N/A"," ",(IF(AV17&gt;0,($BM17*(8*($HE17))*U17),0)+IF(BF17&gt;0,($BM17*((BF17/AD17)*8*$HE17)*U17),0)))</f>
        <v> </v>
      </c>
      <c r="BR17" s="330" t="str">
        <f aca="false">IF($A17="N/A"," ",(IF(AW17&gt;0,($BM17*(8*($HE17))*V17),0)+IF(BG17&gt;0,($BM17*((BG17/AE17)*8*$HE17)*V17),0)))</f>
        <v> </v>
      </c>
      <c r="BS17" s="330" t="str">
        <f aca="false">IF($A17="N/A"," ",(IF(AX17&gt;0,($BM17*(8*($HE17))*W17),0)+IF(BH17&gt;0,($BM17*((BH17))*W17),0)))</f>
        <v> </v>
      </c>
      <c r="BT17" s="330" t="str">
        <f aca="false">IF($A17="N/A"," ",(IF(AY17&gt;0,($BM17*(8*($HF17))*X17),0)+IF(BI17&gt;0,($BM17*((BI17/AG17)*8*$HF17)*X17),0)))</f>
        <v> </v>
      </c>
      <c r="BU17" s="330" t="str">
        <f aca="false">IF($A17="N/A"," ",(IF(AZ17&gt;0,($BM17*(8*($HF17))*Y17),0)+IF(BJ17&gt;0,($BM17*((BJ17/AH17)*8*$HF17)*Y17),0)))</f>
        <v> </v>
      </c>
      <c r="BV17" s="330" t="str">
        <f aca="false">IF($A17="N/A"," ",(IF(BA17&gt;0,($BM17*(8*($HF17))*Z17),0)+IF(BK17&gt;0,($BM17*((BK17))*Z17),0)))</f>
        <v> </v>
      </c>
      <c r="BW17" s="330" t="str">
        <f aca="false">IF($A17="N/A"," ",SUM(BN17:BV17))</f>
        <v> </v>
      </c>
      <c r="BX17" s="331" t="str">
        <f aca="false">IF($A17="N/A"," ",(H17*(SUM(AS17:BA17)+SUM(BC17:BK17))*BM17))</f>
        <v> </v>
      </c>
      <c r="BY17" s="332" t="str">
        <f aca="false">IF($A17="N/A"," ",((C17*D17)*(SUM($AS17:$BA17)+SUM($BC17:$BK17))*$BM17))</f>
        <v> </v>
      </c>
      <c r="BZ17" s="332" t="str">
        <f aca="false">IF($A17="N/A"," ",(F17*(SUM($AS17:$BA17)+SUM($BC17:$BK17))*$BM17))</f>
        <v> </v>
      </c>
      <c r="CA17" s="333" t="str">
        <f aca="false">IF($A17="N/A"," ",(G17*(SUM($AS17:$BA17)+SUM($BC17:$BK17))*$BM17))</f>
        <v> </v>
      </c>
      <c r="CB17" s="334" t="str">
        <f aca="false">IF(A17="N/A"," ",(VLOOKUP(A17,PowerVolTable,(IF(BMO=2,7,IF(BMO=1,6,8))),FALSE())))</f>
        <v> </v>
      </c>
      <c r="CC17" s="334" t="str">
        <f aca="false">IF(A17="N/A"," ",(VLOOKUP(A17,IntraPowerVol,(IF(BMO=2,3,IF(BMO=1,2,4))),FALSE())*VLOOKUP(MONTH($A17),Volscale,2)))</f>
        <v> </v>
      </c>
      <c r="CD17" s="335" t="str">
        <f aca="false">IF($A17="N/A"," ",(IF(DateToday&gt;$A17,$CC17,((($CB17^2)*((($A17-1)-DateToday)/((EOMONTH($A17,0)+1)-DateToday-15)))+((($CC17)^2)*((15)/((EOMONTH($A17,0)+1)-DateToday-15))))^0.5)))</f>
        <v> </v>
      </c>
      <c r="CE17" s="334" t="str">
        <f aca="false">IF($A17="N/A"," ",(VLOOKUP($A17,GasVolTable,(IF(BMO=2,6,IF(BMO=1,7,5))),FALSE())))</f>
        <v> </v>
      </c>
      <c r="CF17" s="334" t="str">
        <f aca="false">IF($A17="N/A"," ",(VLOOKUP($A17,OmicronVol,(IF(BMO=2,3,IF(BMO=1,4,2))),FALSE())))</f>
        <v> </v>
      </c>
      <c r="CG17" s="335" t="str">
        <f aca="false">IF($A17="N/A"," ",(IF(DateToday&gt;$A17,$CF17,((($CE17^2)*((($A17-1)-DateToday)/((EOMONTH($A17,0)+1)-DateToday-15)))+((($CF17)^2)*((15)/((EOMONTH($A17,0)+1)-DateToday-15))))^0.5)))</f>
        <v> </v>
      </c>
      <c r="CH17" s="334" t="str">
        <f aca="false">IF($A17="N/A"," ",VLOOKUP($A17,CorrelationTable,2,FALSE()))</f>
        <v> </v>
      </c>
      <c r="CI17" s="336" t="str">
        <f aca="false">IF($A17="N/A"," ",F17+G17+(D17*('Pricing Inputs'!T50)))</f>
        <v> </v>
      </c>
      <c r="CJ17" s="334" t="str">
        <f aca="false">IF($A17="N/A"," ",IF(PV=1,0,'Pricing Inputs'!U50))</f>
        <v> </v>
      </c>
      <c r="CK17" s="337" t="str">
        <f aca="false">IF($A17="N/A"," ",(1+CJ17/2)^(-2*((EOMONTH(A17,0)+20)-DateToday)/365.25))</f>
        <v> </v>
      </c>
      <c r="CL17" s="338" t="str">
        <f aca="false">IF(A17="N/A"," ",IF(CC=2,(VLOOKUP(MONTH($A17),Hrtable,3))/1000,0))</f>
        <v> </v>
      </c>
      <c r="CM17" s="339" t="str">
        <f aca="false">IF(A17="N/A"," ",IF(CC=2,(CL17*C17)+F17,0))</f>
        <v> </v>
      </c>
      <c r="CN17" s="340" t="str">
        <f aca="false">IF($A17="N/A"," ",IF(CC=2,(VLOOKUP(A17,ScaledPrice,(IF(AND(Dayrun&gt;=1,Dayrun&lt;=6),2,4)))-((IF(R17&lt;&gt;0,$D17,$CL17)*$C17)+$F17+$G17)),0))</f>
        <v> </v>
      </c>
      <c r="CO17" s="340" t="str">
        <f aca="false">IF($A17="N/A"," ",IF(CC=2,(IF(AND(Dayrun&gt;=1,Dayrun&lt;=6),I17,(VLOOKUP(A17,ScaledPrice,2))*(2-(VLOOKUP(A17,ScaledPrice,3))))-((IF(S17&lt;&gt;0,$D17,$CL17)*$C17)+$F17+$G17)),0))</f>
        <v> </v>
      </c>
      <c r="CP17" s="340" t="str">
        <f aca="false">IF(A17="N/A"," ",IF(CC=2,(VLOOKUP(A17,ScaledPrice,9)-((IF(T17&lt;&gt;0,$D17,$CL17)*$C17)+$F17+$G17)),0))</f>
        <v> </v>
      </c>
      <c r="CQ17" s="340" t="str">
        <f aca="false">IF(A17="N/A"," ",IF(CC=2,(IF(OR(Dayrun=2,Dayrun=3,Dayrun=5,Dayrun=6,Dayrun=8,Dayrun=9),VLOOKUP(A17,ScaledPrice,IF(AND(Dayrun&gt;=2,Dayrun&lt;=6),5,6)),0)-((IF(U17&lt;&gt;0,$D17,$CL17)*$C17)+$F17+$G17)),0))</f>
        <v> </v>
      </c>
      <c r="CR17" s="340" t="str">
        <f aca="false">IF(A17="N/A"," ",IF(CC=2,(IF(OR(Dayrun=2,Dayrun=3,Dayrun=5,Dayrun=6,Dayrun=8,Dayrun=9),IF(AND(Dayrun&gt;=2,Dayrun&lt;=6),L17,(VLOOKUP(A17,ScaledPrice,5))*(2-(VLOOKUP(A17,ScaledPrice,3)))),0)-((IF(V17&lt;&gt;0,$D17,$CL17)*$C17)+$F17+$G17)),0))</f>
        <v> </v>
      </c>
      <c r="CS17" s="340" t="str">
        <f aca="false">IF(A17="N/A"," ",IF(CC=2,(VLOOKUP(A17,ScaledPrice,9)-((IF(W17&lt;&gt;0,$D17,$CL17)*$C17)+$F17+$G17)),0))</f>
        <v> </v>
      </c>
      <c r="CT17" s="340" t="str">
        <f aca="false">IF(A17="N/A"," ",IF(CC=2,(IF(OR(Dayrun=3,Dayrun=6,Dayrun=9),(VLOOKUP(A17,ScaledPrice,IF(AND(Dayrun&gt;=3,Dayrun&lt;=6),7,8))),0)-((IF(X17&lt;&gt;0,$D17,$CL17)*$C17)+$F17+$G17)),0))</f>
        <v> </v>
      </c>
      <c r="CU17" s="340" t="str">
        <f aca="false">IF(A17="N/A"," ",IF(CC=2,(IF(OR(Dayrun=3,Dayrun=6,Dayrun=9),IF(AND(Dayrun&gt;=3,Dayrun&lt;=6),O17,(VLOOKUP(A17,ScaledPrice,7))*(2-(VLOOKUP(A17,ScaledPrice,3)))),0)-((IF(Y17&lt;&gt;0,$D17,$CL17)*$C17)+$F17+$G17)),0))</f>
        <v> </v>
      </c>
      <c r="CV17" s="340" t="str">
        <f aca="false">IF(A17="N/A"," ",IF(CC=2,(VLOOKUP(A17,ScaledPrice,9)-((IF(Z17&lt;&gt;0,$D17,$CL17)*$C17)+$F17+$G17)),0))</f>
        <v> </v>
      </c>
      <c r="CW17" s="318" t="str">
        <f aca="false">IF($A17="N/A"," ",IF(0&lt;&gt;CN17,IF(CC=2,8*$HD17,0),0))</f>
        <v> </v>
      </c>
      <c r="CX17" s="318" t="str">
        <f aca="false">IF($A17="N/A"," ",IF(0&lt;&gt;CO17,IF(CC=2,8*$HD17,0),0))</f>
        <v> </v>
      </c>
      <c r="CY17" s="318" t="str">
        <f aca="false">IF($A17="N/A"," ",IF(0&lt;&gt;CP17,IF(CC=2,8*$HD17,0),0))</f>
        <v> </v>
      </c>
      <c r="CZ17" s="318" t="str">
        <f aca="false">IF($A17="N/A"," ",IF(0&lt;&gt;CQ17,IF(CC=2,8*$HE17,0),0))</f>
        <v> </v>
      </c>
      <c r="DA17" s="318" t="str">
        <f aca="false">IF($A17="N/A"," ",IF(0&lt;&gt;CR17,IF(CC=2,8*$HE17,0),0))</f>
        <v> </v>
      </c>
      <c r="DB17" s="318" t="str">
        <f aca="false">IF($A17="N/A"," ",IF(0&lt;&gt;CS17,IF(CC=2,8*$HE17,0),0))</f>
        <v> </v>
      </c>
      <c r="DC17" s="318" t="str">
        <f aca="false">IF($A17="N/A"," ",IF(0&lt;&gt;CT17,IF(CC=2,8*$HF17,0),0))</f>
        <v> </v>
      </c>
      <c r="DD17" s="318" t="str">
        <f aca="false">IF($A17="N/A"," ",IF(0&lt;&gt;CU17,IF(CC=2,8*$HF17,0),0))</f>
        <v> </v>
      </c>
      <c r="DE17" s="318" t="str">
        <f aca="false">IF($A17="N/A"," ",IF(0&lt;&gt;CV17,IF(CC=2,8*$HF17,0),0))</f>
        <v> </v>
      </c>
      <c r="DF17" s="341" t="str">
        <f aca="false">IF($A17="N/A"," ",IF(CC=2,(IF(MONTH(A17)&gt;=4,IF(MONTH(A17)&lt;=10,Inputs!$G$13,Inputs!$G$14),Inputs!$G$14))*$CK17,0))</f>
        <v> </v>
      </c>
      <c r="DG17" s="342" t="str">
        <f aca="false">IF($A17="N/A"," ",IF(CC=2,$DF17*CW17*CN17,0))</f>
        <v> </v>
      </c>
      <c r="DH17" s="342" t="str">
        <f aca="false">IF($A17="N/A"," ",IF(CC=2,$DF17*CX17*CO17,0))</f>
        <v> </v>
      </c>
      <c r="DI17" s="342" t="str">
        <f aca="false">IF($A17="N/A"," ",IF(CC=2,$DF17*CY17*CP17,0))</f>
        <v> </v>
      </c>
      <c r="DJ17" s="342" t="str">
        <f aca="false">IF($A17="N/A"," ",IF(CC=2,$DF17*CZ17*CQ17,0))</f>
        <v> </v>
      </c>
      <c r="DK17" s="342" t="str">
        <f aca="false">IF($A17="N/A"," ",IF(CC=2,$DF17*DA17*CR17,0))</f>
        <v> </v>
      </c>
      <c r="DL17" s="342" t="str">
        <f aca="false">IF($A17="N/A"," ",IF(CC=2,$DF17*DB17*CS17,0))</f>
        <v> </v>
      </c>
      <c r="DM17" s="342" t="str">
        <f aca="false">IF($A17="N/A"," ",IF(CC=2,$DF17*DC17*CT17,0))</f>
        <v> </v>
      </c>
      <c r="DN17" s="342" t="str">
        <f aca="false">IF($A17="N/A"," ",IF(CC=2,$DF17*DD17*CU17,0))</f>
        <v> </v>
      </c>
      <c r="DO17" s="342" t="str">
        <f aca="false">IF($A17="N/A"," ",IF(CC=2,$DF17*DE17*CV17,0))</f>
        <v> </v>
      </c>
      <c r="DP17" s="343" t="str">
        <f aca="false">IF($A17="N/A"," ",IF(CC=2,SUM(DG17:DO17),0))</f>
        <v> </v>
      </c>
      <c r="DQ17" s="0" t="str">
        <f aca="false">IF(A17="N/A"," ",Perstart)</f>
        <v> </v>
      </c>
      <c r="HD17" s="0" t="str">
        <f aca="false">IF($A17="N/A"," ",VLOOKUP($A17,NumberofDaysTable,2))</f>
        <v> </v>
      </c>
      <c r="HE17" s="0" t="str">
        <f aca="false">IF($A17="N/A"," ",VLOOKUP($A17,NumberofDaysTable,3))</f>
        <v> </v>
      </c>
      <c r="HF17" s="0" t="str">
        <f aca="false">IF($A17="N/A"," ",VLOOKUP($A17,NumberofDaysTable,4))</f>
        <v> </v>
      </c>
    </row>
    <row r="18" customFormat="false" ht="12.75" hidden="false" customHeight="false" outlineLevel="0" collapsed="false">
      <c r="A18" s="308" t="str">
        <f aca="false">IF(A17="N/A","N/A",IF(EDATE(A17,1)&gt;Inputs!$K$3,"N/A",EDATE(A17,1)))</f>
        <v>N/A</v>
      </c>
      <c r="B18" s="309" t="str">
        <f aca="false">IF(A18="N/A"," ",YEAR(A18))</f>
        <v> </v>
      </c>
      <c r="C18" s="310" t="str">
        <f aca="false">IF(A18="N/A"," ",VLOOKUP(A18,ScaledPrice,10))</f>
        <v> </v>
      </c>
      <c r="D18" s="311" t="str">
        <f aca="false">IF(A18="N/A"," ",(VLOOKUP(MONTH($A18),Hrtable,2))/1000)</f>
        <v> </v>
      </c>
      <c r="E18" s="312" t="str">
        <f aca="false">IF($A18="N/A"," ",(C18-'Pricing Inputs'!T51)*D18)</f>
        <v> </v>
      </c>
      <c r="F18" s="313" t="str">
        <f aca="false">IF(A18="N/A"," ",$F6*(1+VOMesc))</f>
        <v> </v>
      </c>
      <c r="G18" s="313" t="str">
        <f aca="false">IF(A18="N/A"," ",Perstart/IF(AND(Dayrun&gt;=4,Dayrun&lt;=6),16,IF(AND(Dayrun&gt;=7,Dayrun&lt;=9),8,24))/(BM18/CK18))</f>
        <v> </v>
      </c>
      <c r="H18" s="314" t="str">
        <f aca="false">IF(A18="N/A"," ",(C18*D18)+F18+G18)</f>
        <v> </v>
      </c>
      <c r="I18" s="315" t="str">
        <f aca="false">VLOOKUP(A18,ScaledPrice,(IF(AND(Dayrun&gt;=1,Dayrun&lt;=6),2,4)))</f>
        <v> </v>
      </c>
      <c r="J18" s="315" t="str">
        <f aca="false">IF(A18="N/A"," ",IF(AND(Dayrun&gt;=1,Dayrun&lt;=6),I18,(VLOOKUP(A18,ScaledPrice,2))*(2-(VLOOKUP(A18,ScaledPrice,3)))))</f>
        <v> </v>
      </c>
      <c r="K18" s="315" t="str">
        <f aca="false">IF(A18="N/A"," ",IF(AND(Dayrun&gt;=1,Dayrun&lt;=3),VLOOKUP(A18,ScaledPrice,9),0))</f>
        <v> </v>
      </c>
      <c r="L18" s="315" t="str">
        <f aca="false">IF(A18="N/A"," ",IF(OR(Dayrun=2,Dayrun=3,Dayrun=5,Dayrun=6,Dayrun=8,Dayrun=9),VLOOKUP(A18,ScaledPrice,IF(AND(Dayrun&gt;=2,Dayrun&lt;=6),5,6)),0))</f>
        <v> </v>
      </c>
      <c r="M18" s="315" t="str">
        <f aca="false">IF(A18="N/A"," ",IF(OR(Dayrun=2,Dayrun=3,Dayrun=5,Dayrun=6,Dayrun=8,Dayrun=9),IF(AND(Dayrun&gt;=2,Dayrun&lt;=6),L18,(VLOOKUP(A18,ScaledPrice,5))*(2-(VLOOKUP(A18,ScaledPrice,3)))),0))</f>
        <v> </v>
      </c>
      <c r="N18" s="315" t="str">
        <f aca="false">IF(A18="N/A"," ",IF(AND(Dayrun&gt;1,Dayrun&lt;=3),VLOOKUP(A18,ScaledPrice,9),0))</f>
        <v> </v>
      </c>
      <c r="O18" s="315" t="str">
        <f aca="false">IF(A18="N/A"," ",IF(OR(Dayrun=3,Dayrun=6,Dayrun=9),(VLOOKUP(A18,ScaledPrice,IF(AND(Dayrun&gt;=3,Dayrun&lt;=6),7,8))),0))</f>
        <v> </v>
      </c>
      <c r="P18" s="315" t="str">
        <f aca="false">IF(A18="N/A"," ",IF(OR(Dayrun=3,Dayrun=6,Dayrun=9),IF(AND(Dayrun&gt;=3,Dayrun&lt;=6),O18,(VLOOKUP(A18,ScaledPrice,7))*(2-(VLOOKUP(A18,ScaledPrice,3)))),0))</f>
        <v> </v>
      </c>
      <c r="Q18" s="315" t="str">
        <f aca="false">IF(A18="N/A"," ",IF(AND(Dayrun&gt;2,Dayrun&lt;=3),VLOOKUP(A18,ScaledPrice,9),0))</f>
        <v> </v>
      </c>
      <c r="R18" s="316" t="str">
        <f aca="false">IF($A18="N/A"," ",IF(Pricetype=2,MAX(I18-$H18,0),IF(Pricetype=1,(xSPRDOPT(I18,$E18,$CI18,0,($CD18+IF(Smile=TRUE(),VLOOKUP(MAX(-5,$H18-I18),Volsmile,2),0)),$CG18,$CH18,($A18-DateToday)+15,1,0)),I18-$H18)))</f>
        <v> </v>
      </c>
      <c r="S18" s="316" t="str">
        <f aca="false">IF($A18="N/A"," ",IF(Pricetype=2,MAX(J18-$H18,0),IF(Pricetype=1,(xSPRDOPT(J18,$E18,$CI18,0,($CD18+IF(Smile=TRUE(),VLOOKUP(MAX(-5,$H18-J18),Volsmile,2),0)),$CG18,$CH18,($A18-DateToday)+15,1,0)),J18-$H18)))</f>
        <v> </v>
      </c>
      <c r="T18" s="317" t="str">
        <f aca="false">IF($A18="N/A"," ",(IF(Pricetype=2,IF((K18-$H18)&lt;=0,0,(K18-$H18)),IF(K18&lt;&gt;0,(K18-$H18),0))))</f>
        <v> </v>
      </c>
      <c r="U18" s="316" t="str">
        <f aca="false">IF($A18="N/A"," ",IF(Pricetype=2,MAX(L18-$H18,0),IF(L18&lt;&gt;0,IF(Pricetype=1,(xSPRDOPT(L18,$E18,$CI18,0,($CD18+IF(Smile=TRUE(),VLOOKUP(MAX(-5,$H18-L18),Volsmile,2),0)),$CG18,$CH18,($A18-DateToday)+15,1,0)),L18-$H18),0)))</f>
        <v> </v>
      </c>
      <c r="V18" s="316" t="str">
        <f aca="false">IF($A18="N/A"," ",IF(Pricetype=2,MAX(M18-$H18,0),IF(M18&lt;&gt;0,IF(Pricetype=1,(xSPRDOPT(M18,$E18,$CI18,0,($CD18+IF(Smile=TRUE(),VLOOKUP(MAX(-5,$H18-M18),Volsmile,2),0)),$CG18,$CH18,($A18-DateToday)+15,1,0)),M18-$H18),0)))</f>
        <v> </v>
      </c>
      <c r="W18" s="317" t="str">
        <f aca="false">IF($A18="N/A"," ",(IF(Pricetype=2,IF((N18-$H18)&lt;=0,0,(N18-$H18)),IF(N18&lt;&gt;0,(N18-$H18),0))))</f>
        <v> </v>
      </c>
      <c r="X18" s="316" t="str">
        <f aca="false">IF($A18="N/A"," ",IF(Pricetype=2,MAX(O18-$H18,0),IF(O18&lt;&gt;0,IF(Pricetype=1,(xSPRDOPT(O18,$E18,$CI18,0,($CD18+IF(Smile=TRUE(),VLOOKUP(MAX(-5,$H18-O18),Volsmile,2),0)),$CG18,$CH18,($A18-DateToday)+15,1,0)),O18-$H18),0)))</f>
        <v> </v>
      </c>
      <c r="Y18" s="316" t="str">
        <f aca="false">IF($A18="N/A"," ",IF(Pricetype=2,MAX(P18-$H18,0),IF(P18&lt;&gt;0,IF(Pricetype=1,(xSPRDOPT(P18,$E18,$CI18,0,($CD18+IF(Smile=TRUE(),VLOOKUP(MAX(-5,$H18-P18),Volsmile,2),0)),$CG18,$CH18,($A18-DateToday)+15,1,0)),P18-$H18),0)))</f>
        <v> </v>
      </c>
      <c r="Z18" s="317" t="str">
        <f aca="false">IF($A18="N/A"," ",(IF(Pricetype=2,IF((Q18-$H18)&lt;=0,0,(Q18-$H18)),IF(Q18&lt;&gt;0,(Q18-$H18),0))))</f>
        <v> </v>
      </c>
      <c r="AA18" s="318" t="str">
        <f aca="false">IF($A18="N/A"," ",IF(VLOOKUP(MONTH(A18),ManualTable,2)=1,(IF(0&lt;&gt;R18,IF(Pricetype=1,(xSPRDOPT(I18,$E18,$CI18,0,($CD18+IF(Smile=TRUE(),VLOOKUP(MAX(-5,$H18-I18),Volsmile,2),0)),$CG18,$CH18,($A18-DateToday)+15,1,1))*(8*$HD18),8*$HD18),0)),0))</f>
        <v> </v>
      </c>
      <c r="AB18" s="318" t="str">
        <f aca="false">IF($A18="N/A"," ",IF(VLOOKUP(MONTH(A18),ManualTable,3)=1,(IF(S18&lt;&gt;0,IF(Pricetype=1,(xSPRDOPT(J18,$E18,$CI18,0,($CD18+IF(Smile=TRUE(),VLOOKUP(MAX(-5,$H18-J18),Volsmile,2),0)),$CG18,$CH18,($A18-DateToday)+15,1,1))*(8*$HD18),8*$HD18),0)),0))</f>
        <v> </v>
      </c>
      <c r="AC18" s="318" t="str">
        <f aca="false">IF($A18="N/A"," ",IF(VLOOKUP(MONTH(A18),ManualTable,4)=1,(IF(T18&lt;&gt;0,(8*$HD18),0)),0))</f>
        <v> </v>
      </c>
      <c r="AD18" s="318" t="str">
        <f aca="false">IF($A18="N/A"," ",IF(VLOOKUP(MONTH(A18),ManualTable,5)=1,(IF(U18&lt;&gt;0,IF(Pricetype=1,(xSPRDOPT(L18,$E18,$CI18,0,($CD18+IF(Smile=TRUE(),VLOOKUP(MAX(-5,$H18-L18),Volsmile,2),0)),$CG18,$CH18,($A18-DateToday)+15,1,1))*(8*$HE18),8*$HE18),0)),0))</f>
        <v> </v>
      </c>
      <c r="AE18" s="318" t="str">
        <f aca="false">IF($A18="N/A"," ",IF(VLOOKUP(MONTH(A18),ManualTable,6)=1,(IF(V18&lt;&gt;0,IF(Pricetype=1,(xSPRDOPT(M18,$E18,$CI18,0,($CD18+IF(Smile=TRUE(),VLOOKUP(MAX(-5,$H18-M18),Volsmile,2),0)),$CG18,$CH18,($A18-DateToday)+15,1,1))*(8*$HE18),8*$HE18),0)),0))</f>
        <v> </v>
      </c>
      <c r="AF18" s="318" t="str">
        <f aca="false">IF($A18="N/A"," ",IF(VLOOKUP(MONTH(A18),ManualTable,7)=1,(IF(W18&lt;&gt;0,(8*$HE18),0)),0))</f>
        <v> </v>
      </c>
      <c r="AG18" s="318" t="str">
        <f aca="false">IF($A18="N/A"," ",IF(VLOOKUP(MONTH(A18),ManualTable,8)=1,(IF(X18&lt;&gt;0,IF(Pricetype=1,(xSPRDOPT(O18,$E18,$CI18,0,($CD18+IF(Smile=TRUE(),VLOOKUP(MAX(-5,$H18-O18),Volsmile,2),0)),$CG18,$CH18,($A18-DateToday)+15,1,1))*(8*$HF18),8*$HF18),0)),0))</f>
        <v> </v>
      </c>
      <c r="AH18" s="318" t="str">
        <f aca="false">IF($A18="N/A"," ",IF(VLOOKUP(MONTH(A18),ManualTable,9)=1,(IF(Y18&lt;&gt;0,IF(Pricetype=1,(xSPRDOPT(P18,$E18,$CI18,0,($CD18+IF(Smile=TRUE(),VLOOKUP(MAX(-5,$H18-P18),Volsmile,2),0)),$CG18,$CH18,($A18-DateToday)+15,1,1))*(8*$HF18),8*$HF18),0)),0))</f>
        <v> </v>
      </c>
      <c r="AI18" s="318" t="str">
        <f aca="false">IF($A18="N/A"," ",IF(VLOOKUP(MONTH(A18),ManualTable,10)=1,(IF(Z18&lt;&gt;0,(8*($HF18)),0)),0))</f>
        <v> </v>
      </c>
      <c r="AJ18" s="344" t="str">
        <f aca="false">IF($A18="N/A"," ",RANK(R18,$R$16:$Z$27))</f>
        <v> </v>
      </c>
      <c r="AK18" s="321" t="str">
        <f aca="false">IF($A18="N/A"," ",RANK(S18,$R$16:$Z$27))</f>
        <v> </v>
      </c>
      <c r="AL18" s="321" t="str">
        <f aca="false">IF($A18="N/A"," ",RANK(T18,$R$16:$Z$27))</f>
        <v> </v>
      </c>
      <c r="AM18" s="321" t="str">
        <f aca="false">IF($A18="N/A"," ",RANK(U18,$R$16:$Z$27))</f>
        <v> </v>
      </c>
      <c r="AN18" s="321" t="str">
        <f aca="false">IF($A18="N/A"," ",RANK(V18,$R$16:$Z$27))</f>
        <v> </v>
      </c>
      <c r="AO18" s="321" t="str">
        <f aca="false">IF($A18="N/A"," ",RANK(W18,$R$16:$Z$27))</f>
        <v> </v>
      </c>
      <c r="AP18" s="321" t="str">
        <f aca="false">IF($A18="N/A"," ",RANK(X18,$R$16:$Z$27))</f>
        <v> </v>
      </c>
      <c r="AQ18" s="321" t="str">
        <f aca="false">IF($A18="N/A"," ",RANK(Y18,$R$16:$Z$27))</f>
        <v> </v>
      </c>
      <c r="AR18" s="345" t="str">
        <f aca="false">IF($A18="N/A"," ",RANK(Z18,$R$16:$Z$27))</f>
        <v> </v>
      </c>
      <c r="AS18" s="323" t="str">
        <f aca="false">IF($A18="N/A"," ",IF(AJ18&lt;=$AR$2,AA18,0))</f>
        <v> </v>
      </c>
      <c r="AT18" s="325" t="str">
        <f aca="false">IF($A18="N/A"," ",IF(AK18&lt;=$AR$2,AB18,0))</f>
        <v> </v>
      </c>
      <c r="AU18" s="325" t="str">
        <f aca="false">IF($A18="N/A"," ",IF(AL18&lt;=$AR$2,AC18,0))</f>
        <v> </v>
      </c>
      <c r="AV18" s="325" t="str">
        <f aca="false">IF($A18="N/A"," ",IF(AM18&lt;=$AR$2,AD18,0))</f>
        <v> </v>
      </c>
      <c r="AW18" s="325" t="str">
        <f aca="false">IF($A18="N/A"," ",IF(AN18&lt;=$AR$2,AE18,0))</f>
        <v> </v>
      </c>
      <c r="AX18" s="325" t="str">
        <f aca="false">IF($A18="N/A"," ",IF(AO18&lt;=$AR$2,AF18,0))</f>
        <v> </v>
      </c>
      <c r="AY18" s="325" t="str">
        <f aca="false">IF($A18="N/A"," ",IF(AP18&lt;=$AR$2,AG18,0))</f>
        <v> </v>
      </c>
      <c r="AZ18" s="325" t="str">
        <f aca="false">IF($A18="N/A"," ",IF(AQ18&lt;=$AR$2,AH18,0))</f>
        <v> </v>
      </c>
      <c r="BA18" s="325" t="str">
        <f aca="false">IF($A18="N/A"," ",IF(AR18&lt;=$AR$2,AI18,0))</f>
        <v> </v>
      </c>
      <c r="BB18" s="321"/>
      <c r="BC18" s="326" t="str">
        <f aca="false">IF($A18="N/A"," ",IF(AND(AJ18=$AR$2+1,AS18=0),MIN($BB$27,AA18),0))</f>
        <v> </v>
      </c>
      <c r="BD18" s="346" t="str">
        <f aca="false">IF($A18="N/A"," ",IF(AND(AK18=$AR$2+1,AT18=0),MIN($BB$27,AB18),0))</f>
        <v> </v>
      </c>
      <c r="BE18" s="346" t="str">
        <f aca="false">IF($A18="N/A"," ",IF(AND(AL18=$AR$2+1,AU18=0),MIN($BB$27,AC18),0))</f>
        <v> </v>
      </c>
      <c r="BF18" s="346" t="str">
        <f aca="false">IF($A18="N/A"," ",IF(AND(AM18=$AR$2+1,AV18=0),MIN($BB$27,AD18),0))</f>
        <v> </v>
      </c>
      <c r="BG18" s="346" t="str">
        <f aca="false">IF($A18="N/A"," ",IF(AND(AN18=$AR$2+1,AW18=0),MIN($BB$27,AE18),0))</f>
        <v> </v>
      </c>
      <c r="BH18" s="346" t="str">
        <f aca="false">IF($A18="N/A"," ",IF(AND(AO18=$AR$2+1,AX18=0),MIN($BB$27,AF18),0))</f>
        <v> </v>
      </c>
      <c r="BI18" s="346" t="str">
        <f aca="false">IF($A18="N/A"," ",IF(AND(AP18=$AR$2+1,AY18=0),MIN($BB$27,AG18),0))</f>
        <v> </v>
      </c>
      <c r="BJ18" s="346" t="str">
        <f aca="false">IF($A18="N/A"," ",IF(AND(AQ18=$AR$2+1,AZ18=0),MIN($BB$27,AH18),0))</f>
        <v> </v>
      </c>
      <c r="BK18" s="346" t="str">
        <f aca="false">IF($A18="N/A"," ",IF(AND(AR18=$AR$2+1,BA18=0),MIN($BB$27,AI18),0))</f>
        <v> </v>
      </c>
      <c r="BL18" s="360"/>
      <c r="BM18" s="329" t="str">
        <f aca="false">IF($A18="N/A"," ",(IF(MONTH(A18)&gt;=4,IF(MONTH(A18)&lt;=10,Inputs!$F$13-Inputs!$G$13,Inputs!$F$14-Inputs!$G$14),Inputs!$F$14-Inputs!$G$14))*$CK18*Availability)</f>
        <v> </v>
      </c>
      <c r="BN18" s="330" t="str">
        <f aca="false">IF($A18="N/A"," ",(IF(AS18&gt;0,($BM18*(8*($HD18))*R18),0)+IF(BC18&gt;0,($BM18*((BC18/AA18)*8*$HD18)*R18),0)))</f>
        <v> </v>
      </c>
      <c r="BO18" s="330" t="str">
        <f aca="false">IF($A18="N/A"," ",(IF(AT18&gt;0,($BM18*(8*($HD18))*S18),0)+IF(BD18&gt;0,($BM18*((BD18/AB18)*8*$HD18)*S18),0)))</f>
        <v> </v>
      </c>
      <c r="BP18" s="330" t="str">
        <f aca="false">IF($A18="N/A"," ",(IF(AU18&gt;0,($BM18*(8*($HD18))*T18),0)+IF(BE18&gt;0,($BM18*((BE18))*T18),0)))</f>
        <v> </v>
      </c>
      <c r="BQ18" s="330" t="str">
        <f aca="false">IF($A18="N/A"," ",(IF(AV18&gt;0,($BM18*(8*($HE18))*U18),0)+IF(BF18&gt;0,($BM18*((BF18/AD18)*8*$HE18)*U18),0)))</f>
        <v> </v>
      </c>
      <c r="BR18" s="330" t="str">
        <f aca="false">IF($A18="N/A"," ",(IF(AW18&gt;0,($BM18*(8*($HE18))*V18),0)+IF(BG18&gt;0,($BM18*((BG18/AE18)*8*$HE18)*V18),0)))</f>
        <v> </v>
      </c>
      <c r="BS18" s="330" t="str">
        <f aca="false">IF($A18="N/A"," ",(IF(AX18&gt;0,($BM18*(8*($HE18))*W18),0)+IF(BH18&gt;0,($BM18*((BH18))*W18),0)))</f>
        <v> </v>
      </c>
      <c r="BT18" s="330" t="str">
        <f aca="false">IF($A18="N/A"," ",(IF(AY18&gt;0,($BM18*(8*($HF18))*X18),0)+IF(BI18&gt;0,($BM18*((BI18/AG18)*8*$HF18)*X18),0)))</f>
        <v> </v>
      </c>
      <c r="BU18" s="330" t="str">
        <f aca="false">IF($A18="N/A"," ",(IF(AZ18&gt;0,($BM18*(8*($HF18))*Y18),0)+IF(BJ18&gt;0,($BM18*((BJ18/AH18)*8*$HF18)*Y18),0)))</f>
        <v> </v>
      </c>
      <c r="BV18" s="330" t="str">
        <f aca="false">IF($A18="N/A"," ",(IF(BA18&gt;0,($BM18*(8*($HF18))*Z18),0)+IF(BK18&gt;0,($BM18*((BK18))*Z18),0)))</f>
        <v> </v>
      </c>
      <c r="BW18" s="330" t="str">
        <f aca="false">IF($A18="N/A"," ",SUM(BN18:BV18))</f>
        <v> </v>
      </c>
      <c r="BX18" s="331" t="str">
        <f aca="false">IF($A18="N/A"," ",(H18*(SUM(AS18:BA18)+SUM(BC18:BK18))*BM18))</f>
        <v> </v>
      </c>
      <c r="BY18" s="332" t="str">
        <f aca="false">IF($A18="N/A"," ",((C18*D18)*(SUM($AS18:$BA18)+SUM($BC18:$BK18))*$BM18))</f>
        <v> </v>
      </c>
      <c r="BZ18" s="332" t="str">
        <f aca="false">IF($A18="N/A"," ",(F18*(SUM($AS18:$BA18)+SUM($BC18:$BK18))*$BM18))</f>
        <v> </v>
      </c>
      <c r="CA18" s="333" t="str">
        <f aca="false">IF($A18="N/A"," ",(G18*(SUM($AS18:$BA18)+SUM($BC18:$BK18))*$BM18))</f>
        <v> </v>
      </c>
      <c r="CB18" s="334" t="str">
        <f aca="false">IF(A18="N/A"," ",(VLOOKUP(A18,PowerVolTable,(IF(BMO=2,7,IF(BMO=1,6,8))),FALSE())))</f>
        <v> </v>
      </c>
      <c r="CC18" s="334" t="str">
        <f aca="false">IF(A18="N/A"," ",(VLOOKUP(A18,IntraPowerVol,(IF(BMO=2,3,IF(BMO=1,2,4))),FALSE())*VLOOKUP(MONTH($A18),Volscale,2)))</f>
        <v> </v>
      </c>
      <c r="CD18" s="335" t="str">
        <f aca="false">IF($A18="N/A"," ",(IF(DateToday&gt;$A18,$CC18,((($CB18^2)*((($A18-1)-DateToday)/((EOMONTH($A18,0)+1)-DateToday-15)))+((($CC18)^2)*((15)/((EOMONTH($A18,0)+1)-DateToday-15))))^0.5)))</f>
        <v> </v>
      </c>
      <c r="CE18" s="334" t="str">
        <f aca="false">IF($A18="N/A"," ",(VLOOKUP($A18,GasVolTable,(IF(BMO=2,6,IF(BMO=1,7,5))),FALSE())))</f>
        <v> </v>
      </c>
      <c r="CF18" s="334" t="str">
        <f aca="false">IF($A18="N/A"," ",(VLOOKUP($A18,OmicronVol,(IF(BMO=2,3,IF(BMO=1,4,2))),FALSE())))</f>
        <v> </v>
      </c>
      <c r="CG18" s="335" t="str">
        <f aca="false">IF($A18="N/A"," ",(IF(DateToday&gt;$A18,$CF18,((($CE18^2)*((($A18-1)-DateToday)/((EOMONTH($A18,0)+1)-DateToday-15)))+((($CF18)^2)*((15)/((EOMONTH($A18,0)+1)-DateToday-15))))^0.5)))</f>
        <v> </v>
      </c>
      <c r="CH18" s="334" t="str">
        <f aca="false">IF($A18="N/A"," ",VLOOKUP($A18,CorrelationTable,2,FALSE()))</f>
        <v> </v>
      </c>
      <c r="CI18" s="336" t="str">
        <f aca="false">IF($A18="N/A"," ",F18+G18+(D18*('Pricing Inputs'!T51)))</f>
        <v> </v>
      </c>
      <c r="CJ18" s="334" t="str">
        <f aca="false">IF($A18="N/A"," ",IF(PV=1,0,'Pricing Inputs'!U51))</f>
        <v> </v>
      </c>
      <c r="CK18" s="337" t="str">
        <f aca="false">IF($A18="N/A"," ",(1+CJ18/2)^(-2*((EOMONTH(A18,0)+20)-DateToday)/365.25))</f>
        <v> </v>
      </c>
      <c r="CL18" s="338" t="str">
        <f aca="false">IF(A18="N/A"," ",IF(CC=2,(VLOOKUP(MONTH($A18),Hrtable,3))/1000,0))</f>
        <v> </v>
      </c>
      <c r="CM18" s="339" t="str">
        <f aca="false">IF(A18="N/A"," ",IF(CC=2,(CL18*C18)+F18,0))</f>
        <v> </v>
      </c>
      <c r="CN18" s="340" t="str">
        <f aca="false">IF($A18="N/A"," ",IF(CC=2,(VLOOKUP(A18,ScaledPrice,(IF(AND(Dayrun&gt;=1,Dayrun&lt;=6),2,4)))-((IF(R18&lt;&gt;0,$D18,$CL18)*$C18)+$F18+$G18)),0))</f>
        <v> </v>
      </c>
      <c r="CO18" s="340" t="str">
        <f aca="false">IF($A18="N/A"," ",IF(CC=2,(IF(AND(Dayrun&gt;=1,Dayrun&lt;=6),I18,(VLOOKUP(A18,ScaledPrice,2))*(2-(VLOOKUP(A18,ScaledPrice,3))))-((IF(S18&lt;&gt;0,$D18,$CL18)*$C18)+$F18+$G18)),0))</f>
        <v> </v>
      </c>
      <c r="CP18" s="340" t="str">
        <f aca="false">IF(A18="N/A"," ",IF(CC=2,(VLOOKUP(A18,ScaledPrice,9)-((IF(T18&lt;&gt;0,$D18,$CL18)*$C18)+$F18+$G18)),0))</f>
        <v> </v>
      </c>
      <c r="CQ18" s="340" t="str">
        <f aca="false">IF(A18="N/A"," ",IF(CC=2,(IF(OR(Dayrun=2,Dayrun=3,Dayrun=5,Dayrun=6,Dayrun=8,Dayrun=9),VLOOKUP(A18,ScaledPrice,IF(AND(Dayrun&gt;=2,Dayrun&lt;=6),5,6)),0)-((IF(U18&lt;&gt;0,$D18,$CL18)*$C18)+$F18+$G18)),0))</f>
        <v> </v>
      </c>
      <c r="CR18" s="340" t="str">
        <f aca="false">IF(A18="N/A"," ",IF(CC=2,(IF(OR(Dayrun=2,Dayrun=3,Dayrun=5,Dayrun=6,Dayrun=8,Dayrun=9),IF(AND(Dayrun&gt;=2,Dayrun&lt;=6),L18,(VLOOKUP(A18,ScaledPrice,5))*(2-(VLOOKUP(A18,ScaledPrice,3)))),0)-((IF(V18&lt;&gt;0,$D18,$CL18)*$C18)+$F18+$G18)),0))</f>
        <v> </v>
      </c>
      <c r="CS18" s="340" t="str">
        <f aca="false">IF(A18="N/A"," ",IF(CC=2,(VLOOKUP(A18,ScaledPrice,9)-((IF(W18&lt;&gt;0,$D18,$CL18)*$C18)+$F18+$G18)),0))</f>
        <v> </v>
      </c>
      <c r="CT18" s="340" t="str">
        <f aca="false">IF(A18="N/A"," ",IF(CC=2,(IF(OR(Dayrun=3,Dayrun=6,Dayrun=9),(VLOOKUP(A18,ScaledPrice,IF(AND(Dayrun&gt;=3,Dayrun&lt;=6),7,8))),0)-((IF(X18&lt;&gt;0,$D18,$CL18)*$C18)+$F18+$G18)),0))</f>
        <v> </v>
      </c>
      <c r="CU18" s="340" t="str">
        <f aca="false">IF(A18="N/A"," ",IF(CC=2,(IF(OR(Dayrun=3,Dayrun=6,Dayrun=9),IF(AND(Dayrun&gt;=3,Dayrun&lt;=6),O18,(VLOOKUP(A18,ScaledPrice,7))*(2-(VLOOKUP(A18,ScaledPrice,3)))),0)-((IF(Y18&lt;&gt;0,$D18,$CL18)*$C18)+$F18+$G18)),0))</f>
        <v> </v>
      </c>
      <c r="CV18" s="340" t="str">
        <f aca="false">IF(A18="N/A"," ",IF(CC=2,(VLOOKUP(A18,ScaledPrice,9)-((IF(Z18&lt;&gt;0,$D18,$CL18)*$C18)+$F18+$G18)),0))</f>
        <v> </v>
      </c>
      <c r="CW18" s="318" t="str">
        <f aca="false">IF($A18="N/A"," ",IF(0&lt;&gt;CN18,IF(CC=2,8*$HD18,0),0))</f>
        <v> </v>
      </c>
      <c r="CX18" s="318" t="str">
        <f aca="false">IF($A18="N/A"," ",IF(0&lt;&gt;CO18,IF(CC=2,8*$HD18,0),0))</f>
        <v> </v>
      </c>
      <c r="CY18" s="318" t="str">
        <f aca="false">IF($A18="N/A"," ",IF(0&lt;&gt;CP18,IF(CC=2,8*$HD18,0),0))</f>
        <v> </v>
      </c>
      <c r="CZ18" s="318" t="str">
        <f aca="false">IF($A18="N/A"," ",IF(0&lt;&gt;CQ18,IF(CC=2,8*$HE18,0),0))</f>
        <v> </v>
      </c>
      <c r="DA18" s="318" t="str">
        <f aca="false">IF($A18="N/A"," ",IF(0&lt;&gt;CR18,IF(CC=2,8*$HE18,0),0))</f>
        <v> </v>
      </c>
      <c r="DB18" s="318" t="str">
        <f aca="false">IF($A18="N/A"," ",IF(0&lt;&gt;CS18,IF(CC=2,8*$HE18,0),0))</f>
        <v> </v>
      </c>
      <c r="DC18" s="318" t="str">
        <f aca="false">IF($A18="N/A"," ",IF(0&lt;&gt;CT18,IF(CC=2,8*$HF18,0),0))</f>
        <v> </v>
      </c>
      <c r="DD18" s="318" t="str">
        <f aca="false">IF($A18="N/A"," ",IF(0&lt;&gt;CU18,IF(CC=2,8*$HF18,0),0))</f>
        <v> </v>
      </c>
      <c r="DE18" s="318" t="str">
        <f aca="false">IF($A18="N/A"," ",IF(0&lt;&gt;CV18,IF(CC=2,8*$HF18,0),0))</f>
        <v> </v>
      </c>
      <c r="DF18" s="341" t="str">
        <f aca="false">IF($A18="N/A"," ",IF(CC=2,(IF(MONTH(A18)&gt;=4,IF(MONTH(A18)&lt;=10,Inputs!$G$13,Inputs!$G$14),Inputs!$G$14))*$CK18,0))</f>
        <v> </v>
      </c>
      <c r="DG18" s="342" t="str">
        <f aca="false">IF($A18="N/A"," ",IF(CC=2,$DF18*CW18*CN18,0))</f>
        <v> </v>
      </c>
      <c r="DH18" s="342" t="str">
        <f aca="false">IF($A18="N/A"," ",IF(CC=2,$DF18*CX18*CO18,0))</f>
        <v> </v>
      </c>
      <c r="DI18" s="342" t="str">
        <f aca="false">IF($A18="N/A"," ",IF(CC=2,$DF18*CY18*CP18,0))</f>
        <v> </v>
      </c>
      <c r="DJ18" s="342" t="str">
        <f aca="false">IF($A18="N/A"," ",IF(CC=2,$DF18*CZ18*CQ18,0))</f>
        <v> </v>
      </c>
      <c r="DK18" s="342" t="str">
        <f aca="false">IF($A18="N/A"," ",IF(CC=2,$DF18*DA18*CR18,0))</f>
        <v> </v>
      </c>
      <c r="DL18" s="342" t="str">
        <f aca="false">IF($A18="N/A"," ",IF(CC=2,$DF18*DB18*CS18,0))</f>
        <v> </v>
      </c>
      <c r="DM18" s="342" t="str">
        <f aca="false">IF($A18="N/A"," ",IF(CC=2,$DF18*DC18*CT18,0))</f>
        <v> </v>
      </c>
      <c r="DN18" s="342" t="str">
        <f aca="false">IF($A18="N/A"," ",IF(CC=2,$DF18*DD18*CU18,0))</f>
        <v> </v>
      </c>
      <c r="DO18" s="342" t="str">
        <f aca="false">IF($A18="N/A"," ",IF(CC=2,$DF18*DE18*CV18,0))</f>
        <v> </v>
      </c>
      <c r="DP18" s="343" t="str">
        <f aca="false">IF($A18="N/A"," ",IF(CC=2,SUM(DG18:DO18),0))</f>
        <v> </v>
      </c>
      <c r="DQ18" s="0" t="str">
        <f aca="false">IF(A18="N/A"," ",Perstart)</f>
        <v> </v>
      </c>
      <c r="HD18" s="0" t="str">
        <f aca="false">IF($A18="N/A"," ",VLOOKUP($A18,NumberofDaysTable,2))</f>
        <v> </v>
      </c>
      <c r="HE18" s="0" t="str">
        <f aca="false">IF($A18="N/A"," ",VLOOKUP($A18,NumberofDaysTable,3))</f>
        <v> </v>
      </c>
      <c r="HF18" s="0" t="str">
        <f aca="false">IF($A18="N/A"," ",VLOOKUP($A18,NumberofDaysTable,4))</f>
        <v> </v>
      </c>
    </row>
    <row r="19" customFormat="false" ht="12.75" hidden="false" customHeight="false" outlineLevel="0" collapsed="false">
      <c r="A19" s="308" t="str">
        <f aca="false">IF(A18="N/A","N/A",IF(EDATE(A18,1)&gt;Inputs!$K$3,"N/A",EDATE(A18,1)))</f>
        <v>N/A</v>
      </c>
      <c r="B19" s="309" t="str">
        <f aca="false">IF(A19="N/A"," ",YEAR(A19))</f>
        <v> </v>
      </c>
      <c r="C19" s="310" t="str">
        <f aca="false">IF(A19="N/A"," ",VLOOKUP(A19,ScaledPrice,10))</f>
        <v> </v>
      </c>
      <c r="D19" s="311" t="str">
        <f aca="false">IF(A19="N/A"," ",(VLOOKUP(MONTH($A19),Hrtable,2))/1000)</f>
        <v> </v>
      </c>
      <c r="E19" s="312" t="str">
        <f aca="false">IF($A19="N/A"," ",(C19-'Pricing Inputs'!T52)*D19)</f>
        <v> </v>
      </c>
      <c r="F19" s="313" t="str">
        <f aca="false">IF(A19="N/A"," ",$F7*(1+VOMesc))</f>
        <v> </v>
      </c>
      <c r="G19" s="313" t="str">
        <f aca="false">IF(A19="N/A"," ",Perstart/IF(AND(Dayrun&gt;=4,Dayrun&lt;=6),16,IF(AND(Dayrun&gt;=7,Dayrun&lt;=9),8,24))/(BM19/CK19))</f>
        <v> </v>
      </c>
      <c r="H19" s="314" t="str">
        <f aca="false">IF(A19="N/A"," ",(C19*D19)+F19+G19)</f>
        <v> </v>
      </c>
      <c r="I19" s="315" t="str">
        <f aca="false">VLOOKUP(A19,ScaledPrice,(IF(AND(Dayrun&gt;=1,Dayrun&lt;=6),2,4)))</f>
        <v> </v>
      </c>
      <c r="J19" s="315" t="str">
        <f aca="false">IF(A19="N/A"," ",IF(AND(Dayrun&gt;=1,Dayrun&lt;=6),I19,(VLOOKUP(A19,ScaledPrice,2))*(2-(VLOOKUP(A19,ScaledPrice,3)))))</f>
        <v> </v>
      </c>
      <c r="K19" s="315" t="str">
        <f aca="false">IF(A19="N/A"," ",IF(AND(Dayrun&gt;=1,Dayrun&lt;=3),VLOOKUP(A19,ScaledPrice,9),0))</f>
        <v> </v>
      </c>
      <c r="L19" s="315" t="str">
        <f aca="false">IF(A19="N/A"," ",IF(OR(Dayrun=2,Dayrun=3,Dayrun=5,Dayrun=6,Dayrun=8,Dayrun=9),VLOOKUP(A19,ScaledPrice,IF(AND(Dayrun&gt;=2,Dayrun&lt;=6),5,6)),0))</f>
        <v> </v>
      </c>
      <c r="M19" s="315" t="str">
        <f aca="false">IF(A19="N/A"," ",IF(OR(Dayrun=2,Dayrun=3,Dayrun=5,Dayrun=6,Dayrun=8,Dayrun=9),IF(AND(Dayrun&gt;=2,Dayrun&lt;=6),L19,(VLOOKUP(A19,ScaledPrice,5))*(2-(VLOOKUP(A19,ScaledPrice,3)))),0))</f>
        <v> </v>
      </c>
      <c r="N19" s="315" t="str">
        <f aca="false">IF(A19="N/A"," ",IF(AND(Dayrun&gt;1,Dayrun&lt;=3),VLOOKUP(A19,ScaledPrice,9),0))</f>
        <v> </v>
      </c>
      <c r="O19" s="315" t="str">
        <f aca="false">IF(A19="N/A"," ",IF(OR(Dayrun=3,Dayrun=6,Dayrun=9),(VLOOKUP(A19,ScaledPrice,IF(AND(Dayrun&gt;=3,Dayrun&lt;=6),7,8))),0))</f>
        <v> </v>
      </c>
      <c r="P19" s="315" t="str">
        <f aca="false">IF(A19="N/A"," ",IF(OR(Dayrun=3,Dayrun=6,Dayrun=9),IF(AND(Dayrun&gt;=3,Dayrun&lt;=6),O19,(VLOOKUP(A19,ScaledPrice,7))*(2-(VLOOKUP(A19,ScaledPrice,3)))),0))</f>
        <v> </v>
      </c>
      <c r="Q19" s="315" t="str">
        <f aca="false">IF(A19="N/A"," ",IF(AND(Dayrun&gt;2,Dayrun&lt;=3),VLOOKUP(A19,ScaledPrice,9),0))</f>
        <v> </v>
      </c>
      <c r="R19" s="316" t="str">
        <f aca="false">IF($A19="N/A"," ",IF(Pricetype=2,MAX(I19-$H19,0),IF(Pricetype=1,(xSPRDOPT(I19,$E19,$CI19,0,($CD19+IF(Smile=TRUE(),VLOOKUP(MAX(-5,$H19-I19),Volsmile,2),0)),$CG19,$CH19,($A19-DateToday)+15,1,0)),I19-$H19)))</f>
        <v> </v>
      </c>
      <c r="S19" s="316" t="str">
        <f aca="false">IF($A19="N/A"," ",IF(Pricetype=2,MAX(J19-$H19,0),IF(Pricetype=1,(xSPRDOPT(J19,$E19,$CI19,0,($CD19+IF(Smile=TRUE(),VLOOKUP(MAX(-5,$H19-J19),Volsmile,2),0)),$CG19,$CH19,($A19-DateToday)+15,1,0)),J19-$H19)))</f>
        <v> </v>
      </c>
      <c r="T19" s="317" t="str">
        <f aca="false">IF($A19="N/A"," ",(IF(Pricetype=2,IF((K19-$H19)&lt;=0,0,(K19-$H19)),IF(K19&lt;&gt;0,(K19-$H19),0))))</f>
        <v> </v>
      </c>
      <c r="U19" s="316" t="str">
        <f aca="false">IF($A19="N/A"," ",IF(Pricetype=2,MAX(L19-$H19,0),IF(L19&lt;&gt;0,IF(Pricetype=1,(xSPRDOPT(L19,$E19,$CI19,0,($CD19+IF(Smile=TRUE(),VLOOKUP(MAX(-5,$H19-L19),Volsmile,2),0)),$CG19,$CH19,($A19-DateToday)+15,1,0)),L19-$H19),0)))</f>
        <v> </v>
      </c>
      <c r="V19" s="316" t="str">
        <f aca="false">IF($A19="N/A"," ",IF(Pricetype=2,MAX(M19-$H19,0),IF(M19&lt;&gt;0,IF(Pricetype=1,(xSPRDOPT(M19,$E19,$CI19,0,($CD19+IF(Smile=TRUE(),VLOOKUP(MAX(-5,$H19-M19),Volsmile,2),0)),$CG19,$CH19,($A19-DateToday)+15,1,0)),M19-$H19),0)))</f>
        <v> </v>
      </c>
      <c r="W19" s="317" t="str">
        <f aca="false">IF($A19="N/A"," ",(IF(Pricetype=2,IF((N19-$H19)&lt;=0,0,(N19-$H19)),IF(N19&lt;&gt;0,(N19-$H19),0))))</f>
        <v> </v>
      </c>
      <c r="X19" s="316" t="str">
        <f aca="false">IF($A19="N/A"," ",IF(Pricetype=2,MAX(O19-$H19,0),IF(O19&lt;&gt;0,IF(Pricetype=1,(xSPRDOPT(O19,$E19,$CI19,0,($CD19+IF(Smile=TRUE(),VLOOKUP(MAX(-5,$H19-O19),Volsmile,2),0)),$CG19,$CH19,($A19-DateToday)+15,1,0)),O19-$H19),0)))</f>
        <v> </v>
      </c>
      <c r="Y19" s="316" t="str">
        <f aca="false">IF($A19="N/A"," ",IF(Pricetype=2,MAX(P19-$H19,0),IF(P19&lt;&gt;0,IF(Pricetype=1,(xSPRDOPT(P19,$E19,$CI19,0,($CD19+IF(Smile=TRUE(),VLOOKUP(MAX(-5,$H19-P19),Volsmile,2),0)),$CG19,$CH19,($A19-DateToday)+15,1,0)),P19-$H19),0)))</f>
        <v> </v>
      </c>
      <c r="Z19" s="317" t="str">
        <f aca="false">IF($A19="N/A"," ",(IF(Pricetype=2,IF((Q19-$H19)&lt;=0,0,(Q19-$H19)),IF(Q19&lt;&gt;0,(Q19-$H19),0))))</f>
        <v> </v>
      </c>
      <c r="AA19" s="318" t="str">
        <f aca="false">IF($A19="N/A"," ",IF(VLOOKUP(MONTH(A19),ManualTable,2)=1,(IF(0&lt;&gt;R19,IF(Pricetype=1,(xSPRDOPT(I19,$E19,$CI19,0,($CD19+IF(Smile=TRUE(),VLOOKUP(MAX(-5,$H19-I19),Volsmile,2),0)),$CG19,$CH19,($A19-DateToday)+15,1,1))*(8*$HD19),8*$HD19),0)),0))</f>
        <v> </v>
      </c>
      <c r="AB19" s="318" t="str">
        <f aca="false">IF($A19="N/A"," ",IF(VLOOKUP(MONTH(A19),ManualTable,3)=1,(IF(S19&lt;&gt;0,IF(Pricetype=1,(xSPRDOPT(J19,$E19,$CI19,0,($CD19+IF(Smile=TRUE(),VLOOKUP(MAX(-5,$H19-J19),Volsmile,2),0)),$CG19,$CH19,($A19-DateToday)+15,1,1))*(8*$HD19),8*$HD19),0)),0))</f>
        <v> </v>
      </c>
      <c r="AC19" s="318" t="str">
        <f aca="false">IF($A19="N/A"," ",IF(VLOOKUP(MONTH(A19),ManualTable,4)=1,(IF(T19&lt;&gt;0,(8*$HD19),0)),0))</f>
        <v> </v>
      </c>
      <c r="AD19" s="318" t="str">
        <f aca="false">IF($A19="N/A"," ",IF(VLOOKUP(MONTH(A19),ManualTable,5)=1,(IF(U19&lt;&gt;0,IF(Pricetype=1,(xSPRDOPT(L19,$E19,$CI19,0,($CD19+IF(Smile=TRUE(),VLOOKUP(MAX(-5,$H19-L19),Volsmile,2),0)),$CG19,$CH19,($A19-DateToday)+15,1,1))*(8*$HE19),8*$HE19),0)),0))</f>
        <v> </v>
      </c>
      <c r="AE19" s="318" t="str">
        <f aca="false">IF($A19="N/A"," ",IF(VLOOKUP(MONTH(A19),ManualTable,6)=1,(IF(V19&lt;&gt;0,IF(Pricetype=1,(xSPRDOPT(M19,$E19,$CI19,0,($CD19+IF(Smile=TRUE(),VLOOKUP(MAX(-5,$H19-M19),Volsmile,2),0)),$CG19,$CH19,($A19-DateToday)+15,1,1))*(8*$HE19),8*$HE19),0)),0))</f>
        <v> </v>
      </c>
      <c r="AF19" s="318" t="str">
        <f aca="false">IF($A19="N/A"," ",IF(VLOOKUP(MONTH(A19),ManualTable,7)=1,(IF(W19&lt;&gt;0,(8*$HE19),0)),0))</f>
        <v> </v>
      </c>
      <c r="AG19" s="318" t="str">
        <f aca="false">IF($A19="N/A"," ",IF(VLOOKUP(MONTH(A19),ManualTable,8)=1,(IF(X19&lt;&gt;0,IF(Pricetype=1,(xSPRDOPT(O19,$E19,$CI19,0,($CD19+IF(Smile=TRUE(),VLOOKUP(MAX(-5,$H19-O19),Volsmile,2),0)),$CG19,$CH19,($A19-DateToday)+15,1,1))*(8*$HF19),8*$HF19),0)),0))</f>
        <v> </v>
      </c>
      <c r="AH19" s="318" t="str">
        <f aca="false">IF($A19="N/A"," ",IF(VLOOKUP(MONTH(A19),ManualTable,9)=1,(IF(Y19&lt;&gt;0,IF(Pricetype=1,(xSPRDOPT(P19,$E19,$CI19,0,($CD19+IF(Smile=TRUE(),VLOOKUP(MAX(-5,$H19-P19),Volsmile,2),0)),$CG19,$CH19,($A19-DateToday)+15,1,1))*(8*$HF19),8*$HF19),0)),0))</f>
        <v> </v>
      </c>
      <c r="AI19" s="318" t="str">
        <f aca="false">IF($A19="N/A"," ",IF(VLOOKUP(MONTH(A19),ManualTable,10)=1,(IF(Z19&lt;&gt;0,(8*($HF19)),0)),0))</f>
        <v> </v>
      </c>
      <c r="AJ19" s="344" t="str">
        <f aca="false">IF($A19="N/A"," ",RANK(R19,$R$16:$Z$27))</f>
        <v> </v>
      </c>
      <c r="AK19" s="321" t="str">
        <f aca="false">IF($A19="N/A"," ",RANK(S19,$R$16:$Z$27))</f>
        <v> </v>
      </c>
      <c r="AL19" s="321" t="str">
        <f aca="false">IF($A19="N/A"," ",RANK(T19,$R$16:$Z$27))</f>
        <v> </v>
      </c>
      <c r="AM19" s="321" t="str">
        <f aca="false">IF($A19="N/A"," ",RANK(U19,$R$16:$Z$27))</f>
        <v> </v>
      </c>
      <c r="AN19" s="321" t="str">
        <f aca="false">IF($A19="N/A"," ",RANK(V19,$R$16:$Z$27))</f>
        <v> </v>
      </c>
      <c r="AO19" s="321" t="str">
        <f aca="false">IF($A19="N/A"," ",RANK(W19,$R$16:$Z$27))</f>
        <v> </v>
      </c>
      <c r="AP19" s="321" t="str">
        <f aca="false">IF($A19="N/A"," ",RANK(X19,$R$16:$Z$27))</f>
        <v> </v>
      </c>
      <c r="AQ19" s="321" t="str">
        <f aca="false">IF($A19="N/A"," ",RANK(Y19,$R$16:$Z$27))</f>
        <v> </v>
      </c>
      <c r="AR19" s="345" t="str">
        <f aca="false">IF($A19="N/A"," ",RANK(Z19,$R$16:$Z$27))</f>
        <v> </v>
      </c>
      <c r="AS19" s="323" t="str">
        <f aca="false">IF($A19="N/A"," ",IF(AJ19&lt;=$AR$2,AA19,0))</f>
        <v> </v>
      </c>
      <c r="AT19" s="325" t="str">
        <f aca="false">IF($A19="N/A"," ",IF(AK19&lt;=$AR$2,AB19,0))</f>
        <v> </v>
      </c>
      <c r="AU19" s="325" t="str">
        <f aca="false">IF($A19="N/A"," ",IF(AL19&lt;=$AR$2,AC19,0))</f>
        <v> </v>
      </c>
      <c r="AV19" s="325" t="str">
        <f aca="false">IF($A19="N/A"," ",IF(AM19&lt;=$AR$2,AD19,0))</f>
        <v> </v>
      </c>
      <c r="AW19" s="325" t="str">
        <f aca="false">IF($A19="N/A"," ",IF(AN19&lt;=$AR$2,AE19,0))</f>
        <v> </v>
      </c>
      <c r="AX19" s="325" t="str">
        <f aca="false">IF($A19="N/A"," ",IF(AO19&lt;=$AR$2,AF19,0))</f>
        <v> </v>
      </c>
      <c r="AY19" s="325" t="str">
        <f aca="false">IF($A19="N/A"," ",IF(AP19&lt;=$AR$2,AG19,0))</f>
        <v> </v>
      </c>
      <c r="AZ19" s="325" t="str">
        <f aca="false">IF($A19="N/A"," ",IF(AQ19&lt;=$AR$2,AH19,0))</f>
        <v> </v>
      </c>
      <c r="BA19" s="325" t="str">
        <f aca="false">IF($A19="N/A"," ",IF(AR19&lt;=$AR$2,AI19,0))</f>
        <v> </v>
      </c>
      <c r="BB19" s="321"/>
      <c r="BC19" s="326" t="str">
        <f aca="false">IF($A19="N/A"," ",IF(AND(AJ19=$AR$2+1,AS19=0),MIN($BB$27,AA19),0))</f>
        <v> </v>
      </c>
      <c r="BD19" s="346" t="str">
        <f aca="false">IF($A19="N/A"," ",IF(AND(AK19=$AR$2+1,AT19=0),MIN($BB$27,AB19),0))</f>
        <v> </v>
      </c>
      <c r="BE19" s="346" t="str">
        <f aca="false">IF($A19="N/A"," ",IF(AND(AL19=$AR$2+1,AU19=0),MIN($BB$27,AC19),0))</f>
        <v> </v>
      </c>
      <c r="BF19" s="346" t="str">
        <f aca="false">IF($A19="N/A"," ",IF(AND(AM19=$AR$2+1,AV19=0),MIN($BB$27,AD19),0))</f>
        <v> </v>
      </c>
      <c r="BG19" s="346" t="str">
        <f aca="false">IF($A19="N/A"," ",IF(AND(AN19=$AR$2+1,AW19=0),MIN($BB$27,AE19),0))</f>
        <v> </v>
      </c>
      <c r="BH19" s="346" t="str">
        <f aca="false">IF($A19="N/A"," ",IF(AND(AO19=$AR$2+1,AX19=0),MIN($BB$27,AF19),0))</f>
        <v> </v>
      </c>
      <c r="BI19" s="346" t="str">
        <f aca="false">IF($A19="N/A"," ",IF(AND(AP19=$AR$2+1,AY19=0),MIN($BB$27,AG19),0))</f>
        <v> </v>
      </c>
      <c r="BJ19" s="346" t="str">
        <f aca="false">IF($A19="N/A"," ",IF(AND(AQ19=$AR$2+1,AZ19=0),MIN($BB$27,AH19),0))</f>
        <v> </v>
      </c>
      <c r="BK19" s="346" t="str">
        <f aca="false">IF($A19="N/A"," ",IF(AND(AR19=$AR$2+1,BA19=0),MIN($BB$27,AI19),0))</f>
        <v> </v>
      </c>
      <c r="BL19" s="360"/>
      <c r="BM19" s="329" t="str">
        <f aca="false">IF($A19="N/A"," ",(IF(MONTH(A19)&gt;=4,IF(MONTH(A19)&lt;=10,Inputs!$F$13-Inputs!$G$13,Inputs!$F$14-Inputs!$G$14),Inputs!$F$14-Inputs!$G$14))*$CK19*Availability)</f>
        <v> </v>
      </c>
      <c r="BN19" s="330" t="str">
        <f aca="false">IF($A19="N/A"," ",(IF(AS19&gt;0,($BM19*(8*($HD19))*R19),0)+IF(BC19&gt;0,($BM19*((BC19/AA19)*8*$HD19)*R19),0)))</f>
        <v> </v>
      </c>
      <c r="BO19" s="330" t="str">
        <f aca="false">IF($A19="N/A"," ",(IF(AT19&gt;0,($BM19*(8*($HD19))*S19),0)+IF(BD19&gt;0,($BM19*((BD19/AB19)*8*$HD19)*S19),0)))</f>
        <v> </v>
      </c>
      <c r="BP19" s="330" t="str">
        <f aca="false">IF($A19="N/A"," ",(IF(AU19&gt;0,($BM19*(8*($HD19))*T19),0)+IF(BE19&gt;0,($BM19*((BE19))*T19),0)))</f>
        <v> </v>
      </c>
      <c r="BQ19" s="330" t="str">
        <f aca="false">IF($A19="N/A"," ",(IF(AV19&gt;0,($BM19*(8*($HE19))*U19),0)+IF(BF19&gt;0,($BM19*((BF19/AD19)*8*$HE19)*U19),0)))</f>
        <v> </v>
      </c>
      <c r="BR19" s="330" t="str">
        <f aca="false">IF($A19="N/A"," ",(IF(AW19&gt;0,($BM19*(8*($HE19))*V19),0)+IF(BG19&gt;0,($BM19*((BG19/AE19)*8*$HE19)*V19),0)))</f>
        <v> </v>
      </c>
      <c r="BS19" s="330" t="str">
        <f aca="false">IF($A19="N/A"," ",(IF(AX19&gt;0,($BM19*(8*($HE19))*W19),0)+IF(BH19&gt;0,($BM19*((BH19))*W19),0)))</f>
        <v> </v>
      </c>
      <c r="BT19" s="330" t="str">
        <f aca="false">IF($A19="N/A"," ",(IF(AY19&gt;0,($BM19*(8*($HF19))*X19),0)+IF(BI19&gt;0,($BM19*((BI19/AG19)*8*$HF19)*X19),0)))</f>
        <v> </v>
      </c>
      <c r="BU19" s="330" t="str">
        <f aca="false">IF($A19="N/A"," ",(IF(AZ19&gt;0,($BM19*(8*($HF19))*Y19),0)+IF(BJ19&gt;0,($BM19*((BJ19/AH19)*8*$HF19)*Y19),0)))</f>
        <v> </v>
      </c>
      <c r="BV19" s="330" t="str">
        <f aca="false">IF($A19="N/A"," ",(IF(BA19&gt;0,($BM19*(8*($HF19))*Z19),0)+IF(BK19&gt;0,($BM19*((BK19))*Z19),0)))</f>
        <v> </v>
      </c>
      <c r="BW19" s="330" t="str">
        <f aca="false">IF($A19="N/A"," ",SUM(BN19:BV19))</f>
        <v> </v>
      </c>
      <c r="BX19" s="331" t="str">
        <f aca="false">IF($A19="N/A"," ",(H19*(SUM(AS19:BA19)+SUM(BC19:BK19))*BM19))</f>
        <v> </v>
      </c>
      <c r="BY19" s="332" t="str">
        <f aca="false">IF($A19="N/A"," ",((C19*D19)*(SUM($AS19:$BA19)+SUM($BC19:$BK19))*$BM19))</f>
        <v> </v>
      </c>
      <c r="BZ19" s="332" t="str">
        <f aca="false">IF($A19="N/A"," ",(F19*(SUM($AS19:$BA19)+SUM($BC19:$BK19))*$BM19))</f>
        <v> </v>
      </c>
      <c r="CA19" s="333" t="str">
        <f aca="false">IF($A19="N/A"," ",(G19*(SUM($AS19:$BA19)+SUM($BC19:$BK19))*$BM19))</f>
        <v> </v>
      </c>
      <c r="CB19" s="334" t="str">
        <f aca="false">IF(A19="N/A"," ",(VLOOKUP(A19,PowerVolTable,(IF(BMO=2,7,IF(BMO=1,6,8))),FALSE())))</f>
        <v> </v>
      </c>
      <c r="CC19" s="334" t="str">
        <f aca="false">IF(A19="N/A"," ",(VLOOKUP(A19,IntraPowerVol,(IF(BMO=2,3,IF(BMO=1,2,4))),FALSE())*VLOOKUP(MONTH($A19),Volscale,2)))</f>
        <v> </v>
      </c>
      <c r="CD19" s="335" t="str">
        <f aca="false">IF($A19="N/A"," ",(IF(DateToday&gt;$A19,$CC19,((($CB19^2)*((($A19-1)-DateToday)/((EOMONTH($A19,0)+1)-DateToday-15)))+((($CC19)^2)*((15)/((EOMONTH($A19,0)+1)-DateToday-15))))^0.5)))</f>
        <v> </v>
      </c>
      <c r="CE19" s="334" t="str">
        <f aca="false">IF($A19="N/A"," ",(VLOOKUP($A19,GasVolTable,(IF(BMO=2,6,IF(BMO=1,7,5))),FALSE())))</f>
        <v> </v>
      </c>
      <c r="CF19" s="334" t="str">
        <f aca="false">IF($A19="N/A"," ",(VLOOKUP($A19,OmicronVol,(IF(BMO=2,3,IF(BMO=1,4,2))),FALSE())))</f>
        <v> </v>
      </c>
      <c r="CG19" s="335" t="str">
        <f aca="false">IF($A19="N/A"," ",(IF(DateToday&gt;$A19,$CF19,((($CE19^2)*((($A19-1)-DateToday)/((EOMONTH($A19,0)+1)-DateToday-15)))+((($CF19)^2)*((15)/((EOMONTH($A19,0)+1)-DateToday-15))))^0.5)))</f>
        <v> </v>
      </c>
      <c r="CH19" s="334" t="str">
        <f aca="false">IF($A19="N/A"," ",VLOOKUP($A19,CorrelationTable,2,FALSE()))</f>
        <v> </v>
      </c>
      <c r="CI19" s="336" t="str">
        <f aca="false">IF($A19="N/A"," ",F19+G19+(D19*('Pricing Inputs'!T52)))</f>
        <v> </v>
      </c>
      <c r="CJ19" s="334" t="str">
        <f aca="false">IF($A19="N/A"," ",IF(PV=1,0,'Pricing Inputs'!U52))</f>
        <v> </v>
      </c>
      <c r="CK19" s="337" t="str">
        <f aca="false">IF($A19="N/A"," ",(1+CJ19/2)^(-2*((EOMONTH(A19,0)+20)-DateToday)/365.25))</f>
        <v> </v>
      </c>
      <c r="CL19" s="338" t="str">
        <f aca="false">IF(A19="N/A"," ",IF(CC=2,(VLOOKUP(MONTH($A19),Hrtable,3))/1000,0))</f>
        <v> </v>
      </c>
      <c r="CM19" s="339" t="str">
        <f aca="false">IF(A19="N/A"," ",IF(CC=2,(CL19*C19)+F19,0))</f>
        <v> </v>
      </c>
      <c r="CN19" s="340" t="str">
        <f aca="false">IF($A19="N/A"," ",IF(CC=2,(VLOOKUP(A19,ScaledPrice,(IF(AND(Dayrun&gt;=1,Dayrun&lt;=6),2,4)))-((IF(R19&lt;&gt;0,$D19,$CL19)*$C19)+$F19+$G19)),0))</f>
        <v> </v>
      </c>
      <c r="CO19" s="340" t="str">
        <f aca="false">IF($A19="N/A"," ",IF(CC=2,(IF(AND(Dayrun&gt;=1,Dayrun&lt;=6),I19,(VLOOKUP(A19,ScaledPrice,2))*(2-(VLOOKUP(A19,ScaledPrice,3))))-((IF(S19&lt;&gt;0,$D19,$CL19)*$C19)+$F19+$G19)),0))</f>
        <v> </v>
      </c>
      <c r="CP19" s="340" t="str">
        <f aca="false">IF(A19="N/A"," ",IF(CC=2,(VLOOKUP(A19,ScaledPrice,9)-((IF(T19&lt;&gt;0,$D19,$CL19)*$C19)+$F19+$G19)),0))</f>
        <v> </v>
      </c>
      <c r="CQ19" s="340" t="str">
        <f aca="false">IF(A19="N/A"," ",IF(CC=2,(IF(OR(Dayrun=2,Dayrun=3,Dayrun=5,Dayrun=6,Dayrun=8,Dayrun=9),VLOOKUP(A19,ScaledPrice,IF(AND(Dayrun&gt;=2,Dayrun&lt;=6),5,6)),0)-((IF(U19&lt;&gt;0,$D19,$CL19)*$C19)+$F19+$G19)),0))</f>
        <v> </v>
      </c>
      <c r="CR19" s="340" t="str">
        <f aca="false">IF(A19="N/A"," ",IF(CC=2,(IF(OR(Dayrun=2,Dayrun=3,Dayrun=5,Dayrun=6,Dayrun=8,Dayrun=9),IF(AND(Dayrun&gt;=2,Dayrun&lt;=6),L19,(VLOOKUP(A19,ScaledPrice,5))*(2-(VLOOKUP(A19,ScaledPrice,3)))),0)-((IF(V19&lt;&gt;0,$D19,$CL19)*$C19)+$F19+$G19)),0))</f>
        <v> </v>
      </c>
      <c r="CS19" s="340" t="str">
        <f aca="false">IF(A19="N/A"," ",IF(CC=2,(VLOOKUP(A19,ScaledPrice,9)-((IF(W19&lt;&gt;0,$D19,$CL19)*$C19)+$F19+$G19)),0))</f>
        <v> </v>
      </c>
      <c r="CT19" s="340" t="str">
        <f aca="false">IF(A19="N/A"," ",IF(CC=2,(IF(OR(Dayrun=3,Dayrun=6,Dayrun=9),(VLOOKUP(A19,ScaledPrice,IF(AND(Dayrun&gt;=3,Dayrun&lt;=6),7,8))),0)-((IF(X19&lt;&gt;0,$D19,$CL19)*$C19)+$F19+$G19)),0))</f>
        <v> </v>
      </c>
      <c r="CU19" s="340" t="str">
        <f aca="false">IF(A19="N/A"," ",IF(CC=2,(IF(OR(Dayrun=3,Dayrun=6,Dayrun=9),IF(AND(Dayrun&gt;=3,Dayrun&lt;=6),O19,(VLOOKUP(A19,ScaledPrice,7))*(2-(VLOOKUP(A19,ScaledPrice,3)))),0)-((IF(Y19&lt;&gt;0,$D19,$CL19)*$C19)+$F19+$G19)),0))</f>
        <v> </v>
      </c>
      <c r="CV19" s="340" t="str">
        <f aca="false">IF(A19="N/A"," ",IF(CC=2,(VLOOKUP(A19,ScaledPrice,9)-((IF(Z19&lt;&gt;0,$D19,$CL19)*$C19)+$F19+$G19)),0))</f>
        <v> </v>
      </c>
      <c r="CW19" s="318" t="str">
        <f aca="false">IF($A19="N/A"," ",IF(0&lt;&gt;CN19,IF(CC=2,8*$HD19,0),0))</f>
        <v> </v>
      </c>
      <c r="CX19" s="318" t="str">
        <f aca="false">IF($A19="N/A"," ",IF(0&lt;&gt;CO19,IF(CC=2,8*$HD19,0),0))</f>
        <v> </v>
      </c>
      <c r="CY19" s="318" t="str">
        <f aca="false">IF($A19="N/A"," ",IF(0&lt;&gt;CP19,IF(CC=2,8*$HD19,0),0))</f>
        <v> </v>
      </c>
      <c r="CZ19" s="318" t="str">
        <f aca="false">IF($A19="N/A"," ",IF(0&lt;&gt;CQ19,IF(CC=2,8*$HE19,0),0))</f>
        <v> </v>
      </c>
      <c r="DA19" s="318" t="str">
        <f aca="false">IF($A19="N/A"," ",IF(0&lt;&gt;CR19,IF(CC=2,8*$HE19,0),0))</f>
        <v> </v>
      </c>
      <c r="DB19" s="318" t="str">
        <f aca="false">IF($A19="N/A"," ",IF(0&lt;&gt;CS19,IF(CC=2,8*$HE19,0),0))</f>
        <v> </v>
      </c>
      <c r="DC19" s="318" t="str">
        <f aca="false">IF($A19="N/A"," ",IF(0&lt;&gt;CT19,IF(CC=2,8*$HF19,0),0))</f>
        <v> </v>
      </c>
      <c r="DD19" s="318" t="str">
        <f aca="false">IF($A19="N/A"," ",IF(0&lt;&gt;CU19,IF(CC=2,8*$HF19,0),0))</f>
        <v> </v>
      </c>
      <c r="DE19" s="318" t="str">
        <f aca="false">IF($A19="N/A"," ",IF(0&lt;&gt;CV19,IF(CC=2,8*$HF19,0),0))</f>
        <v> </v>
      </c>
      <c r="DF19" s="341" t="str">
        <f aca="false">IF($A19="N/A"," ",IF(CC=2,(IF(MONTH(A19)&gt;=4,IF(MONTH(A19)&lt;=10,Inputs!$G$13,Inputs!$G$14),Inputs!$G$14))*$CK19,0))</f>
        <v> </v>
      </c>
      <c r="DG19" s="342" t="str">
        <f aca="false">IF($A19="N/A"," ",IF(CC=2,$DF19*CW19*CN19,0))</f>
        <v> </v>
      </c>
      <c r="DH19" s="342" t="str">
        <f aca="false">IF($A19="N/A"," ",IF(CC=2,$DF19*CX19*CO19,0))</f>
        <v> </v>
      </c>
      <c r="DI19" s="342" t="str">
        <f aca="false">IF($A19="N/A"," ",IF(CC=2,$DF19*CY19*CP19,0))</f>
        <v> </v>
      </c>
      <c r="DJ19" s="342" t="str">
        <f aca="false">IF($A19="N/A"," ",IF(CC=2,$DF19*CZ19*CQ19,0))</f>
        <v> </v>
      </c>
      <c r="DK19" s="342" t="str">
        <f aca="false">IF($A19="N/A"," ",IF(CC=2,$DF19*DA19*CR19,0))</f>
        <v> </v>
      </c>
      <c r="DL19" s="342" t="str">
        <f aca="false">IF($A19="N/A"," ",IF(CC=2,$DF19*DB19*CS19,0))</f>
        <v> </v>
      </c>
      <c r="DM19" s="342" t="str">
        <f aca="false">IF($A19="N/A"," ",IF(CC=2,$DF19*DC19*CT19,0))</f>
        <v> </v>
      </c>
      <c r="DN19" s="342" t="str">
        <f aca="false">IF($A19="N/A"," ",IF(CC=2,$DF19*DD19*CU19,0))</f>
        <v> </v>
      </c>
      <c r="DO19" s="342" t="str">
        <f aca="false">IF($A19="N/A"," ",IF(CC=2,$DF19*DE19*CV19,0))</f>
        <v> </v>
      </c>
      <c r="DP19" s="343" t="str">
        <f aca="false">IF($A19="N/A"," ",IF(CC=2,SUM(DG19:DO19),0))</f>
        <v> </v>
      </c>
      <c r="DQ19" s="0" t="str">
        <f aca="false">IF(A19="N/A"," ",Perstart)</f>
        <v> </v>
      </c>
      <c r="HD19" s="0" t="str">
        <f aca="false">IF($A19="N/A"," ",VLOOKUP($A19,NumberofDaysTable,2))</f>
        <v> </v>
      </c>
      <c r="HE19" s="0" t="str">
        <f aca="false">IF($A19="N/A"," ",VLOOKUP($A19,NumberofDaysTable,3))</f>
        <v> </v>
      </c>
      <c r="HF19" s="0" t="str">
        <f aca="false">IF($A19="N/A"," ",VLOOKUP($A19,NumberofDaysTable,4))</f>
        <v> </v>
      </c>
    </row>
    <row r="20" customFormat="false" ht="12.75" hidden="false" customHeight="false" outlineLevel="0" collapsed="false">
      <c r="A20" s="308" t="str">
        <f aca="false">IF(A19="N/A","N/A",IF(EDATE(A19,1)&gt;Inputs!$K$3,"N/A",EDATE(A19,1)))</f>
        <v>N/A</v>
      </c>
      <c r="B20" s="309" t="str">
        <f aca="false">IF(A20="N/A"," ",YEAR(A20))</f>
        <v> </v>
      </c>
      <c r="C20" s="310" t="str">
        <f aca="false">IF(A20="N/A"," ",VLOOKUP(A20,ScaledPrice,10))</f>
        <v> </v>
      </c>
      <c r="D20" s="311" t="str">
        <f aca="false">IF(A20="N/A"," ",(VLOOKUP(MONTH($A20),Hrtable,2))/1000)</f>
        <v> </v>
      </c>
      <c r="E20" s="312" t="str">
        <f aca="false">IF($A20="N/A"," ",(C20-'Pricing Inputs'!T53)*D20)</f>
        <v> </v>
      </c>
      <c r="F20" s="313" t="str">
        <f aca="false">IF(A20="N/A"," ",$F8*(1+VOMesc))</f>
        <v> </v>
      </c>
      <c r="G20" s="313" t="str">
        <f aca="false">IF(A20="N/A"," ",Perstart/IF(AND(Dayrun&gt;=4,Dayrun&lt;=6),16,IF(AND(Dayrun&gt;=7,Dayrun&lt;=9),8,24))/(BM20/CK20))</f>
        <v> </v>
      </c>
      <c r="H20" s="314" t="str">
        <f aca="false">IF(A20="N/A"," ",(C20*D20)+F20+G20)</f>
        <v> </v>
      </c>
      <c r="I20" s="315" t="str">
        <f aca="false">VLOOKUP(A20,ScaledPrice,(IF(AND(Dayrun&gt;=1,Dayrun&lt;=6),2,4)))</f>
        <v> </v>
      </c>
      <c r="J20" s="315" t="str">
        <f aca="false">IF(A20="N/A"," ",IF(AND(Dayrun&gt;=1,Dayrun&lt;=6),I20,(VLOOKUP(A20,ScaledPrice,2))*(2-(VLOOKUP(A20,ScaledPrice,3)))))</f>
        <v> </v>
      </c>
      <c r="K20" s="315" t="str">
        <f aca="false">IF(A20="N/A"," ",IF(AND(Dayrun&gt;=1,Dayrun&lt;=3),VLOOKUP(A20,ScaledPrice,9),0))</f>
        <v> </v>
      </c>
      <c r="L20" s="315" t="str">
        <f aca="false">IF(A20="N/A"," ",IF(OR(Dayrun=2,Dayrun=3,Dayrun=5,Dayrun=6,Dayrun=8,Dayrun=9),VLOOKUP(A20,ScaledPrice,IF(AND(Dayrun&gt;=2,Dayrun&lt;=6),5,6)),0))</f>
        <v> </v>
      </c>
      <c r="M20" s="315" t="str">
        <f aca="false">IF(A20="N/A"," ",IF(OR(Dayrun=2,Dayrun=3,Dayrun=5,Dayrun=6,Dayrun=8,Dayrun=9),IF(AND(Dayrun&gt;=2,Dayrun&lt;=6),L20,(VLOOKUP(A20,ScaledPrice,5))*(2-(VLOOKUP(A20,ScaledPrice,3)))),0))</f>
        <v> </v>
      </c>
      <c r="N20" s="315" t="str">
        <f aca="false">IF(A20="N/A"," ",IF(AND(Dayrun&gt;1,Dayrun&lt;=3),VLOOKUP(A20,ScaledPrice,9),0))</f>
        <v> </v>
      </c>
      <c r="O20" s="315" t="str">
        <f aca="false">IF(A20="N/A"," ",IF(OR(Dayrun=3,Dayrun=6,Dayrun=9),(VLOOKUP(A20,ScaledPrice,IF(AND(Dayrun&gt;=3,Dayrun&lt;=6),7,8))),0))</f>
        <v> </v>
      </c>
      <c r="P20" s="315" t="str">
        <f aca="false">IF(A20="N/A"," ",IF(OR(Dayrun=3,Dayrun=6,Dayrun=9),IF(AND(Dayrun&gt;=3,Dayrun&lt;=6),O20,(VLOOKUP(A20,ScaledPrice,7))*(2-(VLOOKUP(A20,ScaledPrice,3)))),0))</f>
        <v> </v>
      </c>
      <c r="Q20" s="315" t="str">
        <f aca="false">IF(A20="N/A"," ",IF(AND(Dayrun&gt;2,Dayrun&lt;=3),VLOOKUP(A20,ScaledPrice,9),0))</f>
        <v> </v>
      </c>
      <c r="R20" s="316" t="str">
        <f aca="false">IF($A20="N/A"," ",IF(Pricetype=2,MAX(I20-$H20,0),IF(Pricetype=1,(xSPRDOPT(I20,$E20,$CI20,0,($CD20+IF(Smile=TRUE(),VLOOKUP(MAX(-5,$H20-I20),Volsmile,2),0)),$CG20,$CH20,($A20-DateToday)+15,1,0)),I20-$H20)))</f>
        <v> </v>
      </c>
      <c r="S20" s="316" t="str">
        <f aca="false">IF($A20="N/A"," ",IF(Pricetype=2,MAX(J20-$H20,0),IF(Pricetype=1,(xSPRDOPT(J20,$E20,$CI20,0,($CD20+IF(Smile=TRUE(),VLOOKUP(MAX(-5,$H20-J20),Volsmile,2),0)),$CG20,$CH20,($A20-DateToday)+15,1,0)),J20-$H20)))</f>
        <v> </v>
      </c>
      <c r="T20" s="317" t="str">
        <f aca="false">IF($A20="N/A"," ",(IF(Pricetype=2,IF((K20-$H20)&lt;=0,0,(K20-$H20)),IF(K20&lt;&gt;0,(K20-$H20),0))))</f>
        <v> </v>
      </c>
      <c r="U20" s="316" t="str">
        <f aca="false">IF($A20="N/A"," ",IF(Pricetype=2,MAX(L20-$H20,0),IF(L20&lt;&gt;0,IF(Pricetype=1,(xSPRDOPT(L20,$E20,$CI20,0,($CD20+IF(Smile=TRUE(),VLOOKUP(MAX(-5,$H20-L20),Volsmile,2),0)),$CG20,$CH20,($A20-DateToday)+15,1,0)),L20-$H20),0)))</f>
        <v> </v>
      </c>
      <c r="V20" s="316" t="str">
        <f aca="false">IF($A20="N/A"," ",IF(Pricetype=2,MAX(M20-$H20,0),IF(M20&lt;&gt;0,IF(Pricetype=1,(xSPRDOPT(M20,$E20,$CI20,0,($CD20+IF(Smile=TRUE(),VLOOKUP(MAX(-5,$H20-M20),Volsmile,2),0)),$CG20,$CH20,($A20-DateToday)+15,1,0)),M20-$H20),0)))</f>
        <v> </v>
      </c>
      <c r="W20" s="317" t="str">
        <f aca="false">IF($A20="N/A"," ",(IF(Pricetype=2,IF((N20-$H20)&lt;=0,0,(N20-$H20)),IF(N20&lt;&gt;0,(N20-$H20),0))))</f>
        <v> </v>
      </c>
      <c r="X20" s="316" t="str">
        <f aca="false">IF($A20="N/A"," ",IF(Pricetype=2,MAX(O20-$H20,0),IF(O20&lt;&gt;0,IF(Pricetype=1,(xSPRDOPT(O20,$E20,$CI20,0,($CD20+IF(Smile=TRUE(),VLOOKUP(MAX(-5,$H20-O20),Volsmile,2),0)),$CG20,$CH20,($A20-DateToday)+15,1,0)),O20-$H20),0)))</f>
        <v> </v>
      </c>
      <c r="Y20" s="316" t="str">
        <f aca="false">IF($A20="N/A"," ",IF(Pricetype=2,MAX(P20-$H20,0),IF(P20&lt;&gt;0,IF(Pricetype=1,(xSPRDOPT(P20,$E20,$CI20,0,($CD20+IF(Smile=TRUE(),VLOOKUP(MAX(-5,$H20-P20),Volsmile,2),0)),$CG20,$CH20,($A20-DateToday)+15,1,0)),P20-$H20),0)))</f>
        <v> </v>
      </c>
      <c r="Z20" s="317" t="str">
        <f aca="false">IF($A20="N/A"," ",(IF(Pricetype=2,IF((Q20-$H20)&lt;=0,0,(Q20-$H20)),IF(Q20&lt;&gt;0,(Q20-$H20),0))))</f>
        <v> </v>
      </c>
      <c r="AA20" s="318" t="str">
        <f aca="false">IF($A20="N/A"," ",IF(VLOOKUP(MONTH(A20),ManualTable,2)=1,(IF(0&lt;&gt;R20,IF(Pricetype=1,(xSPRDOPT(I20,$E20,$CI20,0,($CD20+IF(Smile=TRUE(),VLOOKUP(MAX(-5,$H20-I20),Volsmile,2),0)),$CG20,$CH20,($A20-DateToday)+15,1,1))*(8*$HD20),8*$HD20),0)),0))</f>
        <v> </v>
      </c>
      <c r="AB20" s="318" t="str">
        <f aca="false">IF($A20="N/A"," ",IF(VLOOKUP(MONTH(A20),ManualTable,3)=1,(IF(S20&lt;&gt;0,IF(Pricetype=1,(xSPRDOPT(J20,$E20,$CI20,0,($CD20+IF(Smile=TRUE(),VLOOKUP(MAX(-5,$H20-J20),Volsmile,2),0)),$CG20,$CH20,($A20-DateToday)+15,1,1))*(8*$HD20),8*$HD20),0)),0))</f>
        <v> </v>
      </c>
      <c r="AC20" s="318" t="str">
        <f aca="false">IF($A20="N/A"," ",IF(VLOOKUP(MONTH(A20),ManualTable,4)=1,(IF(T20&lt;&gt;0,(8*$HD20),0)),0))</f>
        <v> </v>
      </c>
      <c r="AD20" s="318" t="str">
        <f aca="false">IF($A20="N/A"," ",IF(VLOOKUP(MONTH(A20),ManualTable,5)=1,(IF(U20&lt;&gt;0,IF(Pricetype=1,(xSPRDOPT(L20,$E20,$CI20,0,($CD20+IF(Smile=TRUE(),VLOOKUP(MAX(-5,$H20-L20),Volsmile,2),0)),$CG20,$CH20,($A20-DateToday)+15,1,1))*(8*$HE20),8*$HE20),0)),0))</f>
        <v> </v>
      </c>
      <c r="AE20" s="318" t="str">
        <f aca="false">IF($A20="N/A"," ",IF(VLOOKUP(MONTH(A20),ManualTable,6)=1,(IF(V20&lt;&gt;0,IF(Pricetype=1,(xSPRDOPT(M20,$E20,$CI20,0,($CD20+IF(Smile=TRUE(),VLOOKUP(MAX(-5,$H20-M20),Volsmile,2),0)),$CG20,$CH20,($A20-DateToday)+15,1,1))*(8*$HE20),8*$HE20),0)),0))</f>
        <v> </v>
      </c>
      <c r="AF20" s="318" t="str">
        <f aca="false">IF($A20="N/A"," ",IF(VLOOKUP(MONTH(A20),ManualTable,7)=1,(IF(W20&lt;&gt;0,(8*$HE20),0)),0))</f>
        <v> </v>
      </c>
      <c r="AG20" s="318" t="str">
        <f aca="false">IF($A20="N/A"," ",IF(VLOOKUP(MONTH(A20),ManualTable,8)=1,(IF(X20&lt;&gt;0,IF(Pricetype=1,(xSPRDOPT(O20,$E20,$CI20,0,($CD20+IF(Smile=TRUE(),VLOOKUP(MAX(-5,$H20-O20),Volsmile,2),0)),$CG20,$CH20,($A20-DateToday)+15,1,1))*(8*$HF20),8*$HF20),0)),0))</f>
        <v> </v>
      </c>
      <c r="AH20" s="318" t="str">
        <f aca="false">IF($A20="N/A"," ",IF(VLOOKUP(MONTH(A20),ManualTable,9)=1,(IF(Y20&lt;&gt;0,IF(Pricetype=1,(xSPRDOPT(P20,$E20,$CI20,0,($CD20+IF(Smile=TRUE(),VLOOKUP(MAX(-5,$H20-P20),Volsmile,2),0)),$CG20,$CH20,($A20-DateToday)+15,1,1))*(8*$HF20),8*$HF20),0)),0))</f>
        <v> </v>
      </c>
      <c r="AI20" s="318" t="str">
        <f aca="false">IF($A20="N/A"," ",IF(VLOOKUP(MONTH(A20),ManualTable,10)=1,(IF(Z20&lt;&gt;0,(8*($HF20)),0)),0))</f>
        <v> </v>
      </c>
      <c r="AJ20" s="344" t="str">
        <f aca="false">IF($A20="N/A"," ",RANK(R20,$R$16:$Z$27))</f>
        <v> </v>
      </c>
      <c r="AK20" s="321" t="str">
        <f aca="false">IF($A20="N/A"," ",RANK(S20,$R$16:$Z$27))</f>
        <v> </v>
      </c>
      <c r="AL20" s="321" t="str">
        <f aca="false">IF($A20="N/A"," ",RANK(T20,$R$16:$Z$27))</f>
        <v> </v>
      </c>
      <c r="AM20" s="321" t="str">
        <f aca="false">IF($A20="N/A"," ",RANK(U20,$R$16:$Z$27))</f>
        <v> </v>
      </c>
      <c r="AN20" s="321" t="str">
        <f aca="false">IF($A20="N/A"," ",RANK(V20,$R$16:$Z$27))</f>
        <v> </v>
      </c>
      <c r="AO20" s="321" t="str">
        <f aca="false">IF($A20="N/A"," ",RANK(W20,$R$16:$Z$27))</f>
        <v> </v>
      </c>
      <c r="AP20" s="321" t="str">
        <f aca="false">IF($A20="N/A"," ",RANK(X20,$R$16:$Z$27))</f>
        <v> </v>
      </c>
      <c r="AQ20" s="321" t="str">
        <f aca="false">IF($A20="N/A"," ",RANK(Y20,$R$16:$Z$27))</f>
        <v> </v>
      </c>
      <c r="AR20" s="345" t="str">
        <f aca="false">IF($A20="N/A"," ",RANK(Z20,$R$16:$Z$27))</f>
        <v> </v>
      </c>
      <c r="AS20" s="323" t="str">
        <f aca="false">IF($A20="N/A"," ",IF(AJ20&lt;=$AR$2,AA20,0))</f>
        <v> </v>
      </c>
      <c r="AT20" s="325" t="str">
        <f aca="false">IF($A20="N/A"," ",IF(AK20&lt;=$AR$2,AB20,0))</f>
        <v> </v>
      </c>
      <c r="AU20" s="325" t="str">
        <f aca="false">IF($A20="N/A"," ",IF(AL20&lt;=$AR$2,AC20,0))</f>
        <v> </v>
      </c>
      <c r="AV20" s="325" t="str">
        <f aca="false">IF($A20="N/A"," ",IF(AM20&lt;=$AR$2,AD20,0))</f>
        <v> </v>
      </c>
      <c r="AW20" s="325" t="str">
        <f aca="false">IF($A20="N/A"," ",IF(AN20&lt;=$AR$2,AE20,0))</f>
        <v> </v>
      </c>
      <c r="AX20" s="325" t="str">
        <f aca="false">IF($A20="N/A"," ",IF(AO20&lt;=$AR$2,AF20,0))</f>
        <v> </v>
      </c>
      <c r="AY20" s="325" t="str">
        <f aca="false">IF($A20="N/A"," ",IF(AP20&lt;=$AR$2,AG20,0))</f>
        <v> </v>
      </c>
      <c r="AZ20" s="325" t="str">
        <f aca="false">IF($A20="N/A"," ",IF(AQ20&lt;=$AR$2,AH20,0))</f>
        <v> </v>
      </c>
      <c r="BA20" s="325" t="str">
        <f aca="false">IF($A20="N/A"," ",IF(AR20&lt;=$AR$2,AI20,0))</f>
        <v> </v>
      </c>
      <c r="BB20" s="321"/>
      <c r="BC20" s="326" t="str">
        <f aca="false">IF($A20="N/A"," ",IF(AND(AJ20=$AR$2+1,AS20=0),MIN($BB$27,AA20),0))</f>
        <v> </v>
      </c>
      <c r="BD20" s="346" t="str">
        <f aca="false">IF($A20="N/A"," ",IF(AND(AK20=$AR$2+1,AT20=0),MIN($BB$27,AB20),0))</f>
        <v> </v>
      </c>
      <c r="BE20" s="346" t="str">
        <f aca="false">IF($A20="N/A"," ",IF(AND(AL20=$AR$2+1,AU20=0),MIN($BB$27,AC20),0))</f>
        <v> </v>
      </c>
      <c r="BF20" s="346" t="str">
        <f aca="false">IF($A20="N/A"," ",IF(AND(AM20=$AR$2+1,AV20=0),MIN($BB$27,AD20),0))</f>
        <v> </v>
      </c>
      <c r="BG20" s="346" t="str">
        <f aca="false">IF($A20="N/A"," ",IF(AND(AN20=$AR$2+1,AW20=0),MIN($BB$27,AE20),0))</f>
        <v> </v>
      </c>
      <c r="BH20" s="346" t="str">
        <f aca="false">IF($A20="N/A"," ",IF(AND(AO20=$AR$2+1,AX20=0),MIN($BB$27,AF20),0))</f>
        <v> </v>
      </c>
      <c r="BI20" s="346" t="str">
        <f aca="false">IF($A20="N/A"," ",IF(AND(AP20=$AR$2+1,AY20=0),MIN($BB$27,AG20),0))</f>
        <v> </v>
      </c>
      <c r="BJ20" s="346" t="str">
        <f aca="false">IF($A20="N/A"," ",IF(AND(AQ20=$AR$2+1,AZ20=0),MIN($BB$27,AH20),0))</f>
        <v> </v>
      </c>
      <c r="BK20" s="346" t="str">
        <f aca="false">IF($A20="N/A"," ",IF(AND(AR20=$AR$2+1,BA20=0),MIN($BB$27,AI20),0))</f>
        <v> </v>
      </c>
      <c r="BL20" s="360"/>
      <c r="BM20" s="329" t="str">
        <f aca="false">IF($A20="N/A"," ",(IF(MONTH(A20)&gt;=4,IF(MONTH(A20)&lt;=10,Inputs!$F$13-Inputs!$G$13,Inputs!$F$14-Inputs!$G$14),Inputs!$F$14-Inputs!$G$14))*$CK20*Availability)</f>
        <v> </v>
      </c>
      <c r="BN20" s="330" t="str">
        <f aca="false">IF($A20="N/A"," ",(IF(AS20&gt;0,($BM20*(8*($HD20))*R20),0)+IF(BC20&gt;0,($BM20*((BC20/AA20)*8*$HD20)*R20),0)))</f>
        <v> </v>
      </c>
      <c r="BO20" s="330" t="str">
        <f aca="false">IF($A20="N/A"," ",(IF(AT20&gt;0,($BM20*(8*($HD20))*S20),0)+IF(BD20&gt;0,($BM20*((BD20/AB20)*8*$HD20)*S20),0)))</f>
        <v> </v>
      </c>
      <c r="BP20" s="330" t="str">
        <f aca="false">IF($A20="N/A"," ",(IF(AU20&gt;0,($BM20*(8*($HD20))*T20),0)+IF(BE20&gt;0,($BM20*((BE20))*T20),0)))</f>
        <v> </v>
      </c>
      <c r="BQ20" s="330" t="str">
        <f aca="false">IF($A20="N/A"," ",(IF(AV20&gt;0,($BM20*(8*($HE20))*U20),0)+IF(BF20&gt;0,($BM20*((BF20/AD20)*8*$HE20)*U20),0)))</f>
        <v> </v>
      </c>
      <c r="BR20" s="330" t="str">
        <f aca="false">IF($A20="N/A"," ",(IF(AW20&gt;0,($BM20*(8*($HE20))*V20),0)+IF(BG20&gt;0,($BM20*((BG20/AE20)*8*$HE20)*V20),0)))</f>
        <v> </v>
      </c>
      <c r="BS20" s="330" t="str">
        <f aca="false">IF($A20="N/A"," ",(IF(AX20&gt;0,($BM20*(8*($HE20))*W20),0)+IF(BH20&gt;0,($BM20*((BH20))*W20),0)))</f>
        <v> </v>
      </c>
      <c r="BT20" s="330" t="str">
        <f aca="false">IF($A20="N/A"," ",(IF(AY20&gt;0,($BM20*(8*($HF20))*X20),0)+IF(BI20&gt;0,($BM20*((BI20/AG20)*8*$HF20)*X20),0)))</f>
        <v> </v>
      </c>
      <c r="BU20" s="330" t="str">
        <f aca="false">IF($A20="N/A"," ",(IF(AZ20&gt;0,($BM20*(8*($HF20))*Y20),0)+IF(BJ20&gt;0,($BM20*((BJ20/AH20)*8*$HF20)*Y20),0)))</f>
        <v> </v>
      </c>
      <c r="BV20" s="330" t="str">
        <f aca="false">IF($A20="N/A"," ",(IF(BA20&gt;0,($BM20*(8*($HF20))*Z20),0)+IF(BK20&gt;0,($BM20*((BK20))*Z20),0)))</f>
        <v> </v>
      </c>
      <c r="BW20" s="330" t="str">
        <f aca="false">IF($A20="N/A"," ",SUM(BN20:BV20))</f>
        <v> </v>
      </c>
      <c r="BX20" s="331" t="str">
        <f aca="false">IF($A20="N/A"," ",(H20*(SUM(AS20:BA20)+SUM(BC20:BK20))*BM20))</f>
        <v> </v>
      </c>
      <c r="BY20" s="332" t="str">
        <f aca="false">IF($A20="N/A"," ",((C20*D20)*(SUM($AS20:$BA20)+SUM($BC20:$BK20))*$BM20))</f>
        <v> </v>
      </c>
      <c r="BZ20" s="332" t="str">
        <f aca="false">IF($A20="N/A"," ",(F20*(SUM($AS20:$BA20)+SUM($BC20:$BK20))*$BM20))</f>
        <v> </v>
      </c>
      <c r="CA20" s="333" t="str">
        <f aca="false">IF($A20="N/A"," ",(G20*(SUM($AS20:$BA20)+SUM($BC20:$BK20))*$BM20))</f>
        <v> </v>
      </c>
      <c r="CB20" s="334" t="str">
        <f aca="false">IF(A20="N/A"," ",(VLOOKUP(A20,PowerVolTable,(IF(BMO=2,7,IF(BMO=1,6,8))),FALSE())))</f>
        <v> </v>
      </c>
      <c r="CC20" s="334" t="str">
        <f aca="false">IF(A20="N/A"," ",(VLOOKUP(A20,IntraPowerVol,(IF(BMO=2,3,IF(BMO=1,2,4))),FALSE())*VLOOKUP(MONTH($A20),Volscale,2)))</f>
        <v> </v>
      </c>
      <c r="CD20" s="335" t="str">
        <f aca="false">IF($A20="N/A"," ",(IF(DateToday&gt;$A20,$CC20,((($CB20^2)*((($A20-1)-DateToday)/((EOMONTH($A20,0)+1)-DateToday-15)))+((($CC20)^2)*((15)/((EOMONTH($A20,0)+1)-DateToday-15))))^0.5)))</f>
        <v> </v>
      </c>
      <c r="CE20" s="334" t="str">
        <f aca="false">IF($A20="N/A"," ",(VLOOKUP($A20,GasVolTable,(IF(BMO=2,6,IF(BMO=1,7,5))),FALSE())))</f>
        <v> </v>
      </c>
      <c r="CF20" s="334" t="str">
        <f aca="false">IF($A20="N/A"," ",(VLOOKUP($A20,OmicronVol,(IF(BMO=2,3,IF(BMO=1,4,2))),FALSE())))</f>
        <v> </v>
      </c>
      <c r="CG20" s="335" t="str">
        <f aca="false">IF($A20="N/A"," ",(IF(DateToday&gt;$A20,$CF20,((($CE20^2)*((($A20-1)-DateToday)/((EOMONTH($A20,0)+1)-DateToday-15)))+((($CF20)^2)*((15)/((EOMONTH($A20,0)+1)-DateToday-15))))^0.5)))</f>
        <v> </v>
      </c>
      <c r="CH20" s="334" t="str">
        <f aca="false">IF($A20="N/A"," ",VLOOKUP($A20,CorrelationTable,2,FALSE()))</f>
        <v> </v>
      </c>
      <c r="CI20" s="336" t="str">
        <f aca="false">IF($A20="N/A"," ",F20+G20+(D20*('Pricing Inputs'!T53)))</f>
        <v> </v>
      </c>
      <c r="CJ20" s="334" t="str">
        <f aca="false">IF($A20="N/A"," ",IF(PV=1,0,'Pricing Inputs'!U53))</f>
        <v> </v>
      </c>
      <c r="CK20" s="337" t="str">
        <f aca="false">IF($A20="N/A"," ",(1+CJ20/2)^(-2*((EOMONTH(A20,0)+20)-DateToday)/365.25))</f>
        <v> </v>
      </c>
      <c r="CL20" s="338" t="str">
        <f aca="false">IF(A20="N/A"," ",IF(CC=2,(VLOOKUP(MONTH($A20),Hrtable,3))/1000,0))</f>
        <v> </v>
      </c>
      <c r="CM20" s="339" t="str">
        <f aca="false">IF(A20="N/A"," ",IF(CC=2,(CL20*C20)+F20,0))</f>
        <v> </v>
      </c>
      <c r="CN20" s="340" t="str">
        <f aca="false">IF($A20="N/A"," ",IF(CC=2,(VLOOKUP(A20,ScaledPrice,(IF(AND(Dayrun&gt;=1,Dayrun&lt;=6),2,4)))-((IF(R20&lt;&gt;0,$D20,$CL20)*$C20)+$F20+$G20)),0))</f>
        <v> </v>
      </c>
      <c r="CO20" s="340" t="str">
        <f aca="false">IF($A20="N/A"," ",IF(CC=2,(IF(AND(Dayrun&gt;=1,Dayrun&lt;=6),I20,(VLOOKUP(A20,ScaledPrice,2))*(2-(VLOOKUP(A20,ScaledPrice,3))))-((IF(S20&lt;&gt;0,$D20,$CL20)*$C20)+$F20+$G20)),0))</f>
        <v> </v>
      </c>
      <c r="CP20" s="340" t="str">
        <f aca="false">IF(A20="N/A"," ",IF(CC=2,(VLOOKUP(A20,ScaledPrice,9)-((IF(T20&lt;&gt;0,$D20,$CL20)*$C20)+$F20+$G20)),0))</f>
        <v> </v>
      </c>
      <c r="CQ20" s="340" t="str">
        <f aca="false">IF(A20="N/A"," ",IF(CC=2,(IF(OR(Dayrun=2,Dayrun=3,Dayrun=5,Dayrun=6,Dayrun=8,Dayrun=9),VLOOKUP(A20,ScaledPrice,IF(AND(Dayrun&gt;=2,Dayrun&lt;=6),5,6)),0)-((IF(U20&lt;&gt;0,$D20,$CL20)*$C20)+$F20+$G20)),0))</f>
        <v> </v>
      </c>
      <c r="CR20" s="340" t="str">
        <f aca="false">IF(A20="N/A"," ",IF(CC=2,(IF(OR(Dayrun=2,Dayrun=3,Dayrun=5,Dayrun=6,Dayrun=8,Dayrun=9),IF(AND(Dayrun&gt;=2,Dayrun&lt;=6),L20,(VLOOKUP(A20,ScaledPrice,5))*(2-(VLOOKUP(A20,ScaledPrice,3)))),0)-((IF(V20&lt;&gt;0,$D20,$CL20)*$C20)+$F20+$G20)),0))</f>
        <v> </v>
      </c>
      <c r="CS20" s="340" t="str">
        <f aca="false">IF(A20="N/A"," ",IF(CC=2,(VLOOKUP(A20,ScaledPrice,9)-((IF(W20&lt;&gt;0,$D20,$CL20)*$C20)+$F20+$G20)),0))</f>
        <v> </v>
      </c>
      <c r="CT20" s="340" t="str">
        <f aca="false">IF(A20="N/A"," ",IF(CC=2,(IF(OR(Dayrun=3,Dayrun=6,Dayrun=9),(VLOOKUP(A20,ScaledPrice,IF(AND(Dayrun&gt;=3,Dayrun&lt;=6),7,8))),0)-((IF(X20&lt;&gt;0,$D20,$CL20)*$C20)+$F20+$G20)),0))</f>
        <v> </v>
      </c>
      <c r="CU20" s="340" t="str">
        <f aca="false">IF(A20="N/A"," ",IF(CC=2,(IF(OR(Dayrun=3,Dayrun=6,Dayrun=9),IF(AND(Dayrun&gt;=3,Dayrun&lt;=6),O20,(VLOOKUP(A20,ScaledPrice,7))*(2-(VLOOKUP(A20,ScaledPrice,3)))),0)-((IF(Y20&lt;&gt;0,$D20,$CL20)*$C20)+$F20+$G20)),0))</f>
        <v> </v>
      </c>
      <c r="CV20" s="340" t="str">
        <f aca="false">IF(A20="N/A"," ",IF(CC=2,(VLOOKUP(A20,ScaledPrice,9)-((IF(Z20&lt;&gt;0,$D20,$CL20)*$C20)+$F20+$G20)),0))</f>
        <v> </v>
      </c>
      <c r="CW20" s="318" t="str">
        <f aca="false">IF($A20="N/A"," ",IF(0&lt;&gt;CN20,IF(CC=2,8*$HD20,0),0))</f>
        <v> </v>
      </c>
      <c r="CX20" s="318" t="str">
        <f aca="false">IF($A20="N/A"," ",IF(0&lt;&gt;CO20,IF(CC=2,8*$HD20,0),0))</f>
        <v> </v>
      </c>
      <c r="CY20" s="318" t="str">
        <f aca="false">IF($A20="N/A"," ",IF(0&lt;&gt;CP20,IF(CC=2,8*$HD20,0),0))</f>
        <v> </v>
      </c>
      <c r="CZ20" s="318" t="str">
        <f aca="false">IF($A20="N/A"," ",IF(0&lt;&gt;CQ20,IF(CC=2,8*$HE20,0),0))</f>
        <v> </v>
      </c>
      <c r="DA20" s="318" t="str">
        <f aca="false">IF($A20="N/A"," ",IF(0&lt;&gt;CR20,IF(CC=2,8*$HE20,0),0))</f>
        <v> </v>
      </c>
      <c r="DB20" s="318" t="str">
        <f aca="false">IF($A20="N/A"," ",IF(0&lt;&gt;CS20,IF(CC=2,8*$HE20,0),0))</f>
        <v> </v>
      </c>
      <c r="DC20" s="318" t="str">
        <f aca="false">IF($A20="N/A"," ",IF(0&lt;&gt;CT20,IF(CC=2,8*$HF20,0),0))</f>
        <v> </v>
      </c>
      <c r="DD20" s="318" t="str">
        <f aca="false">IF($A20="N/A"," ",IF(0&lt;&gt;CU20,IF(CC=2,8*$HF20,0),0))</f>
        <v> </v>
      </c>
      <c r="DE20" s="318" t="str">
        <f aca="false">IF($A20="N/A"," ",IF(0&lt;&gt;CV20,IF(CC=2,8*$HF20,0),0))</f>
        <v> </v>
      </c>
      <c r="DF20" s="341" t="str">
        <f aca="false">IF($A20="N/A"," ",IF(CC=2,(IF(MONTH(A20)&gt;=4,IF(MONTH(A20)&lt;=10,Inputs!$G$13,Inputs!$G$14),Inputs!$G$14))*$CK20,0))</f>
        <v> </v>
      </c>
      <c r="DG20" s="342" t="str">
        <f aca="false">IF($A20="N/A"," ",IF(CC=2,$DF20*CW20*CN20,0))</f>
        <v> </v>
      </c>
      <c r="DH20" s="342" t="str">
        <f aca="false">IF($A20="N/A"," ",IF(CC=2,$DF20*CX20*CO20,0))</f>
        <v> </v>
      </c>
      <c r="DI20" s="342" t="str">
        <f aca="false">IF($A20="N/A"," ",IF(CC=2,$DF20*CY20*CP20,0))</f>
        <v> </v>
      </c>
      <c r="DJ20" s="342" t="str">
        <f aca="false">IF($A20="N/A"," ",IF(CC=2,$DF20*CZ20*CQ20,0))</f>
        <v> </v>
      </c>
      <c r="DK20" s="342" t="str">
        <f aca="false">IF($A20="N/A"," ",IF(CC=2,$DF20*DA20*CR20,0))</f>
        <v> </v>
      </c>
      <c r="DL20" s="342" t="str">
        <f aca="false">IF($A20="N/A"," ",IF(CC=2,$DF20*DB20*CS20,0))</f>
        <v> </v>
      </c>
      <c r="DM20" s="342" t="str">
        <f aca="false">IF($A20="N/A"," ",IF(CC=2,$DF20*DC20*CT20,0))</f>
        <v> </v>
      </c>
      <c r="DN20" s="342" t="str">
        <f aca="false">IF($A20="N/A"," ",IF(CC=2,$DF20*DD20*CU20,0))</f>
        <v> </v>
      </c>
      <c r="DO20" s="342" t="str">
        <f aca="false">IF($A20="N/A"," ",IF(CC=2,$DF20*DE20*CV20,0))</f>
        <v> </v>
      </c>
      <c r="DP20" s="343" t="str">
        <f aca="false">IF($A20="N/A"," ",IF(CC=2,SUM(DG20:DO20),0))</f>
        <v> </v>
      </c>
      <c r="DQ20" s="0" t="str">
        <f aca="false">IF(A20="N/A"," ",Perstart)</f>
        <v> </v>
      </c>
      <c r="HD20" s="0" t="str">
        <f aca="false">IF($A20="N/A"," ",VLOOKUP($A20,NumberofDaysTable,2))</f>
        <v> </v>
      </c>
      <c r="HE20" s="0" t="str">
        <f aca="false">IF($A20="N/A"," ",VLOOKUP($A20,NumberofDaysTable,3))</f>
        <v> </v>
      </c>
      <c r="HF20" s="0" t="str">
        <f aca="false">IF($A20="N/A"," ",VLOOKUP($A20,NumberofDaysTable,4))</f>
        <v> </v>
      </c>
    </row>
    <row r="21" customFormat="false" ht="12.75" hidden="false" customHeight="false" outlineLevel="0" collapsed="false">
      <c r="A21" s="308" t="str">
        <f aca="false">IF(A20="N/A","N/A",IF(EDATE(A20,1)&gt;Inputs!$K$3,"N/A",EDATE(A20,1)))</f>
        <v>N/A</v>
      </c>
      <c r="B21" s="309" t="str">
        <f aca="false">IF(A21="N/A"," ",YEAR(A21))</f>
        <v> </v>
      </c>
      <c r="C21" s="310" t="str">
        <f aca="false">IF(A21="N/A"," ",VLOOKUP(A21,ScaledPrice,10))</f>
        <v> </v>
      </c>
      <c r="D21" s="311" t="str">
        <f aca="false">IF(A21="N/A"," ",(VLOOKUP(MONTH($A21),Hrtable,2))/1000)</f>
        <v> </v>
      </c>
      <c r="E21" s="312" t="str">
        <f aca="false">IF($A21="N/A"," ",(C21-'Pricing Inputs'!T54)*D21)</f>
        <v> </v>
      </c>
      <c r="F21" s="313" t="str">
        <f aca="false">IF(A21="N/A"," ",$F9*(1+VOMesc))</f>
        <v> </v>
      </c>
      <c r="G21" s="313" t="str">
        <f aca="false">IF(A21="N/A"," ",Perstart/IF(AND(Dayrun&gt;=4,Dayrun&lt;=6),16,IF(AND(Dayrun&gt;=7,Dayrun&lt;=9),8,24))/(BM21/CK21))</f>
        <v> </v>
      </c>
      <c r="H21" s="314" t="str">
        <f aca="false">IF(A21="N/A"," ",(C21*D21)+F21+G21)</f>
        <v> </v>
      </c>
      <c r="I21" s="315" t="str">
        <f aca="false">VLOOKUP(A21,ScaledPrice,(IF(AND(Dayrun&gt;=1,Dayrun&lt;=6),2,4)))</f>
        <v> </v>
      </c>
      <c r="J21" s="315" t="str">
        <f aca="false">IF(A21="N/A"," ",IF(AND(Dayrun&gt;=1,Dayrun&lt;=6),I21,(VLOOKUP(A21,ScaledPrice,2))*(2-(VLOOKUP(A21,ScaledPrice,3)))))</f>
        <v> </v>
      </c>
      <c r="K21" s="315" t="str">
        <f aca="false">IF(A21="N/A"," ",IF(AND(Dayrun&gt;=1,Dayrun&lt;=3),VLOOKUP(A21,ScaledPrice,9),0))</f>
        <v> </v>
      </c>
      <c r="L21" s="315" t="str">
        <f aca="false">IF(A21="N/A"," ",IF(OR(Dayrun=2,Dayrun=3,Dayrun=5,Dayrun=6,Dayrun=8,Dayrun=9),VLOOKUP(A21,ScaledPrice,IF(AND(Dayrun&gt;=2,Dayrun&lt;=6),5,6)),0))</f>
        <v> </v>
      </c>
      <c r="M21" s="315" t="str">
        <f aca="false">IF(A21="N/A"," ",IF(OR(Dayrun=2,Dayrun=3,Dayrun=5,Dayrun=6,Dayrun=8,Dayrun=9),IF(AND(Dayrun&gt;=2,Dayrun&lt;=6),L21,(VLOOKUP(A21,ScaledPrice,5))*(2-(VLOOKUP(A21,ScaledPrice,3)))),0))</f>
        <v> </v>
      </c>
      <c r="N21" s="315" t="str">
        <f aca="false">IF(A21="N/A"," ",IF(AND(Dayrun&gt;1,Dayrun&lt;=3),VLOOKUP(A21,ScaledPrice,9),0))</f>
        <v> </v>
      </c>
      <c r="O21" s="315" t="str">
        <f aca="false">IF(A21="N/A"," ",IF(OR(Dayrun=3,Dayrun=6,Dayrun=9),(VLOOKUP(A21,ScaledPrice,IF(AND(Dayrun&gt;=3,Dayrun&lt;=6),7,8))),0))</f>
        <v> </v>
      </c>
      <c r="P21" s="315" t="str">
        <f aca="false">IF(A21="N/A"," ",IF(OR(Dayrun=3,Dayrun=6,Dayrun=9),IF(AND(Dayrun&gt;=3,Dayrun&lt;=6),O21,(VLOOKUP(A21,ScaledPrice,7))*(2-(VLOOKUP(A21,ScaledPrice,3)))),0))</f>
        <v> </v>
      </c>
      <c r="Q21" s="315" t="str">
        <f aca="false">IF(A21="N/A"," ",IF(AND(Dayrun&gt;2,Dayrun&lt;=3),VLOOKUP(A21,ScaledPrice,9),0))</f>
        <v> </v>
      </c>
      <c r="R21" s="316" t="str">
        <f aca="false">IF($A21="N/A"," ",IF(Pricetype=2,MAX(I21-$H21,0),IF(Pricetype=1,(xSPRDOPT(I21,$E21,$CI21,0,($CD21+IF(Smile=TRUE(),VLOOKUP(MAX(-5,$H21-I21),Volsmile,2),0)),$CG21,$CH21,($A21-DateToday)+15,1,0)),I21-$H21)))</f>
        <v> </v>
      </c>
      <c r="S21" s="316" t="str">
        <f aca="false">IF($A21="N/A"," ",IF(Pricetype=2,MAX(J21-$H21,0),IF(Pricetype=1,(xSPRDOPT(J21,$E21,$CI21,0,($CD21+IF(Smile=TRUE(),VLOOKUP(MAX(-5,$H21-J21),Volsmile,2),0)),$CG21,$CH21,($A21-DateToday)+15,1,0)),J21-$H21)))</f>
        <v> </v>
      </c>
      <c r="T21" s="317" t="str">
        <f aca="false">IF($A21="N/A"," ",(IF(Pricetype=2,IF((K21-$H21)&lt;=0,0,(K21-$H21)),IF(K21&lt;&gt;0,(K21-$H21),0))))</f>
        <v> </v>
      </c>
      <c r="U21" s="316" t="str">
        <f aca="false">IF($A21="N/A"," ",IF(Pricetype=2,MAX(L21-$H21,0),IF(L21&lt;&gt;0,IF(Pricetype=1,(xSPRDOPT(L21,$E21,$CI21,0,($CD21+IF(Smile=TRUE(),VLOOKUP(MAX(-5,$H21-L21),Volsmile,2),0)),$CG21,$CH21,($A21-DateToday)+15,1,0)),L21-$H21),0)))</f>
        <v> </v>
      </c>
      <c r="V21" s="316" t="str">
        <f aca="false">IF($A21="N/A"," ",IF(Pricetype=2,MAX(M21-$H21,0),IF(M21&lt;&gt;0,IF(Pricetype=1,(xSPRDOPT(M21,$E21,$CI21,0,($CD21+IF(Smile=TRUE(),VLOOKUP(MAX(-5,$H21-M21),Volsmile,2),0)),$CG21,$CH21,($A21-DateToday)+15,1,0)),M21-$H21),0)))</f>
        <v> </v>
      </c>
      <c r="W21" s="317" t="str">
        <f aca="false">IF($A21="N/A"," ",(IF(Pricetype=2,IF((N21-$H21)&lt;=0,0,(N21-$H21)),IF(N21&lt;&gt;0,(N21-$H21),0))))</f>
        <v> </v>
      </c>
      <c r="X21" s="316" t="str">
        <f aca="false">IF($A21="N/A"," ",IF(Pricetype=2,MAX(O21-$H21,0),IF(O21&lt;&gt;0,IF(Pricetype=1,(xSPRDOPT(O21,$E21,$CI21,0,($CD21+IF(Smile=TRUE(),VLOOKUP(MAX(-5,$H21-O21),Volsmile,2),0)),$CG21,$CH21,($A21-DateToday)+15,1,0)),O21-$H21),0)))</f>
        <v> </v>
      </c>
      <c r="Y21" s="316" t="str">
        <f aca="false">IF($A21="N/A"," ",IF(Pricetype=2,MAX(P21-$H21,0),IF(P21&lt;&gt;0,IF(Pricetype=1,(xSPRDOPT(P21,$E21,$CI21,0,($CD21+IF(Smile=TRUE(),VLOOKUP(MAX(-5,$H21-P21),Volsmile,2),0)),$CG21,$CH21,($A21-DateToday)+15,1,0)),P21-$H21),0)))</f>
        <v> </v>
      </c>
      <c r="Z21" s="317" t="str">
        <f aca="false">IF($A21="N/A"," ",(IF(Pricetype=2,IF((Q21-$H21)&lt;=0,0,(Q21-$H21)),IF(Q21&lt;&gt;0,(Q21-$H21),0))))</f>
        <v> </v>
      </c>
      <c r="AA21" s="318" t="str">
        <f aca="false">IF($A21="N/A"," ",IF(VLOOKUP(MONTH(A21),ManualTable,2)=1,(IF(0&lt;&gt;R21,IF(Pricetype=1,(xSPRDOPT(I21,$E21,$CI21,0,($CD21+IF(Smile=TRUE(),VLOOKUP(MAX(-5,$H21-I21),Volsmile,2),0)),$CG21,$CH21,($A21-DateToday)+15,1,1))*(8*$HD21),8*$HD21),0)),0))</f>
        <v> </v>
      </c>
      <c r="AB21" s="318" t="str">
        <f aca="false">IF($A21="N/A"," ",IF(VLOOKUP(MONTH(A21),ManualTable,3)=1,(IF(S21&lt;&gt;0,IF(Pricetype=1,(xSPRDOPT(J21,$E21,$CI21,0,($CD21+IF(Smile=TRUE(),VLOOKUP(MAX(-5,$H21-J21),Volsmile,2),0)),$CG21,$CH21,($A21-DateToday)+15,1,1))*(8*$HD21),8*$HD21),0)),0))</f>
        <v> </v>
      </c>
      <c r="AC21" s="318" t="str">
        <f aca="false">IF($A21="N/A"," ",IF(VLOOKUP(MONTH(A21),ManualTable,4)=1,(IF(T21&lt;&gt;0,(8*$HD21),0)),0))</f>
        <v> </v>
      </c>
      <c r="AD21" s="318" t="str">
        <f aca="false">IF($A21="N/A"," ",IF(VLOOKUP(MONTH(A21),ManualTable,5)=1,(IF(U21&lt;&gt;0,IF(Pricetype=1,(xSPRDOPT(L21,$E21,$CI21,0,($CD21+IF(Smile=TRUE(),VLOOKUP(MAX(-5,$H21-L21),Volsmile,2),0)),$CG21,$CH21,($A21-DateToday)+15,1,1))*(8*$HE21),8*$HE21),0)),0))</f>
        <v> </v>
      </c>
      <c r="AE21" s="318" t="str">
        <f aca="false">IF($A21="N/A"," ",IF(VLOOKUP(MONTH(A21),ManualTable,6)=1,(IF(V21&lt;&gt;0,IF(Pricetype=1,(xSPRDOPT(M21,$E21,$CI21,0,($CD21+IF(Smile=TRUE(),VLOOKUP(MAX(-5,$H21-M21),Volsmile,2),0)),$CG21,$CH21,($A21-DateToday)+15,1,1))*(8*$HE21),8*$HE21),0)),0))</f>
        <v> </v>
      </c>
      <c r="AF21" s="318" t="str">
        <f aca="false">IF($A21="N/A"," ",IF(VLOOKUP(MONTH(A21),ManualTable,7)=1,(IF(W21&lt;&gt;0,(8*$HE21),0)),0))</f>
        <v> </v>
      </c>
      <c r="AG21" s="318" t="str">
        <f aca="false">IF($A21="N/A"," ",IF(VLOOKUP(MONTH(A21),ManualTable,8)=1,(IF(X21&lt;&gt;0,IF(Pricetype=1,(xSPRDOPT(O21,$E21,$CI21,0,($CD21+IF(Smile=TRUE(),VLOOKUP(MAX(-5,$H21-O21),Volsmile,2),0)),$CG21,$CH21,($A21-DateToday)+15,1,1))*(8*$HF21),8*$HF21),0)),0))</f>
        <v> </v>
      </c>
      <c r="AH21" s="318" t="str">
        <f aca="false">IF($A21="N/A"," ",IF(VLOOKUP(MONTH(A21),ManualTable,9)=1,(IF(Y21&lt;&gt;0,IF(Pricetype=1,(xSPRDOPT(P21,$E21,$CI21,0,($CD21+IF(Smile=TRUE(),VLOOKUP(MAX(-5,$H21-P21),Volsmile,2),0)),$CG21,$CH21,($A21-DateToday)+15,1,1))*(8*$HF21),8*$HF21),0)),0))</f>
        <v> </v>
      </c>
      <c r="AI21" s="318" t="str">
        <f aca="false">IF($A21="N/A"," ",IF(VLOOKUP(MONTH(A21),ManualTable,10)=1,(IF(Z21&lt;&gt;0,(8*($HF21)),0)),0))</f>
        <v> </v>
      </c>
      <c r="AJ21" s="344" t="str">
        <f aca="false">IF($A21="N/A"," ",RANK(R21,$R$16:$Z$27))</f>
        <v> </v>
      </c>
      <c r="AK21" s="321" t="str">
        <f aca="false">IF($A21="N/A"," ",RANK(S21,$R$16:$Z$27))</f>
        <v> </v>
      </c>
      <c r="AL21" s="321" t="str">
        <f aca="false">IF($A21="N/A"," ",RANK(T21,$R$16:$Z$27))</f>
        <v> </v>
      </c>
      <c r="AM21" s="321" t="str">
        <f aca="false">IF($A21="N/A"," ",RANK(U21,$R$16:$Z$27))</f>
        <v> </v>
      </c>
      <c r="AN21" s="321" t="str">
        <f aca="false">IF($A21="N/A"," ",RANK(V21,$R$16:$Z$27))</f>
        <v> </v>
      </c>
      <c r="AO21" s="321" t="str">
        <f aca="false">IF($A21="N/A"," ",RANK(W21,$R$16:$Z$27))</f>
        <v> </v>
      </c>
      <c r="AP21" s="321" t="str">
        <f aca="false">IF($A21="N/A"," ",RANK(X21,$R$16:$Z$27))</f>
        <v> </v>
      </c>
      <c r="AQ21" s="321" t="str">
        <f aca="false">IF($A21="N/A"," ",RANK(Y21,$R$16:$Z$27))</f>
        <v> </v>
      </c>
      <c r="AR21" s="345" t="str">
        <f aca="false">IF($A21="N/A"," ",RANK(Z21,$R$16:$Z$27))</f>
        <v> </v>
      </c>
      <c r="AS21" s="323" t="str">
        <f aca="false">IF($A21="N/A"," ",IF(AJ21&lt;=$AR$2,AA21,0))</f>
        <v> </v>
      </c>
      <c r="AT21" s="325" t="str">
        <f aca="false">IF($A21="N/A"," ",IF(AK21&lt;=$AR$2,AB21,0))</f>
        <v> </v>
      </c>
      <c r="AU21" s="325" t="str">
        <f aca="false">IF($A21="N/A"," ",IF(AL21&lt;=$AR$2,AC21,0))</f>
        <v> </v>
      </c>
      <c r="AV21" s="325" t="str">
        <f aca="false">IF($A21="N/A"," ",IF(AM21&lt;=$AR$2,AD21,0))</f>
        <v> </v>
      </c>
      <c r="AW21" s="325" t="str">
        <f aca="false">IF($A21="N/A"," ",IF(AN21&lt;=$AR$2,AE21,0))</f>
        <v> </v>
      </c>
      <c r="AX21" s="325" t="str">
        <f aca="false">IF($A21="N/A"," ",IF(AO21&lt;=$AR$2,AF21,0))</f>
        <v> </v>
      </c>
      <c r="AY21" s="325" t="str">
        <f aca="false">IF($A21="N/A"," ",IF(AP21&lt;=$AR$2,AG21,0))</f>
        <v> </v>
      </c>
      <c r="AZ21" s="325" t="str">
        <f aca="false">IF($A21="N/A"," ",IF(AQ21&lt;=$AR$2,AH21,0))</f>
        <v> </v>
      </c>
      <c r="BA21" s="325" t="str">
        <f aca="false">IF($A21="N/A"," ",IF(AR21&lt;=$AR$2,AI21,0))</f>
        <v> </v>
      </c>
      <c r="BB21" s="321"/>
      <c r="BC21" s="326" t="str">
        <f aca="false">IF($A21="N/A"," ",IF(AND(AJ21=$AR$2+1,AS21=0),MIN($BB$27,AA21),0))</f>
        <v> </v>
      </c>
      <c r="BD21" s="346" t="str">
        <f aca="false">IF($A21="N/A"," ",IF(AND(AK21=$AR$2+1,AT21=0),MIN($BB$27,AB21),0))</f>
        <v> </v>
      </c>
      <c r="BE21" s="346" t="str">
        <f aca="false">IF($A21="N/A"," ",IF(AND(AL21=$AR$2+1,AU21=0),MIN($BB$27,AC21),0))</f>
        <v> </v>
      </c>
      <c r="BF21" s="346" t="str">
        <f aca="false">IF($A21="N/A"," ",IF(AND(AM21=$AR$2+1,AV21=0),MIN($BB$27,AD21),0))</f>
        <v> </v>
      </c>
      <c r="BG21" s="346" t="str">
        <f aca="false">IF($A21="N/A"," ",IF(AND(AN21=$AR$2+1,AW21=0),MIN($BB$27,AE21),0))</f>
        <v> </v>
      </c>
      <c r="BH21" s="346" t="str">
        <f aca="false">IF($A21="N/A"," ",IF(AND(AO21=$AR$2+1,AX21=0),MIN($BB$27,AF21),0))</f>
        <v> </v>
      </c>
      <c r="BI21" s="346" t="str">
        <f aca="false">IF($A21="N/A"," ",IF(AND(AP21=$AR$2+1,AY21=0),MIN($BB$27,AG21),0))</f>
        <v> </v>
      </c>
      <c r="BJ21" s="346" t="str">
        <f aca="false">IF($A21="N/A"," ",IF(AND(AQ21=$AR$2+1,AZ21=0),MIN($BB$27,AH21),0))</f>
        <v> </v>
      </c>
      <c r="BK21" s="346" t="str">
        <f aca="false">IF($A21="N/A"," ",IF(AND(AR21=$AR$2+1,BA21=0),MIN($BB$27,AI21),0))</f>
        <v> </v>
      </c>
      <c r="BL21" s="360"/>
      <c r="BM21" s="329" t="str">
        <f aca="false">IF($A21="N/A"," ",(IF(MONTH(A21)&gt;=4,IF(MONTH(A21)&lt;=10,Inputs!$F$13-Inputs!$G$13,Inputs!$F$14-Inputs!$G$14),Inputs!$F$14-Inputs!$G$14))*$CK21*Availability)</f>
        <v> </v>
      </c>
      <c r="BN21" s="330" t="str">
        <f aca="false">IF($A21="N/A"," ",(IF(AS21&gt;0,($BM21*(8*($HD21))*R21),0)+IF(BC21&gt;0,($BM21*((BC21/AA21)*8*$HD21)*R21),0)))</f>
        <v> </v>
      </c>
      <c r="BO21" s="330" t="str">
        <f aca="false">IF($A21="N/A"," ",(IF(AT21&gt;0,($BM21*(8*($HD21))*S21),0)+IF(BD21&gt;0,($BM21*((BD21/AB21)*8*$HD21)*S21),0)))</f>
        <v> </v>
      </c>
      <c r="BP21" s="330" t="str">
        <f aca="false">IF($A21="N/A"," ",(IF(AU21&gt;0,($BM21*(8*($HD21))*T21),0)+IF(BE21&gt;0,($BM21*((BE21))*T21),0)))</f>
        <v> </v>
      </c>
      <c r="BQ21" s="330" t="str">
        <f aca="false">IF($A21="N/A"," ",(IF(AV21&gt;0,($BM21*(8*($HE21))*U21),0)+IF(BF21&gt;0,($BM21*((BF21/AD21)*8*$HE21)*U21),0)))</f>
        <v> </v>
      </c>
      <c r="BR21" s="330" t="str">
        <f aca="false">IF($A21="N/A"," ",(IF(AW21&gt;0,($BM21*(8*($HE21))*V21),0)+IF(BG21&gt;0,($BM21*((BG21/AE21)*8*$HE21)*V21),0)))</f>
        <v> </v>
      </c>
      <c r="BS21" s="330" t="str">
        <f aca="false">IF($A21="N/A"," ",(IF(AX21&gt;0,($BM21*(8*($HE21))*W21),0)+IF(BH21&gt;0,($BM21*((BH21))*W21),0)))</f>
        <v> </v>
      </c>
      <c r="BT21" s="330" t="str">
        <f aca="false">IF($A21="N/A"," ",(IF(AY21&gt;0,($BM21*(8*($HF21))*X21),0)+IF(BI21&gt;0,($BM21*((BI21/AG21)*8*$HF21)*X21),0)))</f>
        <v> </v>
      </c>
      <c r="BU21" s="330" t="str">
        <f aca="false">IF($A21="N/A"," ",(IF(AZ21&gt;0,($BM21*(8*($HF21))*Y21),0)+IF(BJ21&gt;0,($BM21*((BJ21/AH21)*8*$HF21)*Y21),0)))</f>
        <v> </v>
      </c>
      <c r="BV21" s="330" t="str">
        <f aca="false">IF($A21="N/A"," ",(IF(BA21&gt;0,($BM21*(8*($HF21))*Z21),0)+IF(BK21&gt;0,($BM21*((BK21))*Z21),0)))</f>
        <v> </v>
      </c>
      <c r="BW21" s="330" t="str">
        <f aca="false">IF($A21="N/A"," ",SUM(BN21:BV21))</f>
        <v> </v>
      </c>
      <c r="BX21" s="331" t="str">
        <f aca="false">IF($A21="N/A"," ",(H21*(SUM(AS21:BA21)+SUM(BC21:BK21))*BM21))</f>
        <v> </v>
      </c>
      <c r="BY21" s="332" t="str">
        <f aca="false">IF($A21="N/A"," ",((C21*D21)*(SUM($AS21:$BA21)+SUM($BC21:$BK21))*$BM21))</f>
        <v> </v>
      </c>
      <c r="BZ21" s="332" t="str">
        <f aca="false">IF($A21="N/A"," ",(F21*(SUM($AS21:$BA21)+SUM($BC21:$BK21))*$BM21))</f>
        <v> </v>
      </c>
      <c r="CA21" s="333" t="str">
        <f aca="false">IF($A21="N/A"," ",(G21*(SUM($AS21:$BA21)+SUM($BC21:$BK21))*$BM21))</f>
        <v> </v>
      </c>
      <c r="CB21" s="334" t="str">
        <f aca="false">IF(A21="N/A"," ",(VLOOKUP(A21,PowerVolTable,(IF(BMO=2,7,IF(BMO=1,6,8))),FALSE())))</f>
        <v> </v>
      </c>
      <c r="CC21" s="334" t="str">
        <f aca="false">IF(A21="N/A"," ",(VLOOKUP(A21,IntraPowerVol,(IF(BMO=2,3,IF(BMO=1,2,4))),FALSE())*VLOOKUP(MONTH($A21),Volscale,2)))</f>
        <v> </v>
      </c>
      <c r="CD21" s="335" t="str">
        <f aca="false">IF($A21="N/A"," ",(IF(DateToday&gt;$A21,$CC21,((($CB21^2)*((($A21-1)-DateToday)/((EOMONTH($A21,0)+1)-DateToday-15)))+((($CC21)^2)*((15)/((EOMONTH($A21,0)+1)-DateToday-15))))^0.5)))</f>
        <v> </v>
      </c>
      <c r="CE21" s="334" t="str">
        <f aca="false">IF($A21="N/A"," ",(VLOOKUP($A21,GasVolTable,(IF(BMO=2,6,IF(BMO=1,7,5))),FALSE())))</f>
        <v> </v>
      </c>
      <c r="CF21" s="334" t="str">
        <f aca="false">IF($A21="N/A"," ",(VLOOKUP($A21,OmicronVol,(IF(BMO=2,3,IF(BMO=1,4,2))),FALSE())))</f>
        <v> </v>
      </c>
      <c r="CG21" s="335" t="str">
        <f aca="false">IF($A21="N/A"," ",(IF(DateToday&gt;$A21,$CF21,((($CE21^2)*((($A21-1)-DateToday)/((EOMONTH($A21,0)+1)-DateToday-15)))+((($CF21)^2)*((15)/((EOMONTH($A21,0)+1)-DateToday-15))))^0.5)))</f>
        <v> </v>
      </c>
      <c r="CH21" s="334" t="str">
        <f aca="false">IF($A21="N/A"," ",VLOOKUP($A21,CorrelationTable,2,FALSE()))</f>
        <v> </v>
      </c>
      <c r="CI21" s="336" t="str">
        <f aca="false">IF($A21="N/A"," ",F21+G21+(D21*('Pricing Inputs'!T54)))</f>
        <v> </v>
      </c>
      <c r="CJ21" s="334" t="str">
        <f aca="false">IF($A21="N/A"," ",IF(PV=1,0,'Pricing Inputs'!U54))</f>
        <v> </v>
      </c>
      <c r="CK21" s="337" t="str">
        <f aca="false">IF($A21="N/A"," ",(1+CJ21/2)^(-2*((EOMONTH(A21,0)+20)-DateToday)/365.25))</f>
        <v> </v>
      </c>
      <c r="CL21" s="338" t="str">
        <f aca="false">IF(A21="N/A"," ",IF(CC=2,(VLOOKUP(MONTH($A21),Hrtable,3))/1000,0))</f>
        <v> </v>
      </c>
      <c r="CM21" s="339" t="str">
        <f aca="false">IF(A21="N/A"," ",IF(CC=2,(CL21*C21)+F21,0))</f>
        <v> </v>
      </c>
      <c r="CN21" s="340" t="str">
        <f aca="false">IF($A21="N/A"," ",IF(CC=2,(VLOOKUP(A21,ScaledPrice,(IF(AND(Dayrun&gt;=1,Dayrun&lt;=6),2,4)))-((IF(R21&lt;&gt;0,$D21,$CL21)*$C21)+$F21+$G21)),0))</f>
        <v> </v>
      </c>
      <c r="CO21" s="340" t="str">
        <f aca="false">IF($A21="N/A"," ",IF(CC=2,(IF(AND(Dayrun&gt;=1,Dayrun&lt;=6),I21,(VLOOKUP(A21,ScaledPrice,2))*(2-(VLOOKUP(A21,ScaledPrice,3))))-((IF(S21&lt;&gt;0,$D21,$CL21)*$C21)+$F21+$G21)),0))</f>
        <v> </v>
      </c>
      <c r="CP21" s="340" t="str">
        <f aca="false">IF(A21="N/A"," ",IF(CC=2,(VLOOKUP(A21,ScaledPrice,9)-((IF(T21&lt;&gt;0,$D21,$CL21)*$C21)+$F21+$G21)),0))</f>
        <v> </v>
      </c>
      <c r="CQ21" s="340" t="str">
        <f aca="false">IF(A21="N/A"," ",IF(CC=2,(IF(OR(Dayrun=2,Dayrun=3,Dayrun=5,Dayrun=6,Dayrun=8,Dayrun=9),VLOOKUP(A21,ScaledPrice,IF(AND(Dayrun&gt;=2,Dayrun&lt;=6),5,6)),0)-((IF(U21&lt;&gt;0,$D21,$CL21)*$C21)+$F21+$G21)),0))</f>
        <v> </v>
      </c>
      <c r="CR21" s="340" t="str">
        <f aca="false">IF(A21="N/A"," ",IF(CC=2,(IF(OR(Dayrun=2,Dayrun=3,Dayrun=5,Dayrun=6,Dayrun=8,Dayrun=9),IF(AND(Dayrun&gt;=2,Dayrun&lt;=6),L21,(VLOOKUP(A21,ScaledPrice,5))*(2-(VLOOKUP(A21,ScaledPrice,3)))),0)-((IF(V21&lt;&gt;0,$D21,$CL21)*$C21)+$F21+$G21)),0))</f>
        <v> </v>
      </c>
      <c r="CS21" s="340" t="str">
        <f aca="false">IF(A21="N/A"," ",IF(CC=2,(VLOOKUP(A21,ScaledPrice,9)-((IF(W21&lt;&gt;0,$D21,$CL21)*$C21)+$F21+$G21)),0))</f>
        <v> </v>
      </c>
      <c r="CT21" s="340" t="str">
        <f aca="false">IF(A21="N/A"," ",IF(CC=2,(IF(OR(Dayrun=3,Dayrun=6,Dayrun=9),(VLOOKUP(A21,ScaledPrice,IF(AND(Dayrun&gt;=3,Dayrun&lt;=6),7,8))),0)-((IF(X21&lt;&gt;0,$D21,$CL21)*$C21)+$F21+$G21)),0))</f>
        <v> </v>
      </c>
      <c r="CU21" s="340" t="str">
        <f aca="false">IF(A21="N/A"," ",IF(CC=2,(IF(OR(Dayrun=3,Dayrun=6,Dayrun=9),IF(AND(Dayrun&gt;=3,Dayrun&lt;=6),O21,(VLOOKUP(A21,ScaledPrice,7))*(2-(VLOOKUP(A21,ScaledPrice,3)))),0)-((IF(Y21&lt;&gt;0,$D21,$CL21)*$C21)+$F21+$G21)),0))</f>
        <v> </v>
      </c>
      <c r="CV21" s="340" t="str">
        <f aca="false">IF(A21="N/A"," ",IF(CC=2,(VLOOKUP(A21,ScaledPrice,9)-((IF(Z21&lt;&gt;0,$D21,$CL21)*$C21)+$F21+$G21)),0))</f>
        <v> </v>
      </c>
      <c r="CW21" s="318" t="str">
        <f aca="false">IF($A21="N/A"," ",IF(0&lt;&gt;CN21,IF(CC=2,8*$HD21,0),0))</f>
        <v> </v>
      </c>
      <c r="CX21" s="318" t="str">
        <f aca="false">IF($A21="N/A"," ",IF(0&lt;&gt;CO21,IF(CC=2,8*$HD21,0),0))</f>
        <v> </v>
      </c>
      <c r="CY21" s="318" t="str">
        <f aca="false">IF($A21="N/A"," ",IF(0&lt;&gt;CP21,IF(CC=2,8*$HD21,0),0))</f>
        <v> </v>
      </c>
      <c r="CZ21" s="318" t="str">
        <f aca="false">IF($A21="N/A"," ",IF(0&lt;&gt;CQ21,IF(CC=2,8*$HE21,0),0))</f>
        <v> </v>
      </c>
      <c r="DA21" s="318" t="str">
        <f aca="false">IF($A21="N/A"," ",IF(0&lt;&gt;CR21,IF(CC=2,8*$HE21,0),0))</f>
        <v> </v>
      </c>
      <c r="DB21" s="318" t="str">
        <f aca="false">IF($A21="N/A"," ",IF(0&lt;&gt;CS21,IF(CC=2,8*$HE21,0),0))</f>
        <v> </v>
      </c>
      <c r="DC21" s="318" t="str">
        <f aca="false">IF($A21="N/A"," ",IF(0&lt;&gt;CT21,IF(CC=2,8*$HF21,0),0))</f>
        <v> </v>
      </c>
      <c r="DD21" s="318" t="str">
        <f aca="false">IF($A21="N/A"," ",IF(0&lt;&gt;CU21,IF(CC=2,8*$HF21,0),0))</f>
        <v> </v>
      </c>
      <c r="DE21" s="318" t="str">
        <f aca="false">IF($A21="N/A"," ",IF(0&lt;&gt;CV21,IF(CC=2,8*$HF21,0),0))</f>
        <v> </v>
      </c>
      <c r="DF21" s="341" t="str">
        <f aca="false">IF($A21="N/A"," ",IF(CC=2,(IF(MONTH(A21)&gt;=4,IF(MONTH(A21)&lt;=10,Inputs!$G$13,Inputs!$G$14),Inputs!$G$14))*$CK21,0))</f>
        <v> </v>
      </c>
      <c r="DG21" s="342" t="str">
        <f aca="false">IF($A21="N/A"," ",IF(CC=2,$DF21*CW21*CN21,0))</f>
        <v> </v>
      </c>
      <c r="DH21" s="342" t="str">
        <f aca="false">IF($A21="N/A"," ",IF(CC=2,$DF21*CX21*CO21,0))</f>
        <v> </v>
      </c>
      <c r="DI21" s="342" t="str">
        <f aca="false">IF($A21="N/A"," ",IF(CC=2,$DF21*CY21*CP21,0))</f>
        <v> </v>
      </c>
      <c r="DJ21" s="342" t="str">
        <f aca="false">IF($A21="N/A"," ",IF(CC=2,$DF21*CZ21*CQ21,0))</f>
        <v> </v>
      </c>
      <c r="DK21" s="342" t="str">
        <f aca="false">IF($A21="N/A"," ",IF(CC=2,$DF21*DA21*CR21,0))</f>
        <v> </v>
      </c>
      <c r="DL21" s="342" t="str">
        <f aca="false">IF($A21="N/A"," ",IF(CC=2,$DF21*DB21*CS21,0))</f>
        <v> </v>
      </c>
      <c r="DM21" s="342" t="str">
        <f aca="false">IF($A21="N/A"," ",IF(CC=2,$DF21*DC21*CT21,0))</f>
        <v> </v>
      </c>
      <c r="DN21" s="342" t="str">
        <f aca="false">IF($A21="N/A"," ",IF(CC=2,$DF21*DD21*CU21,0))</f>
        <v> </v>
      </c>
      <c r="DO21" s="342" t="str">
        <f aca="false">IF($A21="N/A"," ",IF(CC=2,$DF21*DE21*CV21,0))</f>
        <v> </v>
      </c>
      <c r="DP21" s="343" t="str">
        <f aca="false">IF($A21="N/A"," ",IF(CC=2,SUM(DG21:DO21),0))</f>
        <v> </v>
      </c>
      <c r="DQ21" s="0" t="str">
        <f aca="false">IF(A21="N/A"," ",Perstart)</f>
        <v> </v>
      </c>
      <c r="HD21" s="0" t="str">
        <f aca="false">IF($A21="N/A"," ",VLOOKUP($A21,NumberofDaysTable,2))</f>
        <v> </v>
      </c>
      <c r="HE21" s="0" t="str">
        <f aca="false">IF($A21="N/A"," ",VLOOKUP($A21,NumberofDaysTable,3))</f>
        <v> </v>
      </c>
      <c r="HF21" s="0" t="str">
        <f aca="false">IF($A21="N/A"," ",VLOOKUP($A21,NumberofDaysTable,4))</f>
        <v> </v>
      </c>
    </row>
    <row r="22" customFormat="false" ht="12.75" hidden="false" customHeight="false" outlineLevel="0" collapsed="false">
      <c r="A22" s="308" t="str">
        <f aca="false">IF(A21="N/A","N/A",IF(EDATE(A21,1)&gt;Inputs!$K$3,"N/A",EDATE(A21,1)))</f>
        <v>N/A</v>
      </c>
      <c r="B22" s="309" t="str">
        <f aca="false">IF(A22="N/A"," ",YEAR(A22))</f>
        <v> </v>
      </c>
      <c r="C22" s="310" t="str">
        <f aca="false">IF(A22="N/A"," ",VLOOKUP(A22,ScaledPrice,10))</f>
        <v> </v>
      </c>
      <c r="D22" s="311" t="str">
        <f aca="false">IF(A22="N/A"," ",(VLOOKUP(MONTH($A22),Hrtable,2))/1000)</f>
        <v> </v>
      </c>
      <c r="E22" s="312" t="str">
        <f aca="false">IF($A22="N/A"," ",(C22-'Pricing Inputs'!T55)*D22)</f>
        <v> </v>
      </c>
      <c r="F22" s="313" t="str">
        <f aca="false">IF(A22="N/A"," ",$F10*(1+VOMesc))</f>
        <v> </v>
      </c>
      <c r="G22" s="313" t="str">
        <f aca="false">IF(A22="N/A"," ",Perstart/IF(AND(Dayrun&gt;=4,Dayrun&lt;=6),16,IF(AND(Dayrun&gt;=7,Dayrun&lt;=9),8,24))/(BM22/CK22))</f>
        <v> </v>
      </c>
      <c r="H22" s="314" t="str">
        <f aca="false">IF(A22="N/A"," ",(C22*D22)+F22+G22)</f>
        <v> </v>
      </c>
      <c r="I22" s="315" t="str">
        <f aca="false">VLOOKUP(A22,ScaledPrice,(IF(AND(Dayrun&gt;=1,Dayrun&lt;=6),2,4)))</f>
        <v> </v>
      </c>
      <c r="J22" s="315" t="str">
        <f aca="false">IF(A22="N/A"," ",IF(AND(Dayrun&gt;=1,Dayrun&lt;=6),I22,(VLOOKUP(A22,ScaledPrice,2))*(2-(VLOOKUP(A22,ScaledPrice,3)))))</f>
        <v> </v>
      </c>
      <c r="K22" s="315" t="str">
        <f aca="false">IF(A22="N/A"," ",IF(AND(Dayrun&gt;=1,Dayrun&lt;=3),VLOOKUP(A22,ScaledPrice,9),0))</f>
        <v> </v>
      </c>
      <c r="L22" s="315" t="str">
        <f aca="false">IF(A22="N/A"," ",IF(OR(Dayrun=2,Dayrun=3,Dayrun=5,Dayrun=6,Dayrun=8,Dayrun=9),VLOOKUP(A22,ScaledPrice,IF(AND(Dayrun&gt;=2,Dayrun&lt;=6),5,6)),0))</f>
        <v> </v>
      </c>
      <c r="M22" s="315" t="str">
        <f aca="false">IF(A22="N/A"," ",IF(OR(Dayrun=2,Dayrun=3,Dayrun=5,Dayrun=6,Dayrun=8,Dayrun=9),IF(AND(Dayrun&gt;=2,Dayrun&lt;=6),L22,(VLOOKUP(A22,ScaledPrice,5))*(2-(VLOOKUP(A22,ScaledPrice,3)))),0))</f>
        <v> </v>
      </c>
      <c r="N22" s="315" t="str">
        <f aca="false">IF(A22="N/A"," ",IF(AND(Dayrun&gt;1,Dayrun&lt;=3),VLOOKUP(A22,ScaledPrice,9),0))</f>
        <v> </v>
      </c>
      <c r="O22" s="315" t="str">
        <f aca="false">IF(A22="N/A"," ",IF(OR(Dayrun=3,Dayrun=6,Dayrun=9),(VLOOKUP(A22,ScaledPrice,IF(AND(Dayrun&gt;=3,Dayrun&lt;=6),7,8))),0))</f>
        <v> </v>
      </c>
      <c r="P22" s="315" t="str">
        <f aca="false">IF(A22="N/A"," ",IF(OR(Dayrun=3,Dayrun=6,Dayrun=9),IF(AND(Dayrun&gt;=3,Dayrun&lt;=6),O22,(VLOOKUP(A22,ScaledPrice,7))*(2-(VLOOKUP(A22,ScaledPrice,3)))),0))</f>
        <v> </v>
      </c>
      <c r="Q22" s="315" t="str">
        <f aca="false">IF(A22="N/A"," ",IF(AND(Dayrun&gt;2,Dayrun&lt;=3),VLOOKUP(A22,ScaledPrice,9),0))</f>
        <v> </v>
      </c>
      <c r="R22" s="316" t="str">
        <f aca="false">IF($A22="N/A"," ",IF(Pricetype=2,MAX(I22-$H22,0),IF(Pricetype=1,(xSPRDOPT(I22,$E22,$CI22,0,($CD22+IF(Smile=TRUE(),VLOOKUP(MAX(-5,$H22-I22),Volsmile,2),0)),$CG22,$CH22,($A22-DateToday)+15,1,0)),I22-$H22)))</f>
        <v> </v>
      </c>
      <c r="S22" s="316" t="str">
        <f aca="false">IF($A22="N/A"," ",IF(Pricetype=2,MAX(J22-$H22,0),IF(Pricetype=1,(xSPRDOPT(J22,$E22,$CI22,0,($CD22+IF(Smile=TRUE(),VLOOKUP(MAX(-5,$H22-J22),Volsmile,2),0)),$CG22,$CH22,($A22-DateToday)+15,1,0)),J22-$H22)))</f>
        <v> </v>
      </c>
      <c r="T22" s="317" t="str">
        <f aca="false">IF($A22="N/A"," ",(IF(Pricetype=2,IF((K22-$H22)&lt;=0,0,(K22-$H22)),IF(K22&lt;&gt;0,(K22-$H22),0))))</f>
        <v> </v>
      </c>
      <c r="U22" s="316" t="str">
        <f aca="false">IF($A22="N/A"," ",IF(Pricetype=2,MAX(L22-$H22,0),IF(L22&lt;&gt;0,IF(Pricetype=1,(xSPRDOPT(L22,$E22,$CI22,0,($CD22+IF(Smile=TRUE(),VLOOKUP(MAX(-5,$H22-L22),Volsmile,2),0)),$CG22,$CH22,($A22-DateToday)+15,1,0)),L22-$H22),0)))</f>
        <v> </v>
      </c>
      <c r="V22" s="316" t="str">
        <f aca="false">IF($A22="N/A"," ",IF(Pricetype=2,MAX(M22-$H22,0),IF(M22&lt;&gt;0,IF(Pricetype=1,(xSPRDOPT(M22,$E22,$CI22,0,($CD22+IF(Smile=TRUE(),VLOOKUP(MAX(-5,$H22-M22),Volsmile,2),0)),$CG22,$CH22,($A22-DateToday)+15,1,0)),M22-$H22),0)))</f>
        <v> </v>
      </c>
      <c r="W22" s="317" t="str">
        <f aca="false">IF($A22="N/A"," ",(IF(Pricetype=2,IF((N22-$H22)&lt;=0,0,(N22-$H22)),IF(N22&lt;&gt;0,(N22-$H22),0))))</f>
        <v> </v>
      </c>
      <c r="X22" s="316" t="str">
        <f aca="false">IF($A22="N/A"," ",IF(Pricetype=2,MAX(O22-$H22,0),IF(O22&lt;&gt;0,IF(Pricetype=1,(xSPRDOPT(O22,$E22,$CI22,0,($CD22+IF(Smile=TRUE(),VLOOKUP(MAX(-5,$H22-O22),Volsmile,2),0)),$CG22,$CH22,($A22-DateToday)+15,1,0)),O22-$H22),0)))</f>
        <v> </v>
      </c>
      <c r="Y22" s="316" t="str">
        <f aca="false">IF($A22="N/A"," ",IF(Pricetype=2,MAX(P22-$H22,0),IF(P22&lt;&gt;0,IF(Pricetype=1,(xSPRDOPT(P22,$E22,$CI22,0,($CD22+IF(Smile=TRUE(),VLOOKUP(MAX(-5,$H22-P22),Volsmile,2),0)),$CG22,$CH22,($A22-DateToday)+15,1,0)),P22-$H22),0)))</f>
        <v> </v>
      </c>
      <c r="Z22" s="317" t="str">
        <f aca="false">IF($A22="N/A"," ",(IF(Pricetype=2,IF((Q22-$H22)&lt;=0,0,(Q22-$H22)),IF(Q22&lt;&gt;0,(Q22-$H22),0))))</f>
        <v> </v>
      </c>
      <c r="AA22" s="318" t="str">
        <f aca="false">IF($A22="N/A"," ",IF(VLOOKUP(MONTH(A22),ManualTable,2)=1,(IF(0&lt;&gt;R22,IF(Pricetype=1,(xSPRDOPT(I22,$E22,$CI22,0,($CD22+IF(Smile=TRUE(),VLOOKUP(MAX(-5,$H22-I22),Volsmile,2),0)),$CG22,$CH22,($A22-DateToday)+15,1,1))*(8*$HD22),8*$HD22),0)),0))</f>
        <v> </v>
      </c>
      <c r="AB22" s="318" t="str">
        <f aca="false">IF($A22="N/A"," ",IF(VLOOKUP(MONTH(A22),ManualTable,3)=1,(IF(S22&lt;&gt;0,IF(Pricetype=1,(xSPRDOPT(J22,$E22,$CI22,0,($CD22+IF(Smile=TRUE(),VLOOKUP(MAX(-5,$H22-J22),Volsmile,2),0)),$CG22,$CH22,($A22-DateToday)+15,1,1))*(8*$HD22),8*$HD22),0)),0))</f>
        <v> </v>
      </c>
      <c r="AC22" s="318" t="str">
        <f aca="false">IF($A22="N/A"," ",IF(VLOOKUP(MONTH(A22),ManualTable,4)=1,(IF(T22&lt;&gt;0,(8*$HD22),0)),0))</f>
        <v> </v>
      </c>
      <c r="AD22" s="318" t="str">
        <f aca="false">IF($A22="N/A"," ",IF(VLOOKUP(MONTH(A22),ManualTable,5)=1,(IF(U22&lt;&gt;0,IF(Pricetype=1,(xSPRDOPT(L22,$E22,$CI22,0,($CD22+IF(Smile=TRUE(),VLOOKUP(MAX(-5,$H22-L22),Volsmile,2),0)),$CG22,$CH22,($A22-DateToday)+15,1,1))*(8*$HE22),8*$HE22),0)),0))</f>
        <v> </v>
      </c>
      <c r="AE22" s="318" t="str">
        <f aca="false">IF($A22="N/A"," ",IF(VLOOKUP(MONTH(A22),ManualTable,6)=1,(IF(V22&lt;&gt;0,IF(Pricetype=1,(xSPRDOPT(M22,$E22,$CI22,0,($CD22+IF(Smile=TRUE(),VLOOKUP(MAX(-5,$H22-M22),Volsmile,2),0)),$CG22,$CH22,($A22-DateToday)+15,1,1))*(8*$HE22),8*$HE22),0)),0))</f>
        <v> </v>
      </c>
      <c r="AF22" s="318" t="str">
        <f aca="false">IF($A22="N/A"," ",IF(VLOOKUP(MONTH(A22),ManualTable,7)=1,(IF(W22&lt;&gt;0,(8*$HE22),0)),0))</f>
        <v> </v>
      </c>
      <c r="AG22" s="318" t="str">
        <f aca="false">IF($A22="N/A"," ",IF(VLOOKUP(MONTH(A22),ManualTable,8)=1,(IF(X22&lt;&gt;0,IF(Pricetype=1,(xSPRDOPT(O22,$E22,$CI22,0,($CD22+IF(Smile=TRUE(),VLOOKUP(MAX(-5,$H22-O22),Volsmile,2),0)),$CG22,$CH22,($A22-DateToday)+15,1,1))*(8*$HF22),8*$HF22),0)),0))</f>
        <v> </v>
      </c>
      <c r="AH22" s="318" t="str">
        <f aca="false">IF($A22="N/A"," ",IF(VLOOKUP(MONTH(A22),ManualTable,9)=1,(IF(Y22&lt;&gt;0,IF(Pricetype=1,(xSPRDOPT(P22,$E22,$CI22,0,($CD22+IF(Smile=TRUE(),VLOOKUP(MAX(-5,$H22-P22),Volsmile,2),0)),$CG22,$CH22,($A22-DateToday)+15,1,1))*(8*$HF22),8*$HF22),0)),0))</f>
        <v> </v>
      </c>
      <c r="AI22" s="318" t="str">
        <f aca="false">IF($A22="N/A"," ",IF(VLOOKUP(MONTH(A22),ManualTable,10)=1,(IF(Z22&lt;&gt;0,(8*($HF22)),0)),0))</f>
        <v> </v>
      </c>
      <c r="AJ22" s="344" t="str">
        <f aca="false">IF($A22="N/A"," ",RANK(R22,$R$16:$Z$27))</f>
        <v> </v>
      </c>
      <c r="AK22" s="321" t="str">
        <f aca="false">IF($A22="N/A"," ",RANK(S22,$R$16:$Z$27))</f>
        <v> </v>
      </c>
      <c r="AL22" s="321" t="str">
        <f aca="false">IF($A22="N/A"," ",RANK(T22,$R$16:$Z$27))</f>
        <v> </v>
      </c>
      <c r="AM22" s="321" t="str">
        <f aca="false">IF($A22="N/A"," ",RANK(U22,$R$16:$Z$27))</f>
        <v> </v>
      </c>
      <c r="AN22" s="321" t="str">
        <f aca="false">IF($A22="N/A"," ",RANK(V22,$R$16:$Z$27))</f>
        <v> </v>
      </c>
      <c r="AO22" s="321" t="str">
        <f aca="false">IF($A22="N/A"," ",RANK(W22,$R$16:$Z$27))</f>
        <v> </v>
      </c>
      <c r="AP22" s="321" t="str">
        <f aca="false">IF($A22="N/A"," ",RANK(X22,$R$16:$Z$27))</f>
        <v> </v>
      </c>
      <c r="AQ22" s="321" t="str">
        <f aca="false">IF($A22="N/A"," ",RANK(Y22,$R$16:$Z$27))</f>
        <v> </v>
      </c>
      <c r="AR22" s="345" t="str">
        <f aca="false">IF($A22="N/A"," ",RANK(Z22,$R$16:$Z$27))</f>
        <v> </v>
      </c>
      <c r="AS22" s="323" t="str">
        <f aca="false">IF($A22="N/A"," ",IF(AJ22&lt;=$AR$2,AA22,0))</f>
        <v> </v>
      </c>
      <c r="AT22" s="325" t="str">
        <f aca="false">IF($A22="N/A"," ",IF(AK22&lt;=$AR$2,AB22,0))</f>
        <v> </v>
      </c>
      <c r="AU22" s="325" t="str">
        <f aca="false">IF($A22="N/A"," ",IF(AL22&lt;=$AR$2,AC22,0))</f>
        <v> </v>
      </c>
      <c r="AV22" s="325" t="str">
        <f aca="false">IF($A22="N/A"," ",IF(AM22&lt;=$AR$2,AD22,0))</f>
        <v> </v>
      </c>
      <c r="AW22" s="325" t="str">
        <f aca="false">IF($A22="N/A"," ",IF(AN22&lt;=$AR$2,AE22,0))</f>
        <v> </v>
      </c>
      <c r="AX22" s="325" t="str">
        <f aca="false">IF($A22="N/A"," ",IF(AO22&lt;=$AR$2,AF22,0))</f>
        <v> </v>
      </c>
      <c r="AY22" s="325" t="str">
        <f aca="false">IF($A22="N/A"," ",IF(AP22&lt;=$AR$2,AG22,0))</f>
        <v> </v>
      </c>
      <c r="AZ22" s="325" t="str">
        <f aca="false">IF($A22="N/A"," ",IF(AQ22&lt;=$AR$2,AH22,0))</f>
        <v> </v>
      </c>
      <c r="BA22" s="325" t="str">
        <f aca="false">IF($A22="N/A"," ",IF(AR22&lt;=$AR$2,AI22,0))</f>
        <v> </v>
      </c>
      <c r="BB22" s="321"/>
      <c r="BC22" s="326" t="str">
        <f aca="false">IF($A22="N/A"," ",IF(AND(AJ22=$AR$2+1,AS22=0),MIN($BB$27,AA22),0))</f>
        <v> </v>
      </c>
      <c r="BD22" s="346" t="str">
        <f aca="false">IF($A22="N/A"," ",IF(AND(AK22=$AR$2+1,AT22=0),MIN($BB$27,AB22),0))</f>
        <v> </v>
      </c>
      <c r="BE22" s="346" t="str">
        <f aca="false">IF($A22="N/A"," ",IF(AND(AL22=$AR$2+1,AU22=0),MIN($BB$27,AC22),0))</f>
        <v> </v>
      </c>
      <c r="BF22" s="346" t="str">
        <f aca="false">IF($A22="N/A"," ",IF(AND(AM22=$AR$2+1,AV22=0),MIN($BB$27,AD22),0))</f>
        <v> </v>
      </c>
      <c r="BG22" s="346" t="str">
        <f aca="false">IF($A22="N/A"," ",IF(AND(AN22=$AR$2+1,AW22=0),MIN($BB$27,AE22),0))</f>
        <v> </v>
      </c>
      <c r="BH22" s="346" t="str">
        <f aca="false">IF($A22="N/A"," ",IF(AND(AO22=$AR$2+1,AX22=0),MIN($BB$27,AF22),0))</f>
        <v> </v>
      </c>
      <c r="BI22" s="346" t="str">
        <f aca="false">IF($A22="N/A"," ",IF(AND(AP22=$AR$2+1,AY22=0),MIN($BB$27,AG22),0))</f>
        <v> </v>
      </c>
      <c r="BJ22" s="346" t="str">
        <f aca="false">IF($A22="N/A"," ",IF(AND(AQ22=$AR$2+1,AZ22=0),MIN($BB$27,AH22),0))</f>
        <v> </v>
      </c>
      <c r="BK22" s="346" t="str">
        <f aca="false">IF($A22="N/A"," ",IF(AND(AR22=$AR$2+1,BA22=0),MIN($BB$27,AI22),0))</f>
        <v> </v>
      </c>
      <c r="BL22" s="360"/>
      <c r="BM22" s="329" t="str">
        <f aca="false">IF($A22="N/A"," ",(IF(MONTH(A22)&gt;=4,IF(MONTH(A22)&lt;=10,Inputs!$F$13-Inputs!$G$13,Inputs!$F$14-Inputs!$G$14),Inputs!$F$14-Inputs!$G$14))*$CK22*Availability)</f>
        <v> </v>
      </c>
      <c r="BN22" s="330" t="str">
        <f aca="false">IF($A22="N/A"," ",(IF(AS22&gt;0,($BM22*(8*($HD22))*R22),0)+IF(BC22&gt;0,($BM22*((BC22/AA22)*8*$HD22)*R22),0)))</f>
        <v> </v>
      </c>
      <c r="BO22" s="330" t="str">
        <f aca="false">IF($A22="N/A"," ",(IF(AT22&gt;0,($BM22*(8*($HD22))*S22),0)+IF(BD22&gt;0,($BM22*((BD22/AB22)*8*$HD22)*S22),0)))</f>
        <v> </v>
      </c>
      <c r="BP22" s="330" t="str">
        <f aca="false">IF($A22="N/A"," ",(IF(AU22&gt;0,($BM22*(8*($HD22))*T22),0)+IF(BE22&gt;0,($BM22*((BE22))*T22),0)))</f>
        <v> </v>
      </c>
      <c r="BQ22" s="330" t="str">
        <f aca="false">IF($A22="N/A"," ",(IF(AV22&gt;0,($BM22*(8*($HE22))*U22),0)+IF(BF22&gt;0,($BM22*((BF22/AD22)*8*$HE22)*U22),0)))</f>
        <v> </v>
      </c>
      <c r="BR22" s="330" t="str">
        <f aca="false">IF($A22="N/A"," ",(IF(AW22&gt;0,($BM22*(8*($HE22))*V22),0)+IF(BG22&gt;0,($BM22*((BG22/AE22)*8*$HE22)*V22),0)))</f>
        <v> </v>
      </c>
      <c r="BS22" s="330" t="str">
        <f aca="false">IF($A22="N/A"," ",(IF(AX22&gt;0,($BM22*(8*($HE22))*W22),0)+IF(BH22&gt;0,($BM22*((BH22))*W22),0)))</f>
        <v> </v>
      </c>
      <c r="BT22" s="330" t="str">
        <f aca="false">IF($A22="N/A"," ",(IF(AY22&gt;0,($BM22*(8*($HF22))*X22),0)+IF(BI22&gt;0,($BM22*((BI22/AG22)*8*$HF22)*X22),0)))</f>
        <v> </v>
      </c>
      <c r="BU22" s="330" t="str">
        <f aca="false">IF($A22="N/A"," ",(IF(AZ22&gt;0,($BM22*(8*($HF22))*Y22),0)+IF(BJ22&gt;0,($BM22*((BJ22/AH22)*8*$HF22)*Y22),0)))</f>
        <v> </v>
      </c>
      <c r="BV22" s="330" t="str">
        <f aca="false">IF($A22="N/A"," ",(IF(BA22&gt;0,($BM22*(8*($HF22))*Z22),0)+IF(BK22&gt;0,($BM22*((BK22))*Z22),0)))</f>
        <v> </v>
      </c>
      <c r="BW22" s="330" t="str">
        <f aca="false">IF($A22="N/A"," ",SUM(BN22:BV22))</f>
        <v> </v>
      </c>
      <c r="BX22" s="331" t="str">
        <f aca="false">IF($A22="N/A"," ",(H22*(SUM(AS22:BA22)+SUM(BC22:BK22))*BM22))</f>
        <v> </v>
      </c>
      <c r="BY22" s="332" t="str">
        <f aca="false">IF($A22="N/A"," ",((C22*D22)*(SUM($AS22:$BA22)+SUM($BC22:$BK22))*$BM22))</f>
        <v> </v>
      </c>
      <c r="BZ22" s="332" t="str">
        <f aca="false">IF($A22="N/A"," ",(F22*(SUM($AS22:$BA22)+SUM($BC22:$BK22))*$BM22))</f>
        <v> </v>
      </c>
      <c r="CA22" s="333" t="str">
        <f aca="false">IF($A22="N/A"," ",(G22*(SUM($AS22:$BA22)+SUM($BC22:$BK22))*$BM22))</f>
        <v> </v>
      </c>
      <c r="CB22" s="334" t="str">
        <f aca="false">IF(A22="N/A"," ",(VLOOKUP(A22,PowerVolTable,(IF(BMO=2,7,IF(BMO=1,6,8))),FALSE())))</f>
        <v> </v>
      </c>
      <c r="CC22" s="334" t="str">
        <f aca="false">IF(A22="N/A"," ",(VLOOKUP(A22,IntraPowerVol,(IF(BMO=2,3,IF(BMO=1,2,4))),FALSE())*VLOOKUP(MONTH($A22),Volscale,2)))</f>
        <v> </v>
      </c>
      <c r="CD22" s="335" t="str">
        <f aca="false">IF($A22="N/A"," ",(IF(DateToday&gt;$A22,$CC22,((($CB22^2)*((($A22-1)-DateToday)/((EOMONTH($A22,0)+1)-DateToday-15)))+((($CC22)^2)*((15)/((EOMONTH($A22,0)+1)-DateToday-15))))^0.5)))</f>
        <v> </v>
      </c>
      <c r="CE22" s="334" t="str">
        <f aca="false">IF($A22="N/A"," ",(VLOOKUP($A22,GasVolTable,(IF(BMO=2,6,IF(BMO=1,7,5))),FALSE())))</f>
        <v> </v>
      </c>
      <c r="CF22" s="334" t="str">
        <f aca="false">IF($A22="N/A"," ",(VLOOKUP($A22,OmicronVol,(IF(BMO=2,3,IF(BMO=1,4,2))),FALSE())))</f>
        <v> </v>
      </c>
      <c r="CG22" s="335" t="str">
        <f aca="false">IF($A22="N/A"," ",(IF(DateToday&gt;$A22,$CF22,((($CE22^2)*((($A22-1)-DateToday)/((EOMONTH($A22,0)+1)-DateToday-15)))+((($CF22)^2)*((15)/((EOMONTH($A22,0)+1)-DateToday-15))))^0.5)))</f>
        <v> </v>
      </c>
      <c r="CH22" s="334" t="str">
        <f aca="false">IF($A22="N/A"," ",VLOOKUP($A22,CorrelationTable,2,FALSE()))</f>
        <v> </v>
      </c>
      <c r="CI22" s="336" t="str">
        <f aca="false">IF($A22="N/A"," ",F22+G22+(D22*('Pricing Inputs'!T55)))</f>
        <v> </v>
      </c>
      <c r="CJ22" s="334" t="str">
        <f aca="false">IF($A22="N/A"," ",IF(PV=1,0,'Pricing Inputs'!U55))</f>
        <v> </v>
      </c>
      <c r="CK22" s="337" t="str">
        <f aca="false">IF($A22="N/A"," ",(1+CJ22/2)^(-2*((EOMONTH(A22,0)+20)-DateToday)/365.25))</f>
        <v> </v>
      </c>
      <c r="CL22" s="338" t="str">
        <f aca="false">IF(A22="N/A"," ",IF(CC=2,(VLOOKUP(MONTH($A22),Hrtable,3))/1000,0))</f>
        <v> </v>
      </c>
      <c r="CM22" s="339" t="str">
        <f aca="false">IF(A22="N/A"," ",IF(CC=2,(CL22*C22)+F22,0))</f>
        <v> </v>
      </c>
      <c r="CN22" s="340" t="str">
        <f aca="false">IF($A22="N/A"," ",IF(CC=2,(VLOOKUP(A22,ScaledPrice,(IF(AND(Dayrun&gt;=1,Dayrun&lt;=6),2,4)))-((IF(R22&lt;&gt;0,$D22,$CL22)*$C22)+$F22+$G22)),0))</f>
        <v> </v>
      </c>
      <c r="CO22" s="340" t="str">
        <f aca="false">IF($A22="N/A"," ",IF(CC=2,(IF(AND(Dayrun&gt;=1,Dayrun&lt;=6),I22,(VLOOKUP(A22,ScaledPrice,2))*(2-(VLOOKUP(A22,ScaledPrice,3))))-((IF(S22&lt;&gt;0,$D22,$CL22)*$C22)+$F22+$G22)),0))</f>
        <v> </v>
      </c>
      <c r="CP22" s="340" t="str">
        <f aca="false">IF(A22="N/A"," ",IF(CC=2,(VLOOKUP(A22,ScaledPrice,9)-((IF(T22&lt;&gt;0,$D22,$CL22)*$C22)+$F22+$G22)),0))</f>
        <v> </v>
      </c>
      <c r="CQ22" s="340" t="str">
        <f aca="false">IF(A22="N/A"," ",IF(CC=2,(IF(OR(Dayrun=2,Dayrun=3,Dayrun=5,Dayrun=6,Dayrun=8,Dayrun=9),VLOOKUP(A22,ScaledPrice,IF(AND(Dayrun&gt;=2,Dayrun&lt;=6),5,6)),0)-((IF(U22&lt;&gt;0,$D22,$CL22)*$C22)+$F22+$G22)),0))</f>
        <v> </v>
      </c>
      <c r="CR22" s="340" t="str">
        <f aca="false">IF(A22="N/A"," ",IF(CC=2,(IF(OR(Dayrun=2,Dayrun=3,Dayrun=5,Dayrun=6,Dayrun=8,Dayrun=9),IF(AND(Dayrun&gt;=2,Dayrun&lt;=6),L22,(VLOOKUP(A22,ScaledPrice,5))*(2-(VLOOKUP(A22,ScaledPrice,3)))),0)-((IF(V22&lt;&gt;0,$D22,$CL22)*$C22)+$F22+$G22)),0))</f>
        <v> </v>
      </c>
      <c r="CS22" s="340" t="str">
        <f aca="false">IF(A22="N/A"," ",IF(CC=2,(VLOOKUP(A22,ScaledPrice,9)-((IF(W22&lt;&gt;0,$D22,$CL22)*$C22)+$F22+$G22)),0))</f>
        <v> </v>
      </c>
      <c r="CT22" s="340" t="str">
        <f aca="false">IF(A22="N/A"," ",IF(CC=2,(IF(OR(Dayrun=3,Dayrun=6,Dayrun=9),(VLOOKUP(A22,ScaledPrice,IF(AND(Dayrun&gt;=3,Dayrun&lt;=6),7,8))),0)-((IF(X22&lt;&gt;0,$D22,$CL22)*$C22)+$F22+$G22)),0))</f>
        <v> </v>
      </c>
      <c r="CU22" s="340" t="str">
        <f aca="false">IF(A22="N/A"," ",IF(CC=2,(IF(OR(Dayrun=3,Dayrun=6,Dayrun=9),IF(AND(Dayrun&gt;=3,Dayrun&lt;=6),O22,(VLOOKUP(A22,ScaledPrice,7))*(2-(VLOOKUP(A22,ScaledPrice,3)))),0)-((IF(Y22&lt;&gt;0,$D22,$CL22)*$C22)+$F22+$G22)),0))</f>
        <v> </v>
      </c>
      <c r="CV22" s="340" t="str">
        <f aca="false">IF(A22="N/A"," ",IF(CC=2,(VLOOKUP(A22,ScaledPrice,9)-((IF(Z22&lt;&gt;0,$D22,$CL22)*$C22)+$F22+$G22)),0))</f>
        <v> </v>
      </c>
      <c r="CW22" s="318" t="str">
        <f aca="false">IF($A22="N/A"," ",IF(0&lt;&gt;CN22,IF(CC=2,8*$HD22,0),0))</f>
        <v> </v>
      </c>
      <c r="CX22" s="318" t="str">
        <f aca="false">IF($A22="N/A"," ",IF(0&lt;&gt;CO22,IF(CC=2,8*$HD22,0),0))</f>
        <v> </v>
      </c>
      <c r="CY22" s="318" t="str">
        <f aca="false">IF($A22="N/A"," ",IF(0&lt;&gt;CP22,IF(CC=2,8*$HD22,0),0))</f>
        <v> </v>
      </c>
      <c r="CZ22" s="318" t="str">
        <f aca="false">IF($A22="N/A"," ",IF(0&lt;&gt;CQ22,IF(CC=2,8*$HE22,0),0))</f>
        <v> </v>
      </c>
      <c r="DA22" s="318" t="str">
        <f aca="false">IF($A22="N/A"," ",IF(0&lt;&gt;CR22,IF(CC=2,8*$HE22,0),0))</f>
        <v> </v>
      </c>
      <c r="DB22" s="318" t="str">
        <f aca="false">IF($A22="N/A"," ",IF(0&lt;&gt;CS22,IF(CC=2,8*$HE22,0),0))</f>
        <v> </v>
      </c>
      <c r="DC22" s="318" t="str">
        <f aca="false">IF($A22="N/A"," ",IF(0&lt;&gt;CT22,IF(CC=2,8*$HF22,0),0))</f>
        <v> </v>
      </c>
      <c r="DD22" s="318" t="str">
        <f aca="false">IF($A22="N/A"," ",IF(0&lt;&gt;CU22,IF(CC=2,8*$HF22,0),0))</f>
        <v> </v>
      </c>
      <c r="DE22" s="318" t="str">
        <f aca="false">IF($A22="N/A"," ",IF(0&lt;&gt;CV22,IF(CC=2,8*$HF22,0),0))</f>
        <v> </v>
      </c>
      <c r="DF22" s="341" t="str">
        <f aca="false">IF($A22="N/A"," ",IF(CC=2,(IF(MONTH(A22)&gt;=4,IF(MONTH(A22)&lt;=10,Inputs!$G$13,Inputs!$G$14),Inputs!$G$14))*$CK22,0))</f>
        <v> </v>
      </c>
      <c r="DG22" s="342" t="str">
        <f aca="false">IF($A22="N/A"," ",IF(CC=2,$DF22*CW22*CN22,0))</f>
        <v> </v>
      </c>
      <c r="DH22" s="342" t="str">
        <f aca="false">IF($A22="N/A"," ",IF(CC=2,$DF22*CX22*CO22,0))</f>
        <v> </v>
      </c>
      <c r="DI22" s="342" t="str">
        <f aca="false">IF($A22="N/A"," ",IF(CC=2,$DF22*CY22*CP22,0))</f>
        <v> </v>
      </c>
      <c r="DJ22" s="342" t="str">
        <f aca="false">IF($A22="N/A"," ",IF(CC=2,$DF22*CZ22*CQ22,0))</f>
        <v> </v>
      </c>
      <c r="DK22" s="342" t="str">
        <f aca="false">IF($A22="N/A"," ",IF(CC=2,$DF22*DA22*CR22,0))</f>
        <v> </v>
      </c>
      <c r="DL22" s="342" t="str">
        <f aca="false">IF($A22="N/A"," ",IF(CC=2,$DF22*DB22*CS22,0))</f>
        <v> </v>
      </c>
      <c r="DM22" s="342" t="str">
        <f aca="false">IF($A22="N/A"," ",IF(CC=2,$DF22*DC22*CT22,0))</f>
        <v> </v>
      </c>
      <c r="DN22" s="342" t="str">
        <f aca="false">IF($A22="N/A"," ",IF(CC=2,$DF22*DD22*CU22,0))</f>
        <v> </v>
      </c>
      <c r="DO22" s="342" t="str">
        <f aca="false">IF($A22="N/A"," ",IF(CC=2,$DF22*DE22*CV22,0))</f>
        <v> </v>
      </c>
      <c r="DP22" s="343" t="str">
        <f aca="false">IF($A22="N/A"," ",IF(CC=2,SUM(DG22:DO22),0))</f>
        <v> </v>
      </c>
      <c r="DQ22" s="0" t="str">
        <f aca="false">IF(A22="N/A"," ",Perstart)</f>
        <v> </v>
      </c>
      <c r="HD22" s="0" t="str">
        <f aca="false">IF($A22="N/A"," ",VLOOKUP($A22,NumberofDaysTable,2))</f>
        <v> </v>
      </c>
      <c r="HE22" s="0" t="str">
        <f aca="false">IF($A22="N/A"," ",VLOOKUP($A22,NumberofDaysTable,3))</f>
        <v> </v>
      </c>
      <c r="HF22" s="0" t="str">
        <f aca="false">IF($A22="N/A"," ",VLOOKUP($A22,NumberofDaysTable,4))</f>
        <v> </v>
      </c>
    </row>
    <row r="23" customFormat="false" ht="12.75" hidden="false" customHeight="false" outlineLevel="0" collapsed="false">
      <c r="A23" s="308" t="str">
        <f aca="false">IF(A22="N/A","N/A",IF(EDATE(A22,1)&gt;Inputs!$K$3,"N/A",EDATE(A22,1)))</f>
        <v>N/A</v>
      </c>
      <c r="B23" s="309" t="str">
        <f aca="false">IF(A23="N/A"," ",YEAR(A23))</f>
        <v> </v>
      </c>
      <c r="C23" s="310" t="str">
        <f aca="false">IF(A23="N/A"," ",VLOOKUP(A23,ScaledPrice,10))</f>
        <v> </v>
      </c>
      <c r="D23" s="311" t="str">
        <f aca="false">IF(A23="N/A"," ",(VLOOKUP(MONTH($A23),Hrtable,2))/1000)</f>
        <v> </v>
      </c>
      <c r="E23" s="312" t="str">
        <f aca="false">IF($A23="N/A"," ",(C23-'Pricing Inputs'!T56)*D23)</f>
        <v> </v>
      </c>
      <c r="F23" s="313" t="str">
        <f aca="false">IF(A23="N/A"," ",$F11*(1+VOMesc))</f>
        <v> </v>
      </c>
      <c r="G23" s="313" t="str">
        <f aca="false">IF(A23="N/A"," ",Perstart/IF(AND(Dayrun&gt;=4,Dayrun&lt;=6),16,IF(AND(Dayrun&gt;=7,Dayrun&lt;=9),8,24))/(BM23/CK23))</f>
        <v> </v>
      </c>
      <c r="H23" s="314" t="str">
        <f aca="false">IF(A23="N/A"," ",(C23*D23)+F23+G23)</f>
        <v> </v>
      </c>
      <c r="I23" s="315" t="str">
        <f aca="false">VLOOKUP(A23,ScaledPrice,(IF(AND(Dayrun&gt;=1,Dayrun&lt;=6),2,4)))</f>
        <v> </v>
      </c>
      <c r="J23" s="315" t="str">
        <f aca="false">IF(A23="N/A"," ",IF(AND(Dayrun&gt;=1,Dayrun&lt;=6),I23,(VLOOKUP(A23,ScaledPrice,2))*(2-(VLOOKUP(A23,ScaledPrice,3)))))</f>
        <v> </v>
      </c>
      <c r="K23" s="315" t="str">
        <f aca="false">IF(A23="N/A"," ",IF(AND(Dayrun&gt;=1,Dayrun&lt;=3),VLOOKUP(A23,ScaledPrice,9),0))</f>
        <v> </v>
      </c>
      <c r="L23" s="315" t="str">
        <f aca="false">IF(A23="N/A"," ",IF(OR(Dayrun=2,Dayrun=3,Dayrun=5,Dayrun=6,Dayrun=8,Dayrun=9),VLOOKUP(A23,ScaledPrice,IF(AND(Dayrun&gt;=2,Dayrun&lt;=6),5,6)),0))</f>
        <v> </v>
      </c>
      <c r="M23" s="315" t="str">
        <f aca="false">IF(A23="N/A"," ",IF(OR(Dayrun=2,Dayrun=3,Dayrun=5,Dayrun=6,Dayrun=8,Dayrun=9),IF(AND(Dayrun&gt;=2,Dayrun&lt;=6),L23,(VLOOKUP(A23,ScaledPrice,5))*(2-(VLOOKUP(A23,ScaledPrice,3)))),0))</f>
        <v> </v>
      </c>
      <c r="N23" s="315" t="str">
        <f aca="false">IF(A23="N/A"," ",IF(AND(Dayrun&gt;1,Dayrun&lt;=3),VLOOKUP(A23,ScaledPrice,9),0))</f>
        <v> </v>
      </c>
      <c r="O23" s="315" t="str">
        <f aca="false">IF(A23="N/A"," ",IF(OR(Dayrun=3,Dayrun=6,Dayrun=9),(VLOOKUP(A23,ScaledPrice,IF(AND(Dayrun&gt;=3,Dayrun&lt;=6),7,8))),0))</f>
        <v> </v>
      </c>
      <c r="P23" s="315" t="str">
        <f aca="false">IF(A23="N/A"," ",IF(OR(Dayrun=3,Dayrun=6,Dayrun=9),IF(AND(Dayrun&gt;=3,Dayrun&lt;=6),O23,(VLOOKUP(A23,ScaledPrice,7))*(2-(VLOOKUP(A23,ScaledPrice,3)))),0))</f>
        <v> </v>
      </c>
      <c r="Q23" s="315" t="str">
        <f aca="false">IF(A23="N/A"," ",IF(AND(Dayrun&gt;2,Dayrun&lt;=3),VLOOKUP(A23,ScaledPrice,9),0))</f>
        <v> </v>
      </c>
      <c r="R23" s="316" t="str">
        <f aca="false">IF($A23="N/A"," ",IF(Pricetype=2,MAX(I23-$H23,0),IF(Pricetype=1,(xSPRDOPT(I23,$E23,$CI23,0,($CD23+IF(Smile=TRUE(),VLOOKUP(MAX(-5,$H23-I23),Volsmile,2),0)),$CG23,$CH23,($A23-DateToday)+15,1,0)),I23-$H23)))</f>
        <v> </v>
      </c>
      <c r="S23" s="316" t="str">
        <f aca="false">IF($A23="N/A"," ",IF(Pricetype=2,MAX(J23-$H23,0),IF(Pricetype=1,(xSPRDOPT(J23,$E23,$CI23,0,($CD23+IF(Smile=TRUE(),VLOOKUP(MAX(-5,$H23-J23),Volsmile,2),0)),$CG23,$CH23,($A23-DateToday)+15,1,0)),J23-$H23)))</f>
        <v> </v>
      </c>
      <c r="T23" s="317" t="str">
        <f aca="false">IF($A23="N/A"," ",(IF(Pricetype=2,IF((K23-$H23)&lt;=0,0,(K23-$H23)),IF(K23&lt;&gt;0,(K23-$H23),0))))</f>
        <v> </v>
      </c>
      <c r="U23" s="316" t="str">
        <f aca="false">IF($A23="N/A"," ",IF(Pricetype=2,MAX(L23-$H23,0),IF(L23&lt;&gt;0,IF(Pricetype=1,(xSPRDOPT(L23,$E23,$CI23,0,($CD23+IF(Smile=TRUE(),VLOOKUP(MAX(-5,$H23-L23),Volsmile,2),0)),$CG23,$CH23,($A23-DateToday)+15,1,0)),L23-$H23),0)))</f>
        <v> </v>
      </c>
      <c r="V23" s="316" t="str">
        <f aca="false">IF($A23="N/A"," ",IF(Pricetype=2,MAX(M23-$H23,0),IF(M23&lt;&gt;0,IF(Pricetype=1,(xSPRDOPT(M23,$E23,$CI23,0,($CD23+IF(Smile=TRUE(),VLOOKUP(MAX(-5,$H23-M23),Volsmile,2),0)),$CG23,$CH23,($A23-DateToday)+15,1,0)),M23-$H23),0)))</f>
        <v> </v>
      </c>
      <c r="W23" s="317" t="str">
        <f aca="false">IF($A23="N/A"," ",(IF(Pricetype=2,IF((N23-$H23)&lt;=0,0,(N23-$H23)),IF(N23&lt;&gt;0,(N23-$H23),0))))</f>
        <v> </v>
      </c>
      <c r="X23" s="316" t="str">
        <f aca="false">IF($A23="N/A"," ",IF(Pricetype=2,MAX(O23-$H23,0),IF(O23&lt;&gt;0,IF(Pricetype=1,(xSPRDOPT(O23,$E23,$CI23,0,($CD23+IF(Smile=TRUE(),VLOOKUP(MAX(-5,$H23-O23),Volsmile,2),0)),$CG23,$CH23,($A23-DateToday)+15,1,0)),O23-$H23),0)))</f>
        <v> </v>
      </c>
      <c r="Y23" s="316" t="str">
        <f aca="false">IF($A23="N/A"," ",IF(Pricetype=2,MAX(P23-$H23,0),IF(P23&lt;&gt;0,IF(Pricetype=1,(xSPRDOPT(P23,$E23,$CI23,0,($CD23+IF(Smile=TRUE(),VLOOKUP(MAX(-5,$H23-P23),Volsmile,2),0)),$CG23,$CH23,($A23-DateToday)+15,1,0)),P23-$H23),0)))</f>
        <v> </v>
      </c>
      <c r="Z23" s="317" t="str">
        <f aca="false">IF($A23="N/A"," ",(IF(Pricetype=2,IF((Q23-$H23)&lt;=0,0,(Q23-$H23)),IF(Q23&lt;&gt;0,(Q23-$H23),0))))</f>
        <v> </v>
      </c>
      <c r="AA23" s="318" t="str">
        <f aca="false">IF($A23="N/A"," ",IF(VLOOKUP(MONTH(A23),ManualTable,2)=1,(IF(0&lt;&gt;R23,IF(Pricetype=1,(xSPRDOPT(I23,$E23,$CI23,0,($CD23+IF(Smile=TRUE(),VLOOKUP(MAX(-5,$H23-I23),Volsmile,2),0)),$CG23,$CH23,($A23-DateToday)+15,1,1))*(8*$HD23),8*$HD23),0)),0))</f>
        <v> </v>
      </c>
      <c r="AB23" s="318" t="str">
        <f aca="false">IF($A23="N/A"," ",IF(VLOOKUP(MONTH(A23),ManualTable,3)=1,(IF(S23&lt;&gt;0,IF(Pricetype=1,(xSPRDOPT(J23,$E23,$CI23,0,($CD23+IF(Smile=TRUE(),VLOOKUP(MAX(-5,$H23-J23),Volsmile,2),0)),$CG23,$CH23,($A23-DateToday)+15,1,1))*(8*$HD23),8*$HD23),0)),0))</f>
        <v> </v>
      </c>
      <c r="AC23" s="318" t="str">
        <f aca="false">IF($A23="N/A"," ",IF(VLOOKUP(MONTH(A23),ManualTable,4)=1,(IF(T23&lt;&gt;0,(8*$HD23),0)),0))</f>
        <v> </v>
      </c>
      <c r="AD23" s="318" t="str">
        <f aca="false">IF($A23="N/A"," ",IF(VLOOKUP(MONTH(A23),ManualTable,5)=1,(IF(U23&lt;&gt;0,IF(Pricetype=1,(xSPRDOPT(L23,$E23,$CI23,0,($CD23+IF(Smile=TRUE(),VLOOKUP(MAX(-5,$H23-L23),Volsmile,2),0)),$CG23,$CH23,($A23-DateToday)+15,1,1))*(8*$HE23),8*$HE23),0)),0))</f>
        <v> </v>
      </c>
      <c r="AE23" s="318" t="str">
        <f aca="false">IF($A23="N/A"," ",IF(VLOOKUP(MONTH(A23),ManualTable,6)=1,(IF(V23&lt;&gt;0,IF(Pricetype=1,(xSPRDOPT(M23,$E23,$CI23,0,($CD23+IF(Smile=TRUE(),VLOOKUP(MAX(-5,$H23-M23),Volsmile,2),0)),$CG23,$CH23,($A23-DateToday)+15,1,1))*(8*$HE23),8*$HE23),0)),0))</f>
        <v> </v>
      </c>
      <c r="AF23" s="318" t="str">
        <f aca="false">IF($A23="N/A"," ",IF(VLOOKUP(MONTH(A23),ManualTable,7)=1,(IF(W23&lt;&gt;0,(8*$HE23),0)),0))</f>
        <v> </v>
      </c>
      <c r="AG23" s="318" t="str">
        <f aca="false">IF($A23="N/A"," ",IF(VLOOKUP(MONTH(A23),ManualTable,8)=1,(IF(X23&lt;&gt;0,IF(Pricetype=1,(xSPRDOPT(O23,$E23,$CI23,0,($CD23+IF(Smile=TRUE(),VLOOKUP(MAX(-5,$H23-O23),Volsmile,2),0)),$CG23,$CH23,($A23-DateToday)+15,1,1))*(8*$HF23),8*$HF23),0)),0))</f>
        <v> </v>
      </c>
      <c r="AH23" s="318" t="str">
        <f aca="false">IF($A23="N/A"," ",IF(VLOOKUP(MONTH(A23),ManualTable,9)=1,(IF(Y23&lt;&gt;0,IF(Pricetype=1,(xSPRDOPT(P23,$E23,$CI23,0,($CD23+IF(Smile=TRUE(),VLOOKUP(MAX(-5,$H23-P23),Volsmile,2),0)),$CG23,$CH23,($A23-DateToday)+15,1,1))*(8*$HF23),8*$HF23),0)),0))</f>
        <v> </v>
      </c>
      <c r="AI23" s="318" t="str">
        <f aca="false">IF($A23="N/A"," ",IF(VLOOKUP(MONTH(A23),ManualTable,10)=1,(IF(Z23&lt;&gt;0,(8*($HF23)),0)),0))</f>
        <v> </v>
      </c>
      <c r="AJ23" s="344" t="str">
        <f aca="false">IF($A23="N/A"," ",RANK(R23,$R$16:$Z$27))</f>
        <v> </v>
      </c>
      <c r="AK23" s="321" t="str">
        <f aca="false">IF($A23="N/A"," ",RANK(S23,$R$16:$Z$27))</f>
        <v> </v>
      </c>
      <c r="AL23" s="321" t="str">
        <f aca="false">IF($A23="N/A"," ",RANK(T23,$R$16:$Z$27))</f>
        <v> </v>
      </c>
      <c r="AM23" s="321" t="str">
        <f aca="false">IF($A23="N/A"," ",RANK(U23,$R$16:$Z$27))</f>
        <v> </v>
      </c>
      <c r="AN23" s="321" t="str">
        <f aca="false">IF($A23="N/A"," ",RANK(V23,$R$16:$Z$27))</f>
        <v> </v>
      </c>
      <c r="AO23" s="321" t="str">
        <f aca="false">IF($A23="N/A"," ",RANK(W23,$R$16:$Z$27))</f>
        <v> </v>
      </c>
      <c r="AP23" s="321" t="str">
        <f aca="false">IF($A23="N/A"," ",RANK(X23,$R$16:$Z$27))</f>
        <v> </v>
      </c>
      <c r="AQ23" s="321" t="str">
        <f aca="false">IF($A23="N/A"," ",RANK(Y23,$R$16:$Z$27))</f>
        <v> </v>
      </c>
      <c r="AR23" s="345" t="str">
        <f aca="false">IF($A23="N/A"," ",RANK(Z23,$R$16:$Z$27))</f>
        <v> </v>
      </c>
      <c r="AS23" s="323" t="str">
        <f aca="false">IF($A23="N/A"," ",IF(AJ23&lt;=$AR$2,AA23,0))</f>
        <v> </v>
      </c>
      <c r="AT23" s="325" t="str">
        <f aca="false">IF($A23="N/A"," ",IF(AK23&lt;=$AR$2,AB23,0))</f>
        <v> </v>
      </c>
      <c r="AU23" s="325" t="str">
        <f aca="false">IF($A23="N/A"," ",IF(AL23&lt;=$AR$2,AC23,0))</f>
        <v> </v>
      </c>
      <c r="AV23" s="325" t="str">
        <f aca="false">IF($A23="N/A"," ",IF(AM23&lt;=$AR$2,AD23,0))</f>
        <v> </v>
      </c>
      <c r="AW23" s="325" t="str">
        <f aca="false">IF($A23="N/A"," ",IF(AN23&lt;=$AR$2,AE23,0))</f>
        <v> </v>
      </c>
      <c r="AX23" s="325" t="str">
        <f aca="false">IF($A23="N/A"," ",IF(AO23&lt;=$AR$2,AF23,0))</f>
        <v> </v>
      </c>
      <c r="AY23" s="325" t="str">
        <f aca="false">IF($A23="N/A"," ",IF(AP23&lt;=$AR$2,AG23,0))</f>
        <v> </v>
      </c>
      <c r="AZ23" s="325" t="str">
        <f aca="false">IF($A23="N/A"," ",IF(AQ23&lt;=$AR$2,AH23,0))</f>
        <v> </v>
      </c>
      <c r="BA23" s="325" t="str">
        <f aca="false">IF($A23="N/A"," ",IF(AR23&lt;=$AR$2,AI23,0))</f>
        <v> </v>
      </c>
      <c r="BB23" s="321"/>
      <c r="BC23" s="326" t="str">
        <f aca="false">IF($A23="N/A"," ",IF(AND(AJ23=$AR$2+1,AS23=0),MIN($BB$27,AA23),0))</f>
        <v> </v>
      </c>
      <c r="BD23" s="346" t="str">
        <f aca="false">IF($A23="N/A"," ",IF(AND(AK23=$AR$2+1,AT23=0),MIN($BB$27,AB23),0))</f>
        <v> </v>
      </c>
      <c r="BE23" s="346" t="str">
        <f aca="false">IF($A23="N/A"," ",IF(AND(AL23=$AR$2+1,AU23=0),MIN($BB$27,AC23),0))</f>
        <v> </v>
      </c>
      <c r="BF23" s="346" t="str">
        <f aca="false">IF($A23="N/A"," ",IF(AND(AM23=$AR$2+1,AV23=0),MIN($BB$27,AD23),0))</f>
        <v> </v>
      </c>
      <c r="BG23" s="346" t="str">
        <f aca="false">IF($A23="N/A"," ",IF(AND(AN23=$AR$2+1,AW23=0),MIN($BB$27,AE23),0))</f>
        <v> </v>
      </c>
      <c r="BH23" s="346" t="str">
        <f aca="false">IF($A23="N/A"," ",IF(AND(AO23=$AR$2+1,AX23=0),MIN($BB$27,AF23),0))</f>
        <v> </v>
      </c>
      <c r="BI23" s="346" t="str">
        <f aca="false">IF($A23="N/A"," ",IF(AND(AP23=$AR$2+1,AY23=0),MIN($BB$27,AG23),0))</f>
        <v> </v>
      </c>
      <c r="BJ23" s="346" t="str">
        <f aca="false">IF($A23="N/A"," ",IF(AND(AQ23=$AR$2+1,AZ23=0),MIN($BB$27,AH23),0))</f>
        <v> </v>
      </c>
      <c r="BK23" s="346" t="str">
        <f aca="false">IF($A23="N/A"," ",IF(AND(AR23=$AR$2+1,BA23=0),MIN($BB$27,AI23),0))</f>
        <v> </v>
      </c>
      <c r="BL23" s="360"/>
      <c r="BM23" s="329" t="str">
        <f aca="false">IF($A23="N/A"," ",(IF(MONTH(A23)&gt;=4,IF(MONTH(A23)&lt;=10,Inputs!$F$13-Inputs!$G$13,Inputs!$F$14-Inputs!$G$14),Inputs!$F$14-Inputs!$G$14))*$CK23*Availability)</f>
        <v> </v>
      </c>
      <c r="BN23" s="330" t="str">
        <f aca="false">IF($A23="N/A"," ",(IF(AS23&gt;0,($BM23*(8*($HD23))*R23),0)+IF(BC23&gt;0,($BM23*((BC23/AA23)*8*$HD23)*R23),0)))</f>
        <v> </v>
      </c>
      <c r="BO23" s="330" t="str">
        <f aca="false">IF($A23="N/A"," ",(IF(AT23&gt;0,($BM23*(8*($HD23))*S23),0)+IF(BD23&gt;0,($BM23*((BD23/AB23)*8*$HD23)*S23),0)))</f>
        <v> </v>
      </c>
      <c r="BP23" s="330" t="str">
        <f aca="false">IF($A23="N/A"," ",(IF(AU23&gt;0,($BM23*(8*($HD23))*T23),0)+IF(BE23&gt;0,($BM23*((BE23))*T23),0)))</f>
        <v> </v>
      </c>
      <c r="BQ23" s="330" t="str">
        <f aca="false">IF($A23="N/A"," ",(IF(AV23&gt;0,($BM23*(8*($HE23))*U23),0)+IF(BF23&gt;0,($BM23*((BF23/AD23)*8*$HE23)*U23),0)))</f>
        <v> </v>
      </c>
      <c r="BR23" s="330" t="str">
        <f aca="false">IF($A23="N/A"," ",(IF(AW23&gt;0,($BM23*(8*($HE23))*V23),0)+IF(BG23&gt;0,($BM23*((BG23/AE23)*8*$HE23)*V23),0)))</f>
        <v> </v>
      </c>
      <c r="BS23" s="330" t="str">
        <f aca="false">IF($A23="N/A"," ",(IF(AX23&gt;0,($BM23*(8*($HE23))*W23),0)+IF(BH23&gt;0,($BM23*((BH23))*W23),0)))</f>
        <v> </v>
      </c>
      <c r="BT23" s="330" t="str">
        <f aca="false">IF($A23="N/A"," ",(IF(AY23&gt;0,($BM23*(8*($HF23))*X23),0)+IF(BI23&gt;0,($BM23*((BI23/AG23)*8*$HF23)*X23),0)))</f>
        <v> </v>
      </c>
      <c r="BU23" s="330" t="str">
        <f aca="false">IF($A23="N/A"," ",(IF(AZ23&gt;0,($BM23*(8*($HF23))*Y23),0)+IF(BJ23&gt;0,($BM23*((BJ23/AH23)*8*$HF23)*Y23),0)))</f>
        <v> </v>
      </c>
      <c r="BV23" s="330" t="str">
        <f aca="false">IF($A23="N/A"," ",(IF(BA23&gt;0,($BM23*(8*($HF23))*Z23),0)+IF(BK23&gt;0,($BM23*((BK23))*Z23),0)))</f>
        <v> </v>
      </c>
      <c r="BW23" s="330" t="str">
        <f aca="false">IF($A23="N/A"," ",SUM(BN23:BV23))</f>
        <v> </v>
      </c>
      <c r="BX23" s="331" t="str">
        <f aca="false">IF($A23="N/A"," ",(H23*(SUM(AS23:BA23)+SUM(BC23:BK23))*BM23))</f>
        <v> </v>
      </c>
      <c r="BY23" s="332" t="str">
        <f aca="false">IF($A23="N/A"," ",((C23*D23)*(SUM($AS23:$BA23)+SUM($BC23:$BK23))*$BM23))</f>
        <v> </v>
      </c>
      <c r="BZ23" s="332" t="str">
        <f aca="false">IF($A23="N/A"," ",(F23*(SUM($AS23:$BA23)+SUM($BC23:$BK23))*$BM23))</f>
        <v> </v>
      </c>
      <c r="CA23" s="333" t="str">
        <f aca="false">IF($A23="N/A"," ",(G23*(SUM($AS23:$BA23)+SUM($BC23:$BK23))*$BM23))</f>
        <v> </v>
      </c>
      <c r="CB23" s="334" t="str">
        <f aca="false">IF(A23="N/A"," ",(VLOOKUP(A23,PowerVolTable,(IF(BMO=2,7,IF(BMO=1,6,8))),FALSE())))</f>
        <v> </v>
      </c>
      <c r="CC23" s="334" t="str">
        <f aca="false">IF(A23="N/A"," ",(VLOOKUP(A23,IntraPowerVol,(IF(BMO=2,3,IF(BMO=1,2,4))),FALSE())*VLOOKUP(MONTH($A23),Volscale,2)))</f>
        <v> </v>
      </c>
      <c r="CD23" s="335" t="str">
        <f aca="false">IF($A23="N/A"," ",(IF(DateToday&gt;$A23,$CC23,((($CB23^2)*((($A23-1)-DateToday)/((EOMONTH($A23,0)+1)-DateToday-15)))+((($CC23)^2)*((15)/((EOMONTH($A23,0)+1)-DateToday-15))))^0.5)))</f>
        <v> </v>
      </c>
      <c r="CE23" s="334" t="str">
        <f aca="false">IF($A23="N/A"," ",(VLOOKUP($A23,GasVolTable,(IF(BMO=2,6,IF(BMO=1,7,5))),FALSE())))</f>
        <v> </v>
      </c>
      <c r="CF23" s="334" t="str">
        <f aca="false">IF($A23="N/A"," ",(VLOOKUP($A23,OmicronVol,(IF(BMO=2,3,IF(BMO=1,4,2))),FALSE())))</f>
        <v> </v>
      </c>
      <c r="CG23" s="335" t="str">
        <f aca="false">IF($A23="N/A"," ",(IF(DateToday&gt;$A23,$CF23,((($CE23^2)*((($A23-1)-DateToday)/((EOMONTH($A23,0)+1)-DateToday-15)))+((($CF23)^2)*((15)/((EOMONTH($A23,0)+1)-DateToday-15))))^0.5)))</f>
        <v> </v>
      </c>
      <c r="CH23" s="334" t="str">
        <f aca="false">IF($A23="N/A"," ",VLOOKUP($A23,CorrelationTable,2,FALSE()))</f>
        <v> </v>
      </c>
      <c r="CI23" s="336" t="str">
        <f aca="false">IF($A23="N/A"," ",F23+G23+(D23*('Pricing Inputs'!T56)))</f>
        <v> </v>
      </c>
      <c r="CJ23" s="334" t="str">
        <f aca="false">IF($A23="N/A"," ",IF(PV=1,0,'Pricing Inputs'!U56))</f>
        <v> </v>
      </c>
      <c r="CK23" s="337" t="str">
        <f aca="false">IF($A23="N/A"," ",(1+CJ23/2)^(-2*((EOMONTH(A23,0)+20)-DateToday)/365.25))</f>
        <v> </v>
      </c>
      <c r="CL23" s="338" t="str">
        <f aca="false">IF(A23="N/A"," ",IF(CC=2,(VLOOKUP(MONTH($A23),Hrtable,3))/1000,0))</f>
        <v> </v>
      </c>
      <c r="CM23" s="339" t="str">
        <f aca="false">IF(A23="N/A"," ",IF(CC=2,(CL23*C23)+F23,0))</f>
        <v> </v>
      </c>
      <c r="CN23" s="340" t="str">
        <f aca="false">IF($A23="N/A"," ",IF(CC=2,(VLOOKUP(A23,ScaledPrice,(IF(AND(Dayrun&gt;=1,Dayrun&lt;=6),2,4)))-((IF(R23&lt;&gt;0,$D23,$CL23)*$C23)+$F23+$G23)),0))</f>
        <v> </v>
      </c>
      <c r="CO23" s="340" t="str">
        <f aca="false">IF($A23="N/A"," ",IF(CC=2,(IF(AND(Dayrun&gt;=1,Dayrun&lt;=6),I23,(VLOOKUP(A23,ScaledPrice,2))*(2-(VLOOKUP(A23,ScaledPrice,3))))-((IF(S23&lt;&gt;0,$D23,$CL23)*$C23)+$F23+$G23)),0))</f>
        <v> </v>
      </c>
      <c r="CP23" s="340" t="str">
        <f aca="false">IF(A23="N/A"," ",IF(CC=2,(VLOOKUP(A23,ScaledPrice,9)-((IF(T23&lt;&gt;0,$D23,$CL23)*$C23)+$F23+$G23)),0))</f>
        <v> </v>
      </c>
      <c r="CQ23" s="340" t="str">
        <f aca="false">IF(A23="N/A"," ",IF(CC=2,(IF(OR(Dayrun=2,Dayrun=3,Dayrun=5,Dayrun=6,Dayrun=8,Dayrun=9),VLOOKUP(A23,ScaledPrice,IF(AND(Dayrun&gt;=2,Dayrun&lt;=6),5,6)),0)-((IF(U23&lt;&gt;0,$D23,$CL23)*$C23)+$F23+$G23)),0))</f>
        <v> </v>
      </c>
      <c r="CR23" s="340" t="str">
        <f aca="false">IF(A23="N/A"," ",IF(CC=2,(IF(OR(Dayrun=2,Dayrun=3,Dayrun=5,Dayrun=6,Dayrun=8,Dayrun=9),IF(AND(Dayrun&gt;=2,Dayrun&lt;=6),L23,(VLOOKUP(A23,ScaledPrice,5))*(2-(VLOOKUP(A23,ScaledPrice,3)))),0)-((IF(V23&lt;&gt;0,$D23,$CL23)*$C23)+$F23+$G23)),0))</f>
        <v> </v>
      </c>
      <c r="CS23" s="340" t="str">
        <f aca="false">IF(A23="N/A"," ",IF(CC=2,(VLOOKUP(A23,ScaledPrice,9)-((IF(W23&lt;&gt;0,$D23,$CL23)*$C23)+$F23+$G23)),0))</f>
        <v> </v>
      </c>
      <c r="CT23" s="340" t="str">
        <f aca="false">IF(A23="N/A"," ",IF(CC=2,(IF(OR(Dayrun=3,Dayrun=6,Dayrun=9),(VLOOKUP(A23,ScaledPrice,IF(AND(Dayrun&gt;=3,Dayrun&lt;=6),7,8))),0)-((IF(X23&lt;&gt;0,$D23,$CL23)*$C23)+$F23+$G23)),0))</f>
        <v> </v>
      </c>
      <c r="CU23" s="340" t="str">
        <f aca="false">IF(A23="N/A"," ",IF(CC=2,(IF(OR(Dayrun=3,Dayrun=6,Dayrun=9),IF(AND(Dayrun&gt;=3,Dayrun&lt;=6),O23,(VLOOKUP(A23,ScaledPrice,7))*(2-(VLOOKUP(A23,ScaledPrice,3)))),0)-((IF(Y23&lt;&gt;0,$D23,$CL23)*$C23)+$F23+$G23)),0))</f>
        <v> </v>
      </c>
      <c r="CV23" s="340" t="str">
        <f aca="false">IF(A23="N/A"," ",IF(CC=2,(VLOOKUP(A23,ScaledPrice,9)-((IF(Z23&lt;&gt;0,$D23,$CL23)*$C23)+$F23+$G23)),0))</f>
        <v> </v>
      </c>
      <c r="CW23" s="318" t="str">
        <f aca="false">IF($A23="N/A"," ",IF(0&lt;&gt;CN23,IF(CC=2,8*$HD23,0),0))</f>
        <v> </v>
      </c>
      <c r="CX23" s="318" t="str">
        <f aca="false">IF($A23="N/A"," ",IF(0&lt;&gt;CO23,IF(CC=2,8*$HD23,0),0))</f>
        <v> </v>
      </c>
      <c r="CY23" s="318" t="str">
        <f aca="false">IF($A23="N/A"," ",IF(0&lt;&gt;CP23,IF(CC=2,8*$HD23,0),0))</f>
        <v> </v>
      </c>
      <c r="CZ23" s="318" t="str">
        <f aca="false">IF($A23="N/A"," ",IF(0&lt;&gt;CQ23,IF(CC=2,8*$HE23,0),0))</f>
        <v> </v>
      </c>
      <c r="DA23" s="318" t="str">
        <f aca="false">IF($A23="N/A"," ",IF(0&lt;&gt;CR23,IF(CC=2,8*$HE23,0),0))</f>
        <v> </v>
      </c>
      <c r="DB23" s="318" t="str">
        <f aca="false">IF($A23="N/A"," ",IF(0&lt;&gt;CS23,IF(CC=2,8*$HE23,0),0))</f>
        <v> </v>
      </c>
      <c r="DC23" s="318" t="str">
        <f aca="false">IF($A23="N/A"," ",IF(0&lt;&gt;CT23,IF(CC=2,8*$HF23,0),0))</f>
        <v> </v>
      </c>
      <c r="DD23" s="318" t="str">
        <f aca="false">IF($A23="N/A"," ",IF(0&lt;&gt;CU23,IF(CC=2,8*$HF23,0),0))</f>
        <v> </v>
      </c>
      <c r="DE23" s="318" t="str">
        <f aca="false">IF($A23="N/A"," ",IF(0&lt;&gt;CV23,IF(CC=2,8*$HF23,0),0))</f>
        <v> </v>
      </c>
      <c r="DF23" s="341" t="str">
        <f aca="false">IF($A23="N/A"," ",IF(CC=2,(IF(MONTH(A23)&gt;=4,IF(MONTH(A23)&lt;=10,Inputs!$G$13,Inputs!$G$14),Inputs!$G$14))*$CK23,0))</f>
        <v> </v>
      </c>
      <c r="DG23" s="342" t="str">
        <f aca="false">IF($A23="N/A"," ",IF(CC=2,$DF23*CW23*CN23,0))</f>
        <v> </v>
      </c>
      <c r="DH23" s="342" t="str">
        <f aca="false">IF($A23="N/A"," ",IF(CC=2,$DF23*CX23*CO23,0))</f>
        <v> </v>
      </c>
      <c r="DI23" s="342" t="str">
        <f aca="false">IF($A23="N/A"," ",IF(CC=2,$DF23*CY23*CP23,0))</f>
        <v> </v>
      </c>
      <c r="DJ23" s="342" t="str">
        <f aca="false">IF($A23="N/A"," ",IF(CC=2,$DF23*CZ23*CQ23,0))</f>
        <v> </v>
      </c>
      <c r="DK23" s="342" t="str">
        <f aca="false">IF($A23="N/A"," ",IF(CC=2,$DF23*DA23*CR23,0))</f>
        <v> </v>
      </c>
      <c r="DL23" s="342" t="str">
        <f aca="false">IF($A23="N/A"," ",IF(CC=2,$DF23*DB23*CS23,0))</f>
        <v> </v>
      </c>
      <c r="DM23" s="342" t="str">
        <f aca="false">IF($A23="N/A"," ",IF(CC=2,$DF23*DC23*CT23,0))</f>
        <v> </v>
      </c>
      <c r="DN23" s="342" t="str">
        <f aca="false">IF($A23="N/A"," ",IF(CC=2,$DF23*DD23*CU23,0))</f>
        <v> </v>
      </c>
      <c r="DO23" s="342" t="str">
        <f aca="false">IF($A23="N/A"," ",IF(CC=2,$DF23*DE23*CV23,0))</f>
        <v> </v>
      </c>
      <c r="DP23" s="343" t="str">
        <f aca="false">IF($A23="N/A"," ",IF(CC=2,SUM(DG23:DO23),0))</f>
        <v> </v>
      </c>
      <c r="DQ23" s="0" t="str">
        <f aca="false">IF(A23="N/A"," ",Perstart)</f>
        <v> </v>
      </c>
      <c r="HD23" s="0" t="str">
        <f aca="false">IF($A23="N/A"," ",VLOOKUP($A23,NumberofDaysTable,2))</f>
        <v> </v>
      </c>
      <c r="HE23" s="0" t="str">
        <f aca="false">IF($A23="N/A"," ",VLOOKUP($A23,NumberofDaysTable,3))</f>
        <v> </v>
      </c>
      <c r="HF23" s="0" t="str">
        <f aca="false">IF($A23="N/A"," ",VLOOKUP($A23,NumberofDaysTable,4))</f>
        <v> </v>
      </c>
    </row>
    <row r="24" customFormat="false" ht="12.75" hidden="false" customHeight="false" outlineLevel="0" collapsed="false">
      <c r="A24" s="308" t="str">
        <f aca="false">IF(A23="N/A","N/A",IF(EDATE(A23,1)&gt;Inputs!$K$3,"N/A",EDATE(A23,1)))</f>
        <v>N/A</v>
      </c>
      <c r="B24" s="309" t="str">
        <f aca="false">IF(A24="N/A"," ",YEAR(A24))</f>
        <v> </v>
      </c>
      <c r="C24" s="310" t="str">
        <f aca="false">IF(A24="N/A"," ",VLOOKUP(A24,ScaledPrice,10))</f>
        <v> </v>
      </c>
      <c r="D24" s="311" t="str">
        <f aca="false">IF(A24="N/A"," ",(VLOOKUP(MONTH($A24),Hrtable,2))/1000)</f>
        <v> </v>
      </c>
      <c r="E24" s="312" t="str">
        <f aca="false">IF($A24="N/A"," ",(C24-'Pricing Inputs'!T57)*D24)</f>
        <v> </v>
      </c>
      <c r="F24" s="313" t="str">
        <f aca="false">IF(A24="N/A"," ",$F12*(1+VOMesc))</f>
        <v> </v>
      </c>
      <c r="G24" s="313" t="str">
        <f aca="false">IF(A24="N/A"," ",Perstart/IF(AND(Dayrun&gt;=4,Dayrun&lt;=6),16,IF(AND(Dayrun&gt;=7,Dayrun&lt;=9),8,24))/(BM24/CK24))</f>
        <v> </v>
      </c>
      <c r="H24" s="314" t="str">
        <f aca="false">IF(A24="N/A"," ",(C24*D24)+F24+G24)</f>
        <v> </v>
      </c>
      <c r="I24" s="315" t="str">
        <f aca="false">VLOOKUP(A24,ScaledPrice,(IF(AND(Dayrun&gt;=1,Dayrun&lt;=6),2,4)))</f>
        <v> </v>
      </c>
      <c r="J24" s="315" t="str">
        <f aca="false">IF(A24="N/A"," ",IF(AND(Dayrun&gt;=1,Dayrun&lt;=6),I24,(VLOOKUP(A24,ScaledPrice,2))*(2-(VLOOKUP(A24,ScaledPrice,3)))))</f>
        <v> </v>
      </c>
      <c r="K24" s="315" t="str">
        <f aca="false">IF(A24="N/A"," ",IF(AND(Dayrun&gt;=1,Dayrun&lt;=3),VLOOKUP(A24,ScaledPrice,9),0))</f>
        <v> </v>
      </c>
      <c r="L24" s="315" t="str">
        <f aca="false">IF(A24="N/A"," ",IF(OR(Dayrun=2,Dayrun=3,Dayrun=5,Dayrun=6,Dayrun=8,Dayrun=9),VLOOKUP(A24,ScaledPrice,IF(AND(Dayrun&gt;=2,Dayrun&lt;=6),5,6)),0))</f>
        <v> </v>
      </c>
      <c r="M24" s="315" t="str">
        <f aca="false">IF(A24="N/A"," ",IF(OR(Dayrun=2,Dayrun=3,Dayrun=5,Dayrun=6,Dayrun=8,Dayrun=9),IF(AND(Dayrun&gt;=2,Dayrun&lt;=6),L24,(VLOOKUP(A24,ScaledPrice,5))*(2-(VLOOKUP(A24,ScaledPrice,3)))),0))</f>
        <v> </v>
      </c>
      <c r="N24" s="315" t="str">
        <f aca="false">IF(A24="N/A"," ",IF(AND(Dayrun&gt;1,Dayrun&lt;=3),VLOOKUP(A24,ScaledPrice,9),0))</f>
        <v> </v>
      </c>
      <c r="O24" s="315" t="str">
        <f aca="false">IF(A24="N/A"," ",IF(OR(Dayrun=3,Dayrun=6,Dayrun=9),(VLOOKUP(A24,ScaledPrice,IF(AND(Dayrun&gt;=3,Dayrun&lt;=6),7,8))),0))</f>
        <v> </v>
      </c>
      <c r="P24" s="315" t="str">
        <f aca="false">IF(A24="N/A"," ",IF(OR(Dayrun=3,Dayrun=6,Dayrun=9),IF(AND(Dayrun&gt;=3,Dayrun&lt;=6),O24,(VLOOKUP(A24,ScaledPrice,7))*(2-(VLOOKUP(A24,ScaledPrice,3)))),0))</f>
        <v> </v>
      </c>
      <c r="Q24" s="315" t="str">
        <f aca="false">IF(A24="N/A"," ",IF(AND(Dayrun&gt;2,Dayrun&lt;=3),VLOOKUP(A24,ScaledPrice,9),0))</f>
        <v> </v>
      </c>
      <c r="R24" s="316" t="str">
        <f aca="false">IF($A24="N/A"," ",IF(Pricetype=2,MAX(I24-$H24,0),IF(Pricetype=1,(xSPRDOPT(I24,$E24,$CI24,0,($CD24+IF(Smile=TRUE(),VLOOKUP(MAX(-5,$H24-I24),Volsmile,2),0)),$CG24,$CH24,($A24-DateToday)+15,1,0)),I24-$H24)))</f>
        <v> </v>
      </c>
      <c r="S24" s="316" t="str">
        <f aca="false">IF($A24="N/A"," ",IF(Pricetype=2,MAX(J24-$H24,0),IF(Pricetype=1,(xSPRDOPT(J24,$E24,$CI24,0,($CD24+IF(Smile=TRUE(),VLOOKUP(MAX(-5,$H24-J24),Volsmile,2),0)),$CG24,$CH24,($A24-DateToday)+15,1,0)),J24-$H24)))</f>
        <v> </v>
      </c>
      <c r="T24" s="317" t="str">
        <f aca="false">IF($A24="N/A"," ",(IF(Pricetype=2,IF((K24-$H24)&lt;=0,0,(K24-$H24)),IF(K24&lt;&gt;0,(K24-$H24),0))))</f>
        <v> </v>
      </c>
      <c r="U24" s="316" t="str">
        <f aca="false">IF($A24="N/A"," ",IF(Pricetype=2,MAX(L24-$H24,0),IF(L24&lt;&gt;0,IF(Pricetype=1,(xSPRDOPT(L24,$E24,$CI24,0,($CD24+IF(Smile=TRUE(),VLOOKUP(MAX(-5,$H24-L24),Volsmile,2),0)),$CG24,$CH24,($A24-DateToday)+15,1,0)),L24-$H24),0)))</f>
        <v> </v>
      </c>
      <c r="V24" s="316" t="str">
        <f aca="false">IF($A24="N/A"," ",IF(Pricetype=2,MAX(M24-$H24,0),IF(M24&lt;&gt;0,IF(Pricetype=1,(xSPRDOPT(M24,$E24,$CI24,0,($CD24+IF(Smile=TRUE(),VLOOKUP(MAX(-5,$H24-M24),Volsmile,2),0)),$CG24,$CH24,($A24-DateToday)+15,1,0)),M24-$H24),0)))</f>
        <v> </v>
      </c>
      <c r="W24" s="317" t="str">
        <f aca="false">IF($A24="N/A"," ",(IF(Pricetype=2,IF((N24-$H24)&lt;=0,0,(N24-$H24)),IF(N24&lt;&gt;0,(N24-$H24),0))))</f>
        <v> </v>
      </c>
      <c r="X24" s="316" t="str">
        <f aca="false">IF($A24="N/A"," ",IF(Pricetype=2,MAX(O24-$H24,0),IF(O24&lt;&gt;0,IF(Pricetype=1,(xSPRDOPT(O24,$E24,$CI24,0,($CD24+IF(Smile=TRUE(),VLOOKUP(MAX(-5,$H24-O24),Volsmile,2),0)),$CG24,$CH24,($A24-DateToday)+15,1,0)),O24-$H24),0)))</f>
        <v> </v>
      </c>
      <c r="Y24" s="316" t="str">
        <f aca="false">IF($A24="N/A"," ",IF(Pricetype=2,MAX(P24-$H24,0),IF(P24&lt;&gt;0,IF(Pricetype=1,(xSPRDOPT(P24,$E24,$CI24,0,($CD24+IF(Smile=TRUE(),VLOOKUP(MAX(-5,$H24-P24),Volsmile,2),0)),$CG24,$CH24,($A24-DateToday)+15,1,0)),P24-$H24),0)))</f>
        <v> </v>
      </c>
      <c r="Z24" s="317" t="str">
        <f aca="false">IF($A24="N/A"," ",(IF(Pricetype=2,IF((Q24-$H24)&lt;=0,0,(Q24-$H24)),IF(Q24&lt;&gt;0,(Q24-$H24),0))))</f>
        <v> </v>
      </c>
      <c r="AA24" s="318" t="str">
        <f aca="false">IF($A24="N/A"," ",IF(VLOOKUP(MONTH(A24),ManualTable,2)=1,(IF(0&lt;&gt;R24,IF(Pricetype=1,(xSPRDOPT(I24,$E24,$CI24,0,($CD24+IF(Smile=TRUE(),VLOOKUP(MAX(-5,$H24-I24),Volsmile,2),0)),$CG24,$CH24,($A24-DateToday)+15,1,1))*(8*$HD24),8*$HD24),0)),0))</f>
        <v> </v>
      </c>
      <c r="AB24" s="318" t="str">
        <f aca="false">IF($A24="N/A"," ",IF(VLOOKUP(MONTH(A24),ManualTable,3)=1,(IF(S24&lt;&gt;0,IF(Pricetype=1,(xSPRDOPT(J24,$E24,$CI24,0,($CD24+IF(Smile=TRUE(),VLOOKUP(MAX(-5,$H24-J24),Volsmile,2),0)),$CG24,$CH24,($A24-DateToday)+15,1,1))*(8*$HD24),8*$HD24),0)),0))</f>
        <v> </v>
      </c>
      <c r="AC24" s="318" t="str">
        <f aca="false">IF($A24="N/A"," ",IF(VLOOKUP(MONTH(A24),ManualTable,4)=1,(IF(T24&lt;&gt;0,(8*$HD24),0)),0))</f>
        <v> </v>
      </c>
      <c r="AD24" s="318" t="str">
        <f aca="false">IF($A24="N/A"," ",IF(VLOOKUP(MONTH(A24),ManualTable,5)=1,(IF(U24&lt;&gt;0,IF(Pricetype=1,(xSPRDOPT(L24,$E24,$CI24,0,($CD24+IF(Smile=TRUE(),VLOOKUP(MAX(-5,$H24-L24),Volsmile,2),0)),$CG24,$CH24,($A24-DateToday)+15,1,1))*(8*$HE24),8*$HE24),0)),0))</f>
        <v> </v>
      </c>
      <c r="AE24" s="318" t="str">
        <f aca="false">IF($A24="N/A"," ",IF(VLOOKUP(MONTH(A24),ManualTable,6)=1,(IF(V24&lt;&gt;0,IF(Pricetype=1,(xSPRDOPT(M24,$E24,$CI24,0,($CD24+IF(Smile=TRUE(),VLOOKUP(MAX(-5,$H24-M24),Volsmile,2),0)),$CG24,$CH24,($A24-DateToday)+15,1,1))*(8*$HE24),8*$HE24),0)),0))</f>
        <v> </v>
      </c>
      <c r="AF24" s="318" t="str">
        <f aca="false">IF($A24="N/A"," ",IF(VLOOKUP(MONTH(A24),ManualTable,7)=1,(IF(W24&lt;&gt;0,(8*$HE24),0)),0))</f>
        <v> </v>
      </c>
      <c r="AG24" s="318" t="str">
        <f aca="false">IF($A24="N/A"," ",IF(VLOOKUP(MONTH(A24),ManualTable,8)=1,(IF(X24&lt;&gt;0,IF(Pricetype=1,(xSPRDOPT(O24,$E24,$CI24,0,($CD24+IF(Smile=TRUE(),VLOOKUP(MAX(-5,$H24-O24),Volsmile,2),0)),$CG24,$CH24,($A24-DateToday)+15,1,1))*(8*$HF24),8*$HF24),0)),0))</f>
        <v> </v>
      </c>
      <c r="AH24" s="318" t="str">
        <f aca="false">IF($A24="N/A"," ",IF(VLOOKUP(MONTH(A24),ManualTable,9)=1,(IF(Y24&lt;&gt;0,IF(Pricetype=1,(xSPRDOPT(P24,$E24,$CI24,0,($CD24+IF(Smile=TRUE(),VLOOKUP(MAX(-5,$H24-P24),Volsmile,2),0)),$CG24,$CH24,($A24-DateToday)+15,1,1))*(8*$HF24),8*$HF24),0)),0))</f>
        <v> </v>
      </c>
      <c r="AI24" s="318" t="str">
        <f aca="false">IF($A24="N/A"," ",IF(VLOOKUP(MONTH(A24),ManualTable,10)=1,(IF(Z24&lt;&gt;0,(8*($HF24)),0)),0))</f>
        <v> </v>
      </c>
      <c r="AJ24" s="344" t="str">
        <f aca="false">IF($A24="N/A"," ",RANK(R24,$R$16:$Z$27))</f>
        <v> </v>
      </c>
      <c r="AK24" s="321" t="str">
        <f aca="false">IF($A24="N/A"," ",RANK(S24,$R$16:$Z$27))</f>
        <v> </v>
      </c>
      <c r="AL24" s="321" t="str">
        <f aca="false">IF($A24="N/A"," ",RANK(T24,$R$16:$Z$27))</f>
        <v> </v>
      </c>
      <c r="AM24" s="321" t="str">
        <f aca="false">IF($A24="N/A"," ",RANK(U24,$R$16:$Z$27))</f>
        <v> </v>
      </c>
      <c r="AN24" s="321" t="str">
        <f aca="false">IF($A24="N/A"," ",RANK(V24,$R$16:$Z$27))</f>
        <v> </v>
      </c>
      <c r="AO24" s="321" t="str">
        <f aca="false">IF($A24="N/A"," ",RANK(W24,$R$16:$Z$27))</f>
        <v> </v>
      </c>
      <c r="AP24" s="321" t="str">
        <f aca="false">IF($A24="N/A"," ",RANK(X24,$R$16:$Z$27))</f>
        <v> </v>
      </c>
      <c r="AQ24" s="321" t="str">
        <f aca="false">IF($A24="N/A"," ",RANK(Y24,$R$16:$Z$27))</f>
        <v> </v>
      </c>
      <c r="AR24" s="345" t="str">
        <f aca="false">IF($A24="N/A"," ",RANK(Z24,$R$16:$Z$27))</f>
        <v> </v>
      </c>
      <c r="AS24" s="323" t="str">
        <f aca="false">IF($A24="N/A"," ",IF(AJ24&lt;=$AR$2,AA24,0))</f>
        <v> </v>
      </c>
      <c r="AT24" s="325" t="str">
        <f aca="false">IF($A24="N/A"," ",IF(AK24&lt;=$AR$2,AB24,0))</f>
        <v> </v>
      </c>
      <c r="AU24" s="325" t="str">
        <f aca="false">IF($A24="N/A"," ",IF(AL24&lt;=$AR$2,AC24,0))</f>
        <v> </v>
      </c>
      <c r="AV24" s="325" t="str">
        <f aca="false">IF($A24="N/A"," ",IF(AM24&lt;=$AR$2,AD24,0))</f>
        <v> </v>
      </c>
      <c r="AW24" s="325" t="str">
        <f aca="false">IF($A24="N/A"," ",IF(AN24&lt;=$AR$2,AE24,0))</f>
        <v> </v>
      </c>
      <c r="AX24" s="325" t="str">
        <f aca="false">IF($A24="N/A"," ",IF(AO24&lt;=$AR$2,AF24,0))</f>
        <v> </v>
      </c>
      <c r="AY24" s="325" t="str">
        <f aca="false">IF($A24="N/A"," ",IF(AP24&lt;=$AR$2,AG24,0))</f>
        <v> </v>
      </c>
      <c r="AZ24" s="325" t="str">
        <f aca="false">IF($A24="N/A"," ",IF(AQ24&lt;=$AR$2,AH24,0))</f>
        <v> </v>
      </c>
      <c r="BA24" s="325" t="str">
        <f aca="false">IF($A24="N/A"," ",IF(AR24&lt;=$AR$2,AI24,0))</f>
        <v> </v>
      </c>
      <c r="BB24" s="321"/>
      <c r="BC24" s="326" t="str">
        <f aca="false">IF($A24="N/A"," ",IF(AND(AJ24=$AR$2+1,AS24=0),MIN($BB$27,AA24),0))</f>
        <v> </v>
      </c>
      <c r="BD24" s="346" t="str">
        <f aca="false">IF($A24="N/A"," ",IF(AND(AK24=$AR$2+1,AT24=0),MIN($BB$27,AB24),0))</f>
        <v> </v>
      </c>
      <c r="BE24" s="346" t="str">
        <f aca="false">IF($A24="N/A"," ",IF(AND(AL24=$AR$2+1,AU24=0),MIN($BB$27,AC24),0))</f>
        <v> </v>
      </c>
      <c r="BF24" s="346" t="str">
        <f aca="false">IF($A24="N/A"," ",IF(AND(AM24=$AR$2+1,AV24=0),MIN($BB$27,AD24),0))</f>
        <v> </v>
      </c>
      <c r="BG24" s="346" t="str">
        <f aca="false">IF($A24="N/A"," ",IF(AND(AN24=$AR$2+1,AW24=0),MIN($BB$27,AE24),0))</f>
        <v> </v>
      </c>
      <c r="BH24" s="346" t="str">
        <f aca="false">IF($A24="N/A"," ",IF(AND(AO24=$AR$2+1,AX24=0),MIN($BB$27,AF24),0))</f>
        <v> </v>
      </c>
      <c r="BI24" s="346" t="str">
        <f aca="false">IF($A24="N/A"," ",IF(AND(AP24=$AR$2+1,AY24=0),MIN($BB$27,AG24),0))</f>
        <v> </v>
      </c>
      <c r="BJ24" s="346" t="str">
        <f aca="false">IF($A24="N/A"," ",IF(AND(AQ24=$AR$2+1,AZ24=0),MIN($BB$27,AH24),0))</f>
        <v> </v>
      </c>
      <c r="BK24" s="346" t="str">
        <f aca="false">IF($A24="N/A"," ",IF(AND(AR24=$AR$2+1,BA24=0),MIN($BB$27,AI24),0))</f>
        <v> </v>
      </c>
      <c r="BL24" s="360"/>
      <c r="BM24" s="329" t="str">
        <f aca="false">IF($A24="N/A"," ",(IF(MONTH(A24)&gt;=4,IF(MONTH(A24)&lt;=10,Inputs!$F$13-Inputs!$G$13,Inputs!$F$14-Inputs!$G$14),Inputs!$F$14-Inputs!$G$14))*$CK24*Availability)</f>
        <v> </v>
      </c>
      <c r="BN24" s="330" t="str">
        <f aca="false">IF($A24="N/A"," ",(IF(AS24&gt;0,($BM24*(8*($HD24))*R24),0)+IF(BC24&gt;0,($BM24*((BC24/AA24)*8*$HD24)*R24),0)))</f>
        <v> </v>
      </c>
      <c r="BO24" s="330" t="str">
        <f aca="false">IF($A24="N/A"," ",(IF(AT24&gt;0,($BM24*(8*($HD24))*S24),0)+IF(BD24&gt;0,($BM24*((BD24/AB24)*8*$HD24)*S24),0)))</f>
        <v> </v>
      </c>
      <c r="BP24" s="330" t="str">
        <f aca="false">IF($A24="N/A"," ",(IF(AU24&gt;0,($BM24*(8*($HD24))*T24),0)+IF(BE24&gt;0,($BM24*((BE24))*T24),0)))</f>
        <v> </v>
      </c>
      <c r="BQ24" s="330" t="str">
        <f aca="false">IF($A24="N/A"," ",(IF(AV24&gt;0,($BM24*(8*($HE24))*U24),0)+IF(BF24&gt;0,($BM24*((BF24/AD24)*8*$HE24)*U24),0)))</f>
        <v> </v>
      </c>
      <c r="BR24" s="330" t="str">
        <f aca="false">IF($A24="N/A"," ",(IF(AW24&gt;0,($BM24*(8*($HE24))*V24),0)+IF(BG24&gt;0,($BM24*((BG24/AE24)*8*$HE24)*V24),0)))</f>
        <v> </v>
      </c>
      <c r="BS24" s="330" t="str">
        <f aca="false">IF($A24="N/A"," ",(IF(AX24&gt;0,($BM24*(8*($HE24))*W24),0)+IF(BH24&gt;0,($BM24*((BH24))*W24),0)))</f>
        <v> </v>
      </c>
      <c r="BT24" s="330" t="str">
        <f aca="false">IF($A24="N/A"," ",(IF(AY24&gt;0,($BM24*(8*($HF24))*X24),0)+IF(BI24&gt;0,($BM24*((BI24/AG24)*8*$HF24)*X24),0)))</f>
        <v> </v>
      </c>
      <c r="BU24" s="330" t="str">
        <f aca="false">IF($A24="N/A"," ",(IF(AZ24&gt;0,($BM24*(8*($HF24))*Y24),0)+IF(BJ24&gt;0,($BM24*((BJ24/AH24)*8*$HF24)*Y24),0)))</f>
        <v> </v>
      </c>
      <c r="BV24" s="330" t="str">
        <f aca="false">IF($A24="N/A"," ",(IF(BA24&gt;0,($BM24*(8*($HF24))*Z24),0)+IF(BK24&gt;0,($BM24*((BK24))*Z24),0)))</f>
        <v> </v>
      </c>
      <c r="BW24" s="330" t="str">
        <f aca="false">IF($A24="N/A"," ",SUM(BN24:BV24))</f>
        <v> </v>
      </c>
      <c r="BX24" s="331" t="str">
        <f aca="false">IF($A24="N/A"," ",(H24*(SUM(AS24:BA24)+SUM(BC24:BK24))*BM24))</f>
        <v> </v>
      </c>
      <c r="BY24" s="332" t="str">
        <f aca="false">IF($A24="N/A"," ",((C24*D24)*(SUM($AS24:$BA24)+SUM($BC24:$BK24))*$BM24))</f>
        <v> </v>
      </c>
      <c r="BZ24" s="332" t="str">
        <f aca="false">IF($A24="N/A"," ",(F24*(SUM($AS24:$BA24)+SUM($BC24:$BK24))*$BM24))</f>
        <v> </v>
      </c>
      <c r="CA24" s="333" t="str">
        <f aca="false">IF($A24="N/A"," ",(G24*(SUM($AS24:$BA24)+SUM($BC24:$BK24))*$BM24))</f>
        <v> </v>
      </c>
      <c r="CB24" s="334" t="str">
        <f aca="false">IF(A24="N/A"," ",(VLOOKUP(A24,PowerVolTable,(IF(BMO=2,7,IF(BMO=1,6,8))),FALSE())))</f>
        <v> </v>
      </c>
      <c r="CC24" s="334" t="str">
        <f aca="false">IF(A24="N/A"," ",(VLOOKUP(A24,IntraPowerVol,(IF(BMO=2,3,IF(BMO=1,2,4))),FALSE())*VLOOKUP(MONTH($A24),Volscale,2)))</f>
        <v> </v>
      </c>
      <c r="CD24" s="335" t="str">
        <f aca="false">IF($A24="N/A"," ",(IF(DateToday&gt;$A24,$CC24,((($CB24^2)*((($A24-1)-DateToday)/((EOMONTH($A24,0)+1)-DateToday-15)))+((($CC24)^2)*((15)/((EOMONTH($A24,0)+1)-DateToday-15))))^0.5)))</f>
        <v> </v>
      </c>
      <c r="CE24" s="334" t="str">
        <f aca="false">IF($A24="N/A"," ",(VLOOKUP($A24,GasVolTable,(IF(BMO=2,6,IF(BMO=1,7,5))),FALSE())))</f>
        <v> </v>
      </c>
      <c r="CF24" s="334" t="str">
        <f aca="false">IF($A24="N/A"," ",(VLOOKUP($A24,OmicronVol,(IF(BMO=2,3,IF(BMO=1,4,2))),FALSE())))</f>
        <v> </v>
      </c>
      <c r="CG24" s="335" t="str">
        <f aca="false">IF($A24="N/A"," ",(IF(DateToday&gt;$A24,$CF24,((($CE24^2)*((($A24-1)-DateToday)/((EOMONTH($A24,0)+1)-DateToday-15)))+((($CF24)^2)*((15)/((EOMONTH($A24,0)+1)-DateToday-15))))^0.5)))</f>
        <v> </v>
      </c>
      <c r="CH24" s="334" t="str">
        <f aca="false">IF($A24="N/A"," ",VLOOKUP($A24,CorrelationTable,2,FALSE()))</f>
        <v> </v>
      </c>
      <c r="CI24" s="336" t="str">
        <f aca="false">IF($A24="N/A"," ",F24+G24+(D24*('Pricing Inputs'!T57)))</f>
        <v> </v>
      </c>
      <c r="CJ24" s="334" t="str">
        <f aca="false">IF($A24="N/A"," ",IF(PV=1,0,'Pricing Inputs'!U57))</f>
        <v> </v>
      </c>
      <c r="CK24" s="337" t="str">
        <f aca="false">IF($A24="N/A"," ",(1+CJ24/2)^(-2*((EOMONTH(A24,0)+20)-DateToday)/365.25))</f>
        <v> </v>
      </c>
      <c r="CL24" s="338" t="str">
        <f aca="false">IF(A24="N/A"," ",IF(CC=2,(VLOOKUP(MONTH($A24),Hrtable,3))/1000,0))</f>
        <v> </v>
      </c>
      <c r="CM24" s="339" t="str">
        <f aca="false">IF(A24="N/A"," ",IF(CC=2,(CL24*C24)+F24,0))</f>
        <v> </v>
      </c>
      <c r="CN24" s="340" t="str">
        <f aca="false">IF($A24="N/A"," ",IF(CC=2,(VLOOKUP(A24,ScaledPrice,(IF(AND(Dayrun&gt;=1,Dayrun&lt;=6),2,4)))-((IF(R24&lt;&gt;0,$D24,$CL24)*$C24)+$F24+$G24)),0))</f>
        <v> </v>
      </c>
      <c r="CO24" s="340" t="str">
        <f aca="false">IF($A24="N/A"," ",IF(CC=2,(IF(AND(Dayrun&gt;=1,Dayrun&lt;=6),I24,(VLOOKUP(A24,ScaledPrice,2))*(2-(VLOOKUP(A24,ScaledPrice,3))))-((IF(S24&lt;&gt;0,$D24,$CL24)*$C24)+$F24+$G24)),0))</f>
        <v> </v>
      </c>
      <c r="CP24" s="340" t="str">
        <f aca="false">IF(A24="N/A"," ",IF(CC=2,(VLOOKUP(A24,ScaledPrice,9)-((IF(T24&lt;&gt;0,$D24,$CL24)*$C24)+$F24+$G24)),0))</f>
        <v> </v>
      </c>
      <c r="CQ24" s="340" t="str">
        <f aca="false">IF(A24="N/A"," ",IF(CC=2,(IF(OR(Dayrun=2,Dayrun=3,Dayrun=5,Dayrun=6,Dayrun=8,Dayrun=9),VLOOKUP(A24,ScaledPrice,IF(AND(Dayrun&gt;=2,Dayrun&lt;=6),5,6)),0)-((IF(U24&lt;&gt;0,$D24,$CL24)*$C24)+$F24+$G24)),0))</f>
        <v> </v>
      </c>
      <c r="CR24" s="340" t="str">
        <f aca="false">IF(A24="N/A"," ",IF(CC=2,(IF(OR(Dayrun=2,Dayrun=3,Dayrun=5,Dayrun=6,Dayrun=8,Dayrun=9),IF(AND(Dayrun&gt;=2,Dayrun&lt;=6),L24,(VLOOKUP(A24,ScaledPrice,5))*(2-(VLOOKUP(A24,ScaledPrice,3)))),0)-((IF(V24&lt;&gt;0,$D24,$CL24)*$C24)+$F24+$G24)),0))</f>
        <v> </v>
      </c>
      <c r="CS24" s="340" t="str">
        <f aca="false">IF(A24="N/A"," ",IF(CC=2,(VLOOKUP(A24,ScaledPrice,9)-((IF(W24&lt;&gt;0,$D24,$CL24)*$C24)+$F24+$G24)),0))</f>
        <v> </v>
      </c>
      <c r="CT24" s="340" t="str">
        <f aca="false">IF(A24="N/A"," ",IF(CC=2,(IF(OR(Dayrun=3,Dayrun=6,Dayrun=9),(VLOOKUP(A24,ScaledPrice,IF(AND(Dayrun&gt;=3,Dayrun&lt;=6),7,8))),0)-((IF(X24&lt;&gt;0,$D24,$CL24)*$C24)+$F24+$G24)),0))</f>
        <v> </v>
      </c>
      <c r="CU24" s="340" t="str">
        <f aca="false">IF(A24="N/A"," ",IF(CC=2,(IF(OR(Dayrun=3,Dayrun=6,Dayrun=9),IF(AND(Dayrun&gt;=3,Dayrun&lt;=6),O24,(VLOOKUP(A24,ScaledPrice,7))*(2-(VLOOKUP(A24,ScaledPrice,3)))),0)-((IF(Y24&lt;&gt;0,$D24,$CL24)*$C24)+$F24+$G24)),0))</f>
        <v> </v>
      </c>
      <c r="CV24" s="340" t="str">
        <f aca="false">IF(A24="N/A"," ",IF(CC=2,(VLOOKUP(A24,ScaledPrice,9)-((IF(Z24&lt;&gt;0,$D24,$CL24)*$C24)+$F24+$G24)),0))</f>
        <v> </v>
      </c>
      <c r="CW24" s="318" t="str">
        <f aca="false">IF($A24="N/A"," ",IF(0&lt;&gt;CN24,IF(CC=2,8*$HD24,0),0))</f>
        <v> </v>
      </c>
      <c r="CX24" s="318" t="str">
        <f aca="false">IF($A24="N/A"," ",IF(0&lt;&gt;CO24,IF(CC=2,8*$HD24,0),0))</f>
        <v> </v>
      </c>
      <c r="CY24" s="318" t="str">
        <f aca="false">IF($A24="N/A"," ",IF(0&lt;&gt;CP24,IF(CC=2,8*$HD24,0),0))</f>
        <v> </v>
      </c>
      <c r="CZ24" s="318" t="str">
        <f aca="false">IF($A24="N/A"," ",IF(0&lt;&gt;CQ24,IF(CC=2,8*$HE24,0),0))</f>
        <v> </v>
      </c>
      <c r="DA24" s="318" t="str">
        <f aca="false">IF($A24="N/A"," ",IF(0&lt;&gt;CR24,IF(CC=2,8*$HE24,0),0))</f>
        <v> </v>
      </c>
      <c r="DB24" s="318" t="str">
        <f aca="false">IF($A24="N/A"," ",IF(0&lt;&gt;CS24,IF(CC=2,8*$HE24,0),0))</f>
        <v> </v>
      </c>
      <c r="DC24" s="318" t="str">
        <f aca="false">IF($A24="N/A"," ",IF(0&lt;&gt;CT24,IF(CC=2,8*$HF24,0),0))</f>
        <v> </v>
      </c>
      <c r="DD24" s="318" t="str">
        <f aca="false">IF($A24="N/A"," ",IF(0&lt;&gt;CU24,IF(CC=2,8*$HF24,0),0))</f>
        <v> </v>
      </c>
      <c r="DE24" s="318" t="str">
        <f aca="false">IF($A24="N/A"," ",IF(0&lt;&gt;CV24,IF(CC=2,8*$HF24,0),0))</f>
        <v> </v>
      </c>
      <c r="DF24" s="341" t="str">
        <f aca="false">IF($A24="N/A"," ",IF(CC=2,(IF(MONTH(A24)&gt;=4,IF(MONTH(A24)&lt;=10,Inputs!$G$13,Inputs!$G$14),Inputs!$G$14))*$CK24,0))</f>
        <v> </v>
      </c>
      <c r="DG24" s="342" t="str">
        <f aca="false">IF($A24="N/A"," ",IF(CC=2,$DF24*CW24*CN24,0))</f>
        <v> </v>
      </c>
      <c r="DH24" s="342" t="str">
        <f aca="false">IF($A24="N/A"," ",IF(CC=2,$DF24*CX24*CO24,0))</f>
        <v> </v>
      </c>
      <c r="DI24" s="342" t="str">
        <f aca="false">IF($A24="N/A"," ",IF(CC=2,$DF24*CY24*CP24,0))</f>
        <v> </v>
      </c>
      <c r="DJ24" s="342" t="str">
        <f aca="false">IF($A24="N/A"," ",IF(CC=2,$DF24*CZ24*CQ24,0))</f>
        <v> </v>
      </c>
      <c r="DK24" s="342" t="str">
        <f aca="false">IF($A24="N/A"," ",IF(CC=2,$DF24*DA24*CR24,0))</f>
        <v> </v>
      </c>
      <c r="DL24" s="342" t="str">
        <f aca="false">IF($A24="N/A"," ",IF(CC=2,$DF24*DB24*CS24,0))</f>
        <v> </v>
      </c>
      <c r="DM24" s="342" t="str">
        <f aca="false">IF($A24="N/A"," ",IF(CC=2,$DF24*DC24*CT24,0))</f>
        <v> </v>
      </c>
      <c r="DN24" s="342" t="str">
        <f aca="false">IF($A24="N/A"," ",IF(CC=2,$DF24*DD24*CU24,0))</f>
        <v> </v>
      </c>
      <c r="DO24" s="342" t="str">
        <f aca="false">IF($A24="N/A"," ",IF(CC=2,$DF24*DE24*CV24,0))</f>
        <v> </v>
      </c>
      <c r="DP24" s="343" t="str">
        <f aca="false">IF($A24="N/A"," ",IF(CC=2,SUM(DG24:DO24),0))</f>
        <v> </v>
      </c>
      <c r="DQ24" s="0" t="str">
        <f aca="false">IF(A24="N/A"," ",Perstart)</f>
        <v> </v>
      </c>
      <c r="HD24" s="0" t="str">
        <f aca="false">IF($A24="N/A"," ",VLOOKUP($A24,NumberofDaysTable,2))</f>
        <v> </v>
      </c>
      <c r="HE24" s="0" t="str">
        <f aca="false">IF($A24="N/A"," ",VLOOKUP($A24,NumberofDaysTable,3))</f>
        <v> </v>
      </c>
      <c r="HF24" s="0" t="str">
        <f aca="false">IF($A24="N/A"," ",VLOOKUP($A24,NumberofDaysTable,4))</f>
        <v> </v>
      </c>
    </row>
    <row r="25" customFormat="false" ht="12.75" hidden="false" customHeight="false" outlineLevel="0" collapsed="false">
      <c r="A25" s="308" t="str">
        <f aca="false">IF(A24="N/A","N/A",IF(EDATE(A24,1)&gt;Inputs!$K$3,"N/A",EDATE(A24,1)))</f>
        <v>N/A</v>
      </c>
      <c r="B25" s="309" t="str">
        <f aca="false">IF(A25="N/A"," ",YEAR(A25))</f>
        <v> </v>
      </c>
      <c r="C25" s="310" t="str">
        <f aca="false">IF(A25="N/A"," ",VLOOKUP(A25,ScaledPrice,10))</f>
        <v> </v>
      </c>
      <c r="D25" s="311" t="str">
        <f aca="false">IF(A25="N/A"," ",(VLOOKUP(MONTH($A25),Hrtable,2))/1000)</f>
        <v> </v>
      </c>
      <c r="E25" s="312" t="str">
        <f aca="false">IF($A25="N/A"," ",(C25-'Pricing Inputs'!T58)*D25)</f>
        <v> </v>
      </c>
      <c r="F25" s="313" t="str">
        <f aca="false">IF(A25="N/A"," ",$F13*(1+VOMesc))</f>
        <v> </v>
      </c>
      <c r="G25" s="313" t="str">
        <f aca="false">IF(A25="N/A"," ",Perstart/IF(AND(Dayrun&gt;=4,Dayrun&lt;=6),16,IF(AND(Dayrun&gt;=7,Dayrun&lt;=9),8,24))/(BM25/CK25))</f>
        <v> </v>
      </c>
      <c r="H25" s="314" t="str">
        <f aca="false">IF(A25="N/A"," ",(C25*D25)+F25+G25)</f>
        <v> </v>
      </c>
      <c r="I25" s="315" t="str">
        <f aca="false">VLOOKUP(A25,ScaledPrice,(IF(AND(Dayrun&gt;=1,Dayrun&lt;=6),2,4)))</f>
        <v> </v>
      </c>
      <c r="J25" s="315" t="str">
        <f aca="false">IF(A25="N/A"," ",IF(AND(Dayrun&gt;=1,Dayrun&lt;=6),I25,(VLOOKUP(A25,ScaledPrice,2))*(2-(VLOOKUP(A25,ScaledPrice,3)))))</f>
        <v> </v>
      </c>
      <c r="K25" s="315" t="str">
        <f aca="false">IF(A25="N/A"," ",IF(AND(Dayrun&gt;=1,Dayrun&lt;=3),VLOOKUP(A25,ScaledPrice,9),0))</f>
        <v> </v>
      </c>
      <c r="L25" s="315" t="str">
        <f aca="false">IF(A25="N/A"," ",IF(OR(Dayrun=2,Dayrun=3,Dayrun=5,Dayrun=6,Dayrun=8,Dayrun=9),VLOOKUP(A25,ScaledPrice,IF(AND(Dayrun&gt;=2,Dayrun&lt;=6),5,6)),0))</f>
        <v> </v>
      </c>
      <c r="M25" s="315" t="str">
        <f aca="false">IF(A25="N/A"," ",IF(OR(Dayrun=2,Dayrun=3,Dayrun=5,Dayrun=6,Dayrun=8,Dayrun=9),IF(AND(Dayrun&gt;=2,Dayrun&lt;=6),L25,(VLOOKUP(A25,ScaledPrice,5))*(2-(VLOOKUP(A25,ScaledPrice,3)))),0))</f>
        <v> </v>
      </c>
      <c r="N25" s="315" t="str">
        <f aca="false">IF(A25="N/A"," ",IF(AND(Dayrun&gt;1,Dayrun&lt;=3),VLOOKUP(A25,ScaledPrice,9),0))</f>
        <v> </v>
      </c>
      <c r="O25" s="315" t="str">
        <f aca="false">IF(A25="N/A"," ",IF(OR(Dayrun=3,Dayrun=6,Dayrun=9),(VLOOKUP(A25,ScaledPrice,IF(AND(Dayrun&gt;=3,Dayrun&lt;=6),7,8))),0))</f>
        <v> </v>
      </c>
      <c r="P25" s="315" t="str">
        <f aca="false">IF(A25="N/A"," ",IF(OR(Dayrun=3,Dayrun=6,Dayrun=9),IF(AND(Dayrun&gt;=3,Dayrun&lt;=6),O25,(VLOOKUP(A25,ScaledPrice,7))*(2-(VLOOKUP(A25,ScaledPrice,3)))),0))</f>
        <v> </v>
      </c>
      <c r="Q25" s="315" t="str">
        <f aca="false">IF(A25="N/A"," ",IF(AND(Dayrun&gt;2,Dayrun&lt;=3),VLOOKUP(A25,ScaledPrice,9),0))</f>
        <v> </v>
      </c>
      <c r="R25" s="316" t="str">
        <f aca="false">IF($A25="N/A"," ",IF(Pricetype=2,MAX(I25-$H25,0),IF(Pricetype=1,(xSPRDOPT(I25,$E25,$CI25,0,($CD25+IF(Smile=TRUE(),VLOOKUP(MAX(-5,$H25-I25),Volsmile,2),0)),$CG25,$CH25,($A25-DateToday)+15,1,0)),I25-$H25)))</f>
        <v> </v>
      </c>
      <c r="S25" s="316" t="str">
        <f aca="false">IF($A25="N/A"," ",IF(Pricetype=2,MAX(J25-$H25,0),IF(Pricetype=1,(xSPRDOPT(J25,$E25,$CI25,0,($CD25+IF(Smile=TRUE(),VLOOKUP(MAX(-5,$H25-J25),Volsmile,2),0)),$CG25,$CH25,($A25-DateToday)+15,1,0)),J25-$H25)))</f>
        <v> </v>
      </c>
      <c r="T25" s="317" t="str">
        <f aca="false">IF($A25="N/A"," ",(IF(Pricetype=2,IF((K25-$H25)&lt;=0,0,(K25-$H25)),IF(K25&lt;&gt;0,(K25-$H25),0))))</f>
        <v> </v>
      </c>
      <c r="U25" s="316" t="str">
        <f aca="false">IF($A25="N/A"," ",IF(Pricetype=2,MAX(L25-$H25,0),IF(L25&lt;&gt;0,IF(Pricetype=1,(xSPRDOPT(L25,$E25,$CI25,0,($CD25+IF(Smile=TRUE(),VLOOKUP(MAX(-5,$H25-L25),Volsmile,2),0)),$CG25,$CH25,($A25-DateToday)+15,1,0)),L25-$H25),0)))</f>
        <v> </v>
      </c>
      <c r="V25" s="316" t="str">
        <f aca="false">IF($A25="N/A"," ",IF(Pricetype=2,MAX(M25-$H25,0),IF(M25&lt;&gt;0,IF(Pricetype=1,(xSPRDOPT(M25,$E25,$CI25,0,($CD25+IF(Smile=TRUE(),VLOOKUP(MAX(-5,$H25-M25),Volsmile,2),0)),$CG25,$CH25,($A25-DateToday)+15,1,0)),M25-$H25),0)))</f>
        <v> </v>
      </c>
      <c r="W25" s="317" t="str">
        <f aca="false">IF($A25="N/A"," ",(IF(Pricetype=2,IF((N25-$H25)&lt;=0,0,(N25-$H25)),IF(N25&lt;&gt;0,(N25-$H25),0))))</f>
        <v> </v>
      </c>
      <c r="X25" s="316" t="str">
        <f aca="false">IF($A25="N/A"," ",IF(Pricetype=2,MAX(O25-$H25,0),IF(O25&lt;&gt;0,IF(Pricetype=1,(xSPRDOPT(O25,$E25,$CI25,0,($CD25+IF(Smile=TRUE(),VLOOKUP(MAX(-5,$H25-O25),Volsmile,2),0)),$CG25,$CH25,($A25-DateToday)+15,1,0)),O25-$H25),0)))</f>
        <v> </v>
      </c>
      <c r="Y25" s="316" t="str">
        <f aca="false">IF($A25="N/A"," ",IF(Pricetype=2,MAX(P25-$H25,0),IF(P25&lt;&gt;0,IF(Pricetype=1,(xSPRDOPT(P25,$E25,$CI25,0,($CD25+IF(Smile=TRUE(),VLOOKUP(MAX(-5,$H25-P25),Volsmile,2),0)),$CG25,$CH25,($A25-DateToday)+15,1,0)),P25-$H25),0)))</f>
        <v> </v>
      </c>
      <c r="Z25" s="317" t="str">
        <f aca="false">IF($A25="N/A"," ",(IF(Pricetype=2,IF((Q25-$H25)&lt;=0,0,(Q25-$H25)),IF(Q25&lt;&gt;0,(Q25-$H25),0))))</f>
        <v> </v>
      </c>
      <c r="AA25" s="318" t="str">
        <f aca="false">IF($A25="N/A"," ",IF(VLOOKUP(MONTH(A25),ManualTable,2)=1,(IF(0&lt;&gt;R25,IF(Pricetype=1,(xSPRDOPT(I25,$E25,$CI25,0,($CD25+IF(Smile=TRUE(),VLOOKUP(MAX(-5,$H25-I25),Volsmile,2),0)),$CG25,$CH25,($A25-DateToday)+15,1,1))*(8*$HD25),8*$HD25),0)),0))</f>
        <v> </v>
      </c>
      <c r="AB25" s="318" t="str">
        <f aca="false">IF($A25="N/A"," ",IF(VLOOKUP(MONTH(A25),ManualTable,3)=1,(IF(S25&lt;&gt;0,IF(Pricetype=1,(xSPRDOPT(J25,$E25,$CI25,0,($CD25+IF(Smile=TRUE(),VLOOKUP(MAX(-5,$H25-J25),Volsmile,2),0)),$CG25,$CH25,($A25-DateToday)+15,1,1))*(8*$HD25),8*$HD25),0)),0))</f>
        <v> </v>
      </c>
      <c r="AC25" s="318" t="str">
        <f aca="false">IF($A25="N/A"," ",IF(VLOOKUP(MONTH(A25),ManualTable,4)=1,(IF(T25&lt;&gt;0,(8*$HD25),0)),0))</f>
        <v> </v>
      </c>
      <c r="AD25" s="318" t="str">
        <f aca="false">IF($A25="N/A"," ",IF(VLOOKUP(MONTH(A25),ManualTable,5)=1,(IF(U25&lt;&gt;0,IF(Pricetype=1,(xSPRDOPT(L25,$E25,$CI25,0,($CD25+IF(Smile=TRUE(),VLOOKUP(MAX(-5,$H25-L25),Volsmile,2),0)),$CG25,$CH25,($A25-DateToday)+15,1,1))*(8*$HE25),8*$HE25),0)),0))</f>
        <v> </v>
      </c>
      <c r="AE25" s="318" t="str">
        <f aca="false">IF($A25="N/A"," ",IF(VLOOKUP(MONTH(A25),ManualTable,6)=1,(IF(V25&lt;&gt;0,IF(Pricetype=1,(xSPRDOPT(M25,$E25,$CI25,0,($CD25+IF(Smile=TRUE(),VLOOKUP(MAX(-5,$H25-M25),Volsmile,2),0)),$CG25,$CH25,($A25-DateToday)+15,1,1))*(8*$HE25),8*$HE25),0)),0))</f>
        <v> </v>
      </c>
      <c r="AF25" s="318" t="str">
        <f aca="false">IF($A25="N/A"," ",IF(VLOOKUP(MONTH(A25),ManualTable,7)=1,(IF(W25&lt;&gt;0,(8*$HE25),0)),0))</f>
        <v> </v>
      </c>
      <c r="AG25" s="318" t="str">
        <f aca="false">IF($A25="N/A"," ",IF(VLOOKUP(MONTH(A25),ManualTable,8)=1,(IF(X25&lt;&gt;0,IF(Pricetype=1,(xSPRDOPT(O25,$E25,$CI25,0,($CD25+IF(Smile=TRUE(),VLOOKUP(MAX(-5,$H25-O25),Volsmile,2),0)),$CG25,$CH25,($A25-DateToday)+15,1,1))*(8*$HF25),8*$HF25),0)),0))</f>
        <v> </v>
      </c>
      <c r="AH25" s="318" t="str">
        <f aca="false">IF($A25="N/A"," ",IF(VLOOKUP(MONTH(A25),ManualTable,9)=1,(IF(Y25&lt;&gt;0,IF(Pricetype=1,(xSPRDOPT(P25,$E25,$CI25,0,($CD25+IF(Smile=TRUE(),VLOOKUP(MAX(-5,$H25-P25),Volsmile,2),0)),$CG25,$CH25,($A25-DateToday)+15,1,1))*(8*$HF25),8*$HF25),0)),0))</f>
        <v> </v>
      </c>
      <c r="AI25" s="318" t="str">
        <f aca="false">IF($A25="N/A"," ",IF(VLOOKUP(MONTH(A25),ManualTable,10)=1,(IF(Z25&lt;&gt;0,(8*($HF25)),0)),0))</f>
        <v> </v>
      </c>
      <c r="AJ25" s="344" t="str">
        <f aca="false">IF($A25="N/A"," ",RANK(R25,$R$16:$Z$27))</f>
        <v> </v>
      </c>
      <c r="AK25" s="321" t="str">
        <f aca="false">IF($A25="N/A"," ",RANK(S25,$R$16:$Z$27))</f>
        <v> </v>
      </c>
      <c r="AL25" s="321" t="str">
        <f aca="false">IF($A25="N/A"," ",RANK(T25,$R$16:$Z$27))</f>
        <v> </v>
      </c>
      <c r="AM25" s="321" t="str">
        <f aca="false">IF($A25="N/A"," ",RANK(U25,$R$16:$Z$27))</f>
        <v> </v>
      </c>
      <c r="AN25" s="321" t="str">
        <f aca="false">IF($A25="N/A"," ",RANK(V25,$R$16:$Z$27))</f>
        <v> </v>
      </c>
      <c r="AO25" s="321" t="str">
        <f aca="false">IF($A25="N/A"," ",RANK(W25,$R$16:$Z$27))</f>
        <v> </v>
      </c>
      <c r="AP25" s="321" t="str">
        <f aca="false">IF($A25="N/A"," ",RANK(X25,$R$16:$Z$27))</f>
        <v> </v>
      </c>
      <c r="AQ25" s="321" t="str">
        <f aca="false">IF($A25="N/A"," ",RANK(Y25,$R$16:$Z$27))</f>
        <v> </v>
      </c>
      <c r="AR25" s="345" t="str">
        <f aca="false">IF($A25="N/A"," ",RANK(Z25,$R$16:$Z$27))</f>
        <v> </v>
      </c>
      <c r="AS25" s="323" t="str">
        <f aca="false">IF($A25="N/A"," ",IF(AJ25&lt;=$AR$2,AA25,0))</f>
        <v> </v>
      </c>
      <c r="AT25" s="325" t="str">
        <f aca="false">IF($A25="N/A"," ",IF(AK25&lt;=$AR$2,AB25,0))</f>
        <v> </v>
      </c>
      <c r="AU25" s="325" t="str">
        <f aca="false">IF($A25="N/A"," ",IF(AL25&lt;=$AR$2,AC25,0))</f>
        <v> </v>
      </c>
      <c r="AV25" s="325" t="str">
        <f aca="false">IF($A25="N/A"," ",IF(AM25&lt;=$AR$2,AD25,0))</f>
        <v> </v>
      </c>
      <c r="AW25" s="325" t="str">
        <f aca="false">IF($A25="N/A"," ",IF(AN25&lt;=$AR$2,AE25,0))</f>
        <v> </v>
      </c>
      <c r="AX25" s="325" t="str">
        <f aca="false">IF($A25="N/A"," ",IF(AO25&lt;=$AR$2,AF25,0))</f>
        <v> </v>
      </c>
      <c r="AY25" s="325" t="str">
        <f aca="false">IF($A25="N/A"," ",IF(AP25&lt;=$AR$2,AG25,0))</f>
        <v> </v>
      </c>
      <c r="AZ25" s="325" t="str">
        <f aca="false">IF($A25="N/A"," ",IF(AQ25&lt;=$AR$2,AH25,0))</f>
        <v> </v>
      </c>
      <c r="BA25" s="325" t="str">
        <f aca="false">IF($A25="N/A"," ",IF(AR25&lt;=$AR$2,AI25,0))</f>
        <v> </v>
      </c>
      <c r="BB25" s="361" t="s">
        <v>1319</v>
      </c>
      <c r="BC25" s="326" t="str">
        <f aca="false">IF($A25="N/A"," ",IF(AND(AJ25=$AR$2+1,AS25=0),MIN($BB$27,AA25),0))</f>
        <v> </v>
      </c>
      <c r="BD25" s="346" t="str">
        <f aca="false">IF($A25="N/A"," ",IF(AND(AK25=$AR$2+1,AT25=0),MIN($BB$27,AB25),0))</f>
        <v> </v>
      </c>
      <c r="BE25" s="346" t="str">
        <f aca="false">IF($A25="N/A"," ",IF(AND(AL25=$AR$2+1,AU25=0),MIN($BB$27,AC25),0))</f>
        <v> </v>
      </c>
      <c r="BF25" s="346" t="str">
        <f aca="false">IF($A25="N/A"," ",IF(AND(AM25=$AR$2+1,AV25=0),MIN($BB$27,AD25),0))</f>
        <v> </v>
      </c>
      <c r="BG25" s="346" t="str">
        <f aca="false">IF($A25="N/A"," ",IF(AND(AN25=$AR$2+1,AW25=0),MIN($BB$27,AE25),0))</f>
        <v> </v>
      </c>
      <c r="BH25" s="346" t="str">
        <f aca="false">IF($A25="N/A"," ",IF(AND(AO25=$AR$2+1,AX25=0),MIN($BB$27,AF25),0))</f>
        <v> </v>
      </c>
      <c r="BI25" s="346" t="str">
        <f aca="false">IF($A25="N/A"," ",IF(AND(AP25=$AR$2+1,AY25=0),MIN($BB$27,AG25),0))</f>
        <v> </v>
      </c>
      <c r="BJ25" s="346" t="str">
        <f aca="false">IF($A25="N/A"," ",IF(AND(AQ25=$AR$2+1,AZ25=0),MIN($BB$27,AH25),0))</f>
        <v> </v>
      </c>
      <c r="BK25" s="346" t="str">
        <f aca="false">IF($A25="N/A"," ",IF(AND(AR25=$AR$2+1,BA25=0),MIN($BB$27,AI25),0))</f>
        <v> </v>
      </c>
      <c r="BL25" s="347" t="s">
        <v>1359</v>
      </c>
      <c r="BM25" s="329" t="str">
        <f aca="false">IF($A25="N/A"," ",(IF(MONTH(A25)&gt;=4,IF(MONTH(A25)&lt;=10,Inputs!$F$13-Inputs!$G$13,Inputs!$F$14-Inputs!$G$14),Inputs!$F$14-Inputs!$G$14))*$CK25*Availability)</f>
        <v> </v>
      </c>
      <c r="BN25" s="330" t="str">
        <f aca="false">IF($A25="N/A"," ",(IF(AS25&gt;0,($BM25*(8*($HD25))*R25),0)+IF(BC25&gt;0,($BM25*((BC25/AA25)*8*$HD25)*R25),0)))</f>
        <v> </v>
      </c>
      <c r="BO25" s="330" t="str">
        <f aca="false">IF($A25="N/A"," ",(IF(AT25&gt;0,($BM25*(8*($HD25))*S25),0)+IF(BD25&gt;0,($BM25*((BD25/AB25)*8*$HD25)*S25),0)))</f>
        <v> </v>
      </c>
      <c r="BP25" s="330" t="str">
        <f aca="false">IF($A25="N/A"," ",(IF(AU25&gt;0,($BM25*(8*($HD25))*T25),0)+IF(BE25&gt;0,($BM25*((BE25))*T25),0)))</f>
        <v> </v>
      </c>
      <c r="BQ25" s="330" t="str">
        <f aca="false">IF($A25="N/A"," ",(IF(AV25&gt;0,($BM25*(8*($HE25))*U25),0)+IF(BF25&gt;0,($BM25*((BF25/AD25)*8*$HE25)*U25),0)))</f>
        <v> </v>
      </c>
      <c r="BR25" s="330" t="str">
        <f aca="false">IF($A25="N/A"," ",(IF(AW25&gt;0,($BM25*(8*($HE25))*V25),0)+IF(BG25&gt;0,($BM25*((BG25/AE25)*8*$HE25)*V25),0)))</f>
        <v> </v>
      </c>
      <c r="BS25" s="330" t="str">
        <f aca="false">IF($A25="N/A"," ",(IF(AX25&gt;0,($BM25*(8*($HE25))*W25),0)+IF(BH25&gt;0,($BM25*((BH25))*W25),0)))</f>
        <v> </v>
      </c>
      <c r="BT25" s="330" t="str">
        <f aca="false">IF($A25="N/A"," ",(IF(AY25&gt;0,($BM25*(8*($HF25))*X25),0)+IF(BI25&gt;0,($BM25*((BI25/AG25)*8*$HF25)*X25),0)))</f>
        <v> </v>
      </c>
      <c r="BU25" s="330" t="str">
        <f aca="false">IF($A25="N/A"," ",(IF(AZ25&gt;0,($BM25*(8*($HF25))*Y25),0)+IF(BJ25&gt;0,($BM25*((BJ25/AH25)*8*$HF25)*Y25),0)))</f>
        <v> </v>
      </c>
      <c r="BV25" s="330" t="str">
        <f aca="false">IF($A25="N/A"," ",(IF(BA25&gt;0,($BM25*(8*($HF25))*Z25),0)+IF(BK25&gt;0,($BM25*((BK25))*Z25),0)))</f>
        <v> </v>
      </c>
      <c r="BW25" s="330" t="str">
        <f aca="false">IF($A25="N/A"," ",SUM(BN25:BV25))</f>
        <v> </v>
      </c>
      <c r="BX25" s="331" t="str">
        <f aca="false">IF($A25="N/A"," ",(H25*(SUM(AS25:BA25)+SUM(BC25:BK25))*BM25))</f>
        <v> </v>
      </c>
      <c r="BY25" s="332" t="str">
        <f aca="false">IF($A25="N/A"," ",((C25*D25)*(SUM($AS25:$BA25)+SUM($BC25:$BK25))*$BM25))</f>
        <v> </v>
      </c>
      <c r="BZ25" s="332" t="str">
        <f aca="false">IF($A25="N/A"," ",(F25*(SUM($AS25:$BA25)+SUM($BC25:$BK25))*$BM25))</f>
        <v> </v>
      </c>
      <c r="CA25" s="333" t="str">
        <f aca="false">IF($A25="N/A"," ",(G25*(SUM($AS25:$BA25)+SUM($BC25:$BK25))*$BM25))</f>
        <v> </v>
      </c>
      <c r="CB25" s="334" t="str">
        <f aca="false">IF(A25="N/A"," ",(VLOOKUP(A25,PowerVolTable,(IF(BMO=2,7,IF(BMO=1,6,8))),FALSE())))</f>
        <v> </v>
      </c>
      <c r="CC25" s="334" t="str">
        <f aca="false">IF(A25="N/A"," ",(VLOOKUP(A25,IntraPowerVol,(IF(BMO=2,3,IF(BMO=1,2,4))),FALSE())*VLOOKUP(MONTH($A25),Volscale,2)))</f>
        <v> </v>
      </c>
      <c r="CD25" s="335" t="str">
        <f aca="false">IF($A25="N/A"," ",(IF(DateToday&gt;$A25,$CC25,((($CB25^2)*((($A25-1)-DateToday)/((EOMONTH($A25,0)+1)-DateToday-15)))+((($CC25)^2)*((15)/((EOMONTH($A25,0)+1)-DateToday-15))))^0.5)))</f>
        <v> </v>
      </c>
      <c r="CE25" s="334" t="str">
        <f aca="false">IF($A25="N/A"," ",(VLOOKUP($A25,GasVolTable,(IF(BMO=2,6,IF(BMO=1,7,5))),FALSE())))</f>
        <v> </v>
      </c>
      <c r="CF25" s="334" t="str">
        <f aca="false">IF($A25="N/A"," ",(VLOOKUP($A25,OmicronVol,(IF(BMO=2,3,IF(BMO=1,4,2))),FALSE())))</f>
        <v> </v>
      </c>
      <c r="CG25" s="335" t="str">
        <f aca="false">IF($A25="N/A"," ",(IF(DateToday&gt;$A25,$CF25,((($CE25^2)*((($A25-1)-DateToday)/((EOMONTH($A25,0)+1)-DateToday-15)))+((($CF25)^2)*((15)/((EOMONTH($A25,0)+1)-DateToday-15))))^0.5)))</f>
        <v> </v>
      </c>
      <c r="CH25" s="334" t="str">
        <f aca="false">IF($A25="N/A"," ",VLOOKUP($A25,CorrelationTable,2,FALSE()))</f>
        <v> </v>
      </c>
      <c r="CI25" s="336" t="str">
        <f aca="false">IF($A25="N/A"," ",F25+G25+(D25*('Pricing Inputs'!T58)))</f>
        <v> </v>
      </c>
      <c r="CJ25" s="334" t="str">
        <f aca="false">IF($A25="N/A"," ",IF(PV=1,0,'Pricing Inputs'!U58))</f>
        <v> </v>
      </c>
      <c r="CK25" s="337" t="str">
        <f aca="false">IF($A25="N/A"," ",(1+CJ25/2)^(-2*((EOMONTH(A25,0)+20)-DateToday)/365.25))</f>
        <v> </v>
      </c>
      <c r="CL25" s="338" t="str">
        <f aca="false">IF(A25="N/A"," ",IF(CC=2,(VLOOKUP(MONTH($A25),Hrtable,3))/1000,0))</f>
        <v> </v>
      </c>
      <c r="CM25" s="339" t="str">
        <f aca="false">IF(A25="N/A"," ",IF(CC=2,(CL25*C25)+F25,0))</f>
        <v> </v>
      </c>
      <c r="CN25" s="340" t="str">
        <f aca="false">IF($A25="N/A"," ",IF(CC=2,(VLOOKUP(A25,ScaledPrice,(IF(AND(Dayrun&gt;=1,Dayrun&lt;=6),2,4)))-((IF(R25&lt;&gt;0,$D25,$CL25)*$C25)+$F25+$G25)),0))</f>
        <v> </v>
      </c>
      <c r="CO25" s="340" t="str">
        <f aca="false">IF($A25="N/A"," ",IF(CC=2,(IF(AND(Dayrun&gt;=1,Dayrun&lt;=6),I25,(VLOOKUP(A25,ScaledPrice,2))*(2-(VLOOKUP(A25,ScaledPrice,3))))-((IF(S25&lt;&gt;0,$D25,$CL25)*$C25)+$F25+$G25)),0))</f>
        <v> </v>
      </c>
      <c r="CP25" s="340" t="str">
        <f aca="false">IF(A25="N/A"," ",IF(CC=2,(VLOOKUP(A25,ScaledPrice,9)-((IF(T25&lt;&gt;0,$D25,$CL25)*$C25)+$F25+$G25)),0))</f>
        <v> </v>
      </c>
      <c r="CQ25" s="340" t="str">
        <f aca="false">IF(A25="N/A"," ",IF(CC=2,(IF(OR(Dayrun=2,Dayrun=3,Dayrun=5,Dayrun=6,Dayrun=8,Dayrun=9),VLOOKUP(A25,ScaledPrice,IF(AND(Dayrun&gt;=2,Dayrun&lt;=6),5,6)),0)-((IF(U25&lt;&gt;0,$D25,$CL25)*$C25)+$F25+$G25)),0))</f>
        <v> </v>
      </c>
      <c r="CR25" s="340" t="str">
        <f aca="false">IF(A25="N/A"," ",IF(CC=2,(IF(OR(Dayrun=2,Dayrun=3,Dayrun=5,Dayrun=6,Dayrun=8,Dayrun=9),IF(AND(Dayrun&gt;=2,Dayrun&lt;=6),L25,(VLOOKUP(A25,ScaledPrice,5))*(2-(VLOOKUP(A25,ScaledPrice,3)))),0)-((IF(V25&lt;&gt;0,$D25,$CL25)*$C25)+$F25+$G25)),0))</f>
        <v> </v>
      </c>
      <c r="CS25" s="340" t="str">
        <f aca="false">IF(A25="N/A"," ",IF(CC=2,(VLOOKUP(A25,ScaledPrice,9)-((IF(W25&lt;&gt;0,$D25,$CL25)*$C25)+$F25+$G25)),0))</f>
        <v> </v>
      </c>
      <c r="CT25" s="340" t="str">
        <f aca="false">IF(A25="N/A"," ",IF(CC=2,(IF(OR(Dayrun=3,Dayrun=6,Dayrun=9),(VLOOKUP(A25,ScaledPrice,IF(AND(Dayrun&gt;=3,Dayrun&lt;=6),7,8))),0)-((IF(X25&lt;&gt;0,$D25,$CL25)*$C25)+$F25+$G25)),0))</f>
        <v> </v>
      </c>
      <c r="CU25" s="340" t="str">
        <f aca="false">IF(A25="N/A"," ",IF(CC=2,(IF(OR(Dayrun=3,Dayrun=6,Dayrun=9),IF(AND(Dayrun&gt;=3,Dayrun&lt;=6),O25,(VLOOKUP(A25,ScaledPrice,7))*(2-(VLOOKUP(A25,ScaledPrice,3)))),0)-((IF(Y25&lt;&gt;0,$D25,$CL25)*$C25)+$F25+$G25)),0))</f>
        <v> </v>
      </c>
      <c r="CV25" s="340" t="str">
        <f aca="false">IF(A25="N/A"," ",IF(CC=2,(VLOOKUP(A25,ScaledPrice,9)-((IF(Z25&lt;&gt;0,$D25,$CL25)*$C25)+$F25+$G25)),0))</f>
        <v> </v>
      </c>
      <c r="CW25" s="318" t="str">
        <f aca="false">IF($A25="N/A"," ",IF(0&lt;&gt;CN25,IF(CC=2,8*$HD25,0),0))</f>
        <v> </v>
      </c>
      <c r="CX25" s="318" t="str">
        <f aca="false">IF($A25="N/A"," ",IF(0&lt;&gt;CO25,IF(CC=2,8*$HD25,0),0))</f>
        <v> </v>
      </c>
      <c r="CY25" s="318" t="str">
        <f aca="false">IF($A25="N/A"," ",IF(0&lt;&gt;CP25,IF(CC=2,8*$HD25,0),0))</f>
        <v> </v>
      </c>
      <c r="CZ25" s="318" t="str">
        <f aca="false">IF($A25="N/A"," ",IF(0&lt;&gt;CQ25,IF(CC=2,8*$HE25,0),0))</f>
        <v> </v>
      </c>
      <c r="DA25" s="318" t="str">
        <f aca="false">IF($A25="N/A"," ",IF(0&lt;&gt;CR25,IF(CC=2,8*$HE25,0),0))</f>
        <v> </v>
      </c>
      <c r="DB25" s="318" t="str">
        <f aca="false">IF($A25="N/A"," ",IF(0&lt;&gt;CS25,IF(CC=2,8*$HE25,0),0))</f>
        <v> </v>
      </c>
      <c r="DC25" s="318" t="str">
        <f aca="false">IF($A25="N/A"," ",IF(0&lt;&gt;CT25,IF(CC=2,8*$HF25,0),0))</f>
        <v> </v>
      </c>
      <c r="DD25" s="318" t="str">
        <f aca="false">IF($A25="N/A"," ",IF(0&lt;&gt;CU25,IF(CC=2,8*$HF25,0),0))</f>
        <v> </v>
      </c>
      <c r="DE25" s="318" t="str">
        <f aca="false">IF($A25="N/A"," ",IF(0&lt;&gt;CV25,IF(CC=2,8*$HF25,0),0))</f>
        <v> </v>
      </c>
      <c r="DF25" s="341" t="str">
        <f aca="false">IF($A25="N/A"," ",IF(CC=2,(IF(MONTH(A25)&gt;=4,IF(MONTH(A25)&lt;=10,Inputs!$G$13,Inputs!$G$14),Inputs!$G$14))*$CK25,0))</f>
        <v> </v>
      </c>
      <c r="DG25" s="342" t="str">
        <f aca="false">IF($A25="N/A"," ",IF(CC=2,$DF25*CW25*CN25,0))</f>
        <v> </v>
      </c>
      <c r="DH25" s="342" t="str">
        <f aca="false">IF($A25="N/A"," ",IF(CC=2,$DF25*CX25*CO25,0))</f>
        <v> </v>
      </c>
      <c r="DI25" s="342" t="str">
        <f aca="false">IF($A25="N/A"," ",IF(CC=2,$DF25*CY25*CP25,0))</f>
        <v> </v>
      </c>
      <c r="DJ25" s="342" t="str">
        <f aca="false">IF($A25="N/A"," ",IF(CC=2,$DF25*CZ25*CQ25,0))</f>
        <v> </v>
      </c>
      <c r="DK25" s="342" t="str">
        <f aca="false">IF($A25="N/A"," ",IF(CC=2,$DF25*DA25*CR25,0))</f>
        <v> </v>
      </c>
      <c r="DL25" s="342" t="str">
        <f aca="false">IF($A25="N/A"," ",IF(CC=2,$DF25*DB25*CS25,0))</f>
        <v> </v>
      </c>
      <c r="DM25" s="342" t="str">
        <f aca="false">IF($A25="N/A"," ",IF(CC=2,$DF25*DC25*CT25,0))</f>
        <v> </v>
      </c>
      <c r="DN25" s="342" t="str">
        <f aca="false">IF($A25="N/A"," ",IF(CC=2,$DF25*DD25*CU25,0))</f>
        <v> </v>
      </c>
      <c r="DO25" s="342" t="str">
        <f aca="false">IF($A25="N/A"," ",IF(CC=2,$DF25*DE25*CV25,0))</f>
        <v> </v>
      </c>
      <c r="DP25" s="343" t="str">
        <f aca="false">IF($A25="N/A"," ",IF(CC=2,SUM(DG25:DO25),0))</f>
        <v> </v>
      </c>
      <c r="DQ25" s="0" t="str">
        <f aca="false">IF(A25="N/A"," ",Perstart)</f>
        <v> </v>
      </c>
      <c r="HD25" s="0" t="str">
        <f aca="false">IF($A25="N/A"," ",VLOOKUP($A25,NumberofDaysTable,2))</f>
        <v> </v>
      </c>
      <c r="HE25" s="0" t="str">
        <f aca="false">IF($A25="N/A"," ",VLOOKUP($A25,NumberofDaysTable,3))</f>
        <v> </v>
      </c>
      <c r="HF25" s="0" t="str">
        <f aca="false">IF($A25="N/A"," ",VLOOKUP($A25,NumberofDaysTable,4))</f>
        <v> </v>
      </c>
    </row>
    <row r="26" customFormat="false" ht="12.75" hidden="false" customHeight="false" outlineLevel="0" collapsed="false">
      <c r="A26" s="308" t="str">
        <f aca="false">IF(A25="N/A","N/A",IF(EDATE(A25,1)&gt;Inputs!$K$3,"N/A",EDATE(A25,1)))</f>
        <v>N/A</v>
      </c>
      <c r="B26" s="309" t="str">
        <f aca="false">IF(A26="N/A"," ",YEAR(A26))</f>
        <v> </v>
      </c>
      <c r="C26" s="310" t="str">
        <f aca="false">IF(A26="N/A"," ",VLOOKUP(A26,ScaledPrice,10))</f>
        <v> </v>
      </c>
      <c r="D26" s="311" t="str">
        <f aca="false">IF(A26="N/A"," ",(VLOOKUP(MONTH($A26),Hrtable,2))/1000)</f>
        <v> </v>
      </c>
      <c r="E26" s="312" t="str">
        <f aca="false">IF($A26="N/A"," ",(C26-'Pricing Inputs'!T59)*D26)</f>
        <v> </v>
      </c>
      <c r="F26" s="313" t="str">
        <f aca="false">IF(A26="N/A"," ",$F14*(1+VOMesc))</f>
        <v> </v>
      </c>
      <c r="G26" s="313" t="str">
        <f aca="false">IF(A26="N/A"," ",Perstart/IF(AND(Dayrun&gt;=4,Dayrun&lt;=6),16,IF(AND(Dayrun&gt;=7,Dayrun&lt;=9),8,24))/(BM26/CK26))</f>
        <v> </v>
      </c>
      <c r="H26" s="314" t="str">
        <f aca="false">IF(A26="N/A"," ",(C26*D26)+F26+G26)</f>
        <v> </v>
      </c>
      <c r="I26" s="315" t="str">
        <f aca="false">VLOOKUP(A26,ScaledPrice,(IF(AND(Dayrun&gt;=1,Dayrun&lt;=6),2,4)))</f>
        <v> </v>
      </c>
      <c r="J26" s="315" t="str">
        <f aca="false">IF(A26="N/A"," ",IF(AND(Dayrun&gt;=1,Dayrun&lt;=6),I26,(VLOOKUP(A26,ScaledPrice,2))*(2-(VLOOKUP(A26,ScaledPrice,3)))))</f>
        <v> </v>
      </c>
      <c r="K26" s="315" t="str">
        <f aca="false">IF(A26="N/A"," ",IF(AND(Dayrun&gt;=1,Dayrun&lt;=3),VLOOKUP(A26,ScaledPrice,9),0))</f>
        <v> </v>
      </c>
      <c r="L26" s="315" t="str">
        <f aca="false">IF(A26="N/A"," ",IF(OR(Dayrun=2,Dayrun=3,Dayrun=5,Dayrun=6,Dayrun=8,Dayrun=9),VLOOKUP(A26,ScaledPrice,IF(AND(Dayrun&gt;=2,Dayrun&lt;=6),5,6)),0))</f>
        <v> </v>
      </c>
      <c r="M26" s="315" t="str">
        <f aca="false">IF(A26="N/A"," ",IF(OR(Dayrun=2,Dayrun=3,Dayrun=5,Dayrun=6,Dayrun=8,Dayrun=9),IF(AND(Dayrun&gt;=2,Dayrun&lt;=6),L26,(VLOOKUP(A26,ScaledPrice,5))*(2-(VLOOKUP(A26,ScaledPrice,3)))),0))</f>
        <v> </v>
      </c>
      <c r="N26" s="315" t="str">
        <f aca="false">IF(A26="N/A"," ",IF(AND(Dayrun&gt;1,Dayrun&lt;=3),VLOOKUP(A26,ScaledPrice,9),0))</f>
        <v> </v>
      </c>
      <c r="O26" s="315" t="str">
        <f aca="false">IF(A26="N/A"," ",IF(OR(Dayrun=3,Dayrun=6,Dayrun=9),(VLOOKUP(A26,ScaledPrice,IF(AND(Dayrun&gt;=3,Dayrun&lt;=6),7,8))),0))</f>
        <v> </v>
      </c>
      <c r="P26" s="315" t="str">
        <f aca="false">IF(A26="N/A"," ",IF(OR(Dayrun=3,Dayrun=6,Dayrun=9),IF(AND(Dayrun&gt;=3,Dayrun&lt;=6),O26,(VLOOKUP(A26,ScaledPrice,7))*(2-(VLOOKUP(A26,ScaledPrice,3)))),0))</f>
        <v> </v>
      </c>
      <c r="Q26" s="315" t="str">
        <f aca="false">IF(A26="N/A"," ",IF(AND(Dayrun&gt;2,Dayrun&lt;=3),VLOOKUP(A26,ScaledPrice,9),0))</f>
        <v> </v>
      </c>
      <c r="R26" s="316" t="str">
        <f aca="false">IF($A26="N/A"," ",IF(Pricetype=2,MAX(I26-$H26,0),IF(Pricetype=1,(xSPRDOPT(I26,$E26,$CI26,0,($CD26+IF(Smile=TRUE(),VLOOKUP(MAX(-5,$H26-I26),Volsmile,2),0)),$CG26,$CH26,($A26-DateToday)+15,1,0)),I26-$H26)))</f>
        <v> </v>
      </c>
      <c r="S26" s="316" t="str">
        <f aca="false">IF($A26="N/A"," ",IF(Pricetype=2,MAX(J26-$H26,0),IF(Pricetype=1,(xSPRDOPT(J26,$E26,$CI26,0,($CD26+IF(Smile=TRUE(),VLOOKUP(MAX(-5,$H26-J26),Volsmile,2),0)),$CG26,$CH26,($A26-DateToday)+15,1,0)),J26-$H26)))</f>
        <v> </v>
      </c>
      <c r="T26" s="317" t="str">
        <f aca="false">IF($A26="N/A"," ",(IF(Pricetype=2,IF((K26-$H26)&lt;=0,0,(K26-$H26)),IF(K26&lt;&gt;0,(K26-$H26),0))))</f>
        <v> </v>
      </c>
      <c r="U26" s="316" t="str">
        <f aca="false">IF($A26="N/A"," ",IF(Pricetype=2,MAX(L26-$H26,0),IF(L26&lt;&gt;0,IF(Pricetype=1,(xSPRDOPT(L26,$E26,$CI26,0,($CD26+IF(Smile=TRUE(),VLOOKUP(MAX(-5,$H26-L26),Volsmile,2),0)),$CG26,$CH26,($A26-DateToday)+15,1,0)),L26-$H26),0)))</f>
        <v> </v>
      </c>
      <c r="V26" s="316" t="str">
        <f aca="false">IF($A26="N/A"," ",IF(Pricetype=2,MAX(M26-$H26,0),IF(M26&lt;&gt;0,IF(Pricetype=1,(xSPRDOPT(M26,$E26,$CI26,0,($CD26+IF(Smile=TRUE(),VLOOKUP(MAX(-5,$H26-M26),Volsmile,2),0)),$CG26,$CH26,($A26-DateToday)+15,1,0)),M26-$H26),0)))</f>
        <v> </v>
      </c>
      <c r="W26" s="317" t="str">
        <f aca="false">IF($A26="N/A"," ",(IF(Pricetype=2,IF((N26-$H26)&lt;=0,0,(N26-$H26)),IF(N26&lt;&gt;0,(N26-$H26),0))))</f>
        <v> </v>
      </c>
      <c r="X26" s="316" t="str">
        <f aca="false">IF($A26="N/A"," ",IF(Pricetype=2,MAX(O26-$H26,0),IF(O26&lt;&gt;0,IF(Pricetype=1,(xSPRDOPT(O26,$E26,$CI26,0,($CD26+IF(Smile=TRUE(),VLOOKUP(MAX(-5,$H26-O26),Volsmile,2),0)),$CG26,$CH26,($A26-DateToday)+15,1,0)),O26-$H26),0)))</f>
        <v> </v>
      </c>
      <c r="Y26" s="316" t="str">
        <f aca="false">IF($A26="N/A"," ",IF(Pricetype=2,MAX(P26-$H26,0),IF(P26&lt;&gt;0,IF(Pricetype=1,(xSPRDOPT(P26,$E26,$CI26,0,($CD26+IF(Smile=TRUE(),VLOOKUP(MAX(-5,$H26-P26),Volsmile,2),0)),$CG26,$CH26,($A26-DateToday)+15,1,0)),P26-$H26),0)))</f>
        <v> </v>
      </c>
      <c r="Z26" s="317" t="str">
        <f aca="false">IF($A26="N/A"," ",(IF(Pricetype=2,IF((Q26-$H26)&lt;=0,0,(Q26-$H26)),IF(Q26&lt;&gt;0,(Q26-$H26),0))))</f>
        <v> </v>
      </c>
      <c r="AA26" s="318" t="str">
        <f aca="false">IF($A26="N/A"," ",IF(VLOOKUP(MONTH(A26),ManualTable,2)=1,(IF(0&lt;&gt;R26,IF(Pricetype=1,(xSPRDOPT(I26,$E26,$CI26,0,($CD26+IF(Smile=TRUE(),VLOOKUP(MAX(-5,$H26-I26),Volsmile,2),0)),$CG26,$CH26,($A26-DateToday)+15,1,1))*(8*$HD26),8*$HD26),0)),0))</f>
        <v> </v>
      </c>
      <c r="AB26" s="318" t="str">
        <f aca="false">IF($A26="N/A"," ",IF(VLOOKUP(MONTH(A26),ManualTable,3)=1,(IF(S26&lt;&gt;0,IF(Pricetype=1,(xSPRDOPT(J26,$E26,$CI26,0,($CD26+IF(Smile=TRUE(),VLOOKUP(MAX(-5,$H26-J26),Volsmile,2),0)),$CG26,$CH26,($A26-DateToday)+15,1,1))*(8*$HD26),8*$HD26),0)),0))</f>
        <v> </v>
      </c>
      <c r="AC26" s="318" t="str">
        <f aca="false">IF($A26="N/A"," ",IF(VLOOKUP(MONTH(A26),ManualTable,4)=1,(IF(T26&lt;&gt;0,(8*$HD26),0)),0))</f>
        <v> </v>
      </c>
      <c r="AD26" s="318" t="str">
        <f aca="false">IF($A26="N/A"," ",IF(VLOOKUP(MONTH(A26),ManualTable,5)=1,(IF(U26&lt;&gt;0,IF(Pricetype=1,(xSPRDOPT(L26,$E26,$CI26,0,($CD26+IF(Smile=TRUE(),VLOOKUP(MAX(-5,$H26-L26),Volsmile,2),0)),$CG26,$CH26,($A26-DateToday)+15,1,1))*(8*$HE26),8*$HE26),0)),0))</f>
        <v> </v>
      </c>
      <c r="AE26" s="318" t="str">
        <f aca="false">IF($A26="N/A"," ",IF(VLOOKUP(MONTH(A26),ManualTable,6)=1,(IF(V26&lt;&gt;0,IF(Pricetype=1,(xSPRDOPT(M26,$E26,$CI26,0,($CD26+IF(Smile=TRUE(),VLOOKUP(MAX(-5,$H26-M26),Volsmile,2),0)),$CG26,$CH26,($A26-DateToday)+15,1,1))*(8*$HE26),8*$HE26),0)),0))</f>
        <v> </v>
      </c>
      <c r="AF26" s="318" t="str">
        <f aca="false">IF($A26="N/A"," ",IF(VLOOKUP(MONTH(A26),ManualTable,7)=1,(IF(W26&lt;&gt;0,(8*$HE26),0)),0))</f>
        <v> </v>
      </c>
      <c r="AG26" s="318" t="str">
        <f aca="false">IF($A26="N/A"," ",IF(VLOOKUP(MONTH(A26),ManualTable,8)=1,(IF(X26&lt;&gt;0,IF(Pricetype=1,(xSPRDOPT(O26,$E26,$CI26,0,($CD26+IF(Smile=TRUE(),VLOOKUP(MAX(-5,$H26-O26),Volsmile,2),0)),$CG26,$CH26,($A26-DateToday)+15,1,1))*(8*$HF26),8*$HF26),0)),0))</f>
        <v> </v>
      </c>
      <c r="AH26" s="318" t="str">
        <f aca="false">IF($A26="N/A"," ",IF(VLOOKUP(MONTH(A26),ManualTable,9)=1,(IF(Y26&lt;&gt;0,IF(Pricetype=1,(xSPRDOPT(P26,$E26,$CI26,0,($CD26+IF(Smile=TRUE(),VLOOKUP(MAX(-5,$H26-P26),Volsmile,2),0)),$CG26,$CH26,($A26-DateToday)+15,1,1))*(8*$HF26),8*$HF26),0)),0))</f>
        <v> </v>
      </c>
      <c r="AI26" s="318" t="str">
        <f aca="false">IF($A26="N/A"," ",IF(VLOOKUP(MONTH(A26),ManualTable,10)=1,(IF(Z26&lt;&gt;0,(8*($HF26)),0)),0))</f>
        <v> </v>
      </c>
      <c r="AJ26" s="344" t="str">
        <f aca="false">IF($A26="N/A"," ",RANK(R26,$R$16:$Z$27))</f>
        <v> </v>
      </c>
      <c r="AK26" s="321" t="str">
        <f aca="false">IF($A26="N/A"," ",RANK(S26,$R$16:$Z$27))</f>
        <v> </v>
      </c>
      <c r="AL26" s="321" t="str">
        <f aca="false">IF($A26="N/A"," ",RANK(T26,$R$16:$Z$27))</f>
        <v> </v>
      </c>
      <c r="AM26" s="321" t="str">
        <f aca="false">IF($A26="N/A"," ",RANK(U26,$R$16:$Z$27))</f>
        <v> </v>
      </c>
      <c r="AN26" s="321" t="str">
        <f aca="false">IF($A26="N/A"," ",RANK(V26,$R$16:$Z$27))</f>
        <v> </v>
      </c>
      <c r="AO26" s="321" t="str">
        <f aca="false">IF($A26="N/A"," ",RANK(W26,$R$16:$Z$27))</f>
        <v> </v>
      </c>
      <c r="AP26" s="321" t="str">
        <f aca="false">IF($A26="N/A"," ",RANK(X26,$R$16:$Z$27))</f>
        <v> </v>
      </c>
      <c r="AQ26" s="321" t="str">
        <f aca="false">IF($A26="N/A"," ",RANK(Y26,$R$16:$Z$27))</f>
        <v> </v>
      </c>
      <c r="AR26" s="345" t="str">
        <f aca="false">IF($A26="N/A"," ",RANK(Z26,$R$16:$Z$27))</f>
        <v> </v>
      </c>
      <c r="AS26" s="323" t="str">
        <f aca="false">IF($A26="N/A"," ",IF(AJ26&lt;=$AR$2,AA26,0))</f>
        <v> </v>
      </c>
      <c r="AT26" s="325" t="str">
        <f aca="false">IF($A26="N/A"," ",IF(AK26&lt;=$AR$2,AB26,0))</f>
        <v> </v>
      </c>
      <c r="AU26" s="325" t="str">
        <f aca="false">IF($A26="N/A"," ",IF(AL26&lt;=$AR$2,AC26,0))</f>
        <v> </v>
      </c>
      <c r="AV26" s="325" t="str">
        <f aca="false">IF($A26="N/A"," ",IF(AM26&lt;=$AR$2,AD26,0))</f>
        <v> </v>
      </c>
      <c r="AW26" s="325" t="str">
        <f aca="false">IF($A26="N/A"," ",IF(AN26&lt;=$AR$2,AE26,0))</f>
        <v> </v>
      </c>
      <c r="AX26" s="325" t="str">
        <f aca="false">IF($A26="N/A"," ",IF(AO26&lt;=$AR$2,AF26,0))</f>
        <v> </v>
      </c>
      <c r="AY26" s="325" t="str">
        <f aca="false">IF($A26="N/A"," ",IF(AP26&lt;=$AR$2,AG26,0))</f>
        <v> </v>
      </c>
      <c r="AZ26" s="325" t="str">
        <f aca="false">IF($A26="N/A"," ",IF(AQ26&lt;=$AR$2,AH26,0))</f>
        <v> </v>
      </c>
      <c r="BA26" s="325" t="str">
        <f aca="false">IF($A26="N/A"," ",IF(AR26&lt;=$AR$2,AI26,0))</f>
        <v> </v>
      </c>
      <c r="BB26" s="321" t="n">
        <f aca="false">SUM(AS16:BA27)</f>
        <v>0</v>
      </c>
      <c r="BC26" s="326" t="str">
        <f aca="false">IF($A26="N/A"," ",IF(AND(AJ26=$AR$2+1,AS26=0),MIN($BB$27,AA26),0))</f>
        <v> </v>
      </c>
      <c r="BD26" s="346" t="str">
        <f aca="false">IF($A26="N/A"," ",IF(AND(AK26=$AR$2+1,AT26=0),MIN($BB$27,AB26),0))</f>
        <v> </v>
      </c>
      <c r="BE26" s="346" t="str">
        <f aca="false">IF($A26="N/A"," ",IF(AND(AL26=$AR$2+1,AU26=0),MIN($BB$27,AC26),0))</f>
        <v> </v>
      </c>
      <c r="BF26" s="346" t="str">
        <f aca="false">IF($A26="N/A"," ",IF(AND(AM26=$AR$2+1,AV26=0),MIN($BB$27,AD26),0))</f>
        <v> </v>
      </c>
      <c r="BG26" s="346" t="str">
        <f aca="false">IF($A26="N/A"," ",IF(AND(AN26=$AR$2+1,AW26=0),MIN($BB$27,AE26),0))</f>
        <v> </v>
      </c>
      <c r="BH26" s="346" t="str">
        <f aca="false">IF($A26="N/A"," ",IF(AND(AO26=$AR$2+1,AX26=0),MIN($BB$27,AF26),0))</f>
        <v> </v>
      </c>
      <c r="BI26" s="346" t="str">
        <f aca="false">IF($A26="N/A"," ",IF(AND(AP26=$AR$2+1,AY26=0),MIN($BB$27,AG26),0))</f>
        <v> </v>
      </c>
      <c r="BJ26" s="346" t="str">
        <f aca="false">IF($A26="N/A"," ",IF(AND(AQ26=$AR$2+1,AZ26=0),MIN($BB$27,AH26),0))</f>
        <v> </v>
      </c>
      <c r="BK26" s="346" t="str">
        <f aca="false">IF($A26="N/A"," ",IF(AND(AR26=$AR$2+1,BA26=0),MIN($BB$27,AI26),0))</f>
        <v> </v>
      </c>
      <c r="BL26" s="345" t="n">
        <f aca="false">SUM(BC16:BK27)</f>
        <v>0</v>
      </c>
      <c r="BM26" s="329" t="str">
        <f aca="false">IF($A26="N/A"," ",(IF(MONTH(A26)&gt;=4,IF(MONTH(A26)&lt;=10,Inputs!$F$13-Inputs!$G$13,Inputs!$F$14-Inputs!$G$14),Inputs!$F$14-Inputs!$G$14))*$CK26*Availability)</f>
        <v> </v>
      </c>
      <c r="BN26" s="330" t="str">
        <f aca="false">IF($A26="N/A"," ",(IF(AS26&gt;0,($BM26*(8*($HD26))*R26),0)+IF(BC26&gt;0,($BM26*((BC26/AA26)*8*$HD26)*R26),0)))</f>
        <v> </v>
      </c>
      <c r="BO26" s="330" t="str">
        <f aca="false">IF($A26="N/A"," ",(IF(AT26&gt;0,($BM26*(8*($HD26))*S26),0)+IF(BD26&gt;0,($BM26*((BD26/AB26)*8*$HD26)*S26),0)))</f>
        <v> </v>
      </c>
      <c r="BP26" s="330" t="str">
        <f aca="false">IF($A26="N/A"," ",(IF(AU26&gt;0,($BM26*(8*($HD26))*T26),0)+IF(BE26&gt;0,($BM26*((BE26))*T26),0)))</f>
        <v> </v>
      </c>
      <c r="BQ26" s="330" t="str">
        <f aca="false">IF($A26="N/A"," ",(IF(AV26&gt;0,($BM26*(8*($HE26))*U26),0)+IF(BF26&gt;0,($BM26*((BF26/AD26)*8*$HE26)*U26),0)))</f>
        <v> </v>
      </c>
      <c r="BR26" s="330" t="str">
        <f aca="false">IF($A26="N/A"," ",(IF(AW26&gt;0,($BM26*(8*($HE26))*V26),0)+IF(BG26&gt;0,($BM26*((BG26/AE26)*8*$HE26)*V26),0)))</f>
        <v> </v>
      </c>
      <c r="BS26" s="330" t="str">
        <f aca="false">IF($A26="N/A"," ",(IF(AX26&gt;0,($BM26*(8*($HE26))*W26),0)+IF(BH26&gt;0,($BM26*((BH26))*W26),0)))</f>
        <v> </v>
      </c>
      <c r="BT26" s="330" t="str">
        <f aca="false">IF($A26="N/A"," ",(IF(AY26&gt;0,($BM26*(8*($HF26))*X26),0)+IF(BI26&gt;0,($BM26*((BI26/AG26)*8*$HF26)*X26),0)))</f>
        <v> </v>
      </c>
      <c r="BU26" s="330" t="str">
        <f aca="false">IF($A26="N/A"," ",(IF(AZ26&gt;0,($BM26*(8*($HF26))*Y26),0)+IF(BJ26&gt;0,($BM26*((BJ26/AH26)*8*$HF26)*Y26),0)))</f>
        <v> </v>
      </c>
      <c r="BV26" s="330" t="str">
        <f aca="false">IF($A26="N/A"," ",(IF(BA26&gt;0,($BM26*(8*($HF26))*Z26),0)+IF(BK26&gt;0,($BM26*((BK26))*Z26),0)))</f>
        <v> </v>
      </c>
      <c r="BW26" s="330" t="str">
        <f aca="false">IF($A26="N/A"," ",SUM(BN26:BV26))</f>
        <v> </v>
      </c>
      <c r="BX26" s="331" t="str">
        <f aca="false">IF($A26="N/A"," ",(H26*(SUM(AS26:BA26)+SUM(BC26:BK26))*BM26))</f>
        <v> </v>
      </c>
      <c r="BY26" s="332" t="str">
        <f aca="false">IF($A26="N/A"," ",((C26*D26)*(SUM($AS26:$BA26)+SUM($BC26:$BK26))*$BM26))</f>
        <v> </v>
      </c>
      <c r="BZ26" s="332" t="str">
        <f aca="false">IF($A26="N/A"," ",(F26*(SUM($AS26:$BA26)+SUM($BC26:$BK26))*$BM26))</f>
        <v> </v>
      </c>
      <c r="CA26" s="333" t="str">
        <f aca="false">IF($A26="N/A"," ",(G26*(SUM($AS26:$BA26)+SUM($BC26:$BK26))*$BM26))</f>
        <v> </v>
      </c>
      <c r="CB26" s="334" t="str">
        <f aca="false">IF(A26="N/A"," ",(VLOOKUP(A26,PowerVolTable,(IF(BMO=2,7,IF(BMO=1,6,8))),FALSE())))</f>
        <v> </v>
      </c>
      <c r="CC26" s="334" t="str">
        <f aca="false">IF(A26="N/A"," ",(VLOOKUP(A26,IntraPowerVol,(IF(BMO=2,3,IF(BMO=1,2,4))),FALSE())*VLOOKUP(MONTH($A26),Volscale,2)))</f>
        <v> </v>
      </c>
      <c r="CD26" s="335" t="str">
        <f aca="false">IF($A26="N/A"," ",(IF(DateToday&gt;$A26,$CC26,((($CB26^2)*((($A26-1)-DateToday)/((EOMONTH($A26,0)+1)-DateToday-15)))+((($CC26)^2)*((15)/((EOMONTH($A26,0)+1)-DateToday-15))))^0.5)))</f>
        <v> </v>
      </c>
      <c r="CE26" s="334" t="str">
        <f aca="false">IF($A26="N/A"," ",(VLOOKUP($A26,GasVolTable,(IF(BMO=2,6,IF(BMO=1,7,5))),FALSE())))</f>
        <v> </v>
      </c>
      <c r="CF26" s="334" t="str">
        <f aca="false">IF($A26="N/A"," ",(VLOOKUP($A26,OmicronVol,(IF(BMO=2,3,IF(BMO=1,4,2))),FALSE())))</f>
        <v> </v>
      </c>
      <c r="CG26" s="335" t="str">
        <f aca="false">IF($A26="N/A"," ",(IF(DateToday&gt;$A26,$CF26,((($CE26^2)*((($A26-1)-DateToday)/((EOMONTH($A26,0)+1)-DateToday-15)))+((($CF26)^2)*((15)/((EOMONTH($A26,0)+1)-DateToday-15))))^0.5)))</f>
        <v> </v>
      </c>
      <c r="CH26" s="334" t="str">
        <f aca="false">IF($A26="N/A"," ",VLOOKUP($A26,CorrelationTable,2,FALSE()))</f>
        <v> </v>
      </c>
      <c r="CI26" s="336" t="str">
        <f aca="false">IF($A26="N/A"," ",F26+G26+(D26*('Pricing Inputs'!T59)))</f>
        <v> </v>
      </c>
      <c r="CJ26" s="334" t="str">
        <f aca="false">IF($A26="N/A"," ",IF(PV=1,0,'Pricing Inputs'!U59))</f>
        <v> </v>
      </c>
      <c r="CK26" s="337" t="str">
        <f aca="false">IF($A26="N/A"," ",(1+CJ26/2)^(-2*((EOMONTH(A26,0)+20)-DateToday)/365.25))</f>
        <v> </v>
      </c>
      <c r="CL26" s="338" t="str">
        <f aca="false">IF(A26="N/A"," ",IF(CC=2,(VLOOKUP(MONTH($A26),Hrtable,3))/1000,0))</f>
        <v> </v>
      </c>
      <c r="CM26" s="339" t="str">
        <f aca="false">IF(A26="N/A"," ",IF(CC=2,(CL26*C26)+F26,0))</f>
        <v> </v>
      </c>
      <c r="CN26" s="340" t="str">
        <f aca="false">IF($A26="N/A"," ",IF(CC=2,(VLOOKUP(A26,ScaledPrice,(IF(AND(Dayrun&gt;=1,Dayrun&lt;=6),2,4)))-((IF(R26&lt;&gt;0,$D26,$CL26)*$C26)+$F26+$G26)),0))</f>
        <v> </v>
      </c>
      <c r="CO26" s="340" t="str">
        <f aca="false">IF($A26="N/A"," ",IF(CC=2,(IF(AND(Dayrun&gt;=1,Dayrun&lt;=6),I26,(VLOOKUP(A26,ScaledPrice,2))*(2-(VLOOKUP(A26,ScaledPrice,3))))-((IF(S26&lt;&gt;0,$D26,$CL26)*$C26)+$F26+$G26)),0))</f>
        <v> </v>
      </c>
      <c r="CP26" s="340" t="str">
        <f aca="false">IF(A26="N/A"," ",IF(CC=2,(VLOOKUP(A26,ScaledPrice,9)-((IF(T26&lt;&gt;0,$D26,$CL26)*$C26)+$F26+$G26)),0))</f>
        <v> </v>
      </c>
      <c r="CQ26" s="340" t="str">
        <f aca="false">IF(A26="N/A"," ",IF(CC=2,(IF(OR(Dayrun=2,Dayrun=3,Dayrun=5,Dayrun=6,Dayrun=8,Dayrun=9),VLOOKUP(A26,ScaledPrice,IF(AND(Dayrun&gt;=2,Dayrun&lt;=6),5,6)),0)-((IF(U26&lt;&gt;0,$D26,$CL26)*$C26)+$F26+$G26)),0))</f>
        <v> </v>
      </c>
      <c r="CR26" s="340" t="str">
        <f aca="false">IF(A26="N/A"," ",IF(CC=2,(IF(OR(Dayrun=2,Dayrun=3,Dayrun=5,Dayrun=6,Dayrun=8,Dayrun=9),IF(AND(Dayrun&gt;=2,Dayrun&lt;=6),L26,(VLOOKUP(A26,ScaledPrice,5))*(2-(VLOOKUP(A26,ScaledPrice,3)))),0)-((IF(V26&lt;&gt;0,$D26,$CL26)*$C26)+$F26+$G26)),0))</f>
        <v> </v>
      </c>
      <c r="CS26" s="340" t="str">
        <f aca="false">IF(A26="N/A"," ",IF(CC=2,(VLOOKUP(A26,ScaledPrice,9)-((IF(W26&lt;&gt;0,$D26,$CL26)*$C26)+$F26+$G26)),0))</f>
        <v> </v>
      </c>
      <c r="CT26" s="340" t="str">
        <f aca="false">IF(A26="N/A"," ",IF(CC=2,(IF(OR(Dayrun=3,Dayrun=6,Dayrun=9),(VLOOKUP(A26,ScaledPrice,IF(AND(Dayrun&gt;=3,Dayrun&lt;=6),7,8))),0)-((IF(X26&lt;&gt;0,$D26,$CL26)*$C26)+$F26+$G26)),0))</f>
        <v> </v>
      </c>
      <c r="CU26" s="340" t="str">
        <f aca="false">IF(A26="N/A"," ",IF(CC=2,(IF(OR(Dayrun=3,Dayrun=6,Dayrun=9),IF(AND(Dayrun&gt;=3,Dayrun&lt;=6),O26,(VLOOKUP(A26,ScaledPrice,7))*(2-(VLOOKUP(A26,ScaledPrice,3)))),0)-((IF(Y26&lt;&gt;0,$D26,$CL26)*$C26)+$F26+$G26)),0))</f>
        <v> </v>
      </c>
      <c r="CV26" s="340" t="str">
        <f aca="false">IF(A26="N/A"," ",IF(CC=2,(VLOOKUP(A26,ScaledPrice,9)-((IF(Z26&lt;&gt;0,$D26,$CL26)*$C26)+$F26+$G26)),0))</f>
        <v> </v>
      </c>
      <c r="CW26" s="318" t="str">
        <f aca="false">IF($A26="N/A"," ",IF(0&lt;&gt;CN26,IF(CC=2,8*$HD26,0),0))</f>
        <v> </v>
      </c>
      <c r="CX26" s="318" t="str">
        <f aca="false">IF($A26="N/A"," ",IF(0&lt;&gt;CO26,IF(CC=2,8*$HD26,0),0))</f>
        <v> </v>
      </c>
      <c r="CY26" s="318" t="str">
        <f aca="false">IF($A26="N/A"," ",IF(0&lt;&gt;CP26,IF(CC=2,8*$HD26,0),0))</f>
        <v> </v>
      </c>
      <c r="CZ26" s="318" t="str">
        <f aca="false">IF($A26="N/A"," ",IF(0&lt;&gt;CQ26,IF(CC=2,8*$HE26,0),0))</f>
        <v> </v>
      </c>
      <c r="DA26" s="318" t="str">
        <f aca="false">IF($A26="N/A"," ",IF(0&lt;&gt;CR26,IF(CC=2,8*$HE26,0),0))</f>
        <v> </v>
      </c>
      <c r="DB26" s="318" t="str">
        <f aca="false">IF($A26="N/A"," ",IF(0&lt;&gt;CS26,IF(CC=2,8*$HE26,0),0))</f>
        <v> </v>
      </c>
      <c r="DC26" s="318" t="str">
        <f aca="false">IF($A26="N/A"," ",IF(0&lt;&gt;CT26,IF(CC=2,8*$HF26,0),0))</f>
        <v> </v>
      </c>
      <c r="DD26" s="318" t="str">
        <f aca="false">IF($A26="N/A"," ",IF(0&lt;&gt;CU26,IF(CC=2,8*$HF26,0),0))</f>
        <v> </v>
      </c>
      <c r="DE26" s="318" t="str">
        <f aca="false">IF($A26="N/A"," ",IF(0&lt;&gt;CV26,IF(CC=2,8*$HF26,0),0))</f>
        <v> </v>
      </c>
      <c r="DF26" s="341" t="str">
        <f aca="false">IF($A26="N/A"," ",IF(CC=2,(IF(MONTH(A26)&gt;=4,IF(MONTH(A26)&lt;=10,Inputs!$G$13,Inputs!$G$14),Inputs!$G$14))*$CK26,0))</f>
        <v> </v>
      </c>
      <c r="DG26" s="342" t="str">
        <f aca="false">IF($A26="N/A"," ",IF(CC=2,$DF26*CW26*CN26,0))</f>
        <v> </v>
      </c>
      <c r="DH26" s="342" t="str">
        <f aca="false">IF($A26="N/A"," ",IF(CC=2,$DF26*CX26*CO26,0))</f>
        <v> </v>
      </c>
      <c r="DI26" s="342" t="str">
        <f aca="false">IF($A26="N/A"," ",IF(CC=2,$DF26*CY26*CP26,0))</f>
        <v> </v>
      </c>
      <c r="DJ26" s="342" t="str">
        <f aca="false">IF($A26="N/A"," ",IF(CC=2,$DF26*CZ26*CQ26,0))</f>
        <v> </v>
      </c>
      <c r="DK26" s="342" t="str">
        <f aca="false">IF($A26="N/A"," ",IF(CC=2,$DF26*DA26*CR26,0))</f>
        <v> </v>
      </c>
      <c r="DL26" s="342" t="str">
        <f aca="false">IF($A26="N/A"," ",IF(CC=2,$DF26*DB26*CS26,0))</f>
        <v> </v>
      </c>
      <c r="DM26" s="342" t="str">
        <f aca="false">IF($A26="N/A"," ",IF(CC=2,$DF26*DC26*CT26,0))</f>
        <v> </v>
      </c>
      <c r="DN26" s="342" t="str">
        <f aca="false">IF($A26="N/A"," ",IF(CC=2,$DF26*DD26*CU26,0))</f>
        <v> </v>
      </c>
      <c r="DO26" s="342" t="str">
        <f aca="false">IF($A26="N/A"," ",IF(CC=2,$DF26*DE26*CV26,0))</f>
        <v> </v>
      </c>
      <c r="DP26" s="343" t="str">
        <f aca="false">IF($A26="N/A"," ",IF(CC=2,SUM(DG26:DO26),0))</f>
        <v> </v>
      </c>
      <c r="DQ26" s="0" t="str">
        <f aca="false">IF(A26="N/A"," ",Perstart)</f>
        <v> </v>
      </c>
      <c r="HD26" s="0" t="str">
        <f aca="false">IF($A26="N/A"," ",VLOOKUP($A26,NumberofDaysTable,2))</f>
        <v> </v>
      </c>
      <c r="HE26" s="0" t="str">
        <f aca="false">IF($A26="N/A"," ",VLOOKUP($A26,NumberofDaysTable,3))</f>
        <v> </v>
      </c>
      <c r="HF26" s="0" t="str">
        <f aca="false">IF($A26="N/A"," ",VLOOKUP($A26,NumberofDaysTable,4))</f>
        <v> </v>
      </c>
    </row>
    <row r="27" customFormat="false" ht="12.75" hidden="false" customHeight="false" outlineLevel="0" collapsed="false">
      <c r="A27" s="308" t="str">
        <f aca="false">IF(A26="N/A","N/A",IF(EDATE(A26,1)&gt;Inputs!$K$3,"N/A",EDATE(A26,1)))</f>
        <v>N/A</v>
      </c>
      <c r="B27" s="309" t="str">
        <f aca="false">IF(A27="N/A"," ",YEAR(A27))</f>
        <v> </v>
      </c>
      <c r="C27" s="310" t="str">
        <f aca="false">IF(A27="N/A"," ",VLOOKUP(A27,ScaledPrice,10))</f>
        <v> </v>
      </c>
      <c r="D27" s="311" t="str">
        <f aca="false">IF(A27="N/A"," ",(VLOOKUP(MONTH($A27),Hrtable,2))/1000)</f>
        <v> </v>
      </c>
      <c r="E27" s="312" t="str">
        <f aca="false">IF($A27="N/A"," ",(C27-'Pricing Inputs'!T60)*D27)</f>
        <v> </v>
      </c>
      <c r="F27" s="313" t="str">
        <f aca="false">IF(A27="N/A"," ",$F15*(1+VOMesc))</f>
        <v> </v>
      </c>
      <c r="G27" s="313" t="str">
        <f aca="false">IF(A27="N/A"," ",Perstart/IF(AND(Dayrun&gt;=4,Dayrun&lt;=6),16,IF(AND(Dayrun&gt;=7,Dayrun&lt;=9),8,24))/(BM27/CK27))</f>
        <v> </v>
      </c>
      <c r="H27" s="314" t="str">
        <f aca="false">IF(A27="N/A"," ",(C27*D27)+F27+G27)</f>
        <v> </v>
      </c>
      <c r="I27" s="315" t="str">
        <f aca="false">VLOOKUP(A27,ScaledPrice,(IF(AND(Dayrun&gt;=1,Dayrun&lt;=6),2,4)))</f>
        <v> </v>
      </c>
      <c r="J27" s="315" t="str">
        <f aca="false">IF(A27="N/A"," ",IF(AND(Dayrun&gt;=1,Dayrun&lt;=6),I27,(VLOOKUP(A27,ScaledPrice,2))*(2-(VLOOKUP(A27,ScaledPrice,3)))))</f>
        <v> </v>
      </c>
      <c r="K27" s="315" t="str">
        <f aca="false">IF(A27="N/A"," ",IF(AND(Dayrun&gt;=1,Dayrun&lt;=3),VLOOKUP(A27,ScaledPrice,9),0))</f>
        <v> </v>
      </c>
      <c r="L27" s="315" t="str">
        <f aca="false">IF(A27="N/A"," ",IF(OR(Dayrun=2,Dayrun=3,Dayrun=5,Dayrun=6,Dayrun=8,Dayrun=9),VLOOKUP(A27,ScaledPrice,IF(AND(Dayrun&gt;=2,Dayrun&lt;=6),5,6)),0))</f>
        <v> </v>
      </c>
      <c r="M27" s="315" t="str">
        <f aca="false">IF(A27="N/A"," ",IF(OR(Dayrun=2,Dayrun=3,Dayrun=5,Dayrun=6,Dayrun=8,Dayrun=9),IF(AND(Dayrun&gt;=2,Dayrun&lt;=6),L27,(VLOOKUP(A27,ScaledPrice,5))*(2-(VLOOKUP(A27,ScaledPrice,3)))),0))</f>
        <v> </v>
      </c>
      <c r="N27" s="315" t="str">
        <f aca="false">IF(A27="N/A"," ",IF(AND(Dayrun&gt;1,Dayrun&lt;=3),VLOOKUP(A27,ScaledPrice,9),0))</f>
        <v> </v>
      </c>
      <c r="O27" s="315" t="str">
        <f aca="false">IF(A27="N/A"," ",IF(OR(Dayrun=3,Dayrun=6,Dayrun=9),(VLOOKUP(A27,ScaledPrice,IF(AND(Dayrun&gt;=3,Dayrun&lt;=6),7,8))),0))</f>
        <v> </v>
      </c>
      <c r="P27" s="315" t="str">
        <f aca="false">IF(A27="N/A"," ",IF(OR(Dayrun=3,Dayrun=6,Dayrun=9),IF(AND(Dayrun&gt;=3,Dayrun&lt;=6),O27,(VLOOKUP(A27,ScaledPrice,7))*(2-(VLOOKUP(A27,ScaledPrice,3)))),0))</f>
        <v> </v>
      </c>
      <c r="Q27" s="315" t="str">
        <f aca="false">IF(A27="N/A"," ",IF(AND(Dayrun&gt;2,Dayrun&lt;=3),VLOOKUP(A27,ScaledPrice,9),0))</f>
        <v> </v>
      </c>
      <c r="R27" s="316" t="str">
        <f aca="false">IF($A27="N/A"," ",IF(Pricetype=2,MAX(I27-$H27,0),IF(Pricetype=1,(xSPRDOPT(I27,$E27,$CI27,0,($CD27+IF(Smile=TRUE(),VLOOKUP(MAX(-5,$H27-I27),Volsmile,2),0)),$CG27,$CH27,($A27-DateToday)+15,1,0)),I27-$H27)))</f>
        <v> </v>
      </c>
      <c r="S27" s="316" t="str">
        <f aca="false">IF($A27="N/A"," ",IF(Pricetype=2,MAX(J27-$H27,0),IF(Pricetype=1,(xSPRDOPT(J27,$E27,$CI27,0,($CD27+IF(Smile=TRUE(),VLOOKUP(MAX(-5,$H27-J27),Volsmile,2),0)),$CG27,$CH27,($A27-DateToday)+15,1,0)),J27-$H27)))</f>
        <v> </v>
      </c>
      <c r="T27" s="317" t="str">
        <f aca="false">IF($A27="N/A"," ",(IF(Pricetype=2,IF((K27-$H27)&lt;=0,0,(K27-$H27)),IF(K27&lt;&gt;0,(K27-$H27),0))))</f>
        <v> </v>
      </c>
      <c r="U27" s="316" t="str">
        <f aca="false">IF($A27="N/A"," ",IF(Pricetype=2,MAX(L27-$H27,0),IF(L27&lt;&gt;0,IF(Pricetype=1,(xSPRDOPT(L27,$E27,$CI27,0,($CD27+IF(Smile=TRUE(),VLOOKUP(MAX(-5,$H27-L27),Volsmile,2),0)),$CG27,$CH27,($A27-DateToday)+15,1,0)),L27-$H27),0)))</f>
        <v> </v>
      </c>
      <c r="V27" s="316" t="str">
        <f aca="false">IF($A27="N/A"," ",IF(Pricetype=2,MAX(M27-$H27,0),IF(M27&lt;&gt;0,IF(Pricetype=1,(xSPRDOPT(M27,$E27,$CI27,0,($CD27+IF(Smile=TRUE(),VLOOKUP(MAX(-5,$H27-M27),Volsmile,2),0)),$CG27,$CH27,($A27-DateToday)+15,1,0)),M27-$H27),0)))</f>
        <v> </v>
      </c>
      <c r="W27" s="317" t="str">
        <f aca="false">IF($A27="N/A"," ",(IF(Pricetype=2,IF((N27-$H27)&lt;=0,0,(N27-$H27)),IF(N27&lt;&gt;0,(N27-$H27),0))))</f>
        <v> </v>
      </c>
      <c r="X27" s="316" t="str">
        <f aca="false">IF($A27="N/A"," ",IF(Pricetype=2,MAX(O27-$H27,0),IF(O27&lt;&gt;0,IF(Pricetype=1,(xSPRDOPT(O27,$E27,$CI27,0,($CD27+IF(Smile=TRUE(),VLOOKUP(MAX(-5,$H27-O27),Volsmile,2),0)),$CG27,$CH27,($A27-DateToday)+15,1,0)),O27-$H27),0)))</f>
        <v> </v>
      </c>
      <c r="Y27" s="316" t="str">
        <f aca="false">IF($A27="N/A"," ",IF(Pricetype=2,MAX(P27-$H27,0),IF(P27&lt;&gt;0,IF(Pricetype=1,(xSPRDOPT(P27,$E27,$CI27,0,($CD27+IF(Smile=TRUE(),VLOOKUP(MAX(-5,$H27-P27),Volsmile,2),0)),$CG27,$CH27,($A27-DateToday)+15,1,0)),P27-$H27),0)))</f>
        <v> </v>
      </c>
      <c r="Z27" s="317" t="str">
        <f aca="false">IF($A27="N/A"," ",(IF(Pricetype=2,IF((Q27-$H27)&lt;=0,0,(Q27-$H27)),IF(Q27&lt;&gt;0,(Q27-$H27),0))))</f>
        <v> </v>
      </c>
      <c r="AA27" s="318" t="str">
        <f aca="false">IF($A27="N/A"," ",IF(VLOOKUP(MONTH(A27),ManualTable,2)=1,(IF(0&lt;&gt;R27,IF(Pricetype=1,(xSPRDOPT(I27,$E27,$CI27,0,($CD27+IF(Smile=TRUE(),VLOOKUP(MAX(-5,$H27-I27),Volsmile,2),0)),$CG27,$CH27,($A27-DateToday)+15,1,1))*(8*$HD27),8*$HD27),0)),0))</f>
        <v> </v>
      </c>
      <c r="AB27" s="318" t="str">
        <f aca="false">IF($A27="N/A"," ",IF(VLOOKUP(MONTH(A27),ManualTable,3)=1,(IF(S27&lt;&gt;0,IF(Pricetype=1,(xSPRDOPT(J27,$E27,$CI27,0,($CD27+IF(Smile=TRUE(),VLOOKUP(MAX(-5,$H27-J27),Volsmile,2),0)),$CG27,$CH27,($A27-DateToday)+15,1,1))*(8*$HD27),8*$HD27),0)),0))</f>
        <v> </v>
      </c>
      <c r="AC27" s="318" t="str">
        <f aca="false">IF($A27="N/A"," ",IF(VLOOKUP(MONTH(A27),ManualTable,4)=1,(IF(T27&lt;&gt;0,(8*$HD27),0)),0))</f>
        <v> </v>
      </c>
      <c r="AD27" s="318" t="str">
        <f aca="false">IF($A27="N/A"," ",IF(VLOOKUP(MONTH(A27),ManualTable,5)=1,(IF(U27&lt;&gt;0,IF(Pricetype=1,(xSPRDOPT(L27,$E27,$CI27,0,($CD27+IF(Smile=TRUE(),VLOOKUP(MAX(-5,$H27-L27),Volsmile,2),0)),$CG27,$CH27,($A27-DateToday)+15,1,1))*(8*$HE27),8*$HE27),0)),0))</f>
        <v> </v>
      </c>
      <c r="AE27" s="318" t="str">
        <f aca="false">IF($A27="N/A"," ",IF(VLOOKUP(MONTH(A27),ManualTable,6)=1,(IF(V27&lt;&gt;0,IF(Pricetype=1,(xSPRDOPT(M27,$E27,$CI27,0,($CD27+IF(Smile=TRUE(),VLOOKUP(MAX(-5,$H27-M27),Volsmile,2),0)),$CG27,$CH27,($A27-DateToday)+15,1,1))*(8*$HE27),8*$HE27),0)),0))</f>
        <v> </v>
      </c>
      <c r="AF27" s="318" t="str">
        <f aca="false">IF($A27="N/A"," ",IF(VLOOKUP(MONTH(A27),ManualTable,7)=1,(IF(W27&lt;&gt;0,(8*$HE27),0)),0))</f>
        <v> </v>
      </c>
      <c r="AG27" s="318" t="str">
        <f aca="false">IF($A27="N/A"," ",IF(VLOOKUP(MONTH(A27),ManualTable,8)=1,(IF(X27&lt;&gt;0,IF(Pricetype=1,(xSPRDOPT(O27,$E27,$CI27,0,($CD27+IF(Smile=TRUE(),VLOOKUP(MAX(-5,$H27-O27),Volsmile,2),0)),$CG27,$CH27,($A27-DateToday)+15,1,1))*(8*$HF27),8*$HF27),0)),0))</f>
        <v> </v>
      </c>
      <c r="AH27" s="318" t="str">
        <f aca="false">IF($A27="N/A"," ",IF(VLOOKUP(MONTH(A27),ManualTable,9)=1,(IF(Y27&lt;&gt;0,IF(Pricetype=1,(xSPRDOPT(P27,$E27,$CI27,0,($CD27+IF(Smile=TRUE(),VLOOKUP(MAX(-5,$H27-P27),Volsmile,2),0)),$CG27,$CH27,($A27-DateToday)+15,1,1))*(8*$HF27),8*$HF27),0)),0))</f>
        <v> </v>
      </c>
      <c r="AI27" s="318" t="str">
        <f aca="false">IF($A27="N/A"," ",IF(VLOOKUP(MONTH(A27),ManualTable,10)=1,(IF(Z27&lt;&gt;0,(8*($HF27)),0)),0))</f>
        <v> </v>
      </c>
      <c r="AJ27" s="349" t="str">
        <f aca="false">IF($A27="N/A"," ",RANK(R27,$R$16:$Z$27))</f>
        <v> </v>
      </c>
      <c r="AK27" s="350" t="str">
        <f aca="false">IF($A27="N/A"," ",RANK(S27,$R$16:$Z$27))</f>
        <v> </v>
      </c>
      <c r="AL27" s="350" t="str">
        <f aca="false">IF($A27="N/A"," ",RANK(T27,$R$16:$Z$27))</f>
        <v> </v>
      </c>
      <c r="AM27" s="350" t="str">
        <f aca="false">IF($A27="N/A"," ",RANK(U27,$R$16:$Z$27))</f>
        <v> </v>
      </c>
      <c r="AN27" s="350" t="str">
        <f aca="false">IF($A27="N/A"," ",RANK(V27,$R$16:$Z$27))</f>
        <v> </v>
      </c>
      <c r="AO27" s="321" t="str">
        <f aca="false">IF($A27="N/A"," ",RANK(W27,$R$16:$Z$27))</f>
        <v> </v>
      </c>
      <c r="AP27" s="350" t="str">
        <f aca="false">IF($A27="N/A"," ",RANK(X27,$R$16:$Z$27))</f>
        <v> </v>
      </c>
      <c r="AQ27" s="350" t="str">
        <f aca="false">IF($A27="N/A"," ",RANK(Y27,$R$16:$Z$27))</f>
        <v> </v>
      </c>
      <c r="AR27" s="351" t="str">
        <f aca="false">IF($A27="N/A"," ",RANK(Z27,$R$16:$Z$27))</f>
        <v> </v>
      </c>
      <c r="AS27" s="352" t="str">
        <f aca="false">IF($A27="N/A"," ",IF(AJ27&lt;=$AR$2,AA27,0))</f>
        <v> </v>
      </c>
      <c r="AT27" s="353" t="str">
        <f aca="false">IF($A27="N/A"," ",IF(AK27&lt;=$AR$2,AB27,0))</f>
        <v> </v>
      </c>
      <c r="AU27" s="353" t="str">
        <f aca="false">IF($A27="N/A"," ",IF(AL27&lt;=$AR$2,AC27,0))</f>
        <v> </v>
      </c>
      <c r="AV27" s="353" t="str">
        <f aca="false">IF($A27="N/A"," ",IF(AM27&lt;=$AR$2,AD27,0))</f>
        <v> </v>
      </c>
      <c r="AW27" s="353" t="str">
        <f aca="false">IF($A27="N/A"," ",IF(AN27&lt;=$AR$2,AE27,0))</f>
        <v> </v>
      </c>
      <c r="AX27" s="353" t="str">
        <f aca="false">IF($A27="N/A"," ",IF(AO27&lt;=$AR$2,AF27,0))</f>
        <v> </v>
      </c>
      <c r="AY27" s="353" t="str">
        <f aca="false">IF($A27="N/A"," ",IF(AP27&lt;=$AR$2,AG27,0))</f>
        <v> </v>
      </c>
      <c r="AZ27" s="353" t="str">
        <f aca="false">IF($A27="N/A"," ",IF(AQ27&lt;=$AR$2,AH27,0))</f>
        <v> </v>
      </c>
      <c r="BA27" s="353" t="str">
        <f aca="false">IF($A27="N/A"," ",IF(AR27&lt;=$AR$2,AI27,0))</f>
        <v> </v>
      </c>
      <c r="BB27" s="351" t="n">
        <f aca="false">IF(($AZ$2-BB26)&gt;=0,$AZ$2-BB26,0)</f>
        <v>980</v>
      </c>
      <c r="BC27" s="354" t="str">
        <f aca="false">IF($A27="N/A"," ",IF(AND(AJ27=$AR$2+1,AS27=0),MIN($BB$27,AA27),0))</f>
        <v> </v>
      </c>
      <c r="BD27" s="355" t="str">
        <f aca="false">IF($A27="N/A"," ",IF(AND(AK27=$AR$2+1,AT27=0),MIN($BB$27,AB27),0))</f>
        <v> </v>
      </c>
      <c r="BE27" s="346" t="str">
        <f aca="false">IF($A27="N/A"," ",IF(AND(AL27=$AR$2+1,AU27=0),MIN($BB$27,AC27),0))</f>
        <v> </v>
      </c>
      <c r="BF27" s="355" t="str">
        <f aca="false">IF($A27="N/A"," ",IF(AND(AM27=$AR$2+1,AV27=0),MIN($BB$27,AD27),0))</f>
        <v> </v>
      </c>
      <c r="BG27" s="355" t="str">
        <f aca="false">IF($A27="N/A"," ",IF(AND(AN27=$AR$2+1,AW27=0),MIN($BB$27,AE27),0))</f>
        <v> </v>
      </c>
      <c r="BH27" s="346" t="str">
        <f aca="false">IF($A27="N/A"," ",IF(AND(AO27=$AR$2+1,AX27=0),MIN($BB$27,AF27),0))</f>
        <v> </v>
      </c>
      <c r="BI27" s="355" t="str">
        <f aca="false">IF($A27="N/A"," ",IF(AND(AP27=$AR$2+1,AY27=0),MIN($BB$27,AG27),0))</f>
        <v> </v>
      </c>
      <c r="BJ27" s="355" t="str">
        <f aca="false">IF($A27="N/A"," ",IF(AND(AQ27=$AR$2+1,AZ27=0),MIN($BB$27,AH27),0))</f>
        <v> </v>
      </c>
      <c r="BK27" s="355" t="str">
        <f aca="false">IF($A27="N/A"," ",IF(AND(AR27=$AR$2+1,BA27=0),MIN($BB$27,AI27),0))</f>
        <v> </v>
      </c>
      <c r="BL27" s="356" t="n">
        <f aca="false">BB26+BL26</f>
        <v>0</v>
      </c>
      <c r="BM27" s="329" t="str">
        <f aca="false">IF($A27="N/A"," ",(IF(MONTH(A27)&gt;=4,IF(MONTH(A27)&lt;=10,Inputs!$F$13-Inputs!$G$13,Inputs!$F$14-Inputs!$G$14),Inputs!$F$14-Inputs!$G$14))*$CK27*Availability)</f>
        <v> </v>
      </c>
      <c r="BN27" s="330" t="str">
        <f aca="false">IF($A27="N/A"," ",(IF(AS27&gt;0,($BM27*(8*($HD27))*R27),0)+IF(BC27&gt;0,($BM27*((BC27/AA27)*8*$HD27)*R27),0)))</f>
        <v> </v>
      </c>
      <c r="BO27" s="330" t="str">
        <f aca="false">IF($A27="N/A"," ",(IF(AT27&gt;0,($BM27*(8*($HD27))*S27),0)+IF(BD27&gt;0,($BM27*((BD27/AB27)*8*$HD27)*S27),0)))</f>
        <v> </v>
      </c>
      <c r="BP27" s="330" t="str">
        <f aca="false">IF($A27="N/A"," ",(IF(AU27&gt;0,($BM27*(8*($HD27))*T27),0)+IF(BE27&gt;0,($BM27*((BE27))*T27),0)))</f>
        <v> </v>
      </c>
      <c r="BQ27" s="330" t="str">
        <f aca="false">IF($A27="N/A"," ",(IF(AV27&gt;0,($BM27*(8*($HE27))*U27),0)+IF(BF27&gt;0,($BM27*((BF27/AD27)*8*$HE27)*U27),0)))</f>
        <v> </v>
      </c>
      <c r="BR27" s="330" t="str">
        <f aca="false">IF($A27="N/A"," ",(IF(AW27&gt;0,($BM27*(8*($HE27))*V27),0)+IF(BG27&gt;0,($BM27*((BG27/AE27)*8*$HE27)*V27),0)))</f>
        <v> </v>
      </c>
      <c r="BS27" s="330" t="str">
        <f aca="false">IF($A27="N/A"," ",(IF(AX27&gt;0,($BM27*(8*($HE27))*W27),0)+IF(BH27&gt;0,($BM27*((BH27))*W27),0)))</f>
        <v> </v>
      </c>
      <c r="BT27" s="330" t="str">
        <f aca="false">IF($A27="N/A"," ",(IF(AY27&gt;0,($BM27*(8*($HF27))*X27),0)+IF(BI27&gt;0,($BM27*((BI27/AG27)*8*$HF27)*X27),0)))</f>
        <v> </v>
      </c>
      <c r="BU27" s="330" t="str">
        <f aca="false">IF($A27="N/A"," ",(IF(AZ27&gt;0,($BM27*(8*($HF27))*Y27),0)+IF(BJ27&gt;0,($BM27*((BJ27/AH27)*8*$HF27)*Y27),0)))</f>
        <v> </v>
      </c>
      <c r="BV27" s="330" t="str">
        <f aca="false">IF($A27="N/A"," ",(IF(BA27&gt;0,($BM27*(8*($HF27))*Z27),0)+IF(BK27&gt;0,($BM27*((BK27))*Z27),0)))</f>
        <v> </v>
      </c>
      <c r="BW27" s="330" t="str">
        <f aca="false">IF($A27="N/A"," ",SUM(BN27:BV27))</f>
        <v> </v>
      </c>
      <c r="BX27" s="331" t="str">
        <f aca="false">IF($A27="N/A"," ",(H27*(SUM(AS27:BA27)+SUM(BC27:BK27))*BM27))</f>
        <v> </v>
      </c>
      <c r="BY27" s="332" t="str">
        <f aca="false">IF($A27="N/A"," ",((C27*D27)*(SUM($AS27:$BA27)+SUM($BC27:$BK27))*$BM27))</f>
        <v> </v>
      </c>
      <c r="BZ27" s="332" t="str">
        <f aca="false">IF($A27="N/A"," ",(F27*(SUM($AS27:$BA27)+SUM($BC27:$BK27))*$BM27))</f>
        <v> </v>
      </c>
      <c r="CA27" s="333" t="str">
        <f aca="false">IF($A27="N/A"," ",(G27*(SUM($AS27:$BA27)+SUM($BC27:$BK27))*$BM27))</f>
        <v> </v>
      </c>
      <c r="CB27" s="334" t="str">
        <f aca="false">IF(A27="N/A"," ",(VLOOKUP(A27,PowerVolTable,(IF(BMO=2,7,IF(BMO=1,6,8))),FALSE())))</f>
        <v> </v>
      </c>
      <c r="CC27" s="334" t="str">
        <f aca="false">IF(A27="N/A"," ",(VLOOKUP(A27,IntraPowerVol,(IF(BMO=2,3,IF(BMO=1,2,4))),FALSE())*VLOOKUP(MONTH($A27),Volscale,2)))</f>
        <v> </v>
      </c>
      <c r="CD27" s="335" t="str">
        <f aca="false">IF($A27="N/A"," ",(IF(DateToday&gt;$A27,$CC27,((($CB27^2)*((($A27-1)-DateToday)/((EOMONTH($A27,0)+1)-DateToday-15)))+((($CC27)^2)*((15)/((EOMONTH($A27,0)+1)-DateToday-15))))^0.5)))</f>
        <v> </v>
      </c>
      <c r="CE27" s="334" t="str">
        <f aca="false">IF($A27="N/A"," ",(VLOOKUP($A27,GasVolTable,(IF(BMO=2,6,IF(BMO=1,7,5))),FALSE())))</f>
        <v> </v>
      </c>
      <c r="CF27" s="334" t="str">
        <f aca="false">IF($A27="N/A"," ",(VLOOKUP($A27,OmicronVol,(IF(BMO=2,3,IF(BMO=1,4,2))),FALSE())))</f>
        <v> </v>
      </c>
      <c r="CG27" s="335" t="str">
        <f aca="false">IF($A27="N/A"," ",(IF(DateToday&gt;$A27,$CF27,((($CE27^2)*((($A27-1)-DateToday)/((EOMONTH($A27,0)+1)-DateToday-15)))+((($CF27)^2)*((15)/((EOMONTH($A27,0)+1)-DateToday-15))))^0.5)))</f>
        <v> </v>
      </c>
      <c r="CH27" s="334" t="str">
        <f aca="false">IF($A27="N/A"," ",VLOOKUP($A27,CorrelationTable,2,FALSE()))</f>
        <v> </v>
      </c>
      <c r="CI27" s="336" t="str">
        <f aca="false">IF($A27="N/A"," ",F27+G27+(D27*('Pricing Inputs'!T60)))</f>
        <v> </v>
      </c>
      <c r="CJ27" s="334" t="str">
        <f aca="false">IF($A27="N/A"," ",IF(PV=1,0,'Pricing Inputs'!U60))</f>
        <v> </v>
      </c>
      <c r="CK27" s="337" t="str">
        <f aca="false">IF($A27="N/A"," ",(1+CJ27/2)^(-2*((EOMONTH(A27,0)+20)-DateToday)/365.25))</f>
        <v> </v>
      </c>
      <c r="CL27" s="338" t="str">
        <f aca="false">IF(A27="N/A"," ",IF(CC=2,(VLOOKUP(MONTH($A27),Hrtable,3))/1000,0))</f>
        <v> </v>
      </c>
      <c r="CM27" s="339" t="str">
        <f aca="false">IF(A27="N/A"," ",IF(CC=2,(CL27*C27)+F27,0))</f>
        <v> </v>
      </c>
      <c r="CN27" s="340" t="str">
        <f aca="false">IF($A27="N/A"," ",IF(CC=2,(VLOOKUP(A27,ScaledPrice,(IF(AND(Dayrun&gt;=1,Dayrun&lt;=6),2,4)))-((IF(R27&lt;&gt;0,$D27,$CL27)*$C27)+$F27+$G27)),0))</f>
        <v> </v>
      </c>
      <c r="CO27" s="340" t="str">
        <f aca="false">IF($A27="N/A"," ",IF(CC=2,(IF(AND(Dayrun&gt;=1,Dayrun&lt;=6),I27,(VLOOKUP(A27,ScaledPrice,2))*(2-(VLOOKUP(A27,ScaledPrice,3))))-((IF(S27&lt;&gt;0,$D27,$CL27)*$C27)+$F27+$G27)),0))</f>
        <v> </v>
      </c>
      <c r="CP27" s="340" t="str">
        <f aca="false">IF(A27="N/A"," ",IF(CC=2,(VLOOKUP(A27,ScaledPrice,9)-((IF(T27&lt;&gt;0,$D27,$CL27)*$C27)+$F27+$G27)),0))</f>
        <v> </v>
      </c>
      <c r="CQ27" s="340" t="str">
        <f aca="false">IF(A27="N/A"," ",IF(CC=2,(IF(OR(Dayrun=2,Dayrun=3,Dayrun=5,Dayrun=6,Dayrun=8,Dayrun=9),VLOOKUP(A27,ScaledPrice,IF(AND(Dayrun&gt;=2,Dayrun&lt;=6),5,6)),0)-((IF(U27&lt;&gt;0,$D27,$CL27)*$C27)+$F27+$G27)),0))</f>
        <v> </v>
      </c>
      <c r="CR27" s="340" t="str">
        <f aca="false">IF(A27="N/A"," ",IF(CC=2,(IF(OR(Dayrun=2,Dayrun=3,Dayrun=5,Dayrun=6,Dayrun=8,Dayrun=9),IF(AND(Dayrun&gt;=2,Dayrun&lt;=6),L27,(VLOOKUP(A27,ScaledPrice,5))*(2-(VLOOKUP(A27,ScaledPrice,3)))),0)-((IF(V27&lt;&gt;0,$D27,$CL27)*$C27)+$F27+$G27)),0))</f>
        <v> </v>
      </c>
      <c r="CS27" s="340" t="str">
        <f aca="false">IF(A27="N/A"," ",IF(CC=2,(VLOOKUP(A27,ScaledPrice,9)-((IF(W27&lt;&gt;0,$D27,$CL27)*$C27)+$F27+$G27)),0))</f>
        <v> </v>
      </c>
      <c r="CT27" s="340" t="str">
        <f aca="false">IF(A27="N/A"," ",IF(CC=2,(IF(OR(Dayrun=3,Dayrun=6,Dayrun=9),(VLOOKUP(A27,ScaledPrice,IF(AND(Dayrun&gt;=3,Dayrun&lt;=6),7,8))),0)-((IF(X27&lt;&gt;0,$D27,$CL27)*$C27)+$F27+$G27)),0))</f>
        <v> </v>
      </c>
      <c r="CU27" s="340" t="str">
        <f aca="false">IF(A27="N/A"," ",IF(CC=2,(IF(OR(Dayrun=3,Dayrun=6,Dayrun=9),IF(AND(Dayrun&gt;=3,Dayrun&lt;=6),O27,(VLOOKUP(A27,ScaledPrice,7))*(2-(VLOOKUP(A27,ScaledPrice,3)))),0)-((IF(Y27&lt;&gt;0,$D27,$CL27)*$C27)+$F27+$G27)),0))</f>
        <v> </v>
      </c>
      <c r="CV27" s="340" t="str">
        <f aca="false">IF(A27="N/A"," ",IF(CC=2,(VLOOKUP(A27,ScaledPrice,9)-((IF(Z27&lt;&gt;0,$D27,$CL27)*$C27)+$F27+$G27)),0))</f>
        <v> </v>
      </c>
      <c r="CW27" s="318" t="str">
        <f aca="false">IF($A27="N/A"," ",IF(0&lt;&gt;CN27,IF(CC=2,8*$HD27,0),0))</f>
        <v> </v>
      </c>
      <c r="CX27" s="318" t="str">
        <f aca="false">IF($A27="N/A"," ",IF(0&lt;&gt;CO27,IF(CC=2,8*$HD27,0),0))</f>
        <v> </v>
      </c>
      <c r="CY27" s="318" t="str">
        <f aca="false">IF($A27="N/A"," ",IF(0&lt;&gt;CP27,IF(CC=2,8*$HD27,0),0))</f>
        <v> </v>
      </c>
      <c r="CZ27" s="318" t="str">
        <f aca="false">IF($A27="N/A"," ",IF(0&lt;&gt;CQ27,IF(CC=2,8*$HE27,0),0))</f>
        <v> </v>
      </c>
      <c r="DA27" s="318" t="str">
        <f aca="false">IF($A27="N/A"," ",IF(0&lt;&gt;CR27,IF(CC=2,8*$HE27,0),0))</f>
        <v> </v>
      </c>
      <c r="DB27" s="318" t="str">
        <f aca="false">IF($A27="N/A"," ",IF(0&lt;&gt;CS27,IF(CC=2,8*$HE27,0),0))</f>
        <v> </v>
      </c>
      <c r="DC27" s="318" t="str">
        <f aca="false">IF($A27="N/A"," ",IF(0&lt;&gt;CT27,IF(CC=2,8*$HF27,0),0))</f>
        <v> </v>
      </c>
      <c r="DD27" s="318" t="str">
        <f aca="false">IF($A27="N/A"," ",IF(0&lt;&gt;CU27,IF(CC=2,8*$HF27,0),0))</f>
        <v> </v>
      </c>
      <c r="DE27" s="318" t="str">
        <f aca="false">IF($A27="N/A"," ",IF(0&lt;&gt;CV27,IF(CC=2,8*$HF27,0),0))</f>
        <v> </v>
      </c>
      <c r="DF27" s="341" t="str">
        <f aca="false">IF($A27="N/A"," ",IF(CC=2,(IF(MONTH(A27)&gt;=4,IF(MONTH(A27)&lt;=10,Inputs!$G$13,Inputs!$G$14),Inputs!$G$14))*$CK27,0))</f>
        <v> </v>
      </c>
      <c r="DG27" s="342" t="str">
        <f aca="false">IF($A27="N/A"," ",IF(CC=2,$DF27*CW27*CN27,0))</f>
        <v> </v>
      </c>
      <c r="DH27" s="342" t="str">
        <f aca="false">IF($A27="N/A"," ",IF(CC=2,$DF27*CX27*CO27,0))</f>
        <v> </v>
      </c>
      <c r="DI27" s="342" t="str">
        <f aca="false">IF($A27="N/A"," ",IF(CC=2,$DF27*CY27*CP27,0))</f>
        <v> </v>
      </c>
      <c r="DJ27" s="342" t="str">
        <f aca="false">IF($A27="N/A"," ",IF(CC=2,$DF27*CZ27*CQ27,0))</f>
        <v> </v>
      </c>
      <c r="DK27" s="342" t="str">
        <f aca="false">IF($A27="N/A"," ",IF(CC=2,$DF27*DA27*CR27,0))</f>
        <v> </v>
      </c>
      <c r="DL27" s="342" t="str">
        <f aca="false">IF($A27="N/A"," ",IF(CC=2,$DF27*DB27*CS27,0))</f>
        <v> </v>
      </c>
      <c r="DM27" s="342" t="str">
        <f aca="false">IF($A27="N/A"," ",IF(CC=2,$DF27*DC27*CT27,0))</f>
        <v> </v>
      </c>
      <c r="DN27" s="342" t="str">
        <f aca="false">IF($A27="N/A"," ",IF(CC=2,$DF27*DD27*CU27,0))</f>
        <v> </v>
      </c>
      <c r="DO27" s="342" t="str">
        <f aca="false">IF($A27="N/A"," ",IF(CC=2,$DF27*DE27*CV27,0))</f>
        <v> </v>
      </c>
      <c r="DP27" s="343" t="str">
        <f aca="false">IF($A27="N/A"," ",IF(CC=2,SUM(DG27:DO27),0))</f>
        <v> </v>
      </c>
      <c r="DQ27" s="0" t="str">
        <f aca="false">IF(A27="N/A"," ",Perstart)</f>
        <v> </v>
      </c>
      <c r="HD27" s="0" t="str">
        <f aca="false">IF($A27="N/A"," ",VLOOKUP($A27,NumberofDaysTable,2))</f>
        <v> </v>
      </c>
      <c r="HE27" s="0" t="str">
        <f aca="false">IF($A27="N/A"," ",VLOOKUP($A27,NumberofDaysTable,3))</f>
        <v> </v>
      </c>
      <c r="HF27" s="0" t="str">
        <f aca="false">IF($A27="N/A"," ",VLOOKUP($A27,NumberofDaysTable,4))</f>
        <v> </v>
      </c>
    </row>
    <row r="28" customFormat="false" ht="12.75" hidden="false" customHeight="false" outlineLevel="0" collapsed="false">
      <c r="A28" s="308" t="str">
        <f aca="false">IF(A27="N/A","N/A",IF(EDATE(A27,1)&gt;Inputs!$K$3,"N/A",EDATE(A27,1)))</f>
        <v>N/A</v>
      </c>
      <c r="B28" s="309" t="str">
        <f aca="false">IF(A28="N/A"," ",YEAR(A28))</f>
        <v> </v>
      </c>
      <c r="C28" s="310" t="str">
        <f aca="false">IF(A28="N/A"," ",VLOOKUP(A28,ScaledPrice,10))</f>
        <v> </v>
      </c>
      <c r="D28" s="311" t="str">
        <f aca="false">IF(A28="N/A"," ",(VLOOKUP(MONTH($A28),Hrtable,2))/1000)</f>
        <v> </v>
      </c>
      <c r="E28" s="312" t="str">
        <f aca="false">IF($A28="N/A"," ",(C28-'Pricing Inputs'!T61)*D28)</f>
        <v> </v>
      </c>
      <c r="F28" s="313" t="str">
        <f aca="false">IF(A28="N/A"," ",$F16*(1+VOMesc))</f>
        <v> </v>
      </c>
      <c r="G28" s="313" t="str">
        <f aca="false">IF(A28="N/A"," ",Perstart/IF(AND(Dayrun&gt;=4,Dayrun&lt;=6),16,IF(AND(Dayrun&gt;=7,Dayrun&lt;=9),8,24))/(BM28/CK28))</f>
        <v> </v>
      </c>
      <c r="H28" s="314" t="str">
        <f aca="false">IF(A28="N/A"," ",(C28*D28)+F28+G28)</f>
        <v> </v>
      </c>
      <c r="I28" s="315" t="str">
        <f aca="false">VLOOKUP(A28,ScaledPrice,(IF(AND(Dayrun&gt;=1,Dayrun&lt;=6),2,4)))</f>
        <v> </v>
      </c>
      <c r="J28" s="315" t="str">
        <f aca="false">IF(A28="N/A"," ",IF(AND(Dayrun&gt;=1,Dayrun&lt;=6),I28,(VLOOKUP(A28,ScaledPrice,2))*(2-(VLOOKUP(A28,ScaledPrice,3)))))</f>
        <v> </v>
      </c>
      <c r="K28" s="315" t="str">
        <f aca="false">IF(A28="N/A"," ",IF(AND(Dayrun&gt;=1,Dayrun&lt;=3),VLOOKUP(A28,ScaledPrice,9),0))</f>
        <v> </v>
      </c>
      <c r="L28" s="315" t="str">
        <f aca="false">IF(A28="N/A"," ",IF(OR(Dayrun=2,Dayrun=3,Dayrun=5,Dayrun=6,Dayrun=8,Dayrun=9),VLOOKUP(A28,ScaledPrice,IF(AND(Dayrun&gt;=2,Dayrun&lt;=6),5,6)),0))</f>
        <v> </v>
      </c>
      <c r="M28" s="315" t="str">
        <f aca="false">IF(A28="N/A"," ",IF(OR(Dayrun=2,Dayrun=3,Dayrun=5,Dayrun=6,Dayrun=8,Dayrun=9),IF(AND(Dayrun&gt;=2,Dayrun&lt;=6),L28,(VLOOKUP(A28,ScaledPrice,5))*(2-(VLOOKUP(A28,ScaledPrice,3)))),0))</f>
        <v> </v>
      </c>
      <c r="N28" s="315" t="str">
        <f aca="false">IF(A28="N/A"," ",IF(AND(Dayrun&gt;1,Dayrun&lt;=3),VLOOKUP(A28,ScaledPrice,9),0))</f>
        <v> </v>
      </c>
      <c r="O28" s="315" t="str">
        <f aca="false">IF(A28="N/A"," ",IF(OR(Dayrun=3,Dayrun=6,Dayrun=9),(VLOOKUP(A28,ScaledPrice,IF(AND(Dayrun&gt;=3,Dayrun&lt;=6),7,8))),0))</f>
        <v> </v>
      </c>
      <c r="P28" s="315" t="str">
        <f aca="false">IF(A28="N/A"," ",IF(OR(Dayrun=3,Dayrun=6,Dayrun=9),IF(AND(Dayrun&gt;=3,Dayrun&lt;=6),O28,(VLOOKUP(A28,ScaledPrice,7))*(2-(VLOOKUP(A28,ScaledPrice,3)))),0))</f>
        <v> </v>
      </c>
      <c r="Q28" s="315" t="str">
        <f aca="false">IF(A28="N/A"," ",IF(AND(Dayrun&gt;2,Dayrun&lt;=3),VLOOKUP(A28,ScaledPrice,9),0))</f>
        <v> </v>
      </c>
      <c r="R28" s="316" t="str">
        <f aca="false">IF($A28="N/A"," ",IF(Pricetype=2,MAX(I28-$H28,0),IF(Pricetype=1,(xSPRDOPT(I28,$E28,$CI28,0,($CD28+IF(Smile=TRUE(),VLOOKUP(MAX(-5,$H28-I28),Volsmile,2),0)),$CG28,$CH28,($A28-DateToday)+15,1,0)),I28-$H28)))</f>
        <v> </v>
      </c>
      <c r="S28" s="316" t="str">
        <f aca="false">IF($A28="N/A"," ",IF(Pricetype=2,MAX(J28-$H28,0),IF(Pricetype=1,(xSPRDOPT(J28,$E28,$CI28,0,($CD28+IF(Smile=TRUE(),VLOOKUP(MAX(-5,$H28-J28),Volsmile,2),0)),$CG28,$CH28,($A28-DateToday)+15,1,0)),J28-$H28)))</f>
        <v> </v>
      </c>
      <c r="T28" s="317" t="str">
        <f aca="false">IF($A28="N/A"," ",(IF(Pricetype=2,IF((K28-$H28)&lt;=0,0,(K28-$H28)),IF(K28&lt;&gt;0,(K28-$H28),0))))</f>
        <v> </v>
      </c>
      <c r="U28" s="316" t="str">
        <f aca="false">IF($A28="N/A"," ",IF(Pricetype=2,MAX(L28-$H28,0),IF(L28&lt;&gt;0,IF(Pricetype=1,(xSPRDOPT(L28,$E28,$CI28,0,($CD28+IF(Smile=TRUE(),VLOOKUP(MAX(-5,$H28-L28),Volsmile,2),0)),$CG28,$CH28,($A28-DateToday)+15,1,0)),L28-$H28),0)))</f>
        <v> </v>
      </c>
      <c r="V28" s="316" t="str">
        <f aca="false">IF($A28="N/A"," ",IF(Pricetype=2,MAX(M28-$H28,0),IF(M28&lt;&gt;0,IF(Pricetype=1,(xSPRDOPT(M28,$E28,$CI28,0,($CD28+IF(Smile=TRUE(),VLOOKUP(MAX(-5,$H28-M28),Volsmile,2),0)),$CG28,$CH28,($A28-DateToday)+15,1,0)),M28-$H28),0)))</f>
        <v> </v>
      </c>
      <c r="W28" s="317" t="str">
        <f aca="false">IF($A28="N/A"," ",(IF(Pricetype=2,IF((N28-$H28)&lt;=0,0,(N28-$H28)),IF(N28&lt;&gt;0,(N28-$H28),0))))</f>
        <v> </v>
      </c>
      <c r="X28" s="316" t="str">
        <f aca="false">IF($A28="N/A"," ",IF(Pricetype=2,MAX(O28-$H28,0),IF(O28&lt;&gt;0,IF(Pricetype=1,(xSPRDOPT(O28,$E28,$CI28,0,($CD28+IF(Smile=TRUE(),VLOOKUP(MAX(-5,$H28-O28),Volsmile,2),0)),$CG28,$CH28,($A28-DateToday)+15,1,0)),O28-$H28),0)))</f>
        <v> </v>
      </c>
      <c r="Y28" s="316" t="str">
        <f aca="false">IF($A28="N/A"," ",IF(Pricetype=2,MAX(P28-$H28,0),IF(P28&lt;&gt;0,IF(Pricetype=1,(xSPRDOPT(P28,$E28,$CI28,0,($CD28+IF(Smile=TRUE(),VLOOKUP(MAX(-5,$H28-P28),Volsmile,2),0)),$CG28,$CH28,($A28-DateToday)+15,1,0)),P28-$H28),0)))</f>
        <v> </v>
      </c>
      <c r="Z28" s="317" t="str">
        <f aca="false">IF($A28="N/A"," ",(IF(Pricetype=2,IF((Q28-$H28)&lt;=0,0,(Q28-$H28)),IF(Q28&lt;&gt;0,(Q28-$H28),0))))</f>
        <v> </v>
      </c>
      <c r="AA28" s="318" t="str">
        <f aca="false">IF($A28="N/A"," ",IF(VLOOKUP(MONTH(A28),ManualTable,2)=1,(IF(0&lt;&gt;R28,IF(Pricetype=1,(xSPRDOPT(I28,$E28,$CI28,0,($CD28+IF(Smile=TRUE(),VLOOKUP(MAX(-5,$H28-I28),Volsmile,2),0)),$CG28,$CH28,($A28-DateToday)+15,1,1))*(8*$HD28),8*$HD28),0)),0))</f>
        <v> </v>
      </c>
      <c r="AB28" s="318" t="str">
        <f aca="false">IF($A28="N/A"," ",IF(VLOOKUP(MONTH(A28),ManualTable,3)=1,(IF(S28&lt;&gt;0,IF(Pricetype=1,(xSPRDOPT(J28,$E28,$CI28,0,($CD28+IF(Smile=TRUE(),VLOOKUP(MAX(-5,$H28-J28),Volsmile,2),0)),$CG28,$CH28,($A28-DateToday)+15,1,1))*(8*$HD28),8*$HD28),0)),0))</f>
        <v> </v>
      </c>
      <c r="AC28" s="318" t="str">
        <f aca="false">IF($A28="N/A"," ",IF(VLOOKUP(MONTH(A28),ManualTable,4)=1,(IF(T28&lt;&gt;0,(8*$HD28),0)),0))</f>
        <v> </v>
      </c>
      <c r="AD28" s="318" t="str">
        <f aca="false">IF($A28="N/A"," ",IF(VLOOKUP(MONTH(A28),ManualTable,5)=1,(IF(U28&lt;&gt;0,IF(Pricetype=1,(xSPRDOPT(L28,$E28,$CI28,0,($CD28+IF(Smile=TRUE(),VLOOKUP(MAX(-5,$H28-L28),Volsmile,2),0)),$CG28,$CH28,($A28-DateToday)+15,1,1))*(8*$HE28),8*$HE28),0)),0))</f>
        <v> </v>
      </c>
      <c r="AE28" s="318" t="str">
        <f aca="false">IF($A28="N/A"," ",IF(VLOOKUP(MONTH(A28),ManualTable,6)=1,(IF(V28&lt;&gt;0,IF(Pricetype=1,(xSPRDOPT(M28,$E28,$CI28,0,($CD28+IF(Smile=TRUE(),VLOOKUP(MAX(-5,$H28-M28),Volsmile,2),0)),$CG28,$CH28,($A28-DateToday)+15,1,1))*(8*$HE28),8*$HE28),0)),0))</f>
        <v> </v>
      </c>
      <c r="AF28" s="318" t="str">
        <f aca="false">IF($A28="N/A"," ",IF(VLOOKUP(MONTH(A28),ManualTable,7)=1,(IF(W28&lt;&gt;0,(8*$HE28),0)),0))</f>
        <v> </v>
      </c>
      <c r="AG28" s="318" t="str">
        <f aca="false">IF($A28="N/A"," ",IF(VLOOKUP(MONTH(A28),ManualTable,8)=1,(IF(X28&lt;&gt;0,IF(Pricetype=1,(xSPRDOPT(O28,$E28,$CI28,0,($CD28+IF(Smile=TRUE(),VLOOKUP(MAX(-5,$H28-O28),Volsmile,2),0)),$CG28,$CH28,($A28-DateToday)+15,1,1))*(8*$HF28),8*$HF28),0)),0))</f>
        <v> </v>
      </c>
      <c r="AH28" s="318" t="str">
        <f aca="false">IF($A28="N/A"," ",IF(VLOOKUP(MONTH(A28),ManualTable,9)=1,(IF(Y28&lt;&gt;0,IF(Pricetype=1,(xSPRDOPT(P28,$E28,$CI28,0,($CD28+IF(Smile=TRUE(),VLOOKUP(MAX(-5,$H28-P28),Volsmile,2),0)),$CG28,$CH28,($A28-DateToday)+15,1,1))*(8*$HF28),8*$HF28),0)),0))</f>
        <v> </v>
      </c>
      <c r="AI28" s="318" t="str">
        <f aca="false">IF($A28="N/A"," ",IF(VLOOKUP(MONTH(A28),ManualTable,10)=1,(IF(Z28&lt;&gt;0,(8*($HF28)),0)),0))</f>
        <v> </v>
      </c>
      <c r="AJ28" s="319" t="str">
        <f aca="false">IF($A28="N/A"," ",RANK(R28,$R$28:$Z$39))</f>
        <v> </v>
      </c>
      <c r="AK28" s="320" t="str">
        <f aca="false">IF($A28="N/A"," ",RANK(S28,$R$28:$Z$39))</f>
        <v> </v>
      </c>
      <c r="AL28" s="321" t="str">
        <f aca="false">IF($A28="N/A"," ",RANK(T28,$R$28:$Z$39))</f>
        <v> </v>
      </c>
      <c r="AM28" s="320" t="str">
        <f aca="false">IF($A28="N/A"," ",RANK(U28,$R$28:$Z$39))</f>
        <v> </v>
      </c>
      <c r="AN28" s="320" t="str">
        <f aca="false">IF($A28="N/A"," ",RANK(V28,$R$28:$Z$39))</f>
        <v> </v>
      </c>
      <c r="AO28" s="320" t="str">
        <f aca="false">IF($A28="N/A"," ",RANK(W28,$R$28:$Z$39))</f>
        <v> </v>
      </c>
      <c r="AP28" s="320" t="str">
        <f aca="false">IF($A28="N/A"," ",RANK(X28,$R$28:$Z$39))</f>
        <v> </v>
      </c>
      <c r="AQ28" s="320" t="str">
        <f aca="false">IF($A28="N/A"," ",RANK(Y28,$R$28:$Z$39))</f>
        <v> </v>
      </c>
      <c r="AR28" s="322" t="str">
        <f aca="false">IF($A28="N/A"," ",RANK(Z28,$R$28:$Z$39))</f>
        <v> </v>
      </c>
      <c r="AS28" s="357" t="str">
        <f aca="false">IF($A28="N/A"," ",IF(AJ28&lt;=$AR$2,AA28,0))</f>
        <v> </v>
      </c>
      <c r="AT28" s="324" t="str">
        <f aca="false">IF($A28="N/A"," ",IF(AK28&lt;=$AR$2,AB28,0))</f>
        <v> </v>
      </c>
      <c r="AU28" s="325" t="str">
        <f aca="false">IF($A28="N/A"," ",IF(AL28&lt;=$AR$2,AC28,0))</f>
        <v> </v>
      </c>
      <c r="AV28" s="324" t="str">
        <f aca="false">IF($A28="N/A"," ",IF(AM28&lt;=$AR$2,AD28,0))</f>
        <v> </v>
      </c>
      <c r="AW28" s="324" t="str">
        <f aca="false">IF($A28="N/A"," ",IF(AN28&lt;=$AR$2,AE28,0))</f>
        <v> </v>
      </c>
      <c r="AX28" s="325" t="str">
        <f aca="false">IF($A28="N/A"," ",IF(AO28&lt;=$AR$2,AF28,0))</f>
        <v> </v>
      </c>
      <c r="AY28" s="324" t="str">
        <f aca="false">IF($A28="N/A"," ",IF(AP28&lt;=$AR$2,AG28,0))</f>
        <v> </v>
      </c>
      <c r="AZ28" s="324" t="str">
        <f aca="false">IF($A28="N/A"," ",IF(AQ28&lt;=$AR$2,AH28,0))</f>
        <v> </v>
      </c>
      <c r="BA28" s="324" t="str">
        <f aca="false">IF($A28="N/A"," ",IF(AR28&lt;=$AR$2,AI28,0))</f>
        <v> </v>
      </c>
      <c r="BB28" s="322"/>
      <c r="BC28" s="358" t="str">
        <f aca="false">IF($A28="N/A"," ",IF(AND(AJ28=$AR$2+1,AS28=0),MIN($BB$39,AA28),0))</f>
        <v> </v>
      </c>
      <c r="BD28" s="327" t="str">
        <f aca="false">IF($A28="N/A"," ",IF(AND(AK28=$AR$2+1,AT28=0),MIN($BB$39,AB28),0))</f>
        <v> </v>
      </c>
      <c r="BE28" s="327" t="str">
        <f aca="false">IF($A28="N/A"," ",IF(AND(AL28=$AR$2+1,AU28=0),MIN($BB$39,AC28),0))</f>
        <v> </v>
      </c>
      <c r="BF28" s="327" t="str">
        <f aca="false">IF($A28="N/A"," ",IF(AND(AM28=$AR$2+1,AV28=0),MIN($BB$39,AD28),0))</f>
        <v> </v>
      </c>
      <c r="BG28" s="327" t="str">
        <f aca="false">IF($A28="N/A"," ",IF(AND(AN28=$AR$2+1,AW28=0),MIN($BB$39,AE28),0))</f>
        <v> </v>
      </c>
      <c r="BH28" s="327" t="str">
        <f aca="false">IF($A28="N/A"," ",IF(AND(AO28=$AR$2+1,AX28=0),MIN($BB$39,AF28),0))</f>
        <v> </v>
      </c>
      <c r="BI28" s="327" t="str">
        <f aca="false">IF($A28="N/A"," ",IF(AND(AP28=$AR$2+1,AY28=0),MIN($BB$39,AG28),0))</f>
        <v> </v>
      </c>
      <c r="BJ28" s="327" t="str">
        <f aca="false">IF($A28="N/A"," ",IF(AND(AQ28=$AR$2+1,AZ28=0),MIN($BB$39,AH28),0))</f>
        <v> </v>
      </c>
      <c r="BK28" s="327" t="str">
        <f aca="false">IF($A28="N/A"," ",IF(AND(AR28=$AR$2+1,BA28=0),MIN($BB$39,AI28),0))</f>
        <v> </v>
      </c>
      <c r="BL28" s="322"/>
      <c r="BM28" s="329" t="str">
        <f aca="false">IF($A28="N/A"," ",(IF(MONTH(A28)&gt;=4,IF(MONTH(A28)&lt;=10,Inputs!$F$13-Inputs!$G$13,Inputs!$F$14-Inputs!$G$14),Inputs!$F$14-Inputs!$G$14))*$CK28*Availability)</f>
        <v> </v>
      </c>
      <c r="BN28" s="330" t="str">
        <f aca="false">IF($A28="N/A"," ",(IF(AS28&gt;0,($BM28*(8*($HD28))*R28),0)+IF(BC28&gt;0,($BM28*((BC28/AA28)*8*$HD28)*R28),0)))</f>
        <v> </v>
      </c>
      <c r="BO28" s="330" t="str">
        <f aca="false">IF($A28="N/A"," ",(IF(AT28&gt;0,($BM28*(8*($HD28))*S28),0)+IF(BD28&gt;0,($BM28*((BD28/AB28)*8*$HD28)*S28),0)))</f>
        <v> </v>
      </c>
      <c r="BP28" s="330" t="str">
        <f aca="false">IF($A28="N/A"," ",(IF(AU28&gt;0,($BM28*(8*($HD28))*T28),0)+IF(BE28&gt;0,($BM28*((BE28))*T28),0)))</f>
        <v> </v>
      </c>
      <c r="BQ28" s="330" t="str">
        <f aca="false">IF($A28="N/A"," ",(IF(AV28&gt;0,($BM28*(8*($HE28))*U28),0)+IF(BF28&gt;0,($BM28*((BF28/AD28)*8*$HE28)*U28),0)))</f>
        <v> </v>
      </c>
      <c r="BR28" s="330" t="str">
        <f aca="false">IF($A28="N/A"," ",(IF(AW28&gt;0,($BM28*(8*($HE28))*V28),0)+IF(BG28&gt;0,($BM28*((BG28/AE28)*8*$HE28)*V28),0)))</f>
        <v> </v>
      </c>
      <c r="BS28" s="330" t="str">
        <f aca="false">IF($A28="N/A"," ",(IF(AX28&gt;0,($BM28*(8*($HE28))*W28),0)+IF(BH28&gt;0,($BM28*((BH28))*W28),0)))</f>
        <v> </v>
      </c>
      <c r="BT28" s="330" t="str">
        <f aca="false">IF($A28="N/A"," ",(IF(AY28&gt;0,($BM28*(8*($HF28))*X28),0)+IF(BI28&gt;0,($BM28*((BI28/AG28)*8*$HF28)*X28),0)))</f>
        <v> </v>
      </c>
      <c r="BU28" s="330" t="str">
        <f aca="false">IF($A28="N/A"," ",(IF(AZ28&gt;0,($BM28*(8*($HF28))*Y28),0)+IF(BJ28&gt;0,($BM28*((BJ28/AH28)*8*$HF28)*Y28),0)))</f>
        <v> </v>
      </c>
      <c r="BV28" s="330" t="str">
        <f aca="false">IF($A28="N/A"," ",(IF(BA28&gt;0,($BM28*(8*($HF28))*Z28),0)+IF(BK28&gt;0,($BM28*((BK28))*Z28),0)))</f>
        <v> </v>
      </c>
      <c r="BW28" s="330" t="str">
        <f aca="false">IF($A28="N/A"," ",SUM(BN28:BV28))</f>
        <v> </v>
      </c>
      <c r="BX28" s="331" t="str">
        <f aca="false">IF($A28="N/A"," ",(H28*(SUM(AS28:BA28)+SUM(BC28:BK28))*BM28))</f>
        <v> </v>
      </c>
      <c r="BY28" s="332" t="str">
        <f aca="false">IF($A28="N/A"," ",((C28*D28)*(SUM($AS28:$BA28)+SUM($BC28:$BK28))*$BM28))</f>
        <v> </v>
      </c>
      <c r="BZ28" s="332" t="str">
        <f aca="false">IF($A28="N/A"," ",(F28*(SUM($AS28:$BA28)+SUM($BC28:$BK28))*$BM28))</f>
        <v> </v>
      </c>
      <c r="CA28" s="333" t="str">
        <f aca="false">IF($A28="N/A"," ",(G28*(SUM($AS28:$BA28)+SUM($BC28:$BK28))*$BM28))</f>
        <v> </v>
      </c>
      <c r="CB28" s="334" t="str">
        <f aca="false">IF(A28="N/A"," ",(VLOOKUP(A28,PowerVolTable,(IF(BMO=2,7,IF(BMO=1,6,8))),FALSE())))</f>
        <v> </v>
      </c>
      <c r="CC28" s="334" t="str">
        <f aca="false">IF(A28="N/A"," ",(VLOOKUP(A28,IntraPowerVol,(IF(BMO=2,3,IF(BMO=1,2,4))),FALSE())*VLOOKUP(MONTH($A28),Volscale,2)))</f>
        <v> </v>
      </c>
      <c r="CD28" s="335" t="str">
        <f aca="false">IF($A28="N/A"," ",(IF(DateToday&gt;$A28,$CC28,((($CB28^2)*((($A28-1)-DateToday)/((EOMONTH($A28,0)+1)-DateToday-15)))+((($CC28)^2)*((15)/((EOMONTH($A28,0)+1)-DateToday-15))))^0.5)))</f>
        <v> </v>
      </c>
      <c r="CE28" s="334" t="str">
        <f aca="false">IF($A28="N/A"," ",(VLOOKUP($A28,GasVolTable,(IF(BMO=2,6,IF(BMO=1,7,5))),FALSE())))</f>
        <v> </v>
      </c>
      <c r="CF28" s="334" t="str">
        <f aca="false">IF($A28="N/A"," ",(VLOOKUP($A28,OmicronVol,(IF(BMO=2,3,IF(BMO=1,4,2))),FALSE())))</f>
        <v> </v>
      </c>
      <c r="CG28" s="335" t="str">
        <f aca="false">IF($A28="N/A"," ",(IF(DateToday&gt;$A28,$CF28,((($CE28^2)*((($A28-1)-DateToday)/((EOMONTH($A28,0)+1)-DateToday-15)))+((($CF28)^2)*((15)/((EOMONTH($A28,0)+1)-DateToday-15))))^0.5)))</f>
        <v> </v>
      </c>
      <c r="CH28" s="334" t="str">
        <f aca="false">IF($A28="N/A"," ",VLOOKUP($A28,CorrelationTable,2,FALSE()))</f>
        <v> </v>
      </c>
      <c r="CI28" s="336" t="str">
        <f aca="false">IF($A28="N/A"," ",F28+G28+(D28*('Pricing Inputs'!T61)))</f>
        <v> </v>
      </c>
      <c r="CJ28" s="334" t="str">
        <f aca="false">IF($A28="N/A"," ",IF(PV=1,0,'Pricing Inputs'!U61))</f>
        <v> </v>
      </c>
      <c r="CK28" s="337" t="str">
        <f aca="false">IF($A28="N/A"," ",(1+CJ28/2)^(-2*((EOMONTH(A28,0)+20)-DateToday)/365.25))</f>
        <v> </v>
      </c>
      <c r="CL28" s="338" t="str">
        <f aca="false">IF(A28="N/A"," ",IF(CC=2,(VLOOKUP(MONTH($A28),Hrtable,3))/1000,0))</f>
        <v> </v>
      </c>
      <c r="CM28" s="339" t="str">
        <f aca="false">IF(A28="N/A"," ",IF(CC=2,(CL28*C28)+F28,0))</f>
        <v> </v>
      </c>
      <c r="CN28" s="340" t="str">
        <f aca="false">IF($A28="N/A"," ",IF(CC=2,(VLOOKUP(A28,ScaledPrice,(IF(AND(Dayrun&gt;=1,Dayrun&lt;=6),2,4)))-((IF(R28&lt;&gt;0,$D28,$CL28)*$C28)+$F28+$G28)),0))</f>
        <v> </v>
      </c>
      <c r="CO28" s="340" t="str">
        <f aca="false">IF($A28="N/A"," ",IF(CC=2,(IF(AND(Dayrun&gt;=1,Dayrun&lt;=6),I28,(VLOOKUP(A28,ScaledPrice,2))*(2-(VLOOKUP(A28,ScaledPrice,3))))-((IF(S28&lt;&gt;0,$D28,$CL28)*$C28)+$F28+$G28)),0))</f>
        <v> </v>
      </c>
      <c r="CP28" s="340" t="str">
        <f aca="false">IF(A28="N/A"," ",IF(CC=2,(VLOOKUP(A28,ScaledPrice,9)-((IF(T28&lt;&gt;0,$D28,$CL28)*$C28)+$F28+$G28)),0))</f>
        <v> </v>
      </c>
      <c r="CQ28" s="340" t="str">
        <f aca="false">IF(A28="N/A"," ",IF(CC=2,(IF(OR(Dayrun=2,Dayrun=3,Dayrun=5,Dayrun=6,Dayrun=8,Dayrun=9),VLOOKUP(A28,ScaledPrice,IF(AND(Dayrun&gt;=2,Dayrun&lt;=6),5,6)),0)-((IF(U28&lt;&gt;0,$D28,$CL28)*$C28)+$F28+$G28)),0))</f>
        <v> </v>
      </c>
      <c r="CR28" s="340" t="str">
        <f aca="false">IF(A28="N/A"," ",IF(CC=2,(IF(OR(Dayrun=2,Dayrun=3,Dayrun=5,Dayrun=6,Dayrun=8,Dayrun=9),IF(AND(Dayrun&gt;=2,Dayrun&lt;=6),L28,(VLOOKUP(A28,ScaledPrice,5))*(2-(VLOOKUP(A28,ScaledPrice,3)))),0)-((IF(V28&lt;&gt;0,$D28,$CL28)*$C28)+$F28+$G28)),0))</f>
        <v> </v>
      </c>
      <c r="CS28" s="340" t="str">
        <f aca="false">IF(A28="N/A"," ",IF(CC=2,(VLOOKUP(A28,ScaledPrice,9)-((IF(W28&lt;&gt;0,$D28,$CL28)*$C28)+$F28+$G28)),0))</f>
        <v> </v>
      </c>
      <c r="CT28" s="340" t="str">
        <f aca="false">IF(A28="N/A"," ",IF(CC=2,(IF(OR(Dayrun=3,Dayrun=6,Dayrun=9),(VLOOKUP(A28,ScaledPrice,IF(AND(Dayrun&gt;=3,Dayrun&lt;=6),7,8))),0)-((IF(X28&lt;&gt;0,$D28,$CL28)*$C28)+$F28+$G28)),0))</f>
        <v> </v>
      </c>
      <c r="CU28" s="340" t="str">
        <f aca="false">IF(A28="N/A"," ",IF(CC=2,(IF(OR(Dayrun=3,Dayrun=6,Dayrun=9),IF(AND(Dayrun&gt;=3,Dayrun&lt;=6),O28,(VLOOKUP(A28,ScaledPrice,7))*(2-(VLOOKUP(A28,ScaledPrice,3)))),0)-((IF(Y28&lt;&gt;0,$D28,$CL28)*$C28)+$F28+$G28)),0))</f>
        <v> </v>
      </c>
      <c r="CV28" s="340" t="str">
        <f aca="false">IF(A28="N/A"," ",IF(CC=2,(VLOOKUP(A28,ScaledPrice,9)-((IF(Z28&lt;&gt;0,$D28,$CL28)*$C28)+$F28+$G28)),0))</f>
        <v> </v>
      </c>
      <c r="CW28" s="318" t="str">
        <f aca="false">IF($A28="N/A"," ",IF(0&lt;&gt;CN28,IF(CC=2,8*$HD28,0),0))</f>
        <v> </v>
      </c>
      <c r="CX28" s="318" t="str">
        <f aca="false">IF($A28="N/A"," ",IF(0&lt;&gt;CO28,IF(CC=2,8*$HD28,0),0))</f>
        <v> </v>
      </c>
      <c r="CY28" s="318" t="str">
        <f aca="false">IF($A28="N/A"," ",IF(0&lt;&gt;CP28,IF(CC=2,8*$HD28,0),0))</f>
        <v> </v>
      </c>
      <c r="CZ28" s="318" t="str">
        <f aca="false">IF($A28="N/A"," ",IF(0&lt;&gt;CQ28,IF(CC=2,8*$HE28,0),0))</f>
        <v> </v>
      </c>
      <c r="DA28" s="318" t="str">
        <f aca="false">IF($A28="N/A"," ",IF(0&lt;&gt;CR28,IF(CC=2,8*$HE28,0),0))</f>
        <v> </v>
      </c>
      <c r="DB28" s="318" t="str">
        <f aca="false">IF($A28="N/A"," ",IF(0&lt;&gt;CS28,IF(CC=2,8*$HE28,0),0))</f>
        <v> </v>
      </c>
      <c r="DC28" s="318" t="str">
        <f aca="false">IF($A28="N/A"," ",IF(0&lt;&gt;CT28,IF(CC=2,8*$HF28,0),0))</f>
        <v> </v>
      </c>
      <c r="DD28" s="318" t="str">
        <f aca="false">IF($A28="N/A"," ",IF(0&lt;&gt;CU28,IF(CC=2,8*$HF28,0),0))</f>
        <v> </v>
      </c>
      <c r="DE28" s="318" t="str">
        <f aca="false">IF($A28="N/A"," ",IF(0&lt;&gt;CV28,IF(CC=2,8*$HF28,0),0))</f>
        <v> </v>
      </c>
      <c r="DF28" s="341" t="str">
        <f aca="false">IF($A28="N/A"," ",IF(CC=2,(IF(MONTH(A28)&gt;=4,IF(MONTH(A28)&lt;=10,Inputs!$G$13,Inputs!$G$14),Inputs!$G$14))*$CK28,0))</f>
        <v> </v>
      </c>
      <c r="DG28" s="342" t="str">
        <f aca="false">IF($A28="N/A"," ",IF(CC=2,$DF28*CW28*CN28,0))</f>
        <v> </v>
      </c>
      <c r="DH28" s="342" t="str">
        <f aca="false">IF($A28="N/A"," ",IF(CC=2,$DF28*CX28*CO28,0))</f>
        <v> </v>
      </c>
      <c r="DI28" s="342" t="str">
        <f aca="false">IF($A28="N/A"," ",IF(CC=2,$DF28*CY28*CP28,0))</f>
        <v> </v>
      </c>
      <c r="DJ28" s="342" t="str">
        <f aca="false">IF($A28="N/A"," ",IF(CC=2,$DF28*CZ28*CQ28,0))</f>
        <v> </v>
      </c>
      <c r="DK28" s="342" t="str">
        <f aca="false">IF($A28="N/A"," ",IF(CC=2,$DF28*DA28*CR28,0))</f>
        <v> </v>
      </c>
      <c r="DL28" s="342" t="str">
        <f aca="false">IF($A28="N/A"," ",IF(CC=2,$DF28*DB28*CS28,0))</f>
        <v> </v>
      </c>
      <c r="DM28" s="342" t="str">
        <f aca="false">IF($A28="N/A"," ",IF(CC=2,$DF28*DC28*CT28,0))</f>
        <v> </v>
      </c>
      <c r="DN28" s="342" t="str">
        <f aca="false">IF($A28="N/A"," ",IF(CC=2,$DF28*DD28*CU28,0))</f>
        <v> </v>
      </c>
      <c r="DO28" s="342" t="str">
        <f aca="false">IF($A28="N/A"," ",IF(CC=2,$DF28*DE28*CV28,0))</f>
        <v> </v>
      </c>
      <c r="DP28" s="343" t="str">
        <f aca="false">IF($A28="N/A"," ",IF(CC=2,SUM(DG28:DO28),0))</f>
        <v> </v>
      </c>
      <c r="DQ28" s="0" t="str">
        <f aca="false">IF(A28="N/A"," ",Perstart)</f>
        <v> </v>
      </c>
      <c r="HD28" s="0" t="str">
        <f aca="false">IF($A28="N/A"," ",VLOOKUP($A28,NumberofDaysTable,2))</f>
        <v> </v>
      </c>
      <c r="HE28" s="0" t="str">
        <f aca="false">IF($A28="N/A"," ",VLOOKUP($A28,NumberofDaysTable,3))</f>
        <v> </v>
      </c>
      <c r="HF28" s="0" t="str">
        <f aca="false">IF($A28="N/A"," ",VLOOKUP($A28,NumberofDaysTable,4))</f>
        <v> </v>
      </c>
    </row>
    <row r="29" customFormat="false" ht="12.75" hidden="false" customHeight="false" outlineLevel="0" collapsed="false">
      <c r="A29" s="308" t="str">
        <f aca="false">IF(A28="N/A","N/A",IF(EDATE(A28,1)&gt;Inputs!$K$3,"N/A",EDATE(A28,1)))</f>
        <v>N/A</v>
      </c>
      <c r="B29" s="309" t="str">
        <f aca="false">IF(A29="N/A"," ",YEAR(A29))</f>
        <v> </v>
      </c>
      <c r="C29" s="310" t="str">
        <f aca="false">IF(A29="N/A"," ",VLOOKUP(A29,ScaledPrice,10))</f>
        <v> </v>
      </c>
      <c r="D29" s="311" t="str">
        <f aca="false">IF(A29="N/A"," ",(VLOOKUP(MONTH($A29),Hrtable,2))/1000)</f>
        <v> </v>
      </c>
      <c r="E29" s="312" t="str">
        <f aca="false">IF($A29="N/A"," ",(C29-'Pricing Inputs'!T62)*D29)</f>
        <v> </v>
      </c>
      <c r="F29" s="313" t="str">
        <f aca="false">IF(A29="N/A"," ",$F17*(1+VOMesc))</f>
        <v> </v>
      </c>
      <c r="G29" s="313" t="str">
        <f aca="false">IF(A29="N/A"," ",Perstart/IF(AND(Dayrun&gt;=4,Dayrun&lt;=6),16,IF(AND(Dayrun&gt;=7,Dayrun&lt;=9),8,24))/(BM29/CK29))</f>
        <v> </v>
      </c>
      <c r="H29" s="314" t="str">
        <f aca="false">IF(A29="N/A"," ",(C29*D29)+F29+G29)</f>
        <v> </v>
      </c>
      <c r="I29" s="315" t="str">
        <f aca="false">VLOOKUP(A29,ScaledPrice,(IF(AND(Dayrun&gt;=1,Dayrun&lt;=6),2,4)))</f>
        <v> </v>
      </c>
      <c r="J29" s="315" t="str">
        <f aca="false">IF(A29="N/A"," ",IF(AND(Dayrun&gt;=1,Dayrun&lt;=6),I29,(VLOOKUP(A29,ScaledPrice,2))*(2-(VLOOKUP(A29,ScaledPrice,3)))))</f>
        <v> </v>
      </c>
      <c r="K29" s="315" t="str">
        <f aca="false">IF(A29="N/A"," ",IF(AND(Dayrun&gt;=1,Dayrun&lt;=3),VLOOKUP(A29,ScaledPrice,9),0))</f>
        <v> </v>
      </c>
      <c r="L29" s="315" t="str">
        <f aca="false">IF(A29="N/A"," ",IF(OR(Dayrun=2,Dayrun=3,Dayrun=5,Dayrun=6,Dayrun=8,Dayrun=9),VLOOKUP(A29,ScaledPrice,IF(AND(Dayrun&gt;=2,Dayrun&lt;=6),5,6)),0))</f>
        <v> </v>
      </c>
      <c r="M29" s="315" t="str">
        <f aca="false">IF(A29="N/A"," ",IF(OR(Dayrun=2,Dayrun=3,Dayrun=5,Dayrun=6,Dayrun=8,Dayrun=9),IF(AND(Dayrun&gt;=2,Dayrun&lt;=6),L29,(VLOOKUP(A29,ScaledPrice,5))*(2-(VLOOKUP(A29,ScaledPrice,3)))),0))</f>
        <v> </v>
      </c>
      <c r="N29" s="315" t="str">
        <f aca="false">IF(A29="N/A"," ",IF(AND(Dayrun&gt;1,Dayrun&lt;=3),VLOOKUP(A29,ScaledPrice,9),0))</f>
        <v> </v>
      </c>
      <c r="O29" s="315" t="str">
        <f aca="false">IF(A29="N/A"," ",IF(OR(Dayrun=3,Dayrun=6,Dayrun=9),(VLOOKUP(A29,ScaledPrice,IF(AND(Dayrun&gt;=3,Dayrun&lt;=6),7,8))),0))</f>
        <v> </v>
      </c>
      <c r="P29" s="315" t="str">
        <f aca="false">IF(A29="N/A"," ",IF(OR(Dayrun=3,Dayrun=6,Dayrun=9),IF(AND(Dayrun&gt;=3,Dayrun&lt;=6),O29,(VLOOKUP(A29,ScaledPrice,7))*(2-(VLOOKUP(A29,ScaledPrice,3)))),0))</f>
        <v> </v>
      </c>
      <c r="Q29" s="315" t="str">
        <f aca="false">IF(A29="N/A"," ",IF(AND(Dayrun&gt;2,Dayrun&lt;=3),VLOOKUP(A29,ScaledPrice,9),0))</f>
        <v> </v>
      </c>
      <c r="R29" s="316" t="str">
        <f aca="false">IF($A29="N/A"," ",IF(Pricetype=2,MAX(I29-$H29,0),IF(Pricetype=1,(xSPRDOPT(I29,$E29,$CI29,0,($CD29+IF(Smile=TRUE(),VLOOKUP(MAX(-5,$H29-I29),Volsmile,2),0)),$CG29,$CH29,($A29-DateToday)+15,1,0)),I29-$H29)))</f>
        <v> </v>
      </c>
      <c r="S29" s="316" t="str">
        <f aca="false">IF($A29="N/A"," ",IF(Pricetype=2,MAX(J29-$H29,0),IF(Pricetype=1,(xSPRDOPT(J29,$E29,$CI29,0,($CD29+IF(Smile=TRUE(),VLOOKUP(MAX(-5,$H29-J29),Volsmile,2),0)),$CG29,$CH29,($A29-DateToday)+15,1,0)),J29-$H29)))</f>
        <v> </v>
      </c>
      <c r="T29" s="317" t="str">
        <f aca="false">IF($A29="N/A"," ",(IF(Pricetype=2,IF((K29-$H29)&lt;=0,0,(K29-$H29)),IF(K29&lt;&gt;0,(K29-$H29),0))))</f>
        <v> </v>
      </c>
      <c r="U29" s="316" t="str">
        <f aca="false">IF($A29="N/A"," ",IF(Pricetype=2,MAX(L29-$H29,0),IF(L29&lt;&gt;0,IF(Pricetype=1,(xSPRDOPT(L29,$E29,$CI29,0,($CD29+IF(Smile=TRUE(),VLOOKUP(MAX(-5,$H29-L29),Volsmile,2),0)),$CG29,$CH29,($A29-DateToday)+15,1,0)),L29-$H29),0)))</f>
        <v> </v>
      </c>
      <c r="V29" s="316" t="str">
        <f aca="false">IF($A29="N/A"," ",IF(Pricetype=2,MAX(M29-$H29,0),IF(M29&lt;&gt;0,IF(Pricetype=1,(xSPRDOPT(M29,$E29,$CI29,0,($CD29+IF(Smile=TRUE(),VLOOKUP(MAX(-5,$H29-M29),Volsmile,2),0)),$CG29,$CH29,($A29-DateToday)+15,1,0)),M29-$H29),0)))</f>
        <v> </v>
      </c>
      <c r="W29" s="317" t="str">
        <f aca="false">IF($A29="N/A"," ",(IF(Pricetype=2,IF((N29-$H29)&lt;=0,0,(N29-$H29)),IF(N29&lt;&gt;0,(N29-$H29),0))))</f>
        <v> </v>
      </c>
      <c r="X29" s="316" t="str">
        <f aca="false">IF($A29="N/A"," ",IF(Pricetype=2,MAX(O29-$H29,0),IF(O29&lt;&gt;0,IF(Pricetype=1,(xSPRDOPT(O29,$E29,$CI29,0,($CD29+IF(Smile=TRUE(),VLOOKUP(MAX(-5,$H29-O29),Volsmile,2),0)),$CG29,$CH29,($A29-DateToday)+15,1,0)),O29-$H29),0)))</f>
        <v> </v>
      </c>
      <c r="Y29" s="316" t="str">
        <f aca="false">IF($A29="N/A"," ",IF(Pricetype=2,MAX(P29-$H29,0),IF(P29&lt;&gt;0,IF(Pricetype=1,(xSPRDOPT(P29,$E29,$CI29,0,($CD29+IF(Smile=TRUE(),VLOOKUP(MAX(-5,$H29-P29),Volsmile,2),0)),$CG29,$CH29,($A29-DateToday)+15,1,0)),P29-$H29),0)))</f>
        <v> </v>
      </c>
      <c r="Z29" s="317" t="str">
        <f aca="false">IF($A29="N/A"," ",(IF(Pricetype=2,IF((Q29-$H29)&lt;=0,0,(Q29-$H29)),IF(Q29&lt;&gt;0,(Q29-$H29),0))))</f>
        <v> </v>
      </c>
      <c r="AA29" s="318" t="str">
        <f aca="false">IF($A29="N/A"," ",IF(VLOOKUP(MONTH(A29),ManualTable,2)=1,(IF(0&lt;&gt;R29,IF(Pricetype=1,(xSPRDOPT(I29,$E29,$CI29,0,($CD29+IF(Smile=TRUE(),VLOOKUP(MAX(-5,$H29-I29),Volsmile,2),0)),$CG29,$CH29,($A29-DateToday)+15,1,1))*(8*$HD29),8*$HD29),0)),0))</f>
        <v> </v>
      </c>
      <c r="AB29" s="318" t="str">
        <f aca="false">IF($A29="N/A"," ",IF(VLOOKUP(MONTH(A29),ManualTable,3)=1,(IF(S29&lt;&gt;0,IF(Pricetype=1,(xSPRDOPT(J29,$E29,$CI29,0,($CD29+IF(Smile=TRUE(),VLOOKUP(MAX(-5,$H29-J29),Volsmile,2),0)),$CG29,$CH29,($A29-DateToday)+15,1,1))*(8*$HD29),8*$HD29),0)),0))</f>
        <v> </v>
      </c>
      <c r="AC29" s="318" t="str">
        <f aca="false">IF($A29="N/A"," ",IF(VLOOKUP(MONTH(A29),ManualTable,4)=1,(IF(T29&lt;&gt;0,(8*$HD29),0)),0))</f>
        <v> </v>
      </c>
      <c r="AD29" s="318" t="str">
        <f aca="false">IF($A29="N/A"," ",IF(VLOOKUP(MONTH(A29),ManualTable,5)=1,(IF(U29&lt;&gt;0,IF(Pricetype=1,(xSPRDOPT(L29,$E29,$CI29,0,($CD29+IF(Smile=TRUE(),VLOOKUP(MAX(-5,$H29-L29),Volsmile,2),0)),$CG29,$CH29,($A29-DateToday)+15,1,1))*(8*$HE29),8*$HE29),0)),0))</f>
        <v> </v>
      </c>
      <c r="AE29" s="318" t="str">
        <f aca="false">IF($A29="N/A"," ",IF(VLOOKUP(MONTH(A29),ManualTable,6)=1,(IF(V29&lt;&gt;0,IF(Pricetype=1,(xSPRDOPT(M29,$E29,$CI29,0,($CD29+IF(Smile=TRUE(),VLOOKUP(MAX(-5,$H29-M29),Volsmile,2),0)),$CG29,$CH29,($A29-DateToday)+15,1,1))*(8*$HE29),8*$HE29),0)),0))</f>
        <v> </v>
      </c>
      <c r="AF29" s="318" t="str">
        <f aca="false">IF($A29="N/A"," ",IF(VLOOKUP(MONTH(A29),ManualTable,7)=1,(IF(W29&lt;&gt;0,(8*$HE29),0)),0))</f>
        <v> </v>
      </c>
      <c r="AG29" s="318" t="str">
        <f aca="false">IF($A29="N/A"," ",IF(VLOOKUP(MONTH(A29),ManualTable,8)=1,(IF(X29&lt;&gt;0,IF(Pricetype=1,(xSPRDOPT(O29,$E29,$CI29,0,($CD29+IF(Smile=TRUE(),VLOOKUP(MAX(-5,$H29-O29),Volsmile,2),0)),$CG29,$CH29,($A29-DateToday)+15,1,1))*(8*$HF29),8*$HF29),0)),0))</f>
        <v> </v>
      </c>
      <c r="AH29" s="318" t="str">
        <f aca="false">IF($A29="N/A"," ",IF(VLOOKUP(MONTH(A29),ManualTable,9)=1,(IF(Y29&lt;&gt;0,IF(Pricetype=1,(xSPRDOPT(P29,$E29,$CI29,0,($CD29+IF(Smile=TRUE(),VLOOKUP(MAX(-5,$H29-P29),Volsmile,2),0)),$CG29,$CH29,($A29-DateToday)+15,1,1))*(8*$HF29),8*$HF29),0)),0))</f>
        <v> </v>
      </c>
      <c r="AI29" s="318" t="str">
        <f aca="false">IF($A29="N/A"," ",IF(VLOOKUP(MONTH(A29),ManualTable,10)=1,(IF(Z29&lt;&gt;0,(8*($HF29)),0)),0))</f>
        <v> </v>
      </c>
      <c r="AJ29" s="344" t="str">
        <f aca="false">IF($A29="N/A"," ",RANK(R29,$R$28:$Z$39))</f>
        <v> </v>
      </c>
      <c r="AK29" s="321" t="str">
        <f aca="false">IF($A29="N/A"," ",RANK(S29,$R$28:$Z$39))</f>
        <v> </v>
      </c>
      <c r="AL29" s="321" t="str">
        <f aca="false">IF($A29="N/A"," ",RANK(T29,$R$28:$Z$39))</f>
        <v> </v>
      </c>
      <c r="AM29" s="321" t="str">
        <f aca="false">IF($A29="N/A"," ",RANK(U29,$R$28:$Z$39))</f>
        <v> </v>
      </c>
      <c r="AN29" s="321" t="str">
        <f aca="false">IF($A29="N/A"," ",RANK(V29,$R$28:$Z$39))</f>
        <v> </v>
      </c>
      <c r="AO29" s="321" t="str">
        <f aca="false">IF($A29="N/A"," ",RANK(W29,$R$28:$Z$39))</f>
        <v> </v>
      </c>
      <c r="AP29" s="321" t="str">
        <f aca="false">IF($A29="N/A"," ",RANK(X29,$R$28:$Z$39))</f>
        <v> </v>
      </c>
      <c r="AQ29" s="321" t="str">
        <f aca="false">IF($A29="N/A"," ",RANK(Y29,$R$28:$Z$39))</f>
        <v> </v>
      </c>
      <c r="AR29" s="345" t="str">
        <f aca="false">IF($A29="N/A"," ",RANK(Z29,$R$28:$Z$39))</f>
        <v> </v>
      </c>
      <c r="AS29" s="323" t="str">
        <f aca="false">IF($A29="N/A"," ",IF(AJ29&lt;=$AR$2,AA29,0))</f>
        <v> </v>
      </c>
      <c r="AT29" s="325" t="str">
        <f aca="false">IF($A29="N/A"," ",IF(AK29&lt;=$AR$2,AB29,0))</f>
        <v> </v>
      </c>
      <c r="AU29" s="325" t="str">
        <f aca="false">IF($A29="N/A"," ",IF(AL29&lt;=$AR$2,AC29,0))</f>
        <v> </v>
      </c>
      <c r="AV29" s="325" t="str">
        <f aca="false">IF($A29="N/A"," ",IF(AM29&lt;=$AR$2,AD29,0))</f>
        <v> </v>
      </c>
      <c r="AW29" s="325" t="str">
        <f aca="false">IF($A29="N/A"," ",IF(AN29&lt;=$AR$2,AE29,0))</f>
        <v> </v>
      </c>
      <c r="AX29" s="325" t="str">
        <f aca="false">IF($A29="N/A"," ",IF(AO29&lt;=$AR$2,AF29,0))</f>
        <v> </v>
      </c>
      <c r="AY29" s="325" t="str">
        <f aca="false">IF($A29="N/A"," ",IF(AP29&lt;=$AR$2,AG29,0))</f>
        <v> </v>
      </c>
      <c r="AZ29" s="325" t="str">
        <f aca="false">IF($A29="N/A"," ",IF(AQ29&lt;=$AR$2,AH29,0))</f>
        <v> </v>
      </c>
      <c r="BA29" s="325" t="str">
        <f aca="false">IF($A29="N/A"," ",IF(AR29&lt;=$AR$2,AI29,0))</f>
        <v> </v>
      </c>
      <c r="BB29" s="345"/>
      <c r="BC29" s="326" t="str">
        <f aca="false">IF($A29="N/A"," ",IF(AND(AJ29=$AR$2+1,AS29=0),MIN($BB$39,AA29),0))</f>
        <v> </v>
      </c>
      <c r="BD29" s="346" t="str">
        <f aca="false">IF($A29="N/A"," ",IF(AND(AK29=$AR$2+1,AT29=0),MIN($BB$39,AB29),0))</f>
        <v> </v>
      </c>
      <c r="BE29" s="346" t="str">
        <f aca="false">IF($A29="N/A"," ",IF(AND(AL29=$AR$2+1,AU29=0),MIN($BB$39,AC29),0))</f>
        <v> </v>
      </c>
      <c r="BF29" s="346" t="str">
        <f aca="false">IF($A29="N/A"," ",IF(AND(AM29=$AR$2+1,AV29=0),MIN($BB$39,AD29),0))</f>
        <v> </v>
      </c>
      <c r="BG29" s="346" t="str">
        <f aca="false">IF($A29="N/A"," ",IF(AND(AN29=$AR$2+1,AW29=0),MIN($BB$39,AE29),0))</f>
        <v> </v>
      </c>
      <c r="BH29" s="346" t="str">
        <f aca="false">IF($A29="N/A"," ",IF(AND(AO29=$AR$2+1,AX29=0),MIN($BB$39,AF29),0))</f>
        <v> </v>
      </c>
      <c r="BI29" s="346" t="str">
        <f aca="false">IF($A29="N/A"," ",IF(AND(AP29=$AR$2+1,AY29=0),MIN($BB$39,AG29),0))</f>
        <v> </v>
      </c>
      <c r="BJ29" s="346" t="str">
        <f aca="false">IF($A29="N/A"," ",IF(AND(AQ29=$AR$2+1,AZ29=0),MIN($BB$39,AH29),0))</f>
        <v> </v>
      </c>
      <c r="BK29" s="346" t="str">
        <f aca="false">IF($A29="N/A"," ",IF(AND(AR29=$AR$2+1,BA29=0),MIN($BB$39,AI29),0))</f>
        <v> </v>
      </c>
      <c r="BL29" s="345"/>
      <c r="BM29" s="329" t="str">
        <f aca="false">IF($A29="N/A"," ",(IF(MONTH(A29)&gt;=4,IF(MONTH(A29)&lt;=10,Inputs!$F$13-Inputs!$G$13,Inputs!$F$14-Inputs!$G$14),Inputs!$F$14-Inputs!$G$14))*$CK29*Availability)</f>
        <v> </v>
      </c>
      <c r="BN29" s="330" t="str">
        <f aca="false">IF($A29="N/A"," ",(IF(AS29&gt;0,($BM29*(8*($HD29))*R29),0)+IF(BC29&gt;0,($BM29*((BC29/AA29)*8*$HD29)*R29),0)))</f>
        <v> </v>
      </c>
      <c r="BO29" s="330" t="str">
        <f aca="false">IF($A29="N/A"," ",(IF(AT29&gt;0,($BM29*(8*($HD29))*S29),0)+IF(BD29&gt;0,($BM29*((BD29/AB29)*8*$HD29)*S29),0)))</f>
        <v> </v>
      </c>
      <c r="BP29" s="330" t="str">
        <f aca="false">IF($A29="N/A"," ",(IF(AU29&gt;0,($BM29*(8*($HD29))*T29),0)+IF(BE29&gt;0,($BM29*((BE29))*T29),0)))</f>
        <v> </v>
      </c>
      <c r="BQ29" s="330" t="str">
        <f aca="false">IF($A29="N/A"," ",(IF(AV29&gt;0,($BM29*(8*($HE29))*U29),0)+IF(BF29&gt;0,($BM29*((BF29/AD29)*8*$HE29)*U29),0)))</f>
        <v> </v>
      </c>
      <c r="BR29" s="330" t="str">
        <f aca="false">IF($A29="N/A"," ",(IF(AW29&gt;0,($BM29*(8*($HE29))*V29),0)+IF(BG29&gt;0,($BM29*((BG29/AE29)*8*$HE29)*V29),0)))</f>
        <v> </v>
      </c>
      <c r="BS29" s="330" t="str">
        <f aca="false">IF($A29="N/A"," ",(IF(AX29&gt;0,($BM29*(8*($HE29))*W29),0)+IF(BH29&gt;0,($BM29*((BH29))*W29),0)))</f>
        <v> </v>
      </c>
      <c r="BT29" s="330" t="str">
        <f aca="false">IF($A29="N/A"," ",(IF(AY29&gt;0,($BM29*(8*($HF29))*X29),0)+IF(BI29&gt;0,($BM29*((BI29/AG29)*8*$HF29)*X29),0)))</f>
        <v> </v>
      </c>
      <c r="BU29" s="330" t="str">
        <f aca="false">IF($A29="N/A"," ",(IF(AZ29&gt;0,($BM29*(8*($HF29))*Y29),0)+IF(BJ29&gt;0,($BM29*((BJ29/AH29)*8*$HF29)*Y29),0)))</f>
        <v> </v>
      </c>
      <c r="BV29" s="330" t="str">
        <f aca="false">IF($A29="N/A"," ",(IF(BA29&gt;0,($BM29*(8*($HF29))*Z29),0)+IF(BK29&gt;0,($BM29*((BK29))*Z29),0)))</f>
        <v> </v>
      </c>
      <c r="BW29" s="330" t="str">
        <f aca="false">IF($A29="N/A"," ",SUM(BN29:BV29))</f>
        <v> </v>
      </c>
      <c r="BX29" s="331" t="str">
        <f aca="false">IF($A29="N/A"," ",(H29*(SUM(AS29:BA29)+SUM(BC29:BK29))*BM29))</f>
        <v> </v>
      </c>
      <c r="BY29" s="332" t="str">
        <f aca="false">IF($A29="N/A"," ",((C29*D29)*(SUM($AS29:$BA29)+SUM($BC29:$BK29))*$BM29))</f>
        <v> </v>
      </c>
      <c r="BZ29" s="332" t="str">
        <f aca="false">IF($A29="N/A"," ",(F29*(SUM($AS29:$BA29)+SUM($BC29:$BK29))*$BM29))</f>
        <v> </v>
      </c>
      <c r="CA29" s="333" t="str">
        <f aca="false">IF($A29="N/A"," ",(G29*(SUM($AS29:$BA29)+SUM($BC29:$BK29))*$BM29))</f>
        <v> </v>
      </c>
      <c r="CB29" s="334" t="str">
        <f aca="false">IF(A29="N/A"," ",(VLOOKUP(A29,PowerVolTable,(IF(BMO=2,7,IF(BMO=1,6,8))),FALSE())))</f>
        <v> </v>
      </c>
      <c r="CC29" s="334" t="str">
        <f aca="false">IF(A29="N/A"," ",(VLOOKUP(A29,IntraPowerVol,(IF(BMO=2,3,IF(BMO=1,2,4))),FALSE())*VLOOKUP(MONTH($A29),Volscale,2)))</f>
        <v> </v>
      </c>
      <c r="CD29" s="335" t="str">
        <f aca="false">IF($A29="N/A"," ",(IF(DateToday&gt;$A29,$CC29,((($CB29^2)*((($A29-1)-DateToday)/((EOMONTH($A29,0)+1)-DateToday-15)))+((($CC29)^2)*((15)/((EOMONTH($A29,0)+1)-DateToday-15))))^0.5)))</f>
        <v> </v>
      </c>
      <c r="CE29" s="334" t="str">
        <f aca="false">IF($A29="N/A"," ",(VLOOKUP($A29,GasVolTable,(IF(BMO=2,6,IF(BMO=1,7,5))),FALSE())))</f>
        <v> </v>
      </c>
      <c r="CF29" s="334" t="str">
        <f aca="false">IF($A29="N/A"," ",(VLOOKUP($A29,OmicronVol,(IF(BMO=2,3,IF(BMO=1,4,2))),FALSE())))</f>
        <v> </v>
      </c>
      <c r="CG29" s="335" t="str">
        <f aca="false">IF($A29="N/A"," ",(IF(DateToday&gt;$A29,$CF29,((($CE29^2)*((($A29-1)-DateToday)/((EOMONTH($A29,0)+1)-DateToday-15)))+((($CF29)^2)*((15)/((EOMONTH($A29,0)+1)-DateToday-15))))^0.5)))</f>
        <v> </v>
      </c>
      <c r="CH29" s="334" t="str">
        <f aca="false">IF($A29="N/A"," ",VLOOKUP($A29,CorrelationTable,2,FALSE()))</f>
        <v> </v>
      </c>
      <c r="CI29" s="336" t="str">
        <f aca="false">IF($A29="N/A"," ",F29+G29+(D29*('Pricing Inputs'!T62)))</f>
        <v> </v>
      </c>
      <c r="CJ29" s="334" t="str">
        <f aca="false">IF($A29="N/A"," ",IF(PV=1,0,'Pricing Inputs'!U62))</f>
        <v> </v>
      </c>
      <c r="CK29" s="337" t="str">
        <f aca="false">IF($A29="N/A"," ",(1+CJ29/2)^(-2*((EOMONTH(A29,0)+20)-DateToday)/365.25))</f>
        <v> </v>
      </c>
      <c r="CL29" s="338" t="str">
        <f aca="false">IF(A29="N/A"," ",IF(CC=2,(VLOOKUP(MONTH($A29),Hrtable,3))/1000,0))</f>
        <v> </v>
      </c>
      <c r="CM29" s="339" t="str">
        <f aca="false">IF(A29="N/A"," ",IF(CC=2,(CL29*C29)+F29,0))</f>
        <v> </v>
      </c>
      <c r="CN29" s="340" t="str">
        <f aca="false">IF($A29="N/A"," ",IF(CC=2,(VLOOKUP(A29,ScaledPrice,(IF(AND(Dayrun&gt;=1,Dayrun&lt;=6),2,4)))-((IF(R29&lt;&gt;0,$D29,$CL29)*$C29)+$F29+$G29)),0))</f>
        <v> </v>
      </c>
      <c r="CO29" s="340" t="str">
        <f aca="false">IF($A29="N/A"," ",IF(CC=2,(IF(AND(Dayrun&gt;=1,Dayrun&lt;=6),I29,(VLOOKUP(A29,ScaledPrice,2))*(2-(VLOOKUP(A29,ScaledPrice,3))))-((IF(S29&lt;&gt;0,$D29,$CL29)*$C29)+$F29+$G29)),0))</f>
        <v> </v>
      </c>
      <c r="CP29" s="340" t="str">
        <f aca="false">IF(A29="N/A"," ",IF(CC=2,(VLOOKUP(A29,ScaledPrice,9)-((IF(T29&lt;&gt;0,$D29,$CL29)*$C29)+$F29+$G29)),0))</f>
        <v> </v>
      </c>
      <c r="CQ29" s="340" t="str">
        <f aca="false">IF(A29="N/A"," ",IF(CC=2,(IF(OR(Dayrun=2,Dayrun=3,Dayrun=5,Dayrun=6,Dayrun=8,Dayrun=9),VLOOKUP(A29,ScaledPrice,IF(AND(Dayrun&gt;=2,Dayrun&lt;=6),5,6)),0)-((IF(U29&lt;&gt;0,$D29,$CL29)*$C29)+$F29+$G29)),0))</f>
        <v> </v>
      </c>
      <c r="CR29" s="340" t="str">
        <f aca="false">IF(A29="N/A"," ",IF(CC=2,(IF(OR(Dayrun=2,Dayrun=3,Dayrun=5,Dayrun=6,Dayrun=8,Dayrun=9),IF(AND(Dayrun&gt;=2,Dayrun&lt;=6),L29,(VLOOKUP(A29,ScaledPrice,5))*(2-(VLOOKUP(A29,ScaledPrice,3)))),0)-((IF(V29&lt;&gt;0,$D29,$CL29)*$C29)+$F29+$G29)),0))</f>
        <v> </v>
      </c>
      <c r="CS29" s="340" t="str">
        <f aca="false">IF(A29="N/A"," ",IF(CC=2,(VLOOKUP(A29,ScaledPrice,9)-((IF(W29&lt;&gt;0,$D29,$CL29)*$C29)+$F29+$G29)),0))</f>
        <v> </v>
      </c>
      <c r="CT29" s="340" t="str">
        <f aca="false">IF(A29="N/A"," ",IF(CC=2,(IF(OR(Dayrun=3,Dayrun=6,Dayrun=9),(VLOOKUP(A29,ScaledPrice,IF(AND(Dayrun&gt;=3,Dayrun&lt;=6),7,8))),0)-((IF(X29&lt;&gt;0,$D29,$CL29)*$C29)+$F29+$G29)),0))</f>
        <v> </v>
      </c>
      <c r="CU29" s="340" t="str">
        <f aca="false">IF(A29="N/A"," ",IF(CC=2,(IF(OR(Dayrun=3,Dayrun=6,Dayrun=9),IF(AND(Dayrun&gt;=3,Dayrun&lt;=6),O29,(VLOOKUP(A29,ScaledPrice,7))*(2-(VLOOKUP(A29,ScaledPrice,3)))),0)-((IF(Y29&lt;&gt;0,$D29,$CL29)*$C29)+$F29+$G29)),0))</f>
        <v> </v>
      </c>
      <c r="CV29" s="340" t="str">
        <f aca="false">IF(A29="N/A"," ",IF(CC=2,(VLOOKUP(A29,ScaledPrice,9)-((IF(Z29&lt;&gt;0,$D29,$CL29)*$C29)+$F29+$G29)),0))</f>
        <v> </v>
      </c>
      <c r="CW29" s="318" t="str">
        <f aca="false">IF($A29="N/A"," ",IF(0&lt;&gt;CN29,IF(CC=2,8*$HD29,0),0))</f>
        <v> </v>
      </c>
      <c r="CX29" s="318" t="str">
        <f aca="false">IF($A29="N/A"," ",IF(0&lt;&gt;CO29,IF(CC=2,8*$HD29,0),0))</f>
        <v> </v>
      </c>
      <c r="CY29" s="318" t="str">
        <f aca="false">IF($A29="N/A"," ",IF(0&lt;&gt;CP29,IF(CC=2,8*$HD29,0),0))</f>
        <v> </v>
      </c>
      <c r="CZ29" s="318" t="str">
        <f aca="false">IF($A29="N/A"," ",IF(0&lt;&gt;CQ29,IF(CC=2,8*$HE29,0),0))</f>
        <v> </v>
      </c>
      <c r="DA29" s="318" t="str">
        <f aca="false">IF($A29="N/A"," ",IF(0&lt;&gt;CR29,IF(CC=2,8*$HE29,0),0))</f>
        <v> </v>
      </c>
      <c r="DB29" s="318" t="str">
        <f aca="false">IF($A29="N/A"," ",IF(0&lt;&gt;CS29,IF(CC=2,8*$HE29,0),0))</f>
        <v> </v>
      </c>
      <c r="DC29" s="318" t="str">
        <f aca="false">IF($A29="N/A"," ",IF(0&lt;&gt;CT29,IF(CC=2,8*$HF29,0),0))</f>
        <v> </v>
      </c>
      <c r="DD29" s="318" t="str">
        <f aca="false">IF($A29="N/A"," ",IF(0&lt;&gt;CU29,IF(CC=2,8*$HF29,0),0))</f>
        <v> </v>
      </c>
      <c r="DE29" s="318" t="str">
        <f aca="false">IF($A29="N/A"," ",IF(0&lt;&gt;CV29,IF(CC=2,8*$HF29,0),0))</f>
        <v> </v>
      </c>
      <c r="DF29" s="341" t="str">
        <f aca="false">IF($A29="N/A"," ",IF(CC=2,(IF(MONTH(A29)&gt;=4,IF(MONTH(A29)&lt;=10,Inputs!$G$13,Inputs!$G$14),Inputs!$G$14))*$CK29,0))</f>
        <v> </v>
      </c>
      <c r="DG29" s="342" t="str">
        <f aca="false">IF($A29="N/A"," ",IF(CC=2,$DF29*CW29*CN29,0))</f>
        <v> </v>
      </c>
      <c r="DH29" s="342" t="str">
        <f aca="false">IF($A29="N/A"," ",IF(CC=2,$DF29*CX29*CO29,0))</f>
        <v> </v>
      </c>
      <c r="DI29" s="342" t="str">
        <f aca="false">IF($A29="N/A"," ",IF(CC=2,$DF29*CY29*CP29,0))</f>
        <v> </v>
      </c>
      <c r="DJ29" s="342" t="str">
        <f aca="false">IF($A29="N/A"," ",IF(CC=2,$DF29*CZ29*CQ29,0))</f>
        <v> </v>
      </c>
      <c r="DK29" s="342" t="str">
        <f aca="false">IF($A29="N/A"," ",IF(CC=2,$DF29*DA29*CR29,0))</f>
        <v> </v>
      </c>
      <c r="DL29" s="342" t="str">
        <f aca="false">IF($A29="N/A"," ",IF(CC=2,$DF29*DB29*CS29,0))</f>
        <v> </v>
      </c>
      <c r="DM29" s="342" t="str">
        <f aca="false">IF($A29="N/A"," ",IF(CC=2,$DF29*DC29*CT29,0))</f>
        <v> </v>
      </c>
      <c r="DN29" s="342" t="str">
        <f aca="false">IF($A29="N/A"," ",IF(CC=2,$DF29*DD29*CU29,0))</f>
        <v> </v>
      </c>
      <c r="DO29" s="342" t="str">
        <f aca="false">IF($A29="N/A"," ",IF(CC=2,$DF29*DE29*CV29,0))</f>
        <v> </v>
      </c>
      <c r="DP29" s="343" t="str">
        <f aca="false">IF($A29="N/A"," ",IF(CC=2,SUM(DG29:DO29),0))</f>
        <v> </v>
      </c>
      <c r="DQ29" s="0" t="str">
        <f aca="false">IF(A29="N/A"," ",Perstart)</f>
        <v> </v>
      </c>
      <c r="HD29" s="0" t="str">
        <f aca="false">IF($A29="N/A"," ",VLOOKUP($A29,NumberofDaysTable,2))</f>
        <v> </v>
      </c>
      <c r="HE29" s="0" t="str">
        <f aca="false">IF($A29="N/A"," ",VLOOKUP($A29,NumberofDaysTable,3))</f>
        <v> </v>
      </c>
      <c r="HF29" s="0" t="str">
        <f aca="false">IF($A29="N/A"," ",VLOOKUP($A29,NumberofDaysTable,4))</f>
        <v> </v>
      </c>
    </row>
    <row r="30" customFormat="false" ht="12.75" hidden="false" customHeight="false" outlineLevel="0" collapsed="false">
      <c r="A30" s="308" t="str">
        <f aca="false">IF(A29="N/A","N/A",IF(EDATE(A29,1)&gt;Inputs!$K$3,"N/A",EDATE(A29,1)))</f>
        <v>N/A</v>
      </c>
      <c r="B30" s="309" t="str">
        <f aca="false">IF(A30="N/A"," ",YEAR(A30))</f>
        <v> </v>
      </c>
      <c r="C30" s="310" t="str">
        <f aca="false">IF(A30="N/A"," ",VLOOKUP(A30,ScaledPrice,10))</f>
        <v> </v>
      </c>
      <c r="D30" s="311" t="str">
        <f aca="false">IF(A30="N/A"," ",(VLOOKUP(MONTH($A30),Hrtable,2))/1000)</f>
        <v> </v>
      </c>
      <c r="E30" s="312" t="str">
        <f aca="false">IF($A30="N/A"," ",(C30-'Pricing Inputs'!T63)*D30)</f>
        <v> </v>
      </c>
      <c r="F30" s="313" t="str">
        <f aca="false">IF(A30="N/A"," ",$F18*(1+VOMesc))</f>
        <v> </v>
      </c>
      <c r="G30" s="313" t="str">
        <f aca="false">IF(A30="N/A"," ",Perstart/IF(AND(Dayrun&gt;=4,Dayrun&lt;=6),16,IF(AND(Dayrun&gt;=7,Dayrun&lt;=9),8,24))/(BM30/CK30))</f>
        <v> </v>
      </c>
      <c r="H30" s="314" t="str">
        <f aca="false">IF(A30="N/A"," ",(C30*D30)+F30+G30)</f>
        <v> </v>
      </c>
      <c r="I30" s="315" t="str">
        <f aca="false">VLOOKUP(A30,ScaledPrice,(IF(AND(Dayrun&gt;=1,Dayrun&lt;=6),2,4)))</f>
        <v> </v>
      </c>
      <c r="J30" s="315" t="str">
        <f aca="false">IF(A30="N/A"," ",IF(AND(Dayrun&gt;=1,Dayrun&lt;=6),I30,(VLOOKUP(A30,ScaledPrice,2))*(2-(VLOOKUP(A30,ScaledPrice,3)))))</f>
        <v> </v>
      </c>
      <c r="K30" s="315" t="str">
        <f aca="false">IF(A30="N/A"," ",IF(AND(Dayrun&gt;=1,Dayrun&lt;=3),VLOOKUP(A30,ScaledPrice,9),0))</f>
        <v> </v>
      </c>
      <c r="L30" s="315" t="str">
        <f aca="false">IF(A30="N/A"," ",IF(OR(Dayrun=2,Dayrun=3,Dayrun=5,Dayrun=6,Dayrun=8,Dayrun=9),VLOOKUP(A30,ScaledPrice,IF(AND(Dayrun&gt;=2,Dayrun&lt;=6),5,6)),0))</f>
        <v> </v>
      </c>
      <c r="M30" s="315" t="str">
        <f aca="false">IF(A30="N/A"," ",IF(OR(Dayrun=2,Dayrun=3,Dayrun=5,Dayrun=6,Dayrun=8,Dayrun=9),IF(AND(Dayrun&gt;=2,Dayrun&lt;=6),L30,(VLOOKUP(A30,ScaledPrice,5))*(2-(VLOOKUP(A30,ScaledPrice,3)))),0))</f>
        <v> </v>
      </c>
      <c r="N30" s="315" t="str">
        <f aca="false">IF(A30="N/A"," ",IF(AND(Dayrun&gt;1,Dayrun&lt;=3),VLOOKUP(A30,ScaledPrice,9),0))</f>
        <v> </v>
      </c>
      <c r="O30" s="315" t="str">
        <f aca="false">IF(A30="N/A"," ",IF(OR(Dayrun=3,Dayrun=6,Dayrun=9),(VLOOKUP(A30,ScaledPrice,IF(AND(Dayrun&gt;=3,Dayrun&lt;=6),7,8))),0))</f>
        <v> </v>
      </c>
      <c r="P30" s="315" t="str">
        <f aca="false">IF(A30="N/A"," ",IF(OR(Dayrun=3,Dayrun=6,Dayrun=9),IF(AND(Dayrun&gt;=3,Dayrun&lt;=6),O30,(VLOOKUP(A30,ScaledPrice,7))*(2-(VLOOKUP(A30,ScaledPrice,3)))),0))</f>
        <v> </v>
      </c>
      <c r="Q30" s="315" t="str">
        <f aca="false">IF(A30="N/A"," ",IF(AND(Dayrun&gt;2,Dayrun&lt;=3),VLOOKUP(A30,ScaledPrice,9),0))</f>
        <v> </v>
      </c>
      <c r="R30" s="316" t="str">
        <f aca="false">IF($A30="N/A"," ",IF(Pricetype=2,MAX(I30-$H30,0),IF(Pricetype=1,(xSPRDOPT(I30,$E30,$CI30,0,($CD30+IF(Smile=TRUE(),VLOOKUP(MAX(-5,$H30-I30),Volsmile,2),0)),$CG30,$CH30,($A30-DateToday)+15,1,0)),I30-$H30)))</f>
        <v> </v>
      </c>
      <c r="S30" s="316" t="str">
        <f aca="false">IF($A30="N/A"," ",IF(Pricetype=2,MAX(J30-$H30,0),IF(Pricetype=1,(xSPRDOPT(J30,$E30,$CI30,0,($CD30+IF(Smile=TRUE(),VLOOKUP(MAX(-5,$H30-J30),Volsmile,2),0)),$CG30,$CH30,($A30-DateToday)+15,1,0)),J30-$H30)))</f>
        <v> </v>
      </c>
      <c r="T30" s="317" t="str">
        <f aca="false">IF($A30="N/A"," ",(IF(Pricetype=2,IF((K30-$H30)&lt;=0,0,(K30-$H30)),IF(K30&lt;&gt;0,(K30-$H30),0))))</f>
        <v> </v>
      </c>
      <c r="U30" s="316" t="str">
        <f aca="false">IF($A30="N/A"," ",IF(Pricetype=2,MAX(L30-$H30,0),IF(L30&lt;&gt;0,IF(Pricetype=1,(xSPRDOPT(L30,$E30,$CI30,0,($CD30+IF(Smile=TRUE(),VLOOKUP(MAX(-5,$H30-L30),Volsmile,2),0)),$CG30,$CH30,($A30-DateToday)+15,1,0)),L30-$H30),0)))</f>
        <v> </v>
      </c>
      <c r="V30" s="316" t="str">
        <f aca="false">IF($A30="N/A"," ",IF(Pricetype=2,MAX(M30-$H30,0),IF(M30&lt;&gt;0,IF(Pricetype=1,(xSPRDOPT(M30,$E30,$CI30,0,($CD30+IF(Smile=TRUE(),VLOOKUP(MAX(-5,$H30-M30),Volsmile,2),0)),$CG30,$CH30,($A30-DateToday)+15,1,0)),M30-$H30),0)))</f>
        <v> </v>
      </c>
      <c r="W30" s="317" t="str">
        <f aca="false">IF($A30="N/A"," ",(IF(Pricetype=2,IF((N30-$H30)&lt;=0,0,(N30-$H30)),IF(N30&lt;&gt;0,(N30-$H30),0))))</f>
        <v> </v>
      </c>
      <c r="X30" s="316" t="str">
        <f aca="false">IF($A30="N/A"," ",IF(Pricetype=2,MAX(O30-$H30,0),IF(O30&lt;&gt;0,IF(Pricetype=1,(xSPRDOPT(O30,$E30,$CI30,0,($CD30+IF(Smile=TRUE(),VLOOKUP(MAX(-5,$H30-O30),Volsmile,2),0)),$CG30,$CH30,($A30-DateToday)+15,1,0)),O30-$H30),0)))</f>
        <v> </v>
      </c>
      <c r="Y30" s="316" t="str">
        <f aca="false">IF($A30="N/A"," ",IF(Pricetype=2,MAX(P30-$H30,0),IF(P30&lt;&gt;0,IF(Pricetype=1,(xSPRDOPT(P30,$E30,$CI30,0,($CD30+IF(Smile=TRUE(),VLOOKUP(MAX(-5,$H30-P30),Volsmile,2),0)),$CG30,$CH30,($A30-DateToday)+15,1,0)),P30-$H30),0)))</f>
        <v> </v>
      </c>
      <c r="Z30" s="317" t="str">
        <f aca="false">IF($A30="N/A"," ",(IF(Pricetype=2,IF((Q30-$H30)&lt;=0,0,(Q30-$H30)),IF(Q30&lt;&gt;0,(Q30-$H30),0))))</f>
        <v> </v>
      </c>
      <c r="AA30" s="318" t="str">
        <f aca="false">IF($A30="N/A"," ",IF(VLOOKUP(MONTH(A30),ManualTable,2)=1,(IF(0&lt;&gt;R30,IF(Pricetype=1,(xSPRDOPT(I30,$E30,$CI30,0,($CD30+IF(Smile=TRUE(),VLOOKUP(MAX(-5,$H30-I30),Volsmile,2),0)),$CG30,$CH30,($A30-DateToday)+15,1,1))*(8*$HD30),8*$HD30),0)),0))</f>
        <v> </v>
      </c>
      <c r="AB30" s="318" t="str">
        <f aca="false">IF($A30="N/A"," ",IF(VLOOKUP(MONTH(A30),ManualTable,3)=1,(IF(S30&lt;&gt;0,IF(Pricetype=1,(xSPRDOPT(J30,$E30,$CI30,0,($CD30+IF(Smile=TRUE(),VLOOKUP(MAX(-5,$H30-J30),Volsmile,2),0)),$CG30,$CH30,($A30-DateToday)+15,1,1))*(8*$HD30),8*$HD30),0)),0))</f>
        <v> </v>
      </c>
      <c r="AC30" s="318" t="str">
        <f aca="false">IF($A30="N/A"," ",IF(VLOOKUP(MONTH(A30),ManualTable,4)=1,(IF(T30&lt;&gt;0,(8*$HD30),0)),0))</f>
        <v> </v>
      </c>
      <c r="AD30" s="318" t="str">
        <f aca="false">IF($A30="N/A"," ",IF(VLOOKUP(MONTH(A30),ManualTable,5)=1,(IF(U30&lt;&gt;0,IF(Pricetype=1,(xSPRDOPT(L30,$E30,$CI30,0,($CD30+IF(Smile=TRUE(),VLOOKUP(MAX(-5,$H30-L30),Volsmile,2),0)),$CG30,$CH30,($A30-DateToday)+15,1,1))*(8*$HE30),8*$HE30),0)),0))</f>
        <v> </v>
      </c>
      <c r="AE30" s="318" t="str">
        <f aca="false">IF($A30="N/A"," ",IF(VLOOKUP(MONTH(A30),ManualTable,6)=1,(IF(V30&lt;&gt;0,IF(Pricetype=1,(xSPRDOPT(M30,$E30,$CI30,0,($CD30+IF(Smile=TRUE(),VLOOKUP(MAX(-5,$H30-M30),Volsmile,2),0)),$CG30,$CH30,($A30-DateToday)+15,1,1))*(8*$HE30),8*$HE30),0)),0))</f>
        <v> </v>
      </c>
      <c r="AF30" s="318" t="str">
        <f aca="false">IF($A30="N/A"," ",IF(VLOOKUP(MONTH(A30),ManualTable,7)=1,(IF(W30&lt;&gt;0,(8*$HE30),0)),0))</f>
        <v> </v>
      </c>
      <c r="AG30" s="318" t="str">
        <f aca="false">IF($A30="N/A"," ",IF(VLOOKUP(MONTH(A30),ManualTable,8)=1,(IF(X30&lt;&gt;0,IF(Pricetype=1,(xSPRDOPT(O30,$E30,$CI30,0,($CD30+IF(Smile=TRUE(),VLOOKUP(MAX(-5,$H30-O30),Volsmile,2),0)),$CG30,$CH30,($A30-DateToday)+15,1,1))*(8*$HF30),8*$HF30),0)),0))</f>
        <v> </v>
      </c>
      <c r="AH30" s="318" t="str">
        <f aca="false">IF($A30="N/A"," ",IF(VLOOKUP(MONTH(A30),ManualTable,9)=1,(IF(Y30&lt;&gt;0,IF(Pricetype=1,(xSPRDOPT(P30,$E30,$CI30,0,($CD30+IF(Smile=TRUE(),VLOOKUP(MAX(-5,$H30-P30),Volsmile,2),0)),$CG30,$CH30,($A30-DateToday)+15,1,1))*(8*$HF30),8*$HF30),0)),0))</f>
        <v> </v>
      </c>
      <c r="AI30" s="318" t="str">
        <f aca="false">IF($A30="N/A"," ",IF(VLOOKUP(MONTH(A30),ManualTable,10)=1,(IF(Z30&lt;&gt;0,(8*($HF30)),0)),0))</f>
        <v> </v>
      </c>
      <c r="AJ30" s="344" t="str">
        <f aca="false">IF($A30="N/A"," ",RANK(R30,$R$28:$Z$39))</f>
        <v> </v>
      </c>
      <c r="AK30" s="321" t="str">
        <f aca="false">IF($A30="N/A"," ",RANK(S30,$R$28:$Z$39))</f>
        <v> </v>
      </c>
      <c r="AL30" s="321" t="str">
        <f aca="false">IF($A30="N/A"," ",RANK(T30,$R$28:$Z$39))</f>
        <v> </v>
      </c>
      <c r="AM30" s="321" t="str">
        <f aca="false">IF($A30="N/A"," ",RANK(U30,$R$28:$Z$39))</f>
        <v> </v>
      </c>
      <c r="AN30" s="321" t="str">
        <f aca="false">IF($A30="N/A"," ",RANK(V30,$R$28:$Z$39))</f>
        <v> </v>
      </c>
      <c r="AO30" s="321" t="str">
        <f aca="false">IF($A30="N/A"," ",RANK(W30,$R$28:$Z$39))</f>
        <v> </v>
      </c>
      <c r="AP30" s="321" t="str">
        <f aca="false">IF($A30="N/A"," ",RANK(X30,$R$28:$Z$39))</f>
        <v> </v>
      </c>
      <c r="AQ30" s="321" t="str">
        <f aca="false">IF($A30="N/A"," ",RANK(Y30,$R$28:$Z$39))</f>
        <v> </v>
      </c>
      <c r="AR30" s="345" t="str">
        <f aca="false">IF($A30="N/A"," ",RANK(Z30,$R$28:$Z$39))</f>
        <v> </v>
      </c>
      <c r="AS30" s="323" t="str">
        <f aca="false">IF($A30="N/A"," ",IF(AJ30&lt;=$AR$2,AA30,0))</f>
        <v> </v>
      </c>
      <c r="AT30" s="325" t="str">
        <f aca="false">IF($A30="N/A"," ",IF(AK30&lt;=$AR$2,AB30,0))</f>
        <v> </v>
      </c>
      <c r="AU30" s="325" t="str">
        <f aca="false">IF($A30="N/A"," ",IF(AL30&lt;=$AR$2,AC30,0))</f>
        <v> </v>
      </c>
      <c r="AV30" s="325" t="str">
        <f aca="false">IF($A30="N/A"," ",IF(AM30&lt;=$AR$2,AD30,0))</f>
        <v> </v>
      </c>
      <c r="AW30" s="325" t="str">
        <f aca="false">IF($A30="N/A"," ",IF(AN30&lt;=$AR$2,AE30,0))</f>
        <v> </v>
      </c>
      <c r="AX30" s="325" t="str">
        <f aca="false">IF($A30="N/A"," ",IF(AO30&lt;=$AR$2,AF30,0))</f>
        <v> </v>
      </c>
      <c r="AY30" s="325" t="str">
        <f aca="false">IF($A30="N/A"," ",IF(AP30&lt;=$AR$2,AG30,0))</f>
        <v> </v>
      </c>
      <c r="AZ30" s="325" t="str">
        <f aca="false">IF($A30="N/A"," ",IF(AQ30&lt;=$AR$2,AH30,0))</f>
        <v> </v>
      </c>
      <c r="BA30" s="325" t="str">
        <f aca="false">IF($A30="N/A"," ",IF(AR30&lt;=$AR$2,AI30,0))</f>
        <v> </v>
      </c>
      <c r="BB30" s="345"/>
      <c r="BC30" s="326" t="str">
        <f aca="false">IF($A30="N/A"," ",IF(AND(AJ30=$AR$2+1,AS30=0),MIN($BB$39,AA30),0))</f>
        <v> </v>
      </c>
      <c r="BD30" s="346" t="str">
        <f aca="false">IF($A30="N/A"," ",IF(AND(AK30=$AR$2+1,AT30=0),MIN($BB$39,AB30),0))</f>
        <v> </v>
      </c>
      <c r="BE30" s="346" t="str">
        <f aca="false">IF($A30="N/A"," ",IF(AND(AL30=$AR$2+1,AU30=0),MIN($BB$39,AC30),0))</f>
        <v> </v>
      </c>
      <c r="BF30" s="346" t="str">
        <f aca="false">IF($A30="N/A"," ",IF(AND(AM30=$AR$2+1,AV30=0),MIN($BB$39,AD30),0))</f>
        <v> </v>
      </c>
      <c r="BG30" s="346" t="str">
        <f aca="false">IF($A30="N/A"," ",IF(AND(AN30=$AR$2+1,AW30=0),MIN($BB$39,AE30),0))</f>
        <v> </v>
      </c>
      <c r="BH30" s="346" t="str">
        <f aca="false">IF($A30="N/A"," ",IF(AND(AO30=$AR$2+1,AX30=0),MIN($BB$39,AF30),0))</f>
        <v> </v>
      </c>
      <c r="BI30" s="346" t="str">
        <f aca="false">IF($A30="N/A"," ",IF(AND(AP30=$AR$2+1,AY30=0),MIN($BB$39,AG30),0))</f>
        <v> </v>
      </c>
      <c r="BJ30" s="346" t="str">
        <f aca="false">IF($A30="N/A"," ",IF(AND(AQ30=$AR$2+1,AZ30=0),MIN($BB$39,AH30),0))</f>
        <v> </v>
      </c>
      <c r="BK30" s="346" t="str">
        <f aca="false">IF($A30="N/A"," ",IF(AND(AR30=$AR$2+1,BA30=0),MIN($BB$39,AI30),0))</f>
        <v> </v>
      </c>
      <c r="BL30" s="345"/>
      <c r="BM30" s="329" t="str">
        <f aca="false">IF($A30="N/A"," ",(IF(MONTH(A30)&gt;=4,IF(MONTH(A30)&lt;=10,Inputs!$F$13-Inputs!$G$13,Inputs!$F$14-Inputs!$G$14),Inputs!$F$14-Inputs!$G$14))*$CK30*Availability)</f>
        <v> </v>
      </c>
      <c r="BN30" s="330" t="str">
        <f aca="false">IF($A30="N/A"," ",(IF(AS30&gt;0,($BM30*(8*($HD30))*R30),0)+IF(BC30&gt;0,($BM30*((BC30/AA30)*8*$HD30)*R30),0)))</f>
        <v> </v>
      </c>
      <c r="BO30" s="330" t="str">
        <f aca="false">IF($A30="N/A"," ",(IF(AT30&gt;0,($BM30*(8*($HD30))*S30),0)+IF(BD30&gt;0,($BM30*((BD30/AB30)*8*$HD30)*S30),0)))</f>
        <v> </v>
      </c>
      <c r="BP30" s="330" t="str">
        <f aca="false">IF($A30="N/A"," ",(IF(AU30&gt;0,($BM30*(8*($HD30))*T30),0)+IF(BE30&gt;0,($BM30*((BE30))*T30),0)))</f>
        <v> </v>
      </c>
      <c r="BQ30" s="330" t="str">
        <f aca="false">IF($A30="N/A"," ",(IF(AV30&gt;0,($BM30*(8*($HE30))*U30),0)+IF(BF30&gt;0,($BM30*((BF30/AD30)*8*$HE30)*U30),0)))</f>
        <v> </v>
      </c>
      <c r="BR30" s="330" t="str">
        <f aca="false">IF($A30="N/A"," ",(IF(AW30&gt;0,($BM30*(8*($HE30))*V30),0)+IF(BG30&gt;0,($BM30*((BG30/AE30)*8*$HE30)*V30),0)))</f>
        <v> </v>
      </c>
      <c r="BS30" s="330" t="str">
        <f aca="false">IF($A30="N/A"," ",(IF(AX30&gt;0,($BM30*(8*($HE30))*W30),0)+IF(BH30&gt;0,($BM30*((BH30))*W30),0)))</f>
        <v> </v>
      </c>
      <c r="BT30" s="330" t="str">
        <f aca="false">IF($A30="N/A"," ",(IF(AY30&gt;0,($BM30*(8*($HF30))*X30),0)+IF(BI30&gt;0,($BM30*((BI30/AG30)*8*$HF30)*X30),0)))</f>
        <v> </v>
      </c>
      <c r="BU30" s="330" t="str">
        <f aca="false">IF($A30="N/A"," ",(IF(AZ30&gt;0,($BM30*(8*($HF30))*Y30),0)+IF(BJ30&gt;0,($BM30*((BJ30/AH30)*8*$HF30)*Y30),0)))</f>
        <v> </v>
      </c>
      <c r="BV30" s="330" t="str">
        <f aca="false">IF($A30="N/A"," ",(IF(BA30&gt;0,($BM30*(8*($HF30))*Z30),0)+IF(BK30&gt;0,($BM30*((BK30))*Z30),0)))</f>
        <v> </v>
      </c>
      <c r="BW30" s="330" t="str">
        <f aca="false">IF($A30="N/A"," ",SUM(BN30:BV30))</f>
        <v> </v>
      </c>
      <c r="BX30" s="331" t="str">
        <f aca="false">IF($A30="N/A"," ",(H30*(SUM(AS30:BA30)+SUM(BC30:BK30))*BM30))</f>
        <v> </v>
      </c>
      <c r="BY30" s="332" t="str">
        <f aca="false">IF($A30="N/A"," ",((C30*D30)*(SUM($AS30:$BA30)+SUM($BC30:$BK30))*$BM30))</f>
        <v> </v>
      </c>
      <c r="BZ30" s="332" t="str">
        <f aca="false">IF($A30="N/A"," ",(F30*(SUM($AS30:$BA30)+SUM($BC30:$BK30))*$BM30))</f>
        <v> </v>
      </c>
      <c r="CA30" s="333" t="str">
        <f aca="false">IF($A30="N/A"," ",(G30*(SUM($AS30:$BA30)+SUM($BC30:$BK30))*$BM30))</f>
        <v> </v>
      </c>
      <c r="CB30" s="334" t="str">
        <f aca="false">IF(A30="N/A"," ",(VLOOKUP(A30,PowerVolTable,(IF(BMO=2,7,IF(BMO=1,6,8))),FALSE())))</f>
        <v> </v>
      </c>
      <c r="CC30" s="334" t="str">
        <f aca="false">IF(A30="N/A"," ",(VLOOKUP(A30,IntraPowerVol,(IF(BMO=2,3,IF(BMO=1,2,4))),FALSE())*VLOOKUP(MONTH($A30),Volscale,2)))</f>
        <v> </v>
      </c>
      <c r="CD30" s="335" t="str">
        <f aca="false">IF($A30="N/A"," ",(IF(DateToday&gt;$A30,$CC30,((($CB30^2)*((($A30-1)-DateToday)/((EOMONTH($A30,0)+1)-DateToday-15)))+((($CC30)^2)*((15)/((EOMONTH($A30,0)+1)-DateToday-15))))^0.5)))</f>
        <v> </v>
      </c>
      <c r="CE30" s="334" t="str">
        <f aca="false">IF($A30="N/A"," ",(VLOOKUP($A30,GasVolTable,(IF(BMO=2,6,IF(BMO=1,7,5))),FALSE())))</f>
        <v> </v>
      </c>
      <c r="CF30" s="334" t="str">
        <f aca="false">IF($A30="N/A"," ",(VLOOKUP($A30,OmicronVol,(IF(BMO=2,3,IF(BMO=1,4,2))),FALSE())))</f>
        <v> </v>
      </c>
      <c r="CG30" s="335" t="str">
        <f aca="false">IF($A30="N/A"," ",(IF(DateToday&gt;$A30,$CF30,((($CE30^2)*((($A30-1)-DateToday)/((EOMONTH($A30,0)+1)-DateToday-15)))+((($CF30)^2)*((15)/((EOMONTH($A30,0)+1)-DateToday-15))))^0.5)))</f>
        <v> </v>
      </c>
      <c r="CH30" s="334" t="str">
        <f aca="false">IF($A30="N/A"," ",VLOOKUP($A30,CorrelationTable,2,FALSE()))</f>
        <v> </v>
      </c>
      <c r="CI30" s="336" t="str">
        <f aca="false">IF($A30="N/A"," ",F30+G30+(D30*('Pricing Inputs'!T63)))</f>
        <v> </v>
      </c>
      <c r="CJ30" s="334" t="str">
        <f aca="false">IF($A30="N/A"," ",IF(PV=1,0,'Pricing Inputs'!U63))</f>
        <v> </v>
      </c>
      <c r="CK30" s="337" t="str">
        <f aca="false">IF($A30="N/A"," ",(1+CJ30/2)^(-2*((EOMONTH(A30,0)+20)-DateToday)/365.25))</f>
        <v> </v>
      </c>
      <c r="CL30" s="338" t="str">
        <f aca="false">IF(A30="N/A"," ",IF(CC=2,(VLOOKUP(MONTH($A30),Hrtable,3))/1000,0))</f>
        <v> </v>
      </c>
      <c r="CM30" s="339" t="str">
        <f aca="false">IF(A30="N/A"," ",IF(CC=2,(CL30*C30)+F30,0))</f>
        <v> </v>
      </c>
      <c r="CN30" s="340" t="str">
        <f aca="false">IF($A30="N/A"," ",IF(CC=2,(VLOOKUP(A30,ScaledPrice,(IF(AND(Dayrun&gt;=1,Dayrun&lt;=6),2,4)))-((IF(R30&lt;&gt;0,$D30,$CL30)*$C30)+$F30+$G30)),0))</f>
        <v> </v>
      </c>
      <c r="CO30" s="340" t="str">
        <f aca="false">IF($A30="N/A"," ",IF(CC=2,(IF(AND(Dayrun&gt;=1,Dayrun&lt;=6),I30,(VLOOKUP(A30,ScaledPrice,2))*(2-(VLOOKUP(A30,ScaledPrice,3))))-((IF(S30&lt;&gt;0,$D30,$CL30)*$C30)+$F30+$G30)),0))</f>
        <v> </v>
      </c>
      <c r="CP30" s="340" t="str">
        <f aca="false">IF(A30="N/A"," ",IF(CC=2,(VLOOKUP(A30,ScaledPrice,9)-((IF(T30&lt;&gt;0,$D30,$CL30)*$C30)+$F30+$G30)),0))</f>
        <v> </v>
      </c>
      <c r="CQ30" s="340" t="str">
        <f aca="false">IF(A30="N/A"," ",IF(CC=2,(IF(OR(Dayrun=2,Dayrun=3,Dayrun=5,Dayrun=6,Dayrun=8,Dayrun=9),VLOOKUP(A30,ScaledPrice,IF(AND(Dayrun&gt;=2,Dayrun&lt;=6),5,6)),0)-((IF(U30&lt;&gt;0,$D30,$CL30)*$C30)+$F30+$G30)),0))</f>
        <v> </v>
      </c>
      <c r="CR30" s="340" t="str">
        <f aca="false">IF(A30="N/A"," ",IF(CC=2,(IF(OR(Dayrun=2,Dayrun=3,Dayrun=5,Dayrun=6,Dayrun=8,Dayrun=9),IF(AND(Dayrun&gt;=2,Dayrun&lt;=6),L30,(VLOOKUP(A30,ScaledPrice,5))*(2-(VLOOKUP(A30,ScaledPrice,3)))),0)-((IF(V30&lt;&gt;0,$D30,$CL30)*$C30)+$F30+$G30)),0))</f>
        <v> </v>
      </c>
      <c r="CS30" s="340" t="str">
        <f aca="false">IF(A30="N/A"," ",IF(CC=2,(VLOOKUP(A30,ScaledPrice,9)-((IF(W30&lt;&gt;0,$D30,$CL30)*$C30)+$F30+$G30)),0))</f>
        <v> </v>
      </c>
      <c r="CT30" s="340" t="str">
        <f aca="false">IF(A30="N/A"," ",IF(CC=2,(IF(OR(Dayrun=3,Dayrun=6,Dayrun=9),(VLOOKUP(A30,ScaledPrice,IF(AND(Dayrun&gt;=3,Dayrun&lt;=6),7,8))),0)-((IF(X30&lt;&gt;0,$D30,$CL30)*$C30)+$F30+$G30)),0))</f>
        <v> </v>
      </c>
      <c r="CU30" s="340" t="str">
        <f aca="false">IF(A30="N/A"," ",IF(CC=2,(IF(OR(Dayrun=3,Dayrun=6,Dayrun=9),IF(AND(Dayrun&gt;=3,Dayrun&lt;=6),O30,(VLOOKUP(A30,ScaledPrice,7))*(2-(VLOOKUP(A30,ScaledPrice,3)))),0)-((IF(Y30&lt;&gt;0,$D30,$CL30)*$C30)+$F30+$G30)),0))</f>
        <v> </v>
      </c>
      <c r="CV30" s="340" t="str">
        <f aca="false">IF(A30="N/A"," ",IF(CC=2,(VLOOKUP(A30,ScaledPrice,9)-((IF(Z30&lt;&gt;0,$D30,$CL30)*$C30)+$F30+$G30)),0))</f>
        <v> </v>
      </c>
      <c r="CW30" s="318" t="str">
        <f aca="false">IF($A30="N/A"," ",IF(0&lt;&gt;CN30,IF(CC=2,8*$HD30,0),0))</f>
        <v> </v>
      </c>
      <c r="CX30" s="318" t="str">
        <f aca="false">IF($A30="N/A"," ",IF(0&lt;&gt;CO30,IF(CC=2,8*$HD30,0),0))</f>
        <v> </v>
      </c>
      <c r="CY30" s="318" t="str">
        <f aca="false">IF($A30="N/A"," ",IF(0&lt;&gt;CP30,IF(CC=2,8*$HD30,0),0))</f>
        <v> </v>
      </c>
      <c r="CZ30" s="318" t="str">
        <f aca="false">IF($A30="N/A"," ",IF(0&lt;&gt;CQ30,IF(CC=2,8*$HE30,0),0))</f>
        <v> </v>
      </c>
      <c r="DA30" s="318" t="str">
        <f aca="false">IF($A30="N/A"," ",IF(0&lt;&gt;CR30,IF(CC=2,8*$HE30,0),0))</f>
        <v> </v>
      </c>
      <c r="DB30" s="318" t="str">
        <f aca="false">IF($A30="N/A"," ",IF(0&lt;&gt;CS30,IF(CC=2,8*$HE30,0),0))</f>
        <v> </v>
      </c>
      <c r="DC30" s="318" t="str">
        <f aca="false">IF($A30="N/A"," ",IF(0&lt;&gt;CT30,IF(CC=2,8*$HF30,0),0))</f>
        <v> </v>
      </c>
      <c r="DD30" s="318" t="str">
        <f aca="false">IF($A30="N/A"," ",IF(0&lt;&gt;CU30,IF(CC=2,8*$HF30,0),0))</f>
        <v> </v>
      </c>
      <c r="DE30" s="318" t="str">
        <f aca="false">IF($A30="N/A"," ",IF(0&lt;&gt;CV30,IF(CC=2,8*$HF30,0),0))</f>
        <v> </v>
      </c>
      <c r="DF30" s="341" t="str">
        <f aca="false">IF($A30="N/A"," ",IF(CC=2,(IF(MONTH(A30)&gt;=4,IF(MONTH(A30)&lt;=10,Inputs!$G$13,Inputs!$G$14),Inputs!$G$14))*$CK30,0))</f>
        <v> </v>
      </c>
      <c r="DG30" s="342" t="str">
        <f aca="false">IF($A30="N/A"," ",IF(CC=2,$DF30*CW30*CN30,0))</f>
        <v> </v>
      </c>
      <c r="DH30" s="342" t="str">
        <f aca="false">IF($A30="N/A"," ",IF(CC=2,$DF30*CX30*CO30,0))</f>
        <v> </v>
      </c>
      <c r="DI30" s="342" t="str">
        <f aca="false">IF($A30="N/A"," ",IF(CC=2,$DF30*CY30*CP30,0))</f>
        <v> </v>
      </c>
      <c r="DJ30" s="342" t="str">
        <f aca="false">IF($A30="N/A"," ",IF(CC=2,$DF30*CZ30*CQ30,0))</f>
        <v> </v>
      </c>
      <c r="DK30" s="342" t="str">
        <f aca="false">IF($A30="N/A"," ",IF(CC=2,$DF30*DA30*CR30,0))</f>
        <v> </v>
      </c>
      <c r="DL30" s="342" t="str">
        <f aca="false">IF($A30="N/A"," ",IF(CC=2,$DF30*DB30*CS30,0))</f>
        <v> </v>
      </c>
      <c r="DM30" s="342" t="str">
        <f aca="false">IF($A30="N/A"," ",IF(CC=2,$DF30*DC30*CT30,0))</f>
        <v> </v>
      </c>
      <c r="DN30" s="342" t="str">
        <f aca="false">IF($A30="N/A"," ",IF(CC=2,$DF30*DD30*CU30,0))</f>
        <v> </v>
      </c>
      <c r="DO30" s="342" t="str">
        <f aca="false">IF($A30="N/A"," ",IF(CC=2,$DF30*DE30*CV30,0))</f>
        <v> </v>
      </c>
      <c r="DP30" s="343" t="str">
        <f aca="false">IF($A30="N/A"," ",IF(CC=2,SUM(DG30:DO30),0))</f>
        <v> </v>
      </c>
      <c r="DQ30" s="0" t="str">
        <f aca="false">IF(A30="N/A"," ",Perstart)</f>
        <v> </v>
      </c>
      <c r="HD30" s="0" t="str">
        <f aca="false">IF($A30="N/A"," ",VLOOKUP($A30,NumberofDaysTable,2))</f>
        <v> </v>
      </c>
      <c r="HE30" s="0" t="str">
        <f aca="false">IF($A30="N/A"," ",VLOOKUP($A30,NumberofDaysTable,3))</f>
        <v> </v>
      </c>
      <c r="HF30" s="0" t="str">
        <f aca="false">IF($A30="N/A"," ",VLOOKUP($A30,NumberofDaysTable,4))</f>
        <v> </v>
      </c>
    </row>
    <row r="31" customFormat="false" ht="12.75" hidden="false" customHeight="false" outlineLevel="0" collapsed="false">
      <c r="A31" s="308" t="str">
        <f aca="false">IF(A30="N/A","N/A",IF(EDATE(A30,1)&gt;Inputs!$K$3,"N/A",EDATE(A30,1)))</f>
        <v>N/A</v>
      </c>
      <c r="B31" s="309" t="str">
        <f aca="false">IF(A31="N/A"," ",YEAR(A31))</f>
        <v> </v>
      </c>
      <c r="C31" s="310" t="str">
        <f aca="false">IF(A31="N/A"," ",VLOOKUP(A31,ScaledPrice,10))</f>
        <v> </v>
      </c>
      <c r="D31" s="311" t="str">
        <f aca="false">IF(A31="N/A"," ",(VLOOKUP(MONTH($A31),Hrtable,2))/1000)</f>
        <v> </v>
      </c>
      <c r="E31" s="312" t="str">
        <f aca="false">IF($A31="N/A"," ",(C31-'Pricing Inputs'!T64)*D31)</f>
        <v> </v>
      </c>
      <c r="F31" s="313" t="str">
        <f aca="false">IF(A31="N/A"," ",$F19*(1+VOMesc))</f>
        <v> </v>
      </c>
      <c r="G31" s="313" t="str">
        <f aca="false">IF(A31="N/A"," ",Perstart/IF(AND(Dayrun&gt;=4,Dayrun&lt;=6),16,IF(AND(Dayrun&gt;=7,Dayrun&lt;=9),8,24))/(BM31/CK31))</f>
        <v> </v>
      </c>
      <c r="H31" s="314" t="str">
        <f aca="false">IF(A31="N/A"," ",(C31*D31)+F31+G31)</f>
        <v> </v>
      </c>
      <c r="I31" s="315" t="str">
        <f aca="false">VLOOKUP(A31,ScaledPrice,(IF(AND(Dayrun&gt;=1,Dayrun&lt;=6),2,4)))</f>
        <v> </v>
      </c>
      <c r="J31" s="315" t="str">
        <f aca="false">IF(A31="N/A"," ",IF(AND(Dayrun&gt;=1,Dayrun&lt;=6),I31,(VLOOKUP(A31,ScaledPrice,2))*(2-(VLOOKUP(A31,ScaledPrice,3)))))</f>
        <v> </v>
      </c>
      <c r="K31" s="315" t="str">
        <f aca="false">IF(A31="N/A"," ",IF(AND(Dayrun&gt;=1,Dayrun&lt;=3),VLOOKUP(A31,ScaledPrice,9),0))</f>
        <v> </v>
      </c>
      <c r="L31" s="315" t="str">
        <f aca="false">IF(A31="N/A"," ",IF(OR(Dayrun=2,Dayrun=3,Dayrun=5,Dayrun=6,Dayrun=8,Dayrun=9),VLOOKUP(A31,ScaledPrice,IF(AND(Dayrun&gt;=2,Dayrun&lt;=6),5,6)),0))</f>
        <v> </v>
      </c>
      <c r="M31" s="315" t="str">
        <f aca="false">IF(A31="N/A"," ",IF(OR(Dayrun=2,Dayrun=3,Dayrun=5,Dayrun=6,Dayrun=8,Dayrun=9),IF(AND(Dayrun&gt;=2,Dayrun&lt;=6),L31,(VLOOKUP(A31,ScaledPrice,5))*(2-(VLOOKUP(A31,ScaledPrice,3)))),0))</f>
        <v> </v>
      </c>
      <c r="N31" s="315" t="str">
        <f aca="false">IF(A31="N/A"," ",IF(AND(Dayrun&gt;1,Dayrun&lt;=3),VLOOKUP(A31,ScaledPrice,9),0))</f>
        <v> </v>
      </c>
      <c r="O31" s="315" t="str">
        <f aca="false">IF(A31="N/A"," ",IF(OR(Dayrun=3,Dayrun=6,Dayrun=9),(VLOOKUP(A31,ScaledPrice,IF(AND(Dayrun&gt;=3,Dayrun&lt;=6),7,8))),0))</f>
        <v> </v>
      </c>
      <c r="P31" s="315" t="str">
        <f aca="false">IF(A31="N/A"," ",IF(OR(Dayrun=3,Dayrun=6,Dayrun=9),IF(AND(Dayrun&gt;=3,Dayrun&lt;=6),O31,(VLOOKUP(A31,ScaledPrice,7))*(2-(VLOOKUP(A31,ScaledPrice,3)))),0))</f>
        <v> </v>
      </c>
      <c r="Q31" s="315" t="str">
        <f aca="false">IF(A31="N/A"," ",IF(AND(Dayrun&gt;2,Dayrun&lt;=3),VLOOKUP(A31,ScaledPrice,9),0))</f>
        <v> </v>
      </c>
      <c r="R31" s="316" t="str">
        <f aca="false">IF($A31="N/A"," ",IF(Pricetype=2,MAX(I31-$H31,0),IF(Pricetype=1,(xSPRDOPT(I31,$E31,$CI31,0,($CD31+IF(Smile=TRUE(),VLOOKUP(MAX(-5,$H31-I31),Volsmile,2),0)),$CG31,$CH31,($A31-DateToday)+15,1,0)),I31-$H31)))</f>
        <v> </v>
      </c>
      <c r="S31" s="316" t="str">
        <f aca="false">IF($A31="N/A"," ",IF(Pricetype=2,MAX(J31-$H31,0),IF(Pricetype=1,(xSPRDOPT(J31,$E31,$CI31,0,($CD31+IF(Smile=TRUE(),VLOOKUP(MAX(-5,$H31-J31),Volsmile,2),0)),$CG31,$CH31,($A31-DateToday)+15,1,0)),J31-$H31)))</f>
        <v> </v>
      </c>
      <c r="T31" s="317" t="str">
        <f aca="false">IF($A31="N/A"," ",(IF(Pricetype=2,IF((K31-$H31)&lt;=0,0,(K31-$H31)),IF(K31&lt;&gt;0,(K31-$H31),0))))</f>
        <v> </v>
      </c>
      <c r="U31" s="316" t="str">
        <f aca="false">IF($A31="N/A"," ",IF(Pricetype=2,MAX(L31-$H31,0),IF(L31&lt;&gt;0,IF(Pricetype=1,(xSPRDOPT(L31,$E31,$CI31,0,($CD31+IF(Smile=TRUE(),VLOOKUP(MAX(-5,$H31-L31),Volsmile,2),0)),$CG31,$CH31,($A31-DateToday)+15,1,0)),L31-$H31),0)))</f>
        <v> </v>
      </c>
      <c r="V31" s="316" t="str">
        <f aca="false">IF($A31="N/A"," ",IF(Pricetype=2,MAX(M31-$H31,0),IF(M31&lt;&gt;0,IF(Pricetype=1,(xSPRDOPT(M31,$E31,$CI31,0,($CD31+IF(Smile=TRUE(),VLOOKUP(MAX(-5,$H31-M31),Volsmile,2),0)),$CG31,$CH31,($A31-DateToday)+15,1,0)),M31-$H31),0)))</f>
        <v> </v>
      </c>
      <c r="W31" s="317" t="str">
        <f aca="false">IF($A31="N/A"," ",(IF(Pricetype=2,IF((N31-$H31)&lt;=0,0,(N31-$H31)),IF(N31&lt;&gt;0,(N31-$H31),0))))</f>
        <v> </v>
      </c>
      <c r="X31" s="316" t="str">
        <f aca="false">IF($A31="N/A"," ",IF(Pricetype=2,MAX(O31-$H31,0),IF(O31&lt;&gt;0,IF(Pricetype=1,(xSPRDOPT(O31,$E31,$CI31,0,($CD31+IF(Smile=TRUE(),VLOOKUP(MAX(-5,$H31-O31),Volsmile,2),0)),$CG31,$CH31,($A31-DateToday)+15,1,0)),O31-$H31),0)))</f>
        <v> </v>
      </c>
      <c r="Y31" s="316" t="str">
        <f aca="false">IF($A31="N/A"," ",IF(Pricetype=2,MAX(P31-$H31,0),IF(P31&lt;&gt;0,IF(Pricetype=1,(xSPRDOPT(P31,$E31,$CI31,0,($CD31+IF(Smile=TRUE(),VLOOKUP(MAX(-5,$H31-P31),Volsmile,2),0)),$CG31,$CH31,($A31-DateToday)+15,1,0)),P31-$H31),0)))</f>
        <v> </v>
      </c>
      <c r="Z31" s="317" t="str">
        <f aca="false">IF($A31="N/A"," ",(IF(Pricetype=2,IF((Q31-$H31)&lt;=0,0,(Q31-$H31)),IF(Q31&lt;&gt;0,(Q31-$H31),0))))</f>
        <v> </v>
      </c>
      <c r="AA31" s="318" t="str">
        <f aca="false">IF($A31="N/A"," ",IF(VLOOKUP(MONTH(A31),ManualTable,2)=1,(IF(0&lt;&gt;R31,IF(Pricetype=1,(xSPRDOPT(I31,$E31,$CI31,0,($CD31+IF(Smile=TRUE(),VLOOKUP(MAX(-5,$H31-I31),Volsmile,2),0)),$CG31,$CH31,($A31-DateToday)+15,1,1))*(8*$HD31),8*$HD31),0)),0))</f>
        <v> </v>
      </c>
      <c r="AB31" s="318" t="str">
        <f aca="false">IF($A31="N/A"," ",IF(VLOOKUP(MONTH(A31),ManualTable,3)=1,(IF(S31&lt;&gt;0,IF(Pricetype=1,(xSPRDOPT(J31,$E31,$CI31,0,($CD31+IF(Smile=TRUE(),VLOOKUP(MAX(-5,$H31-J31),Volsmile,2),0)),$CG31,$CH31,($A31-DateToday)+15,1,1))*(8*$HD31),8*$HD31),0)),0))</f>
        <v> </v>
      </c>
      <c r="AC31" s="318" t="str">
        <f aca="false">IF($A31="N/A"," ",IF(VLOOKUP(MONTH(A31),ManualTable,4)=1,(IF(T31&lt;&gt;0,(8*$HD31),0)),0))</f>
        <v> </v>
      </c>
      <c r="AD31" s="318" t="str">
        <f aca="false">IF($A31="N/A"," ",IF(VLOOKUP(MONTH(A31),ManualTable,5)=1,(IF(U31&lt;&gt;0,IF(Pricetype=1,(xSPRDOPT(L31,$E31,$CI31,0,($CD31+IF(Smile=TRUE(),VLOOKUP(MAX(-5,$H31-L31),Volsmile,2),0)),$CG31,$CH31,($A31-DateToday)+15,1,1))*(8*$HE31),8*$HE31),0)),0))</f>
        <v> </v>
      </c>
      <c r="AE31" s="318" t="str">
        <f aca="false">IF($A31="N/A"," ",IF(VLOOKUP(MONTH(A31),ManualTable,6)=1,(IF(V31&lt;&gt;0,IF(Pricetype=1,(xSPRDOPT(M31,$E31,$CI31,0,($CD31+IF(Smile=TRUE(),VLOOKUP(MAX(-5,$H31-M31),Volsmile,2),0)),$CG31,$CH31,($A31-DateToday)+15,1,1))*(8*$HE31),8*$HE31),0)),0))</f>
        <v> </v>
      </c>
      <c r="AF31" s="318" t="str">
        <f aca="false">IF($A31="N/A"," ",IF(VLOOKUP(MONTH(A31),ManualTable,7)=1,(IF(W31&lt;&gt;0,(8*$HE31),0)),0))</f>
        <v> </v>
      </c>
      <c r="AG31" s="318" t="str">
        <f aca="false">IF($A31="N/A"," ",IF(VLOOKUP(MONTH(A31),ManualTable,8)=1,(IF(X31&lt;&gt;0,IF(Pricetype=1,(xSPRDOPT(O31,$E31,$CI31,0,($CD31+IF(Smile=TRUE(),VLOOKUP(MAX(-5,$H31-O31),Volsmile,2),0)),$CG31,$CH31,($A31-DateToday)+15,1,1))*(8*$HF31),8*$HF31),0)),0))</f>
        <v> </v>
      </c>
      <c r="AH31" s="318" t="str">
        <f aca="false">IF($A31="N/A"," ",IF(VLOOKUP(MONTH(A31),ManualTable,9)=1,(IF(Y31&lt;&gt;0,IF(Pricetype=1,(xSPRDOPT(P31,$E31,$CI31,0,($CD31+IF(Smile=TRUE(),VLOOKUP(MAX(-5,$H31-P31),Volsmile,2),0)),$CG31,$CH31,($A31-DateToday)+15,1,1))*(8*$HF31),8*$HF31),0)),0))</f>
        <v> </v>
      </c>
      <c r="AI31" s="318" t="str">
        <f aca="false">IF($A31="N/A"," ",IF(VLOOKUP(MONTH(A31),ManualTable,10)=1,(IF(Z31&lt;&gt;0,(8*($HF31)),0)),0))</f>
        <v> </v>
      </c>
      <c r="AJ31" s="344" t="str">
        <f aca="false">IF($A31="N/A"," ",RANK(R31,$R$28:$Z$39))</f>
        <v> </v>
      </c>
      <c r="AK31" s="321" t="str">
        <f aca="false">IF($A31="N/A"," ",RANK(S31,$R$28:$Z$39))</f>
        <v> </v>
      </c>
      <c r="AL31" s="321" t="str">
        <f aca="false">IF($A31="N/A"," ",RANK(T31,$R$28:$Z$39))</f>
        <v> </v>
      </c>
      <c r="AM31" s="321" t="str">
        <f aca="false">IF($A31="N/A"," ",RANK(U31,$R$28:$Z$39))</f>
        <v> </v>
      </c>
      <c r="AN31" s="321" t="str">
        <f aca="false">IF($A31="N/A"," ",RANK(V31,$R$28:$Z$39))</f>
        <v> </v>
      </c>
      <c r="AO31" s="321" t="str">
        <f aca="false">IF($A31="N/A"," ",RANK(W31,$R$28:$Z$39))</f>
        <v> </v>
      </c>
      <c r="AP31" s="321" t="str">
        <f aca="false">IF($A31="N/A"," ",RANK(X31,$R$28:$Z$39))</f>
        <v> </v>
      </c>
      <c r="AQ31" s="321" t="str">
        <f aca="false">IF($A31="N/A"," ",RANK(Y31,$R$28:$Z$39))</f>
        <v> </v>
      </c>
      <c r="AR31" s="345" t="str">
        <f aca="false">IF($A31="N/A"," ",RANK(Z31,$R$28:$Z$39))</f>
        <v> </v>
      </c>
      <c r="AS31" s="323" t="str">
        <f aca="false">IF($A31="N/A"," ",IF(AJ31&lt;=$AR$2,AA31,0))</f>
        <v> </v>
      </c>
      <c r="AT31" s="325" t="str">
        <f aca="false">IF($A31="N/A"," ",IF(AK31&lt;=$AR$2,AB31,0))</f>
        <v> </v>
      </c>
      <c r="AU31" s="325" t="str">
        <f aca="false">IF($A31="N/A"," ",IF(AL31&lt;=$AR$2,AC31,0))</f>
        <v> </v>
      </c>
      <c r="AV31" s="325" t="str">
        <f aca="false">IF($A31="N/A"," ",IF(AM31&lt;=$AR$2,AD31,0))</f>
        <v> </v>
      </c>
      <c r="AW31" s="325" t="str">
        <f aca="false">IF($A31="N/A"," ",IF(AN31&lt;=$AR$2,AE31,0))</f>
        <v> </v>
      </c>
      <c r="AX31" s="325" t="str">
        <f aca="false">IF($A31="N/A"," ",IF(AO31&lt;=$AR$2,AF31,0))</f>
        <v> </v>
      </c>
      <c r="AY31" s="325" t="str">
        <f aca="false">IF($A31="N/A"," ",IF(AP31&lt;=$AR$2,AG31,0))</f>
        <v> </v>
      </c>
      <c r="AZ31" s="325" t="str">
        <f aca="false">IF($A31="N/A"," ",IF(AQ31&lt;=$AR$2,AH31,0))</f>
        <v> </v>
      </c>
      <c r="BA31" s="325" t="str">
        <f aca="false">IF($A31="N/A"," ",IF(AR31&lt;=$AR$2,AI31,0))</f>
        <v> </v>
      </c>
      <c r="BB31" s="345"/>
      <c r="BC31" s="326" t="str">
        <f aca="false">IF($A31="N/A"," ",IF(AND(AJ31=$AR$2+1,AS31=0),MIN($BB$39,AA31),0))</f>
        <v> </v>
      </c>
      <c r="BD31" s="346" t="str">
        <f aca="false">IF($A31="N/A"," ",IF(AND(AK31=$AR$2+1,AT31=0),MIN($BB$39,AB31),0))</f>
        <v> </v>
      </c>
      <c r="BE31" s="346" t="str">
        <f aca="false">IF($A31="N/A"," ",IF(AND(AL31=$AR$2+1,AU31=0),MIN($BB$39,AC31),0))</f>
        <v> </v>
      </c>
      <c r="BF31" s="346" t="str">
        <f aca="false">IF($A31="N/A"," ",IF(AND(AM31=$AR$2+1,AV31=0),MIN($BB$39,AD31),0))</f>
        <v> </v>
      </c>
      <c r="BG31" s="346" t="str">
        <f aca="false">IF($A31="N/A"," ",IF(AND(AN31=$AR$2+1,AW31=0),MIN($BB$39,AE31),0))</f>
        <v> </v>
      </c>
      <c r="BH31" s="346" t="str">
        <f aca="false">IF($A31="N/A"," ",IF(AND(AO31=$AR$2+1,AX31=0),MIN($BB$39,AF31),0))</f>
        <v> </v>
      </c>
      <c r="BI31" s="346" t="str">
        <f aca="false">IF($A31="N/A"," ",IF(AND(AP31=$AR$2+1,AY31=0),MIN($BB$39,AG31),0))</f>
        <v> </v>
      </c>
      <c r="BJ31" s="346" t="str">
        <f aca="false">IF($A31="N/A"," ",IF(AND(AQ31=$AR$2+1,AZ31=0),MIN($BB$39,AH31),0))</f>
        <v> </v>
      </c>
      <c r="BK31" s="346" t="str">
        <f aca="false">IF($A31="N/A"," ",IF(AND(AR31=$AR$2+1,BA31=0),MIN($BB$39,AI31),0))</f>
        <v> </v>
      </c>
      <c r="BL31" s="345"/>
      <c r="BM31" s="329" t="str">
        <f aca="false">IF($A31="N/A"," ",(IF(MONTH(A31)&gt;=4,IF(MONTH(A31)&lt;=10,Inputs!$F$13-Inputs!$G$13,Inputs!$F$14-Inputs!$G$14),Inputs!$F$14-Inputs!$G$14))*$CK31*Availability)</f>
        <v> </v>
      </c>
      <c r="BN31" s="330" t="str">
        <f aca="false">IF($A31="N/A"," ",(IF(AS31&gt;0,($BM31*(8*($HD31))*R31),0)+IF(BC31&gt;0,($BM31*((BC31/AA31)*8*$HD31)*R31),0)))</f>
        <v> </v>
      </c>
      <c r="BO31" s="330" t="str">
        <f aca="false">IF($A31="N/A"," ",(IF(AT31&gt;0,($BM31*(8*($HD31))*S31),0)+IF(BD31&gt;0,($BM31*((BD31/AB31)*8*$HD31)*S31),0)))</f>
        <v> </v>
      </c>
      <c r="BP31" s="330" t="str">
        <f aca="false">IF($A31="N/A"," ",(IF(AU31&gt;0,($BM31*(8*($HD31))*T31),0)+IF(BE31&gt;0,($BM31*((BE31))*T31),0)))</f>
        <v> </v>
      </c>
      <c r="BQ31" s="330" t="str">
        <f aca="false">IF($A31="N/A"," ",(IF(AV31&gt;0,($BM31*(8*($HE31))*U31),0)+IF(BF31&gt;0,($BM31*((BF31/AD31)*8*$HE31)*U31),0)))</f>
        <v> </v>
      </c>
      <c r="BR31" s="330" t="str">
        <f aca="false">IF($A31="N/A"," ",(IF(AW31&gt;0,($BM31*(8*($HE31))*V31),0)+IF(BG31&gt;0,($BM31*((BG31/AE31)*8*$HE31)*V31),0)))</f>
        <v> </v>
      </c>
      <c r="BS31" s="330" t="str">
        <f aca="false">IF($A31="N/A"," ",(IF(AX31&gt;0,($BM31*(8*($HE31))*W31),0)+IF(BH31&gt;0,($BM31*((BH31))*W31),0)))</f>
        <v> </v>
      </c>
      <c r="BT31" s="330" t="str">
        <f aca="false">IF($A31="N/A"," ",(IF(AY31&gt;0,($BM31*(8*($HF31))*X31),0)+IF(BI31&gt;0,($BM31*((BI31/AG31)*8*$HF31)*X31),0)))</f>
        <v> </v>
      </c>
      <c r="BU31" s="330" t="str">
        <f aca="false">IF($A31="N/A"," ",(IF(AZ31&gt;0,($BM31*(8*($HF31))*Y31),0)+IF(BJ31&gt;0,($BM31*((BJ31/AH31)*8*$HF31)*Y31),0)))</f>
        <v> </v>
      </c>
      <c r="BV31" s="330" t="str">
        <f aca="false">IF($A31="N/A"," ",(IF(BA31&gt;0,($BM31*(8*($HF31))*Z31),0)+IF(BK31&gt;0,($BM31*((BK31))*Z31),0)))</f>
        <v> </v>
      </c>
      <c r="BW31" s="330" t="str">
        <f aca="false">IF($A31="N/A"," ",SUM(BN31:BV31))</f>
        <v> </v>
      </c>
      <c r="BX31" s="331" t="str">
        <f aca="false">IF($A31="N/A"," ",(H31*(SUM(AS31:BA31)+SUM(BC31:BK31))*BM31))</f>
        <v> </v>
      </c>
      <c r="BY31" s="332" t="str">
        <f aca="false">IF($A31="N/A"," ",((C31*D31)*(SUM($AS31:$BA31)+SUM($BC31:$BK31))*$BM31))</f>
        <v> </v>
      </c>
      <c r="BZ31" s="332" t="str">
        <f aca="false">IF($A31="N/A"," ",(F31*(SUM($AS31:$BA31)+SUM($BC31:$BK31))*$BM31))</f>
        <v> </v>
      </c>
      <c r="CA31" s="333" t="str">
        <f aca="false">IF($A31="N/A"," ",(G31*(SUM($AS31:$BA31)+SUM($BC31:$BK31))*$BM31))</f>
        <v> </v>
      </c>
      <c r="CB31" s="334" t="str">
        <f aca="false">IF(A31="N/A"," ",(VLOOKUP(A31,PowerVolTable,(IF(BMO=2,7,IF(BMO=1,6,8))),FALSE())))</f>
        <v> </v>
      </c>
      <c r="CC31" s="334" t="str">
        <f aca="false">IF(A31="N/A"," ",(VLOOKUP(A31,IntraPowerVol,(IF(BMO=2,3,IF(BMO=1,2,4))),FALSE())*VLOOKUP(MONTH($A31),Volscale,2)))</f>
        <v> </v>
      </c>
      <c r="CD31" s="335" t="str">
        <f aca="false">IF($A31="N/A"," ",(IF(DateToday&gt;$A31,$CC31,((($CB31^2)*((($A31-1)-DateToday)/((EOMONTH($A31,0)+1)-DateToday-15)))+((($CC31)^2)*((15)/((EOMONTH($A31,0)+1)-DateToday-15))))^0.5)))</f>
        <v> </v>
      </c>
      <c r="CE31" s="334" t="str">
        <f aca="false">IF($A31="N/A"," ",(VLOOKUP($A31,GasVolTable,(IF(BMO=2,6,IF(BMO=1,7,5))),FALSE())))</f>
        <v> </v>
      </c>
      <c r="CF31" s="334" t="str">
        <f aca="false">IF($A31="N/A"," ",(VLOOKUP($A31,OmicronVol,(IF(BMO=2,3,IF(BMO=1,4,2))),FALSE())))</f>
        <v> </v>
      </c>
      <c r="CG31" s="335" t="str">
        <f aca="false">IF($A31="N/A"," ",(IF(DateToday&gt;$A31,$CF31,((($CE31^2)*((($A31-1)-DateToday)/((EOMONTH($A31,0)+1)-DateToday-15)))+((($CF31)^2)*((15)/((EOMONTH($A31,0)+1)-DateToday-15))))^0.5)))</f>
        <v> </v>
      </c>
      <c r="CH31" s="334" t="str">
        <f aca="false">IF($A31="N/A"," ",VLOOKUP($A31,CorrelationTable,2,FALSE()))</f>
        <v> </v>
      </c>
      <c r="CI31" s="336" t="str">
        <f aca="false">IF($A31="N/A"," ",F31+G31+(D31*('Pricing Inputs'!T64)))</f>
        <v> </v>
      </c>
      <c r="CJ31" s="334" t="str">
        <f aca="false">IF($A31="N/A"," ",IF(PV=1,0,'Pricing Inputs'!U64))</f>
        <v> </v>
      </c>
      <c r="CK31" s="337" t="str">
        <f aca="false">IF($A31="N/A"," ",(1+CJ31/2)^(-2*((EOMONTH(A31,0)+20)-DateToday)/365.25))</f>
        <v> </v>
      </c>
      <c r="CL31" s="338" t="str">
        <f aca="false">IF(A31="N/A"," ",IF(CC=2,(VLOOKUP(MONTH($A31),Hrtable,3))/1000,0))</f>
        <v> </v>
      </c>
      <c r="CM31" s="339" t="str">
        <f aca="false">IF(A31="N/A"," ",IF(CC=2,(CL31*C31)+F31,0))</f>
        <v> </v>
      </c>
      <c r="CN31" s="340" t="str">
        <f aca="false">IF($A31="N/A"," ",IF(CC=2,(VLOOKUP(A31,ScaledPrice,(IF(AND(Dayrun&gt;=1,Dayrun&lt;=6),2,4)))-((IF(R31&lt;&gt;0,$D31,$CL31)*$C31)+$F31+$G31)),0))</f>
        <v> </v>
      </c>
      <c r="CO31" s="340" t="str">
        <f aca="false">IF($A31="N/A"," ",IF(CC=2,(IF(AND(Dayrun&gt;=1,Dayrun&lt;=6),I31,(VLOOKUP(A31,ScaledPrice,2))*(2-(VLOOKUP(A31,ScaledPrice,3))))-((IF(S31&lt;&gt;0,$D31,$CL31)*$C31)+$F31+$G31)),0))</f>
        <v> </v>
      </c>
      <c r="CP31" s="340" t="str">
        <f aca="false">IF(A31="N/A"," ",IF(CC=2,(VLOOKUP(A31,ScaledPrice,9)-((IF(T31&lt;&gt;0,$D31,$CL31)*$C31)+$F31+$G31)),0))</f>
        <v> </v>
      </c>
      <c r="CQ31" s="340" t="str">
        <f aca="false">IF(A31="N/A"," ",IF(CC=2,(IF(OR(Dayrun=2,Dayrun=3,Dayrun=5,Dayrun=6,Dayrun=8,Dayrun=9),VLOOKUP(A31,ScaledPrice,IF(AND(Dayrun&gt;=2,Dayrun&lt;=6),5,6)),0)-((IF(U31&lt;&gt;0,$D31,$CL31)*$C31)+$F31+$G31)),0))</f>
        <v> </v>
      </c>
      <c r="CR31" s="340" t="str">
        <f aca="false">IF(A31="N/A"," ",IF(CC=2,(IF(OR(Dayrun=2,Dayrun=3,Dayrun=5,Dayrun=6,Dayrun=8,Dayrun=9),IF(AND(Dayrun&gt;=2,Dayrun&lt;=6),L31,(VLOOKUP(A31,ScaledPrice,5))*(2-(VLOOKUP(A31,ScaledPrice,3)))),0)-((IF(V31&lt;&gt;0,$D31,$CL31)*$C31)+$F31+$G31)),0))</f>
        <v> </v>
      </c>
      <c r="CS31" s="340" t="str">
        <f aca="false">IF(A31="N/A"," ",IF(CC=2,(VLOOKUP(A31,ScaledPrice,9)-((IF(W31&lt;&gt;0,$D31,$CL31)*$C31)+$F31+$G31)),0))</f>
        <v> </v>
      </c>
      <c r="CT31" s="340" t="str">
        <f aca="false">IF(A31="N/A"," ",IF(CC=2,(IF(OR(Dayrun=3,Dayrun=6,Dayrun=9),(VLOOKUP(A31,ScaledPrice,IF(AND(Dayrun&gt;=3,Dayrun&lt;=6),7,8))),0)-((IF(X31&lt;&gt;0,$D31,$CL31)*$C31)+$F31+$G31)),0))</f>
        <v> </v>
      </c>
      <c r="CU31" s="340" t="str">
        <f aca="false">IF(A31="N/A"," ",IF(CC=2,(IF(OR(Dayrun=3,Dayrun=6,Dayrun=9),IF(AND(Dayrun&gt;=3,Dayrun&lt;=6),O31,(VLOOKUP(A31,ScaledPrice,7))*(2-(VLOOKUP(A31,ScaledPrice,3)))),0)-((IF(Y31&lt;&gt;0,$D31,$CL31)*$C31)+$F31+$G31)),0))</f>
        <v> </v>
      </c>
      <c r="CV31" s="340" t="str">
        <f aca="false">IF(A31="N/A"," ",IF(CC=2,(VLOOKUP(A31,ScaledPrice,9)-((IF(Z31&lt;&gt;0,$D31,$CL31)*$C31)+$F31+$G31)),0))</f>
        <v> </v>
      </c>
      <c r="CW31" s="318" t="str">
        <f aca="false">IF($A31="N/A"," ",IF(0&lt;&gt;CN31,IF(CC=2,8*$HD31,0),0))</f>
        <v> </v>
      </c>
      <c r="CX31" s="318" t="str">
        <f aca="false">IF($A31="N/A"," ",IF(0&lt;&gt;CO31,IF(CC=2,8*$HD31,0),0))</f>
        <v> </v>
      </c>
      <c r="CY31" s="318" t="str">
        <f aca="false">IF($A31="N/A"," ",IF(0&lt;&gt;CP31,IF(CC=2,8*$HD31,0),0))</f>
        <v> </v>
      </c>
      <c r="CZ31" s="318" t="str">
        <f aca="false">IF($A31="N/A"," ",IF(0&lt;&gt;CQ31,IF(CC=2,8*$HE31,0),0))</f>
        <v> </v>
      </c>
      <c r="DA31" s="318" t="str">
        <f aca="false">IF($A31="N/A"," ",IF(0&lt;&gt;CR31,IF(CC=2,8*$HE31,0),0))</f>
        <v> </v>
      </c>
      <c r="DB31" s="318" t="str">
        <f aca="false">IF($A31="N/A"," ",IF(0&lt;&gt;CS31,IF(CC=2,8*$HE31,0),0))</f>
        <v> </v>
      </c>
      <c r="DC31" s="318" t="str">
        <f aca="false">IF($A31="N/A"," ",IF(0&lt;&gt;CT31,IF(CC=2,8*$HF31,0),0))</f>
        <v> </v>
      </c>
      <c r="DD31" s="318" t="str">
        <f aca="false">IF($A31="N/A"," ",IF(0&lt;&gt;CU31,IF(CC=2,8*$HF31,0),0))</f>
        <v> </v>
      </c>
      <c r="DE31" s="318" t="str">
        <f aca="false">IF($A31="N/A"," ",IF(0&lt;&gt;CV31,IF(CC=2,8*$HF31,0),0))</f>
        <v> </v>
      </c>
      <c r="DF31" s="341" t="str">
        <f aca="false">IF($A31="N/A"," ",IF(CC=2,(IF(MONTH(A31)&gt;=4,IF(MONTH(A31)&lt;=10,Inputs!$G$13,Inputs!$G$14),Inputs!$G$14))*$CK31,0))</f>
        <v> </v>
      </c>
      <c r="DG31" s="342" t="str">
        <f aca="false">IF($A31="N/A"," ",IF(CC=2,$DF31*CW31*CN31,0))</f>
        <v> </v>
      </c>
      <c r="DH31" s="342" t="str">
        <f aca="false">IF($A31="N/A"," ",IF(CC=2,$DF31*CX31*CO31,0))</f>
        <v> </v>
      </c>
      <c r="DI31" s="342" t="str">
        <f aca="false">IF($A31="N/A"," ",IF(CC=2,$DF31*CY31*CP31,0))</f>
        <v> </v>
      </c>
      <c r="DJ31" s="342" t="str">
        <f aca="false">IF($A31="N/A"," ",IF(CC=2,$DF31*CZ31*CQ31,0))</f>
        <v> </v>
      </c>
      <c r="DK31" s="342" t="str">
        <f aca="false">IF($A31="N/A"," ",IF(CC=2,$DF31*DA31*CR31,0))</f>
        <v> </v>
      </c>
      <c r="DL31" s="342" t="str">
        <f aca="false">IF($A31="N/A"," ",IF(CC=2,$DF31*DB31*CS31,0))</f>
        <v> </v>
      </c>
      <c r="DM31" s="342" t="str">
        <f aca="false">IF($A31="N/A"," ",IF(CC=2,$DF31*DC31*CT31,0))</f>
        <v> </v>
      </c>
      <c r="DN31" s="342" t="str">
        <f aca="false">IF($A31="N/A"," ",IF(CC=2,$DF31*DD31*CU31,0))</f>
        <v> </v>
      </c>
      <c r="DO31" s="342" t="str">
        <f aca="false">IF($A31="N/A"," ",IF(CC=2,$DF31*DE31*CV31,0))</f>
        <v> </v>
      </c>
      <c r="DP31" s="343" t="str">
        <f aca="false">IF($A31="N/A"," ",IF(CC=2,SUM(DG31:DO31),0))</f>
        <v> </v>
      </c>
      <c r="DQ31" s="0" t="str">
        <f aca="false">IF(A31="N/A"," ",Perstart)</f>
        <v> </v>
      </c>
      <c r="HD31" s="0" t="str">
        <f aca="false">IF($A31="N/A"," ",VLOOKUP($A31,NumberofDaysTable,2))</f>
        <v> </v>
      </c>
      <c r="HE31" s="0" t="str">
        <f aca="false">IF($A31="N/A"," ",VLOOKUP($A31,NumberofDaysTable,3))</f>
        <v> </v>
      </c>
      <c r="HF31" s="0" t="str">
        <f aca="false">IF($A31="N/A"," ",VLOOKUP($A31,NumberofDaysTable,4))</f>
        <v> </v>
      </c>
    </row>
    <row r="32" customFormat="false" ht="12.75" hidden="false" customHeight="false" outlineLevel="0" collapsed="false">
      <c r="A32" s="308" t="str">
        <f aca="false">IF(A31="N/A","N/A",IF(EDATE(A31,1)&gt;Inputs!$K$3,"N/A",EDATE(A31,1)))</f>
        <v>N/A</v>
      </c>
      <c r="B32" s="309" t="str">
        <f aca="false">IF(A32="N/A"," ",YEAR(A32))</f>
        <v> </v>
      </c>
      <c r="C32" s="310" t="str">
        <f aca="false">IF(A32="N/A"," ",VLOOKUP(A32,ScaledPrice,10))</f>
        <v> </v>
      </c>
      <c r="D32" s="311" t="str">
        <f aca="false">IF(A32="N/A"," ",(VLOOKUP(MONTH($A32),Hrtable,2))/1000)</f>
        <v> </v>
      </c>
      <c r="E32" s="312" t="str">
        <f aca="false">IF($A32="N/A"," ",(C32-'Pricing Inputs'!T65)*D32)</f>
        <v> </v>
      </c>
      <c r="F32" s="313" t="str">
        <f aca="false">IF(A32="N/A"," ",$F20*(1+VOMesc))</f>
        <v> </v>
      </c>
      <c r="G32" s="313" t="str">
        <f aca="false">IF(A32="N/A"," ",Perstart/IF(AND(Dayrun&gt;=4,Dayrun&lt;=6),16,IF(AND(Dayrun&gt;=7,Dayrun&lt;=9),8,24))/(BM32/CK32))</f>
        <v> </v>
      </c>
      <c r="H32" s="314" t="str">
        <f aca="false">IF(A32="N/A"," ",(C32*D32)+F32+G32)</f>
        <v> </v>
      </c>
      <c r="I32" s="315" t="str">
        <f aca="false">VLOOKUP(A32,ScaledPrice,(IF(AND(Dayrun&gt;=1,Dayrun&lt;=6),2,4)))</f>
        <v> </v>
      </c>
      <c r="J32" s="315" t="str">
        <f aca="false">IF(A32="N/A"," ",IF(AND(Dayrun&gt;=1,Dayrun&lt;=6),I32,(VLOOKUP(A32,ScaledPrice,2))*(2-(VLOOKUP(A32,ScaledPrice,3)))))</f>
        <v> </v>
      </c>
      <c r="K32" s="315" t="str">
        <f aca="false">IF(A32="N/A"," ",IF(AND(Dayrun&gt;=1,Dayrun&lt;=3),VLOOKUP(A32,ScaledPrice,9),0))</f>
        <v> </v>
      </c>
      <c r="L32" s="315" t="str">
        <f aca="false">IF(A32="N/A"," ",IF(OR(Dayrun=2,Dayrun=3,Dayrun=5,Dayrun=6,Dayrun=8,Dayrun=9),VLOOKUP(A32,ScaledPrice,IF(AND(Dayrun&gt;=2,Dayrun&lt;=6),5,6)),0))</f>
        <v> </v>
      </c>
      <c r="M32" s="315" t="str">
        <f aca="false">IF(A32="N/A"," ",IF(OR(Dayrun=2,Dayrun=3,Dayrun=5,Dayrun=6,Dayrun=8,Dayrun=9),IF(AND(Dayrun&gt;=2,Dayrun&lt;=6),L32,(VLOOKUP(A32,ScaledPrice,5))*(2-(VLOOKUP(A32,ScaledPrice,3)))),0))</f>
        <v> </v>
      </c>
      <c r="N32" s="315" t="str">
        <f aca="false">IF(A32="N/A"," ",IF(AND(Dayrun&gt;1,Dayrun&lt;=3),VLOOKUP(A32,ScaledPrice,9),0))</f>
        <v> </v>
      </c>
      <c r="O32" s="315" t="str">
        <f aca="false">IF(A32="N/A"," ",IF(OR(Dayrun=3,Dayrun=6,Dayrun=9),(VLOOKUP(A32,ScaledPrice,IF(AND(Dayrun&gt;=3,Dayrun&lt;=6),7,8))),0))</f>
        <v> </v>
      </c>
      <c r="P32" s="315" t="str">
        <f aca="false">IF(A32="N/A"," ",IF(OR(Dayrun=3,Dayrun=6,Dayrun=9),IF(AND(Dayrun&gt;=3,Dayrun&lt;=6),O32,(VLOOKUP(A32,ScaledPrice,7))*(2-(VLOOKUP(A32,ScaledPrice,3)))),0))</f>
        <v> </v>
      </c>
      <c r="Q32" s="315" t="str">
        <f aca="false">IF(A32="N/A"," ",IF(AND(Dayrun&gt;2,Dayrun&lt;=3),VLOOKUP(A32,ScaledPrice,9),0))</f>
        <v> </v>
      </c>
      <c r="R32" s="316" t="str">
        <f aca="false">IF($A32="N/A"," ",IF(Pricetype=2,MAX(I32-$H32,0),IF(Pricetype=1,(xSPRDOPT(I32,$E32,$CI32,0,($CD32+IF(Smile=TRUE(),VLOOKUP(MAX(-5,$H32-I32),Volsmile,2),0)),$CG32,$CH32,($A32-DateToday)+15,1,0)),I32-$H32)))</f>
        <v> </v>
      </c>
      <c r="S32" s="316" t="str">
        <f aca="false">IF($A32="N/A"," ",IF(Pricetype=2,MAX(J32-$H32,0),IF(Pricetype=1,(xSPRDOPT(J32,$E32,$CI32,0,($CD32+IF(Smile=TRUE(),VLOOKUP(MAX(-5,$H32-J32),Volsmile,2),0)),$CG32,$CH32,($A32-DateToday)+15,1,0)),J32-$H32)))</f>
        <v> </v>
      </c>
      <c r="T32" s="317" t="str">
        <f aca="false">IF($A32="N/A"," ",(IF(Pricetype=2,IF((K32-$H32)&lt;=0,0,(K32-$H32)),IF(K32&lt;&gt;0,(K32-$H32),0))))</f>
        <v> </v>
      </c>
      <c r="U32" s="316" t="str">
        <f aca="false">IF($A32="N/A"," ",IF(Pricetype=2,MAX(L32-$H32,0),IF(L32&lt;&gt;0,IF(Pricetype=1,(xSPRDOPT(L32,$E32,$CI32,0,($CD32+IF(Smile=TRUE(),VLOOKUP(MAX(-5,$H32-L32),Volsmile,2),0)),$CG32,$CH32,($A32-DateToday)+15,1,0)),L32-$H32),0)))</f>
        <v> </v>
      </c>
      <c r="V32" s="316" t="str">
        <f aca="false">IF($A32="N/A"," ",IF(Pricetype=2,MAX(M32-$H32,0),IF(M32&lt;&gt;0,IF(Pricetype=1,(xSPRDOPT(M32,$E32,$CI32,0,($CD32+IF(Smile=TRUE(),VLOOKUP(MAX(-5,$H32-M32),Volsmile,2),0)),$CG32,$CH32,($A32-DateToday)+15,1,0)),M32-$H32),0)))</f>
        <v> </v>
      </c>
      <c r="W32" s="317" t="str">
        <f aca="false">IF($A32="N/A"," ",(IF(Pricetype=2,IF((N32-$H32)&lt;=0,0,(N32-$H32)),IF(N32&lt;&gt;0,(N32-$H32),0))))</f>
        <v> </v>
      </c>
      <c r="X32" s="316" t="str">
        <f aca="false">IF($A32="N/A"," ",IF(Pricetype=2,MAX(O32-$H32,0),IF(O32&lt;&gt;0,IF(Pricetype=1,(xSPRDOPT(O32,$E32,$CI32,0,($CD32+IF(Smile=TRUE(),VLOOKUP(MAX(-5,$H32-O32),Volsmile,2),0)),$CG32,$CH32,($A32-DateToday)+15,1,0)),O32-$H32),0)))</f>
        <v> </v>
      </c>
      <c r="Y32" s="316" t="str">
        <f aca="false">IF($A32="N/A"," ",IF(Pricetype=2,MAX(P32-$H32,0),IF(P32&lt;&gt;0,IF(Pricetype=1,(xSPRDOPT(P32,$E32,$CI32,0,($CD32+IF(Smile=TRUE(),VLOOKUP(MAX(-5,$H32-P32),Volsmile,2),0)),$CG32,$CH32,($A32-DateToday)+15,1,0)),P32-$H32),0)))</f>
        <v> </v>
      </c>
      <c r="Z32" s="317" t="str">
        <f aca="false">IF($A32="N/A"," ",(IF(Pricetype=2,IF((Q32-$H32)&lt;=0,0,(Q32-$H32)),IF(Q32&lt;&gt;0,(Q32-$H32),0))))</f>
        <v> </v>
      </c>
      <c r="AA32" s="318" t="str">
        <f aca="false">IF($A32="N/A"," ",IF(VLOOKUP(MONTH(A32),ManualTable,2)=1,(IF(0&lt;&gt;R32,IF(Pricetype=1,(xSPRDOPT(I32,$E32,$CI32,0,($CD32+IF(Smile=TRUE(),VLOOKUP(MAX(-5,$H32-I32),Volsmile,2),0)),$CG32,$CH32,($A32-DateToday)+15,1,1))*(8*$HD32),8*$HD32),0)),0))</f>
        <v> </v>
      </c>
      <c r="AB32" s="318" t="str">
        <f aca="false">IF($A32="N/A"," ",IF(VLOOKUP(MONTH(A32),ManualTable,3)=1,(IF(S32&lt;&gt;0,IF(Pricetype=1,(xSPRDOPT(J32,$E32,$CI32,0,($CD32+IF(Smile=TRUE(),VLOOKUP(MAX(-5,$H32-J32),Volsmile,2),0)),$CG32,$CH32,($A32-DateToday)+15,1,1))*(8*$HD32),8*$HD32),0)),0))</f>
        <v> </v>
      </c>
      <c r="AC32" s="318" t="str">
        <f aca="false">IF($A32="N/A"," ",IF(VLOOKUP(MONTH(A32),ManualTable,4)=1,(IF(T32&lt;&gt;0,(8*$HD32),0)),0))</f>
        <v> </v>
      </c>
      <c r="AD32" s="318" t="str">
        <f aca="false">IF($A32="N/A"," ",IF(VLOOKUP(MONTH(A32),ManualTable,5)=1,(IF(U32&lt;&gt;0,IF(Pricetype=1,(xSPRDOPT(L32,$E32,$CI32,0,($CD32+IF(Smile=TRUE(),VLOOKUP(MAX(-5,$H32-L32),Volsmile,2),0)),$CG32,$CH32,($A32-DateToday)+15,1,1))*(8*$HE32),8*$HE32),0)),0))</f>
        <v> </v>
      </c>
      <c r="AE32" s="318" t="str">
        <f aca="false">IF($A32="N/A"," ",IF(VLOOKUP(MONTH(A32),ManualTable,6)=1,(IF(V32&lt;&gt;0,IF(Pricetype=1,(xSPRDOPT(M32,$E32,$CI32,0,($CD32+IF(Smile=TRUE(),VLOOKUP(MAX(-5,$H32-M32),Volsmile,2),0)),$CG32,$CH32,($A32-DateToday)+15,1,1))*(8*$HE32),8*$HE32),0)),0))</f>
        <v> </v>
      </c>
      <c r="AF32" s="318" t="str">
        <f aca="false">IF($A32="N/A"," ",IF(VLOOKUP(MONTH(A32),ManualTable,7)=1,(IF(W32&lt;&gt;0,(8*$HE32),0)),0))</f>
        <v> </v>
      </c>
      <c r="AG32" s="318" t="str">
        <f aca="false">IF($A32="N/A"," ",IF(VLOOKUP(MONTH(A32),ManualTable,8)=1,(IF(X32&lt;&gt;0,IF(Pricetype=1,(xSPRDOPT(O32,$E32,$CI32,0,($CD32+IF(Smile=TRUE(),VLOOKUP(MAX(-5,$H32-O32),Volsmile,2),0)),$CG32,$CH32,($A32-DateToday)+15,1,1))*(8*$HF32),8*$HF32),0)),0))</f>
        <v> </v>
      </c>
      <c r="AH32" s="318" t="str">
        <f aca="false">IF($A32="N/A"," ",IF(VLOOKUP(MONTH(A32),ManualTable,9)=1,(IF(Y32&lt;&gt;0,IF(Pricetype=1,(xSPRDOPT(P32,$E32,$CI32,0,($CD32+IF(Smile=TRUE(),VLOOKUP(MAX(-5,$H32-P32),Volsmile,2),0)),$CG32,$CH32,($A32-DateToday)+15,1,1))*(8*$HF32),8*$HF32),0)),0))</f>
        <v> </v>
      </c>
      <c r="AI32" s="318" t="str">
        <f aca="false">IF($A32="N/A"," ",IF(VLOOKUP(MONTH(A32),ManualTable,10)=1,(IF(Z32&lt;&gt;0,(8*($HF32)),0)),0))</f>
        <v> </v>
      </c>
      <c r="AJ32" s="344" t="str">
        <f aca="false">IF($A32="N/A"," ",RANK(R32,$R$28:$Z$39))</f>
        <v> </v>
      </c>
      <c r="AK32" s="321" t="str">
        <f aca="false">IF($A32="N/A"," ",RANK(S32,$R$28:$Z$39))</f>
        <v> </v>
      </c>
      <c r="AL32" s="321" t="str">
        <f aca="false">IF($A32="N/A"," ",RANK(T32,$R$28:$Z$39))</f>
        <v> </v>
      </c>
      <c r="AM32" s="321" t="str">
        <f aca="false">IF($A32="N/A"," ",RANK(U32,$R$28:$Z$39))</f>
        <v> </v>
      </c>
      <c r="AN32" s="321" t="str">
        <f aca="false">IF($A32="N/A"," ",RANK(V32,$R$28:$Z$39))</f>
        <v> </v>
      </c>
      <c r="AO32" s="321" t="str">
        <f aca="false">IF($A32="N/A"," ",RANK(W32,$R$28:$Z$39))</f>
        <v> </v>
      </c>
      <c r="AP32" s="321" t="str">
        <f aca="false">IF($A32="N/A"," ",RANK(X32,$R$28:$Z$39))</f>
        <v> </v>
      </c>
      <c r="AQ32" s="321" t="str">
        <f aca="false">IF($A32="N/A"," ",RANK(Y32,$R$28:$Z$39))</f>
        <v> </v>
      </c>
      <c r="AR32" s="345" t="str">
        <f aca="false">IF($A32="N/A"," ",RANK(Z32,$R$28:$Z$39))</f>
        <v> </v>
      </c>
      <c r="AS32" s="323" t="str">
        <f aca="false">IF($A32="N/A"," ",IF(AJ32&lt;=$AR$2,AA32,0))</f>
        <v> </v>
      </c>
      <c r="AT32" s="325" t="str">
        <f aca="false">IF($A32="N/A"," ",IF(AK32&lt;=$AR$2,AB32,0))</f>
        <v> </v>
      </c>
      <c r="AU32" s="325" t="str">
        <f aca="false">IF($A32="N/A"," ",IF(AL32&lt;=$AR$2,AC32,0))</f>
        <v> </v>
      </c>
      <c r="AV32" s="325" t="str">
        <f aca="false">IF($A32="N/A"," ",IF(AM32&lt;=$AR$2,AD32,0))</f>
        <v> </v>
      </c>
      <c r="AW32" s="325" t="str">
        <f aca="false">IF($A32="N/A"," ",IF(AN32&lt;=$AR$2,AE32,0))</f>
        <v> </v>
      </c>
      <c r="AX32" s="325" t="str">
        <f aca="false">IF($A32="N/A"," ",IF(AO32&lt;=$AR$2,AF32,0))</f>
        <v> </v>
      </c>
      <c r="AY32" s="325" t="str">
        <f aca="false">IF($A32="N/A"," ",IF(AP32&lt;=$AR$2,AG32,0))</f>
        <v> </v>
      </c>
      <c r="AZ32" s="325" t="str">
        <f aca="false">IF($A32="N/A"," ",IF(AQ32&lt;=$AR$2,AH32,0))</f>
        <v> </v>
      </c>
      <c r="BA32" s="325" t="str">
        <f aca="false">IF($A32="N/A"," ",IF(AR32&lt;=$AR$2,AI32,0))</f>
        <v> </v>
      </c>
      <c r="BB32" s="345"/>
      <c r="BC32" s="326" t="str">
        <f aca="false">IF($A32="N/A"," ",IF(AND(AJ32=$AR$2+1,AS32=0),MIN($BB$39,AA32),0))</f>
        <v> </v>
      </c>
      <c r="BD32" s="346" t="str">
        <f aca="false">IF($A32="N/A"," ",IF(AND(AK32=$AR$2+1,AT32=0),MIN($BB$39,AB32),0))</f>
        <v> </v>
      </c>
      <c r="BE32" s="346" t="str">
        <f aca="false">IF($A32="N/A"," ",IF(AND(AL32=$AR$2+1,AU32=0),MIN($BB$39,AC32),0))</f>
        <v> </v>
      </c>
      <c r="BF32" s="346" t="str">
        <f aca="false">IF($A32="N/A"," ",IF(AND(AM32=$AR$2+1,AV32=0),MIN($BB$39,AD32),0))</f>
        <v> </v>
      </c>
      <c r="BG32" s="346" t="str">
        <f aca="false">IF($A32="N/A"," ",IF(AND(AN32=$AR$2+1,AW32=0),MIN($BB$39,AE32),0))</f>
        <v> </v>
      </c>
      <c r="BH32" s="346" t="str">
        <f aca="false">IF($A32="N/A"," ",IF(AND(AO32=$AR$2+1,AX32=0),MIN($BB$39,AF32),0))</f>
        <v> </v>
      </c>
      <c r="BI32" s="346" t="str">
        <f aca="false">IF($A32="N/A"," ",IF(AND(AP32=$AR$2+1,AY32=0),MIN($BB$39,AG32),0))</f>
        <v> </v>
      </c>
      <c r="BJ32" s="346" t="str">
        <f aca="false">IF($A32="N/A"," ",IF(AND(AQ32=$AR$2+1,AZ32=0),MIN($BB$39,AH32),0))</f>
        <v> </v>
      </c>
      <c r="BK32" s="346" t="str">
        <f aca="false">IF($A32="N/A"," ",IF(AND(AR32=$AR$2+1,BA32=0),MIN($BB$39,AI32),0))</f>
        <v> </v>
      </c>
      <c r="BL32" s="345"/>
      <c r="BM32" s="329" t="str">
        <f aca="false">IF($A32="N/A"," ",(IF(MONTH(A32)&gt;=4,IF(MONTH(A32)&lt;=10,Inputs!$F$13-Inputs!$G$13,Inputs!$F$14-Inputs!$G$14),Inputs!$F$14-Inputs!$G$14))*$CK32*Availability)</f>
        <v> </v>
      </c>
      <c r="BN32" s="330" t="str">
        <f aca="false">IF($A32="N/A"," ",(IF(AS32&gt;0,($BM32*(8*($HD32))*R32),0)+IF(BC32&gt;0,($BM32*((BC32/AA32)*8*$HD32)*R32),0)))</f>
        <v> </v>
      </c>
      <c r="BO32" s="330" t="str">
        <f aca="false">IF($A32="N/A"," ",(IF(AT32&gt;0,($BM32*(8*($HD32))*S32),0)+IF(BD32&gt;0,($BM32*((BD32/AB32)*8*$HD32)*S32),0)))</f>
        <v> </v>
      </c>
      <c r="BP32" s="330" t="str">
        <f aca="false">IF($A32="N/A"," ",(IF(AU32&gt;0,($BM32*(8*($HD32))*T32),0)+IF(BE32&gt;0,($BM32*((BE32))*T32),0)))</f>
        <v> </v>
      </c>
      <c r="BQ32" s="330" t="str">
        <f aca="false">IF($A32="N/A"," ",(IF(AV32&gt;0,($BM32*(8*($HE32))*U32),0)+IF(BF32&gt;0,($BM32*((BF32/AD32)*8*$HE32)*U32),0)))</f>
        <v> </v>
      </c>
      <c r="BR32" s="330" t="str">
        <f aca="false">IF($A32="N/A"," ",(IF(AW32&gt;0,($BM32*(8*($HE32))*V32),0)+IF(BG32&gt;0,($BM32*((BG32/AE32)*8*$HE32)*V32),0)))</f>
        <v> </v>
      </c>
      <c r="BS32" s="330" t="str">
        <f aca="false">IF($A32="N/A"," ",(IF(AX32&gt;0,($BM32*(8*($HE32))*W32),0)+IF(BH32&gt;0,($BM32*((BH32))*W32),0)))</f>
        <v> </v>
      </c>
      <c r="BT32" s="330" t="str">
        <f aca="false">IF($A32="N/A"," ",(IF(AY32&gt;0,($BM32*(8*($HF32))*X32),0)+IF(BI32&gt;0,($BM32*((BI32/AG32)*8*$HF32)*X32),0)))</f>
        <v> </v>
      </c>
      <c r="BU32" s="330" t="str">
        <f aca="false">IF($A32="N/A"," ",(IF(AZ32&gt;0,($BM32*(8*($HF32))*Y32),0)+IF(BJ32&gt;0,($BM32*((BJ32/AH32)*8*$HF32)*Y32),0)))</f>
        <v> </v>
      </c>
      <c r="BV32" s="330" t="str">
        <f aca="false">IF($A32="N/A"," ",(IF(BA32&gt;0,($BM32*(8*($HF32))*Z32),0)+IF(BK32&gt;0,($BM32*((BK32))*Z32),0)))</f>
        <v> </v>
      </c>
      <c r="BW32" s="330" t="str">
        <f aca="false">IF($A32="N/A"," ",SUM(BN32:BV32))</f>
        <v> </v>
      </c>
      <c r="BX32" s="331" t="str">
        <f aca="false">IF($A32="N/A"," ",(H32*(SUM(AS32:BA32)+SUM(BC32:BK32))*BM32))</f>
        <v> </v>
      </c>
      <c r="BY32" s="332" t="str">
        <f aca="false">IF($A32="N/A"," ",((C32*D32)*(SUM($AS32:$BA32)+SUM($BC32:$BK32))*$BM32))</f>
        <v> </v>
      </c>
      <c r="BZ32" s="332" t="str">
        <f aca="false">IF($A32="N/A"," ",(F32*(SUM($AS32:$BA32)+SUM($BC32:$BK32))*$BM32))</f>
        <v> </v>
      </c>
      <c r="CA32" s="333" t="str">
        <f aca="false">IF($A32="N/A"," ",(G32*(SUM($AS32:$BA32)+SUM($BC32:$BK32))*$BM32))</f>
        <v> </v>
      </c>
      <c r="CB32" s="334" t="str">
        <f aca="false">IF(A32="N/A"," ",(VLOOKUP(A32,PowerVolTable,(IF(BMO=2,7,IF(BMO=1,6,8))),FALSE())))</f>
        <v> </v>
      </c>
      <c r="CC32" s="334" t="str">
        <f aca="false">IF(A32="N/A"," ",(VLOOKUP(A32,IntraPowerVol,(IF(BMO=2,3,IF(BMO=1,2,4))),FALSE())*VLOOKUP(MONTH($A32),Volscale,2)))</f>
        <v> </v>
      </c>
      <c r="CD32" s="335" t="str">
        <f aca="false">IF($A32="N/A"," ",(IF(DateToday&gt;$A32,$CC32,((($CB32^2)*((($A32-1)-DateToday)/((EOMONTH($A32,0)+1)-DateToday-15)))+((($CC32)^2)*((15)/((EOMONTH($A32,0)+1)-DateToday-15))))^0.5)))</f>
        <v> </v>
      </c>
      <c r="CE32" s="334" t="str">
        <f aca="false">IF($A32="N/A"," ",(VLOOKUP($A32,GasVolTable,(IF(BMO=2,6,IF(BMO=1,7,5))),FALSE())))</f>
        <v> </v>
      </c>
      <c r="CF32" s="334" t="str">
        <f aca="false">IF($A32="N/A"," ",(VLOOKUP($A32,OmicronVol,(IF(BMO=2,3,IF(BMO=1,4,2))),FALSE())))</f>
        <v> </v>
      </c>
      <c r="CG32" s="335" t="str">
        <f aca="false">IF($A32="N/A"," ",(IF(DateToday&gt;$A32,$CF32,((($CE32^2)*((($A32-1)-DateToday)/((EOMONTH($A32,0)+1)-DateToday-15)))+((($CF32)^2)*((15)/((EOMONTH($A32,0)+1)-DateToday-15))))^0.5)))</f>
        <v> </v>
      </c>
      <c r="CH32" s="334" t="str">
        <f aca="false">IF($A32="N/A"," ",VLOOKUP($A32,CorrelationTable,2,FALSE()))</f>
        <v> </v>
      </c>
      <c r="CI32" s="336" t="str">
        <f aca="false">IF($A32="N/A"," ",F32+G32+(D32*('Pricing Inputs'!T65)))</f>
        <v> </v>
      </c>
      <c r="CJ32" s="334" t="str">
        <f aca="false">IF($A32="N/A"," ",IF(PV=1,0,'Pricing Inputs'!U65))</f>
        <v> </v>
      </c>
      <c r="CK32" s="337" t="str">
        <f aca="false">IF($A32="N/A"," ",(1+CJ32/2)^(-2*((EOMONTH(A32,0)+20)-DateToday)/365.25))</f>
        <v> </v>
      </c>
      <c r="CL32" s="338" t="str">
        <f aca="false">IF(A32="N/A"," ",IF(CC=2,(VLOOKUP(MONTH($A32),Hrtable,3))/1000,0))</f>
        <v> </v>
      </c>
      <c r="CM32" s="339" t="str">
        <f aca="false">IF(A32="N/A"," ",IF(CC=2,(CL32*C32)+F32,0))</f>
        <v> </v>
      </c>
      <c r="CN32" s="340" t="str">
        <f aca="false">IF($A32="N/A"," ",IF(CC=2,(VLOOKUP(A32,ScaledPrice,(IF(AND(Dayrun&gt;=1,Dayrun&lt;=6),2,4)))-((IF(R32&lt;&gt;0,$D32,$CL32)*$C32)+$F32+$G32)),0))</f>
        <v> </v>
      </c>
      <c r="CO32" s="340" t="str">
        <f aca="false">IF($A32="N/A"," ",IF(CC=2,(IF(AND(Dayrun&gt;=1,Dayrun&lt;=6),I32,(VLOOKUP(A32,ScaledPrice,2))*(2-(VLOOKUP(A32,ScaledPrice,3))))-((IF(S32&lt;&gt;0,$D32,$CL32)*$C32)+$F32+$G32)),0))</f>
        <v> </v>
      </c>
      <c r="CP32" s="340" t="str">
        <f aca="false">IF(A32="N/A"," ",IF(CC=2,(VLOOKUP(A32,ScaledPrice,9)-((IF(T32&lt;&gt;0,$D32,$CL32)*$C32)+$F32+$G32)),0))</f>
        <v> </v>
      </c>
      <c r="CQ32" s="340" t="str">
        <f aca="false">IF(A32="N/A"," ",IF(CC=2,(IF(OR(Dayrun=2,Dayrun=3,Dayrun=5,Dayrun=6,Dayrun=8,Dayrun=9),VLOOKUP(A32,ScaledPrice,IF(AND(Dayrun&gt;=2,Dayrun&lt;=6),5,6)),0)-((IF(U32&lt;&gt;0,$D32,$CL32)*$C32)+$F32+$G32)),0))</f>
        <v> </v>
      </c>
      <c r="CR32" s="340" t="str">
        <f aca="false">IF(A32="N/A"," ",IF(CC=2,(IF(OR(Dayrun=2,Dayrun=3,Dayrun=5,Dayrun=6,Dayrun=8,Dayrun=9),IF(AND(Dayrun&gt;=2,Dayrun&lt;=6),L32,(VLOOKUP(A32,ScaledPrice,5))*(2-(VLOOKUP(A32,ScaledPrice,3)))),0)-((IF(V32&lt;&gt;0,$D32,$CL32)*$C32)+$F32+$G32)),0))</f>
        <v> </v>
      </c>
      <c r="CS32" s="340" t="str">
        <f aca="false">IF(A32="N/A"," ",IF(CC=2,(VLOOKUP(A32,ScaledPrice,9)-((IF(W32&lt;&gt;0,$D32,$CL32)*$C32)+$F32+$G32)),0))</f>
        <v> </v>
      </c>
      <c r="CT32" s="340" t="str">
        <f aca="false">IF(A32="N/A"," ",IF(CC=2,(IF(OR(Dayrun=3,Dayrun=6,Dayrun=9),(VLOOKUP(A32,ScaledPrice,IF(AND(Dayrun&gt;=3,Dayrun&lt;=6),7,8))),0)-((IF(X32&lt;&gt;0,$D32,$CL32)*$C32)+$F32+$G32)),0))</f>
        <v> </v>
      </c>
      <c r="CU32" s="340" t="str">
        <f aca="false">IF(A32="N/A"," ",IF(CC=2,(IF(OR(Dayrun=3,Dayrun=6,Dayrun=9),IF(AND(Dayrun&gt;=3,Dayrun&lt;=6),O32,(VLOOKUP(A32,ScaledPrice,7))*(2-(VLOOKUP(A32,ScaledPrice,3)))),0)-((IF(Y32&lt;&gt;0,$D32,$CL32)*$C32)+$F32+$G32)),0))</f>
        <v> </v>
      </c>
      <c r="CV32" s="340" t="str">
        <f aca="false">IF(A32="N/A"," ",IF(CC=2,(VLOOKUP(A32,ScaledPrice,9)-((IF(Z32&lt;&gt;0,$D32,$CL32)*$C32)+$F32+$G32)),0))</f>
        <v> </v>
      </c>
      <c r="CW32" s="318" t="str">
        <f aca="false">IF($A32="N/A"," ",IF(0&lt;&gt;CN32,IF(CC=2,8*$HD32,0),0))</f>
        <v> </v>
      </c>
      <c r="CX32" s="318" t="str">
        <f aca="false">IF($A32="N/A"," ",IF(0&lt;&gt;CO32,IF(CC=2,8*$HD32,0),0))</f>
        <v> </v>
      </c>
      <c r="CY32" s="318" t="str">
        <f aca="false">IF($A32="N/A"," ",IF(0&lt;&gt;CP32,IF(CC=2,8*$HD32,0),0))</f>
        <v> </v>
      </c>
      <c r="CZ32" s="318" t="str">
        <f aca="false">IF($A32="N/A"," ",IF(0&lt;&gt;CQ32,IF(CC=2,8*$HE32,0),0))</f>
        <v> </v>
      </c>
      <c r="DA32" s="318" t="str">
        <f aca="false">IF($A32="N/A"," ",IF(0&lt;&gt;CR32,IF(CC=2,8*$HE32,0),0))</f>
        <v> </v>
      </c>
      <c r="DB32" s="318" t="str">
        <f aca="false">IF($A32="N/A"," ",IF(0&lt;&gt;CS32,IF(CC=2,8*$HE32,0),0))</f>
        <v> </v>
      </c>
      <c r="DC32" s="318" t="str">
        <f aca="false">IF($A32="N/A"," ",IF(0&lt;&gt;CT32,IF(CC=2,8*$HF32,0),0))</f>
        <v> </v>
      </c>
      <c r="DD32" s="318" t="str">
        <f aca="false">IF($A32="N/A"," ",IF(0&lt;&gt;CU32,IF(CC=2,8*$HF32,0),0))</f>
        <v> </v>
      </c>
      <c r="DE32" s="318" t="str">
        <f aca="false">IF($A32="N/A"," ",IF(0&lt;&gt;CV32,IF(CC=2,8*$HF32,0),0))</f>
        <v> </v>
      </c>
      <c r="DF32" s="341" t="str">
        <f aca="false">IF($A32="N/A"," ",IF(CC=2,(IF(MONTH(A32)&gt;=4,IF(MONTH(A32)&lt;=10,Inputs!$G$13,Inputs!$G$14),Inputs!$G$14))*$CK32,0))</f>
        <v> </v>
      </c>
      <c r="DG32" s="342" t="str">
        <f aca="false">IF($A32="N/A"," ",IF(CC=2,$DF32*CW32*CN32,0))</f>
        <v> </v>
      </c>
      <c r="DH32" s="342" t="str">
        <f aca="false">IF($A32="N/A"," ",IF(CC=2,$DF32*CX32*CO32,0))</f>
        <v> </v>
      </c>
      <c r="DI32" s="342" t="str">
        <f aca="false">IF($A32="N/A"," ",IF(CC=2,$DF32*CY32*CP32,0))</f>
        <v> </v>
      </c>
      <c r="DJ32" s="342" t="str">
        <f aca="false">IF($A32="N/A"," ",IF(CC=2,$DF32*CZ32*CQ32,0))</f>
        <v> </v>
      </c>
      <c r="DK32" s="342" t="str">
        <f aca="false">IF($A32="N/A"," ",IF(CC=2,$DF32*DA32*CR32,0))</f>
        <v> </v>
      </c>
      <c r="DL32" s="342" t="str">
        <f aca="false">IF($A32="N/A"," ",IF(CC=2,$DF32*DB32*CS32,0))</f>
        <v> </v>
      </c>
      <c r="DM32" s="342" t="str">
        <f aca="false">IF($A32="N/A"," ",IF(CC=2,$DF32*DC32*CT32,0))</f>
        <v> </v>
      </c>
      <c r="DN32" s="342" t="str">
        <f aca="false">IF($A32="N/A"," ",IF(CC=2,$DF32*DD32*CU32,0))</f>
        <v> </v>
      </c>
      <c r="DO32" s="342" t="str">
        <f aca="false">IF($A32="N/A"," ",IF(CC=2,$DF32*DE32*CV32,0))</f>
        <v> </v>
      </c>
      <c r="DP32" s="343" t="str">
        <f aca="false">IF($A32="N/A"," ",IF(CC=2,SUM(DG32:DO32),0))</f>
        <v> </v>
      </c>
      <c r="DQ32" s="0" t="str">
        <f aca="false">IF(A32="N/A"," ",Perstart)</f>
        <v> </v>
      </c>
      <c r="HD32" s="0" t="str">
        <f aca="false">IF($A32="N/A"," ",VLOOKUP($A32,NumberofDaysTable,2))</f>
        <v> </v>
      </c>
      <c r="HE32" s="0" t="str">
        <f aca="false">IF($A32="N/A"," ",VLOOKUP($A32,NumberofDaysTable,3))</f>
        <v> </v>
      </c>
      <c r="HF32" s="0" t="str">
        <f aca="false">IF($A32="N/A"," ",VLOOKUP($A32,NumberofDaysTable,4))</f>
        <v> </v>
      </c>
    </row>
    <row r="33" customFormat="false" ht="12.75" hidden="false" customHeight="false" outlineLevel="0" collapsed="false">
      <c r="A33" s="308" t="str">
        <f aca="false">IF(A32="N/A","N/A",IF(EDATE(A32,1)&gt;Inputs!$K$3,"N/A",EDATE(A32,1)))</f>
        <v>N/A</v>
      </c>
      <c r="B33" s="309" t="str">
        <f aca="false">IF(A33="N/A"," ",YEAR(A33))</f>
        <v> </v>
      </c>
      <c r="C33" s="310" t="str">
        <f aca="false">IF(A33="N/A"," ",VLOOKUP(A33,ScaledPrice,10))</f>
        <v> </v>
      </c>
      <c r="D33" s="311" t="str">
        <f aca="false">IF(A33="N/A"," ",(VLOOKUP(MONTH($A33),Hrtable,2))/1000)</f>
        <v> </v>
      </c>
      <c r="E33" s="312" t="str">
        <f aca="false">IF($A33="N/A"," ",(C33-'Pricing Inputs'!T66)*D33)</f>
        <v> </v>
      </c>
      <c r="F33" s="313" t="str">
        <f aca="false">IF(A33="N/A"," ",$F21*(1+VOMesc))</f>
        <v> </v>
      </c>
      <c r="G33" s="313" t="str">
        <f aca="false">IF(A33="N/A"," ",Perstart/IF(AND(Dayrun&gt;=4,Dayrun&lt;=6),16,IF(AND(Dayrun&gt;=7,Dayrun&lt;=9),8,24))/(BM33/CK33))</f>
        <v> </v>
      </c>
      <c r="H33" s="314" t="str">
        <f aca="false">IF(A33="N/A"," ",(C33*D33)+F33+G33)</f>
        <v> </v>
      </c>
      <c r="I33" s="315" t="str">
        <f aca="false">VLOOKUP(A33,ScaledPrice,(IF(AND(Dayrun&gt;=1,Dayrun&lt;=6),2,4)))</f>
        <v> </v>
      </c>
      <c r="J33" s="315" t="str">
        <f aca="false">IF(A33="N/A"," ",IF(AND(Dayrun&gt;=1,Dayrun&lt;=6),I33,(VLOOKUP(A33,ScaledPrice,2))*(2-(VLOOKUP(A33,ScaledPrice,3)))))</f>
        <v> </v>
      </c>
      <c r="K33" s="315" t="str">
        <f aca="false">IF(A33="N/A"," ",IF(AND(Dayrun&gt;=1,Dayrun&lt;=3),VLOOKUP(A33,ScaledPrice,9),0))</f>
        <v> </v>
      </c>
      <c r="L33" s="315" t="str">
        <f aca="false">IF(A33="N/A"," ",IF(OR(Dayrun=2,Dayrun=3,Dayrun=5,Dayrun=6,Dayrun=8,Dayrun=9),VLOOKUP(A33,ScaledPrice,IF(AND(Dayrun&gt;=2,Dayrun&lt;=6),5,6)),0))</f>
        <v> </v>
      </c>
      <c r="M33" s="315" t="str">
        <f aca="false">IF(A33="N/A"," ",IF(OR(Dayrun=2,Dayrun=3,Dayrun=5,Dayrun=6,Dayrun=8,Dayrun=9),IF(AND(Dayrun&gt;=2,Dayrun&lt;=6),L33,(VLOOKUP(A33,ScaledPrice,5))*(2-(VLOOKUP(A33,ScaledPrice,3)))),0))</f>
        <v> </v>
      </c>
      <c r="N33" s="315" t="str">
        <f aca="false">IF(A33="N/A"," ",IF(AND(Dayrun&gt;1,Dayrun&lt;=3),VLOOKUP(A33,ScaledPrice,9),0))</f>
        <v> </v>
      </c>
      <c r="O33" s="315" t="str">
        <f aca="false">IF(A33="N/A"," ",IF(OR(Dayrun=3,Dayrun=6,Dayrun=9),(VLOOKUP(A33,ScaledPrice,IF(AND(Dayrun&gt;=3,Dayrun&lt;=6),7,8))),0))</f>
        <v> </v>
      </c>
      <c r="P33" s="315" t="str">
        <f aca="false">IF(A33="N/A"," ",IF(OR(Dayrun=3,Dayrun=6,Dayrun=9),IF(AND(Dayrun&gt;=3,Dayrun&lt;=6),O33,(VLOOKUP(A33,ScaledPrice,7))*(2-(VLOOKUP(A33,ScaledPrice,3)))),0))</f>
        <v> </v>
      </c>
      <c r="Q33" s="315" t="str">
        <f aca="false">IF(A33="N/A"," ",IF(AND(Dayrun&gt;2,Dayrun&lt;=3),VLOOKUP(A33,ScaledPrice,9),0))</f>
        <v> </v>
      </c>
      <c r="R33" s="316" t="str">
        <f aca="false">IF($A33="N/A"," ",IF(Pricetype=2,MAX(I33-$H33,0),IF(Pricetype=1,(xSPRDOPT(I33,$E33,$CI33,0,($CD33+IF(Smile=TRUE(),VLOOKUP(MAX(-5,$H33-I33),Volsmile,2),0)),$CG33,$CH33,($A33-DateToday)+15,1,0)),I33-$H33)))</f>
        <v> </v>
      </c>
      <c r="S33" s="316" t="str">
        <f aca="false">IF($A33="N/A"," ",IF(Pricetype=2,MAX(J33-$H33,0),IF(Pricetype=1,(xSPRDOPT(J33,$E33,$CI33,0,($CD33+IF(Smile=TRUE(),VLOOKUP(MAX(-5,$H33-J33),Volsmile,2),0)),$CG33,$CH33,($A33-DateToday)+15,1,0)),J33-$H33)))</f>
        <v> </v>
      </c>
      <c r="T33" s="317" t="str">
        <f aca="false">IF($A33="N/A"," ",(IF(Pricetype=2,IF((K33-$H33)&lt;=0,0,(K33-$H33)),IF(K33&lt;&gt;0,(K33-$H33),0))))</f>
        <v> </v>
      </c>
      <c r="U33" s="316" t="str">
        <f aca="false">IF($A33="N/A"," ",IF(Pricetype=2,MAX(L33-$H33,0),IF(L33&lt;&gt;0,IF(Pricetype=1,(xSPRDOPT(L33,$E33,$CI33,0,($CD33+IF(Smile=TRUE(),VLOOKUP(MAX(-5,$H33-L33),Volsmile,2),0)),$CG33,$CH33,($A33-DateToday)+15,1,0)),L33-$H33),0)))</f>
        <v> </v>
      </c>
      <c r="V33" s="316" t="str">
        <f aca="false">IF($A33="N/A"," ",IF(Pricetype=2,MAX(M33-$H33,0),IF(M33&lt;&gt;0,IF(Pricetype=1,(xSPRDOPT(M33,$E33,$CI33,0,($CD33+IF(Smile=TRUE(),VLOOKUP(MAX(-5,$H33-M33),Volsmile,2),0)),$CG33,$CH33,($A33-DateToday)+15,1,0)),M33-$H33),0)))</f>
        <v> </v>
      </c>
      <c r="W33" s="317" t="str">
        <f aca="false">IF($A33="N/A"," ",(IF(Pricetype=2,IF((N33-$H33)&lt;=0,0,(N33-$H33)),IF(N33&lt;&gt;0,(N33-$H33),0))))</f>
        <v> </v>
      </c>
      <c r="X33" s="316" t="str">
        <f aca="false">IF($A33="N/A"," ",IF(Pricetype=2,MAX(O33-$H33,0),IF(O33&lt;&gt;0,IF(Pricetype=1,(xSPRDOPT(O33,$E33,$CI33,0,($CD33+IF(Smile=TRUE(),VLOOKUP(MAX(-5,$H33-O33),Volsmile,2),0)),$CG33,$CH33,($A33-DateToday)+15,1,0)),O33-$H33),0)))</f>
        <v> </v>
      </c>
      <c r="Y33" s="316" t="str">
        <f aca="false">IF($A33="N/A"," ",IF(Pricetype=2,MAX(P33-$H33,0),IF(P33&lt;&gt;0,IF(Pricetype=1,(xSPRDOPT(P33,$E33,$CI33,0,($CD33+IF(Smile=TRUE(),VLOOKUP(MAX(-5,$H33-P33),Volsmile,2),0)),$CG33,$CH33,($A33-DateToday)+15,1,0)),P33-$H33),0)))</f>
        <v> </v>
      </c>
      <c r="Z33" s="317" t="str">
        <f aca="false">IF($A33="N/A"," ",(IF(Pricetype=2,IF((Q33-$H33)&lt;=0,0,(Q33-$H33)),IF(Q33&lt;&gt;0,(Q33-$H33),0))))</f>
        <v> </v>
      </c>
      <c r="AA33" s="318" t="str">
        <f aca="false">IF($A33="N/A"," ",IF(VLOOKUP(MONTH(A33),ManualTable,2)=1,(IF(0&lt;&gt;R33,IF(Pricetype=1,(xSPRDOPT(I33,$E33,$CI33,0,($CD33+IF(Smile=TRUE(),VLOOKUP(MAX(-5,$H33-I33),Volsmile,2),0)),$CG33,$CH33,($A33-DateToday)+15,1,1))*(8*$HD33),8*$HD33),0)),0))</f>
        <v> </v>
      </c>
      <c r="AB33" s="318" t="str">
        <f aca="false">IF($A33="N/A"," ",IF(VLOOKUP(MONTH(A33),ManualTable,3)=1,(IF(S33&lt;&gt;0,IF(Pricetype=1,(xSPRDOPT(J33,$E33,$CI33,0,($CD33+IF(Smile=TRUE(),VLOOKUP(MAX(-5,$H33-J33),Volsmile,2),0)),$CG33,$CH33,($A33-DateToday)+15,1,1))*(8*$HD33),8*$HD33),0)),0))</f>
        <v> </v>
      </c>
      <c r="AC33" s="318" t="str">
        <f aca="false">IF($A33="N/A"," ",IF(VLOOKUP(MONTH(A33),ManualTable,4)=1,(IF(T33&lt;&gt;0,(8*$HD33),0)),0))</f>
        <v> </v>
      </c>
      <c r="AD33" s="318" t="str">
        <f aca="false">IF($A33="N/A"," ",IF(VLOOKUP(MONTH(A33),ManualTable,5)=1,(IF(U33&lt;&gt;0,IF(Pricetype=1,(xSPRDOPT(L33,$E33,$CI33,0,($CD33+IF(Smile=TRUE(),VLOOKUP(MAX(-5,$H33-L33),Volsmile,2),0)),$CG33,$CH33,($A33-DateToday)+15,1,1))*(8*$HE33),8*$HE33),0)),0))</f>
        <v> </v>
      </c>
      <c r="AE33" s="318" t="str">
        <f aca="false">IF($A33="N/A"," ",IF(VLOOKUP(MONTH(A33),ManualTable,6)=1,(IF(V33&lt;&gt;0,IF(Pricetype=1,(xSPRDOPT(M33,$E33,$CI33,0,($CD33+IF(Smile=TRUE(),VLOOKUP(MAX(-5,$H33-M33),Volsmile,2),0)),$CG33,$CH33,($A33-DateToday)+15,1,1))*(8*$HE33),8*$HE33),0)),0))</f>
        <v> </v>
      </c>
      <c r="AF33" s="318" t="str">
        <f aca="false">IF($A33="N/A"," ",IF(VLOOKUP(MONTH(A33),ManualTable,7)=1,(IF(W33&lt;&gt;0,(8*$HE33),0)),0))</f>
        <v> </v>
      </c>
      <c r="AG33" s="318" t="str">
        <f aca="false">IF($A33="N/A"," ",IF(VLOOKUP(MONTH(A33),ManualTable,8)=1,(IF(X33&lt;&gt;0,IF(Pricetype=1,(xSPRDOPT(O33,$E33,$CI33,0,($CD33+IF(Smile=TRUE(),VLOOKUP(MAX(-5,$H33-O33),Volsmile,2),0)),$CG33,$CH33,($A33-DateToday)+15,1,1))*(8*$HF33),8*$HF33),0)),0))</f>
        <v> </v>
      </c>
      <c r="AH33" s="318" t="str">
        <f aca="false">IF($A33="N/A"," ",IF(VLOOKUP(MONTH(A33),ManualTable,9)=1,(IF(Y33&lt;&gt;0,IF(Pricetype=1,(xSPRDOPT(P33,$E33,$CI33,0,($CD33+IF(Smile=TRUE(),VLOOKUP(MAX(-5,$H33-P33),Volsmile,2),0)),$CG33,$CH33,($A33-DateToday)+15,1,1))*(8*$HF33),8*$HF33),0)),0))</f>
        <v> </v>
      </c>
      <c r="AI33" s="318" t="str">
        <f aca="false">IF($A33="N/A"," ",IF(VLOOKUP(MONTH(A33),ManualTable,10)=1,(IF(Z33&lt;&gt;0,(8*($HF33)),0)),0))</f>
        <v> </v>
      </c>
      <c r="AJ33" s="344" t="str">
        <f aca="false">IF($A33="N/A"," ",RANK(R33,$R$28:$Z$39))</f>
        <v> </v>
      </c>
      <c r="AK33" s="321" t="str">
        <f aca="false">IF($A33="N/A"," ",RANK(S33,$R$28:$Z$39))</f>
        <v> </v>
      </c>
      <c r="AL33" s="321" t="str">
        <f aca="false">IF($A33="N/A"," ",RANK(T33,$R$28:$Z$39))</f>
        <v> </v>
      </c>
      <c r="AM33" s="321" t="str">
        <f aca="false">IF($A33="N/A"," ",RANK(U33,$R$28:$Z$39))</f>
        <v> </v>
      </c>
      <c r="AN33" s="321" t="str">
        <f aca="false">IF($A33="N/A"," ",RANK(V33,$R$28:$Z$39))</f>
        <v> </v>
      </c>
      <c r="AO33" s="321" t="str">
        <f aca="false">IF($A33="N/A"," ",RANK(W33,$R$28:$Z$39))</f>
        <v> </v>
      </c>
      <c r="AP33" s="321" t="str">
        <f aca="false">IF($A33="N/A"," ",RANK(X33,$R$28:$Z$39))</f>
        <v> </v>
      </c>
      <c r="AQ33" s="321" t="str">
        <f aca="false">IF($A33="N/A"," ",RANK(Y33,$R$28:$Z$39))</f>
        <v> </v>
      </c>
      <c r="AR33" s="345" t="str">
        <f aca="false">IF($A33="N/A"," ",RANK(Z33,$R$28:$Z$39))</f>
        <v> </v>
      </c>
      <c r="AS33" s="323" t="str">
        <f aca="false">IF($A33="N/A"," ",IF(AJ33&lt;=$AR$2,AA33,0))</f>
        <v> </v>
      </c>
      <c r="AT33" s="325" t="str">
        <f aca="false">IF($A33="N/A"," ",IF(AK33&lt;=$AR$2,AB33,0))</f>
        <v> </v>
      </c>
      <c r="AU33" s="325" t="str">
        <f aca="false">IF($A33="N/A"," ",IF(AL33&lt;=$AR$2,AC33,0))</f>
        <v> </v>
      </c>
      <c r="AV33" s="325" t="str">
        <f aca="false">IF($A33="N/A"," ",IF(AM33&lt;=$AR$2,AD33,0))</f>
        <v> </v>
      </c>
      <c r="AW33" s="325" t="str">
        <f aca="false">IF($A33="N/A"," ",IF(AN33&lt;=$AR$2,AE33,0))</f>
        <v> </v>
      </c>
      <c r="AX33" s="325" t="str">
        <f aca="false">IF($A33="N/A"," ",IF(AO33&lt;=$AR$2,AF33,0))</f>
        <v> </v>
      </c>
      <c r="AY33" s="325" t="str">
        <f aca="false">IF($A33="N/A"," ",IF(AP33&lt;=$AR$2,AG33,0))</f>
        <v> </v>
      </c>
      <c r="AZ33" s="325" t="str">
        <f aca="false">IF($A33="N/A"," ",IF(AQ33&lt;=$AR$2,AH33,0))</f>
        <v> </v>
      </c>
      <c r="BA33" s="325" t="str">
        <f aca="false">IF($A33="N/A"," ",IF(AR33&lt;=$AR$2,AI33,0))</f>
        <v> </v>
      </c>
      <c r="BB33" s="345"/>
      <c r="BC33" s="326" t="str">
        <f aca="false">IF($A33="N/A"," ",IF(AND(AJ33=$AR$2+1,AS33=0),MIN($BB$39,AA33),0))</f>
        <v> </v>
      </c>
      <c r="BD33" s="346" t="str">
        <f aca="false">IF($A33="N/A"," ",IF(AND(AK33=$AR$2+1,AT33=0),MIN($BB$39,AB33),0))</f>
        <v> </v>
      </c>
      <c r="BE33" s="346" t="str">
        <f aca="false">IF($A33="N/A"," ",IF(AND(AL33=$AR$2+1,AU33=0),MIN($BB$39,AC33),0))</f>
        <v> </v>
      </c>
      <c r="BF33" s="346" t="str">
        <f aca="false">IF($A33="N/A"," ",IF(AND(AM33=$AR$2+1,AV33=0),MIN($BB$39,AD33),0))</f>
        <v> </v>
      </c>
      <c r="BG33" s="346" t="str">
        <f aca="false">IF($A33="N/A"," ",IF(AND(AN33=$AR$2+1,AW33=0),MIN($BB$39,AE33),0))</f>
        <v> </v>
      </c>
      <c r="BH33" s="346" t="str">
        <f aca="false">IF($A33="N/A"," ",IF(AND(AO33=$AR$2+1,AX33=0),MIN($BB$39,AF33),0))</f>
        <v> </v>
      </c>
      <c r="BI33" s="346" t="str">
        <f aca="false">IF($A33="N/A"," ",IF(AND(AP33=$AR$2+1,AY33=0),MIN($BB$39,AG33),0))</f>
        <v> </v>
      </c>
      <c r="BJ33" s="346" t="str">
        <f aca="false">IF($A33="N/A"," ",IF(AND(AQ33=$AR$2+1,AZ33=0),MIN($BB$39,AH33),0))</f>
        <v> </v>
      </c>
      <c r="BK33" s="346" t="str">
        <f aca="false">IF($A33="N/A"," ",IF(AND(AR33=$AR$2+1,BA33=0),MIN($BB$39,AI33),0))</f>
        <v> </v>
      </c>
      <c r="BL33" s="345"/>
      <c r="BM33" s="329" t="str">
        <f aca="false">IF($A33="N/A"," ",(IF(MONTH(A33)&gt;=4,IF(MONTH(A33)&lt;=10,Inputs!$F$13-Inputs!$G$13,Inputs!$F$14-Inputs!$G$14),Inputs!$F$14-Inputs!$G$14))*$CK33*Availability)</f>
        <v> </v>
      </c>
      <c r="BN33" s="330" t="str">
        <f aca="false">IF($A33="N/A"," ",(IF(AS33&gt;0,($BM33*(8*($HD33))*R33),0)+IF(BC33&gt;0,($BM33*((BC33/AA33)*8*$HD33)*R33),0)))</f>
        <v> </v>
      </c>
      <c r="BO33" s="330" t="str">
        <f aca="false">IF($A33="N/A"," ",(IF(AT33&gt;0,($BM33*(8*($HD33))*S33),0)+IF(BD33&gt;0,($BM33*((BD33/AB33)*8*$HD33)*S33),0)))</f>
        <v> </v>
      </c>
      <c r="BP33" s="330" t="str">
        <f aca="false">IF($A33="N/A"," ",(IF(AU33&gt;0,($BM33*(8*($HD33))*T33),0)+IF(BE33&gt;0,($BM33*((BE33))*T33),0)))</f>
        <v> </v>
      </c>
      <c r="BQ33" s="330" t="str">
        <f aca="false">IF($A33="N/A"," ",(IF(AV33&gt;0,($BM33*(8*($HE33))*U33),0)+IF(BF33&gt;0,($BM33*((BF33/AD33)*8*$HE33)*U33),0)))</f>
        <v> </v>
      </c>
      <c r="BR33" s="330" t="str">
        <f aca="false">IF($A33="N/A"," ",(IF(AW33&gt;0,($BM33*(8*($HE33))*V33),0)+IF(BG33&gt;0,($BM33*((BG33/AE33)*8*$HE33)*V33),0)))</f>
        <v> </v>
      </c>
      <c r="BS33" s="330" t="str">
        <f aca="false">IF($A33="N/A"," ",(IF(AX33&gt;0,($BM33*(8*($HE33))*W33),0)+IF(BH33&gt;0,($BM33*((BH33))*W33),0)))</f>
        <v> </v>
      </c>
      <c r="BT33" s="330" t="str">
        <f aca="false">IF($A33="N/A"," ",(IF(AY33&gt;0,($BM33*(8*($HF33))*X33),0)+IF(BI33&gt;0,($BM33*((BI33/AG33)*8*$HF33)*X33),0)))</f>
        <v> </v>
      </c>
      <c r="BU33" s="330" t="str">
        <f aca="false">IF($A33="N/A"," ",(IF(AZ33&gt;0,($BM33*(8*($HF33))*Y33),0)+IF(BJ33&gt;0,($BM33*((BJ33/AH33)*8*$HF33)*Y33),0)))</f>
        <v> </v>
      </c>
      <c r="BV33" s="330" t="str">
        <f aca="false">IF($A33="N/A"," ",(IF(BA33&gt;0,($BM33*(8*($HF33))*Z33),0)+IF(BK33&gt;0,($BM33*((BK33))*Z33),0)))</f>
        <v> </v>
      </c>
      <c r="BW33" s="330" t="str">
        <f aca="false">IF($A33="N/A"," ",SUM(BN33:BV33))</f>
        <v> </v>
      </c>
      <c r="BX33" s="331" t="str">
        <f aca="false">IF($A33="N/A"," ",(H33*(SUM(AS33:BA33)+SUM(BC33:BK33))*BM33))</f>
        <v> </v>
      </c>
      <c r="BY33" s="332" t="str">
        <f aca="false">IF($A33="N/A"," ",((C33*D33)*(SUM($AS33:$BA33)+SUM($BC33:$BK33))*$BM33))</f>
        <v> </v>
      </c>
      <c r="BZ33" s="332" t="str">
        <f aca="false">IF($A33="N/A"," ",(F33*(SUM($AS33:$BA33)+SUM($BC33:$BK33))*$BM33))</f>
        <v> </v>
      </c>
      <c r="CA33" s="333" t="str">
        <f aca="false">IF($A33="N/A"," ",(G33*(SUM($AS33:$BA33)+SUM($BC33:$BK33))*$BM33))</f>
        <v> </v>
      </c>
      <c r="CB33" s="334" t="str">
        <f aca="false">IF(A33="N/A"," ",(VLOOKUP(A33,PowerVolTable,(IF(BMO=2,7,IF(BMO=1,6,8))),FALSE())))</f>
        <v> </v>
      </c>
      <c r="CC33" s="334" t="str">
        <f aca="false">IF(A33="N/A"," ",(VLOOKUP(A33,IntraPowerVol,(IF(BMO=2,3,IF(BMO=1,2,4))),FALSE())*VLOOKUP(MONTH($A33),Volscale,2)))</f>
        <v> </v>
      </c>
      <c r="CD33" s="335" t="str">
        <f aca="false">IF($A33="N/A"," ",(IF(DateToday&gt;$A33,$CC33,((($CB33^2)*((($A33-1)-DateToday)/((EOMONTH($A33,0)+1)-DateToday-15)))+((($CC33)^2)*((15)/((EOMONTH($A33,0)+1)-DateToday-15))))^0.5)))</f>
        <v> </v>
      </c>
      <c r="CE33" s="334" t="str">
        <f aca="false">IF($A33="N/A"," ",(VLOOKUP($A33,GasVolTable,(IF(BMO=2,6,IF(BMO=1,7,5))),FALSE())))</f>
        <v> </v>
      </c>
      <c r="CF33" s="334" t="str">
        <f aca="false">IF($A33="N/A"," ",(VLOOKUP($A33,OmicronVol,(IF(BMO=2,3,IF(BMO=1,4,2))),FALSE())))</f>
        <v> </v>
      </c>
      <c r="CG33" s="335" t="str">
        <f aca="false">IF($A33="N/A"," ",(IF(DateToday&gt;$A33,$CF33,((($CE33^2)*((($A33-1)-DateToday)/((EOMONTH($A33,0)+1)-DateToday-15)))+((($CF33)^2)*((15)/((EOMONTH($A33,0)+1)-DateToday-15))))^0.5)))</f>
        <v> </v>
      </c>
      <c r="CH33" s="334" t="str">
        <f aca="false">IF($A33="N/A"," ",VLOOKUP($A33,CorrelationTable,2,FALSE()))</f>
        <v> </v>
      </c>
      <c r="CI33" s="336" t="str">
        <f aca="false">IF($A33="N/A"," ",F33+G33+(D33*('Pricing Inputs'!T66)))</f>
        <v> </v>
      </c>
      <c r="CJ33" s="334" t="str">
        <f aca="false">IF($A33="N/A"," ",IF(PV=1,0,'Pricing Inputs'!U66))</f>
        <v> </v>
      </c>
      <c r="CK33" s="337" t="str">
        <f aca="false">IF($A33="N/A"," ",(1+CJ33/2)^(-2*((EOMONTH(A33,0)+20)-DateToday)/365.25))</f>
        <v> </v>
      </c>
      <c r="CL33" s="338" t="str">
        <f aca="false">IF(A33="N/A"," ",IF(CC=2,(VLOOKUP(MONTH($A33),Hrtable,3))/1000,0))</f>
        <v> </v>
      </c>
      <c r="CM33" s="339" t="str">
        <f aca="false">IF(A33="N/A"," ",IF(CC=2,(CL33*C33)+F33,0))</f>
        <v> </v>
      </c>
      <c r="CN33" s="340" t="str">
        <f aca="false">IF($A33="N/A"," ",IF(CC=2,(VLOOKUP(A33,ScaledPrice,(IF(AND(Dayrun&gt;=1,Dayrun&lt;=6),2,4)))-((IF(R33&lt;&gt;0,$D33,$CL33)*$C33)+$F33+$G33)),0))</f>
        <v> </v>
      </c>
      <c r="CO33" s="340" t="str">
        <f aca="false">IF($A33="N/A"," ",IF(CC=2,(IF(AND(Dayrun&gt;=1,Dayrun&lt;=6),I33,(VLOOKUP(A33,ScaledPrice,2))*(2-(VLOOKUP(A33,ScaledPrice,3))))-((IF(S33&lt;&gt;0,$D33,$CL33)*$C33)+$F33+$G33)),0))</f>
        <v> </v>
      </c>
      <c r="CP33" s="340" t="str">
        <f aca="false">IF(A33="N/A"," ",IF(CC=2,(VLOOKUP(A33,ScaledPrice,9)-((IF(T33&lt;&gt;0,$D33,$CL33)*$C33)+$F33+$G33)),0))</f>
        <v> </v>
      </c>
      <c r="CQ33" s="340" t="str">
        <f aca="false">IF(A33="N/A"," ",IF(CC=2,(IF(OR(Dayrun=2,Dayrun=3,Dayrun=5,Dayrun=6,Dayrun=8,Dayrun=9),VLOOKUP(A33,ScaledPrice,IF(AND(Dayrun&gt;=2,Dayrun&lt;=6),5,6)),0)-((IF(U33&lt;&gt;0,$D33,$CL33)*$C33)+$F33+$G33)),0))</f>
        <v> </v>
      </c>
      <c r="CR33" s="340" t="str">
        <f aca="false">IF(A33="N/A"," ",IF(CC=2,(IF(OR(Dayrun=2,Dayrun=3,Dayrun=5,Dayrun=6,Dayrun=8,Dayrun=9),IF(AND(Dayrun&gt;=2,Dayrun&lt;=6),L33,(VLOOKUP(A33,ScaledPrice,5))*(2-(VLOOKUP(A33,ScaledPrice,3)))),0)-((IF(V33&lt;&gt;0,$D33,$CL33)*$C33)+$F33+$G33)),0))</f>
        <v> </v>
      </c>
      <c r="CS33" s="340" t="str">
        <f aca="false">IF(A33="N/A"," ",IF(CC=2,(VLOOKUP(A33,ScaledPrice,9)-((IF(W33&lt;&gt;0,$D33,$CL33)*$C33)+$F33+$G33)),0))</f>
        <v> </v>
      </c>
      <c r="CT33" s="340" t="str">
        <f aca="false">IF(A33="N/A"," ",IF(CC=2,(IF(OR(Dayrun=3,Dayrun=6,Dayrun=9),(VLOOKUP(A33,ScaledPrice,IF(AND(Dayrun&gt;=3,Dayrun&lt;=6),7,8))),0)-((IF(X33&lt;&gt;0,$D33,$CL33)*$C33)+$F33+$G33)),0))</f>
        <v> </v>
      </c>
      <c r="CU33" s="340" t="str">
        <f aca="false">IF(A33="N/A"," ",IF(CC=2,(IF(OR(Dayrun=3,Dayrun=6,Dayrun=9),IF(AND(Dayrun&gt;=3,Dayrun&lt;=6),O33,(VLOOKUP(A33,ScaledPrice,7))*(2-(VLOOKUP(A33,ScaledPrice,3)))),0)-((IF(Y33&lt;&gt;0,$D33,$CL33)*$C33)+$F33+$G33)),0))</f>
        <v> </v>
      </c>
      <c r="CV33" s="340" t="str">
        <f aca="false">IF(A33="N/A"," ",IF(CC=2,(VLOOKUP(A33,ScaledPrice,9)-((IF(Z33&lt;&gt;0,$D33,$CL33)*$C33)+$F33+$G33)),0))</f>
        <v> </v>
      </c>
      <c r="CW33" s="318" t="str">
        <f aca="false">IF($A33="N/A"," ",IF(0&lt;&gt;CN33,IF(CC=2,8*$HD33,0),0))</f>
        <v> </v>
      </c>
      <c r="CX33" s="318" t="str">
        <f aca="false">IF($A33="N/A"," ",IF(0&lt;&gt;CO33,IF(CC=2,8*$HD33,0),0))</f>
        <v> </v>
      </c>
      <c r="CY33" s="318" t="str">
        <f aca="false">IF($A33="N/A"," ",IF(0&lt;&gt;CP33,IF(CC=2,8*$HD33,0),0))</f>
        <v> </v>
      </c>
      <c r="CZ33" s="318" t="str">
        <f aca="false">IF($A33="N/A"," ",IF(0&lt;&gt;CQ33,IF(CC=2,8*$HE33,0),0))</f>
        <v> </v>
      </c>
      <c r="DA33" s="318" t="str">
        <f aca="false">IF($A33="N/A"," ",IF(0&lt;&gt;CR33,IF(CC=2,8*$HE33,0),0))</f>
        <v> </v>
      </c>
      <c r="DB33" s="318" t="str">
        <f aca="false">IF($A33="N/A"," ",IF(0&lt;&gt;CS33,IF(CC=2,8*$HE33,0),0))</f>
        <v> </v>
      </c>
      <c r="DC33" s="318" t="str">
        <f aca="false">IF($A33="N/A"," ",IF(0&lt;&gt;CT33,IF(CC=2,8*$HF33,0),0))</f>
        <v> </v>
      </c>
      <c r="DD33" s="318" t="str">
        <f aca="false">IF($A33="N/A"," ",IF(0&lt;&gt;CU33,IF(CC=2,8*$HF33,0),0))</f>
        <v> </v>
      </c>
      <c r="DE33" s="318" t="str">
        <f aca="false">IF($A33="N/A"," ",IF(0&lt;&gt;CV33,IF(CC=2,8*$HF33,0),0))</f>
        <v> </v>
      </c>
      <c r="DF33" s="341" t="str">
        <f aca="false">IF($A33="N/A"," ",IF(CC=2,(IF(MONTH(A33)&gt;=4,IF(MONTH(A33)&lt;=10,Inputs!$G$13,Inputs!$G$14),Inputs!$G$14))*$CK33,0))</f>
        <v> </v>
      </c>
      <c r="DG33" s="342" t="str">
        <f aca="false">IF($A33="N/A"," ",IF(CC=2,$DF33*CW33*CN33,0))</f>
        <v> </v>
      </c>
      <c r="DH33" s="342" t="str">
        <f aca="false">IF($A33="N/A"," ",IF(CC=2,$DF33*CX33*CO33,0))</f>
        <v> </v>
      </c>
      <c r="DI33" s="342" t="str">
        <f aca="false">IF($A33="N/A"," ",IF(CC=2,$DF33*CY33*CP33,0))</f>
        <v> </v>
      </c>
      <c r="DJ33" s="342" t="str">
        <f aca="false">IF($A33="N/A"," ",IF(CC=2,$DF33*CZ33*CQ33,0))</f>
        <v> </v>
      </c>
      <c r="DK33" s="342" t="str">
        <f aca="false">IF($A33="N/A"," ",IF(CC=2,$DF33*DA33*CR33,0))</f>
        <v> </v>
      </c>
      <c r="DL33" s="342" t="str">
        <f aca="false">IF($A33="N/A"," ",IF(CC=2,$DF33*DB33*CS33,0))</f>
        <v> </v>
      </c>
      <c r="DM33" s="342" t="str">
        <f aca="false">IF($A33="N/A"," ",IF(CC=2,$DF33*DC33*CT33,0))</f>
        <v> </v>
      </c>
      <c r="DN33" s="342" t="str">
        <f aca="false">IF($A33="N/A"," ",IF(CC=2,$DF33*DD33*CU33,0))</f>
        <v> </v>
      </c>
      <c r="DO33" s="342" t="str">
        <f aca="false">IF($A33="N/A"," ",IF(CC=2,$DF33*DE33*CV33,0))</f>
        <v> </v>
      </c>
      <c r="DP33" s="343" t="str">
        <f aca="false">IF($A33="N/A"," ",IF(CC=2,SUM(DG33:DO33),0))</f>
        <v> </v>
      </c>
      <c r="DQ33" s="0" t="str">
        <f aca="false">IF(A33="N/A"," ",Perstart)</f>
        <v> </v>
      </c>
      <c r="HD33" s="0" t="str">
        <f aca="false">IF($A33="N/A"," ",VLOOKUP($A33,NumberofDaysTable,2))</f>
        <v> </v>
      </c>
      <c r="HE33" s="0" t="str">
        <f aca="false">IF($A33="N/A"," ",VLOOKUP($A33,NumberofDaysTable,3))</f>
        <v> </v>
      </c>
      <c r="HF33" s="0" t="str">
        <f aca="false">IF($A33="N/A"," ",VLOOKUP($A33,NumberofDaysTable,4))</f>
        <v> </v>
      </c>
    </row>
    <row r="34" customFormat="false" ht="12.75" hidden="false" customHeight="false" outlineLevel="0" collapsed="false">
      <c r="A34" s="308" t="str">
        <f aca="false">IF(A33="N/A","N/A",IF(EDATE(A33,1)&gt;Inputs!$K$3,"N/A",EDATE(A33,1)))</f>
        <v>N/A</v>
      </c>
      <c r="B34" s="309" t="str">
        <f aca="false">IF(A34="N/A"," ",YEAR(A34))</f>
        <v> </v>
      </c>
      <c r="C34" s="310" t="str">
        <f aca="false">IF(A34="N/A"," ",VLOOKUP(A34,ScaledPrice,10))</f>
        <v> </v>
      </c>
      <c r="D34" s="311" t="str">
        <f aca="false">IF(A34="N/A"," ",(VLOOKUP(MONTH($A34),Hrtable,2))/1000)</f>
        <v> </v>
      </c>
      <c r="E34" s="312" t="str">
        <f aca="false">IF($A34="N/A"," ",(C34-'Pricing Inputs'!T67)*D34)</f>
        <v> </v>
      </c>
      <c r="F34" s="313" t="str">
        <f aca="false">IF(A34="N/A"," ",$F22*(1+VOMesc))</f>
        <v> </v>
      </c>
      <c r="G34" s="313" t="str">
        <f aca="false">IF(A34="N/A"," ",Perstart/IF(AND(Dayrun&gt;=4,Dayrun&lt;=6),16,IF(AND(Dayrun&gt;=7,Dayrun&lt;=9),8,24))/(BM34/CK34))</f>
        <v> </v>
      </c>
      <c r="H34" s="314" t="str">
        <f aca="false">IF(A34="N/A"," ",(C34*D34)+F34+G34)</f>
        <v> </v>
      </c>
      <c r="I34" s="315" t="str">
        <f aca="false">VLOOKUP(A34,ScaledPrice,(IF(AND(Dayrun&gt;=1,Dayrun&lt;=6),2,4)))</f>
        <v> </v>
      </c>
      <c r="J34" s="315" t="str">
        <f aca="false">IF(A34="N/A"," ",IF(AND(Dayrun&gt;=1,Dayrun&lt;=6),I34,(VLOOKUP(A34,ScaledPrice,2))*(2-(VLOOKUP(A34,ScaledPrice,3)))))</f>
        <v> </v>
      </c>
      <c r="K34" s="315" t="str">
        <f aca="false">IF(A34="N/A"," ",IF(AND(Dayrun&gt;=1,Dayrun&lt;=3),VLOOKUP(A34,ScaledPrice,9),0))</f>
        <v> </v>
      </c>
      <c r="L34" s="315" t="str">
        <f aca="false">IF(A34="N/A"," ",IF(OR(Dayrun=2,Dayrun=3,Dayrun=5,Dayrun=6,Dayrun=8,Dayrun=9),VLOOKUP(A34,ScaledPrice,IF(AND(Dayrun&gt;=2,Dayrun&lt;=6),5,6)),0))</f>
        <v> </v>
      </c>
      <c r="M34" s="315" t="str">
        <f aca="false">IF(A34="N/A"," ",IF(OR(Dayrun=2,Dayrun=3,Dayrun=5,Dayrun=6,Dayrun=8,Dayrun=9),IF(AND(Dayrun&gt;=2,Dayrun&lt;=6),L34,(VLOOKUP(A34,ScaledPrice,5))*(2-(VLOOKUP(A34,ScaledPrice,3)))),0))</f>
        <v> </v>
      </c>
      <c r="N34" s="315" t="str">
        <f aca="false">IF(A34="N/A"," ",IF(AND(Dayrun&gt;1,Dayrun&lt;=3),VLOOKUP(A34,ScaledPrice,9),0))</f>
        <v> </v>
      </c>
      <c r="O34" s="315" t="str">
        <f aca="false">IF(A34="N/A"," ",IF(OR(Dayrun=3,Dayrun=6,Dayrun=9),(VLOOKUP(A34,ScaledPrice,IF(AND(Dayrun&gt;=3,Dayrun&lt;=6),7,8))),0))</f>
        <v> </v>
      </c>
      <c r="P34" s="315" t="str">
        <f aca="false">IF(A34="N/A"," ",IF(OR(Dayrun=3,Dayrun=6,Dayrun=9),IF(AND(Dayrun&gt;=3,Dayrun&lt;=6),O34,(VLOOKUP(A34,ScaledPrice,7))*(2-(VLOOKUP(A34,ScaledPrice,3)))),0))</f>
        <v> </v>
      </c>
      <c r="Q34" s="315" t="str">
        <f aca="false">IF(A34="N/A"," ",IF(AND(Dayrun&gt;2,Dayrun&lt;=3),VLOOKUP(A34,ScaledPrice,9),0))</f>
        <v> </v>
      </c>
      <c r="R34" s="316" t="str">
        <f aca="false">IF($A34="N/A"," ",IF(Pricetype=2,MAX(I34-$H34,0),IF(Pricetype=1,(xSPRDOPT(I34,$E34,$CI34,0,($CD34+IF(Smile=TRUE(),VLOOKUP(MAX(-5,$H34-I34),Volsmile,2),0)),$CG34,$CH34,($A34-DateToday)+15,1,0)),I34-$H34)))</f>
        <v> </v>
      </c>
      <c r="S34" s="316" t="str">
        <f aca="false">IF($A34="N/A"," ",IF(Pricetype=2,MAX(J34-$H34,0),IF(Pricetype=1,(xSPRDOPT(J34,$E34,$CI34,0,($CD34+IF(Smile=TRUE(),VLOOKUP(MAX(-5,$H34-J34),Volsmile,2),0)),$CG34,$CH34,($A34-DateToday)+15,1,0)),J34-$H34)))</f>
        <v> </v>
      </c>
      <c r="T34" s="317" t="str">
        <f aca="false">IF($A34="N/A"," ",(IF(Pricetype=2,IF((K34-$H34)&lt;=0,0,(K34-$H34)),IF(K34&lt;&gt;0,(K34-$H34),0))))</f>
        <v> </v>
      </c>
      <c r="U34" s="316" t="str">
        <f aca="false">IF($A34="N/A"," ",IF(Pricetype=2,MAX(L34-$H34,0),IF(L34&lt;&gt;0,IF(Pricetype=1,(xSPRDOPT(L34,$E34,$CI34,0,($CD34+IF(Smile=TRUE(),VLOOKUP(MAX(-5,$H34-L34),Volsmile,2),0)),$CG34,$CH34,($A34-DateToday)+15,1,0)),L34-$H34),0)))</f>
        <v> </v>
      </c>
      <c r="V34" s="316" t="str">
        <f aca="false">IF($A34="N/A"," ",IF(Pricetype=2,MAX(M34-$H34,0),IF(M34&lt;&gt;0,IF(Pricetype=1,(xSPRDOPT(M34,$E34,$CI34,0,($CD34+IF(Smile=TRUE(),VLOOKUP(MAX(-5,$H34-M34),Volsmile,2),0)),$CG34,$CH34,($A34-DateToday)+15,1,0)),M34-$H34),0)))</f>
        <v> </v>
      </c>
      <c r="W34" s="317" t="str">
        <f aca="false">IF($A34="N/A"," ",(IF(Pricetype=2,IF((N34-$H34)&lt;=0,0,(N34-$H34)),IF(N34&lt;&gt;0,(N34-$H34),0))))</f>
        <v> </v>
      </c>
      <c r="X34" s="316" t="str">
        <f aca="false">IF($A34="N/A"," ",IF(Pricetype=2,MAX(O34-$H34,0),IF(O34&lt;&gt;0,IF(Pricetype=1,(xSPRDOPT(O34,$E34,$CI34,0,($CD34+IF(Smile=TRUE(),VLOOKUP(MAX(-5,$H34-O34),Volsmile,2),0)),$CG34,$CH34,($A34-DateToday)+15,1,0)),O34-$H34),0)))</f>
        <v> </v>
      </c>
      <c r="Y34" s="316" t="str">
        <f aca="false">IF($A34="N/A"," ",IF(Pricetype=2,MAX(P34-$H34,0),IF(P34&lt;&gt;0,IF(Pricetype=1,(xSPRDOPT(P34,$E34,$CI34,0,($CD34+IF(Smile=TRUE(),VLOOKUP(MAX(-5,$H34-P34),Volsmile,2),0)),$CG34,$CH34,($A34-DateToday)+15,1,0)),P34-$H34),0)))</f>
        <v> </v>
      </c>
      <c r="Z34" s="317" t="str">
        <f aca="false">IF($A34="N/A"," ",(IF(Pricetype=2,IF((Q34-$H34)&lt;=0,0,(Q34-$H34)),IF(Q34&lt;&gt;0,(Q34-$H34),0))))</f>
        <v> </v>
      </c>
      <c r="AA34" s="318" t="str">
        <f aca="false">IF($A34="N/A"," ",IF(VLOOKUP(MONTH(A34),ManualTable,2)=1,(IF(0&lt;&gt;R34,IF(Pricetype=1,(xSPRDOPT(I34,$E34,$CI34,0,($CD34+IF(Smile=TRUE(),VLOOKUP(MAX(-5,$H34-I34),Volsmile,2),0)),$CG34,$CH34,($A34-DateToday)+15,1,1))*(8*$HD34),8*$HD34),0)),0))</f>
        <v> </v>
      </c>
      <c r="AB34" s="318" t="str">
        <f aca="false">IF($A34="N/A"," ",IF(VLOOKUP(MONTH(A34),ManualTable,3)=1,(IF(S34&lt;&gt;0,IF(Pricetype=1,(xSPRDOPT(J34,$E34,$CI34,0,($CD34+IF(Smile=TRUE(),VLOOKUP(MAX(-5,$H34-J34),Volsmile,2),0)),$CG34,$CH34,($A34-DateToday)+15,1,1))*(8*$HD34),8*$HD34),0)),0))</f>
        <v> </v>
      </c>
      <c r="AC34" s="318" t="str">
        <f aca="false">IF($A34="N/A"," ",IF(VLOOKUP(MONTH(A34),ManualTable,4)=1,(IF(T34&lt;&gt;0,(8*$HD34),0)),0))</f>
        <v> </v>
      </c>
      <c r="AD34" s="318" t="str">
        <f aca="false">IF($A34="N/A"," ",IF(VLOOKUP(MONTH(A34),ManualTable,5)=1,(IF(U34&lt;&gt;0,IF(Pricetype=1,(xSPRDOPT(L34,$E34,$CI34,0,($CD34+IF(Smile=TRUE(),VLOOKUP(MAX(-5,$H34-L34),Volsmile,2),0)),$CG34,$CH34,($A34-DateToday)+15,1,1))*(8*$HE34),8*$HE34),0)),0))</f>
        <v> </v>
      </c>
      <c r="AE34" s="318" t="str">
        <f aca="false">IF($A34="N/A"," ",IF(VLOOKUP(MONTH(A34),ManualTable,6)=1,(IF(V34&lt;&gt;0,IF(Pricetype=1,(xSPRDOPT(M34,$E34,$CI34,0,($CD34+IF(Smile=TRUE(),VLOOKUP(MAX(-5,$H34-M34),Volsmile,2),0)),$CG34,$CH34,($A34-DateToday)+15,1,1))*(8*$HE34),8*$HE34),0)),0))</f>
        <v> </v>
      </c>
      <c r="AF34" s="318" t="str">
        <f aca="false">IF($A34="N/A"," ",IF(VLOOKUP(MONTH(A34),ManualTable,7)=1,(IF(W34&lt;&gt;0,(8*$HE34),0)),0))</f>
        <v> </v>
      </c>
      <c r="AG34" s="318" t="str">
        <f aca="false">IF($A34="N/A"," ",IF(VLOOKUP(MONTH(A34),ManualTable,8)=1,(IF(X34&lt;&gt;0,IF(Pricetype=1,(xSPRDOPT(O34,$E34,$CI34,0,($CD34+IF(Smile=TRUE(),VLOOKUP(MAX(-5,$H34-O34),Volsmile,2),0)),$CG34,$CH34,($A34-DateToday)+15,1,1))*(8*$HF34),8*$HF34),0)),0))</f>
        <v> </v>
      </c>
      <c r="AH34" s="318" t="str">
        <f aca="false">IF($A34="N/A"," ",IF(VLOOKUP(MONTH(A34),ManualTable,9)=1,(IF(Y34&lt;&gt;0,IF(Pricetype=1,(xSPRDOPT(P34,$E34,$CI34,0,($CD34+IF(Smile=TRUE(),VLOOKUP(MAX(-5,$H34-P34),Volsmile,2),0)),$CG34,$CH34,($A34-DateToday)+15,1,1))*(8*$HF34),8*$HF34),0)),0))</f>
        <v> </v>
      </c>
      <c r="AI34" s="318" t="str">
        <f aca="false">IF($A34="N/A"," ",IF(VLOOKUP(MONTH(A34),ManualTable,10)=1,(IF(Z34&lt;&gt;0,(8*($HF34)),0)),0))</f>
        <v> </v>
      </c>
      <c r="AJ34" s="344" t="str">
        <f aca="false">IF($A34="N/A"," ",RANK(R34,$R$28:$Z$39))</f>
        <v> </v>
      </c>
      <c r="AK34" s="321" t="str">
        <f aca="false">IF($A34="N/A"," ",RANK(S34,$R$28:$Z$39))</f>
        <v> </v>
      </c>
      <c r="AL34" s="321" t="str">
        <f aca="false">IF($A34="N/A"," ",RANK(T34,$R$28:$Z$39))</f>
        <v> </v>
      </c>
      <c r="AM34" s="321" t="str">
        <f aca="false">IF($A34="N/A"," ",RANK(U34,$R$28:$Z$39))</f>
        <v> </v>
      </c>
      <c r="AN34" s="321" t="str">
        <f aca="false">IF($A34="N/A"," ",RANK(V34,$R$28:$Z$39))</f>
        <v> </v>
      </c>
      <c r="AO34" s="321" t="str">
        <f aca="false">IF($A34="N/A"," ",RANK(W34,$R$28:$Z$39))</f>
        <v> </v>
      </c>
      <c r="AP34" s="321" t="str">
        <f aca="false">IF($A34="N/A"," ",RANK(X34,$R$28:$Z$39))</f>
        <v> </v>
      </c>
      <c r="AQ34" s="321" t="str">
        <f aca="false">IF($A34="N/A"," ",RANK(Y34,$R$28:$Z$39))</f>
        <v> </v>
      </c>
      <c r="AR34" s="345" t="str">
        <f aca="false">IF($A34="N/A"," ",RANK(Z34,$R$28:$Z$39))</f>
        <v> </v>
      </c>
      <c r="AS34" s="323" t="str">
        <f aca="false">IF($A34="N/A"," ",IF(AJ34&lt;=$AR$2,AA34,0))</f>
        <v> </v>
      </c>
      <c r="AT34" s="325" t="str">
        <f aca="false">IF($A34="N/A"," ",IF(AK34&lt;=$AR$2,AB34,0))</f>
        <v> </v>
      </c>
      <c r="AU34" s="325" t="str">
        <f aca="false">IF($A34="N/A"," ",IF(AL34&lt;=$AR$2,AC34,0))</f>
        <v> </v>
      </c>
      <c r="AV34" s="325" t="str">
        <f aca="false">IF($A34="N/A"," ",IF(AM34&lt;=$AR$2,AD34,0))</f>
        <v> </v>
      </c>
      <c r="AW34" s="325" t="str">
        <f aca="false">IF($A34="N/A"," ",IF(AN34&lt;=$AR$2,AE34,0))</f>
        <v> </v>
      </c>
      <c r="AX34" s="325" t="str">
        <f aca="false">IF($A34="N/A"," ",IF(AO34&lt;=$AR$2,AF34,0))</f>
        <v> </v>
      </c>
      <c r="AY34" s="325" t="str">
        <f aca="false">IF($A34="N/A"," ",IF(AP34&lt;=$AR$2,AG34,0))</f>
        <v> </v>
      </c>
      <c r="AZ34" s="325" t="str">
        <f aca="false">IF($A34="N/A"," ",IF(AQ34&lt;=$AR$2,AH34,0))</f>
        <v> </v>
      </c>
      <c r="BA34" s="325" t="str">
        <f aca="false">IF($A34="N/A"," ",IF(AR34&lt;=$AR$2,AI34,0))</f>
        <v> </v>
      </c>
      <c r="BB34" s="345"/>
      <c r="BC34" s="326" t="str">
        <f aca="false">IF($A34="N/A"," ",IF(AND(AJ34=$AR$2+1,AS34=0),MIN($BB$39,AA34),0))</f>
        <v> </v>
      </c>
      <c r="BD34" s="346" t="str">
        <f aca="false">IF($A34="N/A"," ",IF(AND(AK34=$AR$2+1,AT34=0),MIN($BB$39,AB34),0))</f>
        <v> </v>
      </c>
      <c r="BE34" s="346" t="str">
        <f aca="false">IF($A34="N/A"," ",IF(AND(AL34=$AR$2+1,AU34=0),MIN($BB$39,AC34),0))</f>
        <v> </v>
      </c>
      <c r="BF34" s="346" t="str">
        <f aca="false">IF($A34="N/A"," ",IF(AND(AM34=$AR$2+1,AV34=0),MIN($BB$39,AD34),0))</f>
        <v> </v>
      </c>
      <c r="BG34" s="346" t="str">
        <f aca="false">IF($A34="N/A"," ",IF(AND(AN34=$AR$2+1,AW34=0),MIN($BB$39,AE34),0))</f>
        <v> </v>
      </c>
      <c r="BH34" s="346" t="str">
        <f aca="false">IF($A34="N/A"," ",IF(AND(AO34=$AR$2+1,AX34=0),MIN($BB$39,AF34),0))</f>
        <v> </v>
      </c>
      <c r="BI34" s="346" t="str">
        <f aca="false">IF($A34="N/A"," ",IF(AND(AP34=$AR$2+1,AY34=0),MIN($BB$39,AG34),0))</f>
        <v> </v>
      </c>
      <c r="BJ34" s="346" t="str">
        <f aca="false">IF($A34="N/A"," ",IF(AND(AQ34=$AR$2+1,AZ34=0),MIN($BB$39,AH34),0))</f>
        <v> </v>
      </c>
      <c r="BK34" s="346" t="str">
        <f aca="false">IF($A34="N/A"," ",IF(AND(AR34=$AR$2+1,BA34=0),MIN($BB$39,AI34),0))</f>
        <v> </v>
      </c>
      <c r="BL34" s="345"/>
      <c r="BM34" s="329" t="str">
        <f aca="false">IF($A34="N/A"," ",(IF(MONTH(A34)&gt;=4,IF(MONTH(A34)&lt;=10,Inputs!$F$13-Inputs!$G$13,Inputs!$F$14-Inputs!$G$14),Inputs!$F$14-Inputs!$G$14))*$CK34*Availability)</f>
        <v> </v>
      </c>
      <c r="BN34" s="330" t="str">
        <f aca="false">IF($A34="N/A"," ",(IF(AS34&gt;0,($BM34*(8*($HD34))*R34),0)+IF(BC34&gt;0,($BM34*((BC34/AA34)*8*$HD34)*R34),0)))</f>
        <v> </v>
      </c>
      <c r="BO34" s="330" t="str">
        <f aca="false">IF($A34="N/A"," ",(IF(AT34&gt;0,($BM34*(8*($HD34))*S34),0)+IF(BD34&gt;0,($BM34*((BD34/AB34)*8*$HD34)*S34),0)))</f>
        <v> </v>
      </c>
      <c r="BP34" s="330" t="str">
        <f aca="false">IF($A34="N/A"," ",(IF(AU34&gt;0,($BM34*(8*($HD34))*T34),0)+IF(BE34&gt;0,($BM34*((BE34))*T34),0)))</f>
        <v> </v>
      </c>
      <c r="BQ34" s="330" t="str">
        <f aca="false">IF($A34="N/A"," ",(IF(AV34&gt;0,($BM34*(8*($HE34))*U34),0)+IF(BF34&gt;0,($BM34*((BF34/AD34)*8*$HE34)*U34),0)))</f>
        <v> </v>
      </c>
      <c r="BR34" s="330" t="str">
        <f aca="false">IF($A34="N/A"," ",(IF(AW34&gt;0,($BM34*(8*($HE34))*V34),0)+IF(BG34&gt;0,($BM34*((BG34/AE34)*8*$HE34)*V34),0)))</f>
        <v> </v>
      </c>
      <c r="BS34" s="330" t="str">
        <f aca="false">IF($A34="N/A"," ",(IF(AX34&gt;0,($BM34*(8*($HE34))*W34),0)+IF(BH34&gt;0,($BM34*((BH34))*W34),0)))</f>
        <v> </v>
      </c>
      <c r="BT34" s="330" t="str">
        <f aca="false">IF($A34="N/A"," ",(IF(AY34&gt;0,($BM34*(8*($HF34))*X34),0)+IF(BI34&gt;0,($BM34*((BI34/AG34)*8*$HF34)*X34),0)))</f>
        <v> </v>
      </c>
      <c r="BU34" s="330" t="str">
        <f aca="false">IF($A34="N/A"," ",(IF(AZ34&gt;0,($BM34*(8*($HF34))*Y34),0)+IF(BJ34&gt;0,($BM34*((BJ34/AH34)*8*$HF34)*Y34),0)))</f>
        <v> </v>
      </c>
      <c r="BV34" s="330" t="str">
        <f aca="false">IF($A34="N/A"," ",(IF(BA34&gt;0,($BM34*(8*($HF34))*Z34),0)+IF(BK34&gt;0,($BM34*((BK34))*Z34),0)))</f>
        <v> </v>
      </c>
      <c r="BW34" s="330" t="str">
        <f aca="false">IF($A34="N/A"," ",SUM(BN34:BV34))</f>
        <v> </v>
      </c>
      <c r="BX34" s="331" t="str">
        <f aca="false">IF($A34="N/A"," ",(H34*(SUM(AS34:BA34)+SUM(BC34:BK34))*BM34))</f>
        <v> </v>
      </c>
      <c r="BY34" s="332" t="str">
        <f aca="false">IF($A34="N/A"," ",((C34*D34)*(SUM($AS34:$BA34)+SUM($BC34:$BK34))*$BM34))</f>
        <v> </v>
      </c>
      <c r="BZ34" s="332" t="str">
        <f aca="false">IF($A34="N/A"," ",(F34*(SUM($AS34:$BA34)+SUM($BC34:$BK34))*$BM34))</f>
        <v> </v>
      </c>
      <c r="CA34" s="333" t="str">
        <f aca="false">IF($A34="N/A"," ",(G34*(SUM($AS34:$BA34)+SUM($BC34:$BK34))*$BM34))</f>
        <v> </v>
      </c>
      <c r="CB34" s="334" t="str">
        <f aca="false">IF(A34="N/A"," ",(VLOOKUP(A34,PowerVolTable,(IF(BMO=2,7,IF(BMO=1,6,8))),FALSE())))</f>
        <v> </v>
      </c>
      <c r="CC34" s="334" t="str">
        <f aca="false">IF(A34="N/A"," ",(VLOOKUP(A34,IntraPowerVol,(IF(BMO=2,3,IF(BMO=1,2,4))),FALSE())*VLOOKUP(MONTH($A34),Volscale,2)))</f>
        <v> </v>
      </c>
      <c r="CD34" s="335" t="str">
        <f aca="false">IF($A34="N/A"," ",(IF(DateToday&gt;$A34,$CC34,((($CB34^2)*((($A34-1)-DateToday)/((EOMONTH($A34,0)+1)-DateToday-15)))+((($CC34)^2)*((15)/((EOMONTH($A34,0)+1)-DateToday-15))))^0.5)))</f>
        <v> </v>
      </c>
      <c r="CE34" s="334" t="str">
        <f aca="false">IF($A34="N/A"," ",(VLOOKUP($A34,GasVolTable,(IF(BMO=2,6,IF(BMO=1,7,5))),FALSE())))</f>
        <v> </v>
      </c>
      <c r="CF34" s="334" t="str">
        <f aca="false">IF($A34="N/A"," ",(VLOOKUP($A34,OmicronVol,(IF(BMO=2,3,IF(BMO=1,4,2))),FALSE())))</f>
        <v> </v>
      </c>
      <c r="CG34" s="335" t="str">
        <f aca="false">IF($A34="N/A"," ",(IF(DateToday&gt;$A34,$CF34,((($CE34^2)*((($A34-1)-DateToday)/((EOMONTH($A34,0)+1)-DateToday-15)))+((($CF34)^2)*((15)/((EOMONTH($A34,0)+1)-DateToday-15))))^0.5)))</f>
        <v> </v>
      </c>
      <c r="CH34" s="334" t="str">
        <f aca="false">IF($A34="N/A"," ",VLOOKUP($A34,CorrelationTable,2,FALSE()))</f>
        <v> </v>
      </c>
      <c r="CI34" s="336" t="str">
        <f aca="false">IF($A34="N/A"," ",F34+G34+(D34*('Pricing Inputs'!T67)))</f>
        <v> </v>
      </c>
      <c r="CJ34" s="334" t="str">
        <f aca="false">IF($A34="N/A"," ",IF(PV=1,0,'Pricing Inputs'!U67))</f>
        <v> </v>
      </c>
      <c r="CK34" s="337" t="str">
        <f aca="false">IF($A34="N/A"," ",(1+CJ34/2)^(-2*((EOMONTH(A34,0)+20)-DateToday)/365.25))</f>
        <v> </v>
      </c>
      <c r="CL34" s="338" t="str">
        <f aca="false">IF(A34="N/A"," ",IF(CC=2,(VLOOKUP(MONTH($A34),Hrtable,3))/1000,0))</f>
        <v> </v>
      </c>
      <c r="CM34" s="339" t="str">
        <f aca="false">IF(A34="N/A"," ",IF(CC=2,(CL34*C34)+F34,0))</f>
        <v> </v>
      </c>
      <c r="CN34" s="340" t="str">
        <f aca="false">IF($A34="N/A"," ",IF(CC=2,(VLOOKUP(A34,ScaledPrice,(IF(AND(Dayrun&gt;=1,Dayrun&lt;=6),2,4)))-((IF(R34&lt;&gt;0,$D34,$CL34)*$C34)+$F34+$G34)),0))</f>
        <v> </v>
      </c>
      <c r="CO34" s="340" t="str">
        <f aca="false">IF($A34="N/A"," ",IF(CC=2,(IF(AND(Dayrun&gt;=1,Dayrun&lt;=6),I34,(VLOOKUP(A34,ScaledPrice,2))*(2-(VLOOKUP(A34,ScaledPrice,3))))-((IF(S34&lt;&gt;0,$D34,$CL34)*$C34)+$F34+$G34)),0))</f>
        <v> </v>
      </c>
      <c r="CP34" s="340" t="str">
        <f aca="false">IF(A34="N/A"," ",IF(CC=2,(VLOOKUP(A34,ScaledPrice,9)-((IF(T34&lt;&gt;0,$D34,$CL34)*$C34)+$F34+$G34)),0))</f>
        <v> </v>
      </c>
      <c r="CQ34" s="340" t="str">
        <f aca="false">IF(A34="N/A"," ",IF(CC=2,(IF(OR(Dayrun=2,Dayrun=3,Dayrun=5,Dayrun=6,Dayrun=8,Dayrun=9),VLOOKUP(A34,ScaledPrice,IF(AND(Dayrun&gt;=2,Dayrun&lt;=6),5,6)),0)-((IF(U34&lt;&gt;0,$D34,$CL34)*$C34)+$F34+$G34)),0))</f>
        <v> </v>
      </c>
      <c r="CR34" s="340" t="str">
        <f aca="false">IF(A34="N/A"," ",IF(CC=2,(IF(OR(Dayrun=2,Dayrun=3,Dayrun=5,Dayrun=6,Dayrun=8,Dayrun=9),IF(AND(Dayrun&gt;=2,Dayrun&lt;=6),L34,(VLOOKUP(A34,ScaledPrice,5))*(2-(VLOOKUP(A34,ScaledPrice,3)))),0)-((IF(V34&lt;&gt;0,$D34,$CL34)*$C34)+$F34+$G34)),0))</f>
        <v> </v>
      </c>
      <c r="CS34" s="340" t="str">
        <f aca="false">IF(A34="N/A"," ",IF(CC=2,(VLOOKUP(A34,ScaledPrice,9)-((IF(W34&lt;&gt;0,$D34,$CL34)*$C34)+$F34+$G34)),0))</f>
        <v> </v>
      </c>
      <c r="CT34" s="340" t="str">
        <f aca="false">IF(A34="N/A"," ",IF(CC=2,(IF(OR(Dayrun=3,Dayrun=6,Dayrun=9),(VLOOKUP(A34,ScaledPrice,IF(AND(Dayrun&gt;=3,Dayrun&lt;=6),7,8))),0)-((IF(X34&lt;&gt;0,$D34,$CL34)*$C34)+$F34+$G34)),0))</f>
        <v> </v>
      </c>
      <c r="CU34" s="340" t="str">
        <f aca="false">IF(A34="N/A"," ",IF(CC=2,(IF(OR(Dayrun=3,Dayrun=6,Dayrun=9),IF(AND(Dayrun&gt;=3,Dayrun&lt;=6),O34,(VLOOKUP(A34,ScaledPrice,7))*(2-(VLOOKUP(A34,ScaledPrice,3)))),0)-((IF(Y34&lt;&gt;0,$D34,$CL34)*$C34)+$F34+$G34)),0))</f>
        <v> </v>
      </c>
      <c r="CV34" s="340" t="str">
        <f aca="false">IF(A34="N/A"," ",IF(CC=2,(VLOOKUP(A34,ScaledPrice,9)-((IF(Z34&lt;&gt;0,$D34,$CL34)*$C34)+$F34+$G34)),0))</f>
        <v> </v>
      </c>
      <c r="CW34" s="318" t="str">
        <f aca="false">IF($A34="N/A"," ",IF(0&lt;&gt;CN34,IF(CC=2,8*$HD34,0),0))</f>
        <v> </v>
      </c>
      <c r="CX34" s="318" t="str">
        <f aca="false">IF($A34="N/A"," ",IF(0&lt;&gt;CO34,IF(CC=2,8*$HD34,0),0))</f>
        <v> </v>
      </c>
      <c r="CY34" s="318" t="str">
        <f aca="false">IF($A34="N/A"," ",IF(0&lt;&gt;CP34,IF(CC=2,8*$HD34,0),0))</f>
        <v> </v>
      </c>
      <c r="CZ34" s="318" t="str">
        <f aca="false">IF($A34="N/A"," ",IF(0&lt;&gt;CQ34,IF(CC=2,8*$HE34,0),0))</f>
        <v> </v>
      </c>
      <c r="DA34" s="318" t="str">
        <f aca="false">IF($A34="N/A"," ",IF(0&lt;&gt;CR34,IF(CC=2,8*$HE34,0),0))</f>
        <v> </v>
      </c>
      <c r="DB34" s="318" t="str">
        <f aca="false">IF($A34="N/A"," ",IF(0&lt;&gt;CS34,IF(CC=2,8*$HE34,0),0))</f>
        <v> </v>
      </c>
      <c r="DC34" s="318" t="str">
        <f aca="false">IF($A34="N/A"," ",IF(0&lt;&gt;CT34,IF(CC=2,8*$HF34,0),0))</f>
        <v> </v>
      </c>
      <c r="DD34" s="318" t="str">
        <f aca="false">IF($A34="N/A"," ",IF(0&lt;&gt;CU34,IF(CC=2,8*$HF34,0),0))</f>
        <v> </v>
      </c>
      <c r="DE34" s="318" t="str">
        <f aca="false">IF($A34="N/A"," ",IF(0&lt;&gt;CV34,IF(CC=2,8*$HF34,0),0))</f>
        <v> </v>
      </c>
      <c r="DF34" s="341" t="str">
        <f aca="false">IF($A34="N/A"," ",IF(CC=2,(IF(MONTH(A34)&gt;=4,IF(MONTH(A34)&lt;=10,Inputs!$G$13,Inputs!$G$14),Inputs!$G$14))*$CK34,0))</f>
        <v> </v>
      </c>
      <c r="DG34" s="342" t="str">
        <f aca="false">IF($A34="N/A"," ",IF(CC=2,$DF34*CW34*CN34,0))</f>
        <v> </v>
      </c>
      <c r="DH34" s="342" t="str">
        <f aca="false">IF($A34="N/A"," ",IF(CC=2,$DF34*CX34*CO34,0))</f>
        <v> </v>
      </c>
      <c r="DI34" s="342" t="str">
        <f aca="false">IF($A34="N/A"," ",IF(CC=2,$DF34*CY34*CP34,0))</f>
        <v> </v>
      </c>
      <c r="DJ34" s="342" t="str">
        <f aca="false">IF($A34="N/A"," ",IF(CC=2,$DF34*CZ34*CQ34,0))</f>
        <v> </v>
      </c>
      <c r="DK34" s="342" t="str">
        <f aca="false">IF($A34="N/A"," ",IF(CC=2,$DF34*DA34*CR34,0))</f>
        <v> </v>
      </c>
      <c r="DL34" s="342" t="str">
        <f aca="false">IF($A34="N/A"," ",IF(CC=2,$DF34*DB34*CS34,0))</f>
        <v> </v>
      </c>
      <c r="DM34" s="342" t="str">
        <f aca="false">IF($A34="N/A"," ",IF(CC=2,$DF34*DC34*CT34,0))</f>
        <v> </v>
      </c>
      <c r="DN34" s="342" t="str">
        <f aca="false">IF($A34="N/A"," ",IF(CC=2,$DF34*DD34*CU34,0))</f>
        <v> </v>
      </c>
      <c r="DO34" s="342" t="str">
        <f aca="false">IF($A34="N/A"," ",IF(CC=2,$DF34*DE34*CV34,0))</f>
        <v> </v>
      </c>
      <c r="DP34" s="343" t="str">
        <f aca="false">IF($A34="N/A"," ",IF(CC=2,SUM(DG34:DO34),0))</f>
        <v> </v>
      </c>
      <c r="DQ34" s="0" t="str">
        <f aca="false">IF(A34="N/A"," ",Perstart)</f>
        <v> </v>
      </c>
      <c r="HD34" s="0" t="str">
        <f aca="false">IF($A34="N/A"," ",VLOOKUP($A34,NumberofDaysTable,2))</f>
        <v> </v>
      </c>
      <c r="HE34" s="0" t="str">
        <f aca="false">IF($A34="N/A"," ",VLOOKUP($A34,NumberofDaysTable,3))</f>
        <v> </v>
      </c>
      <c r="HF34" s="0" t="str">
        <f aca="false">IF($A34="N/A"," ",VLOOKUP($A34,NumberofDaysTable,4))</f>
        <v> </v>
      </c>
    </row>
    <row r="35" customFormat="false" ht="12.75" hidden="false" customHeight="false" outlineLevel="0" collapsed="false">
      <c r="A35" s="308" t="str">
        <f aca="false">IF(A34="N/A","N/A",IF(EDATE(A34,1)&gt;Inputs!$K$3,"N/A",EDATE(A34,1)))</f>
        <v>N/A</v>
      </c>
      <c r="B35" s="309" t="str">
        <f aca="false">IF(A35="N/A"," ",YEAR(A35))</f>
        <v> </v>
      </c>
      <c r="C35" s="310" t="str">
        <f aca="false">IF(A35="N/A"," ",VLOOKUP(A35,ScaledPrice,10))</f>
        <v> </v>
      </c>
      <c r="D35" s="311" t="str">
        <f aca="false">IF(A35="N/A"," ",(VLOOKUP(MONTH($A35),Hrtable,2))/1000)</f>
        <v> </v>
      </c>
      <c r="E35" s="312" t="str">
        <f aca="false">IF($A35="N/A"," ",(C35-'Pricing Inputs'!T68)*D35)</f>
        <v> </v>
      </c>
      <c r="F35" s="313" t="str">
        <f aca="false">IF(A35="N/A"," ",$F23*(1+VOMesc))</f>
        <v> </v>
      </c>
      <c r="G35" s="313" t="str">
        <f aca="false">IF(A35="N/A"," ",Perstart/IF(AND(Dayrun&gt;=4,Dayrun&lt;=6),16,IF(AND(Dayrun&gt;=7,Dayrun&lt;=9),8,24))/(BM35/CK35))</f>
        <v> </v>
      </c>
      <c r="H35" s="314" t="str">
        <f aca="false">IF(A35="N/A"," ",(C35*D35)+F35+G35)</f>
        <v> </v>
      </c>
      <c r="I35" s="315" t="str">
        <f aca="false">VLOOKUP(A35,ScaledPrice,(IF(AND(Dayrun&gt;=1,Dayrun&lt;=6),2,4)))</f>
        <v> </v>
      </c>
      <c r="J35" s="315" t="str">
        <f aca="false">IF(A35="N/A"," ",IF(AND(Dayrun&gt;=1,Dayrun&lt;=6),I35,(VLOOKUP(A35,ScaledPrice,2))*(2-(VLOOKUP(A35,ScaledPrice,3)))))</f>
        <v> </v>
      </c>
      <c r="K35" s="315" t="str">
        <f aca="false">IF(A35="N/A"," ",IF(AND(Dayrun&gt;=1,Dayrun&lt;=3),VLOOKUP(A35,ScaledPrice,9),0))</f>
        <v> </v>
      </c>
      <c r="L35" s="315" t="str">
        <f aca="false">IF(A35="N/A"," ",IF(OR(Dayrun=2,Dayrun=3,Dayrun=5,Dayrun=6,Dayrun=8,Dayrun=9),VLOOKUP(A35,ScaledPrice,IF(AND(Dayrun&gt;=2,Dayrun&lt;=6),5,6)),0))</f>
        <v> </v>
      </c>
      <c r="M35" s="315" t="str">
        <f aca="false">IF(A35="N/A"," ",IF(OR(Dayrun=2,Dayrun=3,Dayrun=5,Dayrun=6,Dayrun=8,Dayrun=9),IF(AND(Dayrun&gt;=2,Dayrun&lt;=6),L35,(VLOOKUP(A35,ScaledPrice,5))*(2-(VLOOKUP(A35,ScaledPrice,3)))),0))</f>
        <v> </v>
      </c>
      <c r="N35" s="315" t="str">
        <f aca="false">IF(A35="N/A"," ",IF(AND(Dayrun&gt;1,Dayrun&lt;=3),VLOOKUP(A35,ScaledPrice,9),0))</f>
        <v> </v>
      </c>
      <c r="O35" s="315" t="str">
        <f aca="false">IF(A35="N/A"," ",IF(OR(Dayrun=3,Dayrun=6,Dayrun=9),(VLOOKUP(A35,ScaledPrice,IF(AND(Dayrun&gt;=3,Dayrun&lt;=6),7,8))),0))</f>
        <v> </v>
      </c>
      <c r="P35" s="315" t="str">
        <f aca="false">IF(A35="N/A"," ",IF(OR(Dayrun=3,Dayrun=6,Dayrun=9),IF(AND(Dayrun&gt;=3,Dayrun&lt;=6),O35,(VLOOKUP(A35,ScaledPrice,7))*(2-(VLOOKUP(A35,ScaledPrice,3)))),0))</f>
        <v> </v>
      </c>
      <c r="Q35" s="315" t="str">
        <f aca="false">IF(A35="N/A"," ",IF(AND(Dayrun&gt;2,Dayrun&lt;=3),VLOOKUP(A35,ScaledPrice,9),0))</f>
        <v> </v>
      </c>
      <c r="R35" s="316" t="str">
        <f aca="false">IF($A35="N/A"," ",IF(Pricetype=2,MAX(I35-$H35,0),IF(Pricetype=1,(xSPRDOPT(I35,$E35,$CI35,0,($CD35+IF(Smile=TRUE(),VLOOKUP(MAX(-5,$H35-I35),Volsmile,2),0)),$CG35,$CH35,($A35-DateToday)+15,1,0)),I35-$H35)))</f>
        <v> </v>
      </c>
      <c r="S35" s="316" t="str">
        <f aca="false">IF($A35="N/A"," ",IF(Pricetype=2,MAX(J35-$H35,0),IF(Pricetype=1,(xSPRDOPT(J35,$E35,$CI35,0,($CD35+IF(Smile=TRUE(),VLOOKUP(MAX(-5,$H35-J35),Volsmile,2),0)),$CG35,$CH35,($A35-DateToday)+15,1,0)),J35-$H35)))</f>
        <v> </v>
      </c>
      <c r="T35" s="317" t="str">
        <f aca="false">IF($A35="N/A"," ",(IF(Pricetype=2,IF((K35-$H35)&lt;=0,0,(K35-$H35)),IF(K35&lt;&gt;0,(K35-$H35),0))))</f>
        <v> </v>
      </c>
      <c r="U35" s="316" t="str">
        <f aca="false">IF($A35="N/A"," ",IF(Pricetype=2,MAX(L35-$H35,0),IF(L35&lt;&gt;0,IF(Pricetype=1,(xSPRDOPT(L35,$E35,$CI35,0,($CD35+IF(Smile=TRUE(),VLOOKUP(MAX(-5,$H35-L35),Volsmile,2),0)),$CG35,$CH35,($A35-DateToday)+15,1,0)),L35-$H35),0)))</f>
        <v> </v>
      </c>
      <c r="V35" s="316" t="str">
        <f aca="false">IF($A35="N/A"," ",IF(Pricetype=2,MAX(M35-$H35,0),IF(M35&lt;&gt;0,IF(Pricetype=1,(xSPRDOPT(M35,$E35,$CI35,0,($CD35+IF(Smile=TRUE(),VLOOKUP(MAX(-5,$H35-M35),Volsmile,2),0)),$CG35,$CH35,($A35-DateToday)+15,1,0)),M35-$H35),0)))</f>
        <v> </v>
      </c>
      <c r="W35" s="317" t="str">
        <f aca="false">IF($A35="N/A"," ",(IF(Pricetype=2,IF((N35-$H35)&lt;=0,0,(N35-$H35)),IF(N35&lt;&gt;0,(N35-$H35),0))))</f>
        <v> </v>
      </c>
      <c r="X35" s="316" t="str">
        <f aca="false">IF($A35="N/A"," ",IF(Pricetype=2,MAX(O35-$H35,0),IF(O35&lt;&gt;0,IF(Pricetype=1,(xSPRDOPT(O35,$E35,$CI35,0,($CD35+IF(Smile=TRUE(),VLOOKUP(MAX(-5,$H35-O35),Volsmile,2),0)),$CG35,$CH35,($A35-DateToday)+15,1,0)),O35-$H35),0)))</f>
        <v> </v>
      </c>
      <c r="Y35" s="316" t="str">
        <f aca="false">IF($A35="N/A"," ",IF(Pricetype=2,MAX(P35-$H35,0),IF(P35&lt;&gt;0,IF(Pricetype=1,(xSPRDOPT(P35,$E35,$CI35,0,($CD35+IF(Smile=TRUE(),VLOOKUP(MAX(-5,$H35-P35),Volsmile,2),0)),$CG35,$CH35,($A35-DateToday)+15,1,0)),P35-$H35),0)))</f>
        <v> </v>
      </c>
      <c r="Z35" s="317" t="str">
        <f aca="false">IF($A35="N/A"," ",(IF(Pricetype=2,IF((Q35-$H35)&lt;=0,0,(Q35-$H35)),IF(Q35&lt;&gt;0,(Q35-$H35),0))))</f>
        <v> </v>
      </c>
      <c r="AA35" s="318" t="str">
        <f aca="false">IF($A35="N/A"," ",IF(VLOOKUP(MONTH(A35),ManualTable,2)=1,(IF(0&lt;&gt;R35,IF(Pricetype=1,(xSPRDOPT(I35,$E35,$CI35,0,($CD35+IF(Smile=TRUE(),VLOOKUP(MAX(-5,$H35-I35),Volsmile,2),0)),$CG35,$CH35,($A35-DateToday)+15,1,1))*(8*$HD35),8*$HD35),0)),0))</f>
        <v> </v>
      </c>
      <c r="AB35" s="318" t="str">
        <f aca="false">IF($A35="N/A"," ",IF(VLOOKUP(MONTH(A35),ManualTable,3)=1,(IF(S35&lt;&gt;0,IF(Pricetype=1,(xSPRDOPT(J35,$E35,$CI35,0,($CD35+IF(Smile=TRUE(),VLOOKUP(MAX(-5,$H35-J35),Volsmile,2),0)),$CG35,$CH35,($A35-DateToday)+15,1,1))*(8*$HD35),8*$HD35),0)),0))</f>
        <v> </v>
      </c>
      <c r="AC35" s="318" t="str">
        <f aca="false">IF($A35="N/A"," ",IF(VLOOKUP(MONTH(A35),ManualTable,4)=1,(IF(T35&lt;&gt;0,(8*$HD35),0)),0))</f>
        <v> </v>
      </c>
      <c r="AD35" s="318" t="str">
        <f aca="false">IF($A35="N/A"," ",IF(VLOOKUP(MONTH(A35),ManualTable,5)=1,(IF(U35&lt;&gt;0,IF(Pricetype=1,(xSPRDOPT(L35,$E35,$CI35,0,($CD35+IF(Smile=TRUE(),VLOOKUP(MAX(-5,$H35-L35),Volsmile,2),0)),$CG35,$CH35,($A35-DateToday)+15,1,1))*(8*$HE35),8*$HE35),0)),0))</f>
        <v> </v>
      </c>
      <c r="AE35" s="318" t="str">
        <f aca="false">IF($A35="N/A"," ",IF(VLOOKUP(MONTH(A35),ManualTable,6)=1,(IF(V35&lt;&gt;0,IF(Pricetype=1,(xSPRDOPT(M35,$E35,$CI35,0,($CD35+IF(Smile=TRUE(),VLOOKUP(MAX(-5,$H35-M35),Volsmile,2),0)),$CG35,$CH35,($A35-DateToday)+15,1,1))*(8*$HE35),8*$HE35),0)),0))</f>
        <v> </v>
      </c>
      <c r="AF35" s="318" t="str">
        <f aca="false">IF($A35="N/A"," ",IF(VLOOKUP(MONTH(A35),ManualTable,7)=1,(IF(W35&lt;&gt;0,(8*$HE35),0)),0))</f>
        <v> </v>
      </c>
      <c r="AG35" s="318" t="str">
        <f aca="false">IF($A35="N/A"," ",IF(VLOOKUP(MONTH(A35),ManualTable,8)=1,(IF(X35&lt;&gt;0,IF(Pricetype=1,(xSPRDOPT(O35,$E35,$CI35,0,($CD35+IF(Smile=TRUE(),VLOOKUP(MAX(-5,$H35-O35),Volsmile,2),0)),$CG35,$CH35,($A35-DateToday)+15,1,1))*(8*$HF35),8*$HF35),0)),0))</f>
        <v> </v>
      </c>
      <c r="AH35" s="318" t="str">
        <f aca="false">IF($A35="N/A"," ",IF(VLOOKUP(MONTH(A35),ManualTable,9)=1,(IF(Y35&lt;&gt;0,IF(Pricetype=1,(xSPRDOPT(P35,$E35,$CI35,0,($CD35+IF(Smile=TRUE(),VLOOKUP(MAX(-5,$H35-P35),Volsmile,2),0)),$CG35,$CH35,($A35-DateToday)+15,1,1))*(8*$HF35),8*$HF35),0)),0))</f>
        <v> </v>
      </c>
      <c r="AI35" s="318" t="str">
        <f aca="false">IF($A35="N/A"," ",IF(VLOOKUP(MONTH(A35),ManualTable,10)=1,(IF(Z35&lt;&gt;0,(8*($HF35)),0)),0))</f>
        <v> </v>
      </c>
      <c r="AJ35" s="344" t="str">
        <f aca="false">IF($A35="N/A"," ",RANK(R35,$R$28:$Z$39))</f>
        <v> </v>
      </c>
      <c r="AK35" s="321" t="str">
        <f aca="false">IF($A35="N/A"," ",RANK(S35,$R$28:$Z$39))</f>
        <v> </v>
      </c>
      <c r="AL35" s="321" t="str">
        <f aca="false">IF($A35="N/A"," ",RANK(T35,$R$28:$Z$39))</f>
        <v> </v>
      </c>
      <c r="AM35" s="321" t="str">
        <f aca="false">IF($A35="N/A"," ",RANK(U35,$R$28:$Z$39))</f>
        <v> </v>
      </c>
      <c r="AN35" s="321" t="str">
        <f aca="false">IF($A35="N/A"," ",RANK(V35,$R$28:$Z$39))</f>
        <v> </v>
      </c>
      <c r="AO35" s="321" t="str">
        <f aca="false">IF($A35="N/A"," ",RANK(W35,$R$28:$Z$39))</f>
        <v> </v>
      </c>
      <c r="AP35" s="321" t="str">
        <f aca="false">IF($A35="N/A"," ",RANK(X35,$R$28:$Z$39))</f>
        <v> </v>
      </c>
      <c r="AQ35" s="321" t="str">
        <f aca="false">IF($A35="N/A"," ",RANK(Y35,$R$28:$Z$39))</f>
        <v> </v>
      </c>
      <c r="AR35" s="345" t="str">
        <f aca="false">IF($A35="N/A"," ",RANK(Z35,$R$28:$Z$39))</f>
        <v> </v>
      </c>
      <c r="AS35" s="323" t="str">
        <f aca="false">IF($A35="N/A"," ",IF(AJ35&lt;=$AR$2,AA35,0))</f>
        <v> </v>
      </c>
      <c r="AT35" s="325" t="str">
        <f aca="false">IF($A35="N/A"," ",IF(AK35&lt;=$AR$2,AB35,0))</f>
        <v> </v>
      </c>
      <c r="AU35" s="325" t="str">
        <f aca="false">IF($A35="N/A"," ",IF(AL35&lt;=$AR$2,AC35,0))</f>
        <v> </v>
      </c>
      <c r="AV35" s="325" t="str">
        <f aca="false">IF($A35="N/A"," ",IF(AM35&lt;=$AR$2,AD35,0))</f>
        <v> </v>
      </c>
      <c r="AW35" s="325" t="str">
        <f aca="false">IF($A35="N/A"," ",IF(AN35&lt;=$AR$2,AE35,0))</f>
        <v> </v>
      </c>
      <c r="AX35" s="325" t="str">
        <f aca="false">IF($A35="N/A"," ",IF(AO35&lt;=$AR$2,AF35,0))</f>
        <v> </v>
      </c>
      <c r="AY35" s="325" t="str">
        <f aca="false">IF($A35="N/A"," ",IF(AP35&lt;=$AR$2,AG35,0))</f>
        <v> </v>
      </c>
      <c r="AZ35" s="325" t="str">
        <f aca="false">IF($A35="N/A"," ",IF(AQ35&lt;=$AR$2,AH35,0))</f>
        <v> </v>
      </c>
      <c r="BA35" s="325" t="str">
        <f aca="false">IF($A35="N/A"," ",IF(AR35&lt;=$AR$2,AI35,0))</f>
        <v> </v>
      </c>
      <c r="BB35" s="345"/>
      <c r="BC35" s="326" t="str">
        <f aca="false">IF($A35="N/A"," ",IF(AND(AJ35=$AR$2+1,AS35=0),MIN($BB$39,AA35),0))</f>
        <v> </v>
      </c>
      <c r="BD35" s="346" t="str">
        <f aca="false">IF($A35="N/A"," ",IF(AND(AK35=$AR$2+1,AT35=0),MIN($BB$39,AB35),0))</f>
        <v> </v>
      </c>
      <c r="BE35" s="346" t="str">
        <f aca="false">IF($A35="N/A"," ",IF(AND(AL35=$AR$2+1,AU35=0),MIN($BB$39,AC35),0))</f>
        <v> </v>
      </c>
      <c r="BF35" s="346" t="str">
        <f aca="false">IF($A35="N/A"," ",IF(AND(AM35=$AR$2+1,AV35=0),MIN($BB$39,AD35),0))</f>
        <v> </v>
      </c>
      <c r="BG35" s="346" t="str">
        <f aca="false">IF($A35="N/A"," ",IF(AND(AN35=$AR$2+1,AW35=0),MIN($BB$39,AE35),0))</f>
        <v> </v>
      </c>
      <c r="BH35" s="346" t="str">
        <f aca="false">IF($A35="N/A"," ",IF(AND(AO35=$AR$2+1,AX35=0),MIN($BB$39,AF35),0))</f>
        <v> </v>
      </c>
      <c r="BI35" s="346" t="str">
        <f aca="false">IF($A35="N/A"," ",IF(AND(AP35=$AR$2+1,AY35=0),MIN($BB$39,AG35),0))</f>
        <v> </v>
      </c>
      <c r="BJ35" s="346" t="str">
        <f aca="false">IF($A35="N/A"," ",IF(AND(AQ35=$AR$2+1,AZ35=0),MIN($BB$39,AH35),0))</f>
        <v> </v>
      </c>
      <c r="BK35" s="346" t="str">
        <f aca="false">IF($A35="N/A"," ",IF(AND(AR35=$AR$2+1,BA35=0),MIN($BB$39,AI35),0))</f>
        <v> </v>
      </c>
      <c r="BL35" s="345"/>
      <c r="BM35" s="329" t="str">
        <f aca="false">IF($A35="N/A"," ",(IF(MONTH(A35)&gt;=4,IF(MONTH(A35)&lt;=10,Inputs!$F$13-Inputs!$G$13,Inputs!$F$14-Inputs!$G$14),Inputs!$F$14-Inputs!$G$14))*$CK35*Availability)</f>
        <v> </v>
      </c>
      <c r="BN35" s="330" t="str">
        <f aca="false">IF($A35="N/A"," ",(IF(AS35&gt;0,($BM35*(8*($HD35))*R35),0)+IF(BC35&gt;0,($BM35*((BC35/AA35)*8*$HD35)*R35),0)))</f>
        <v> </v>
      </c>
      <c r="BO35" s="330" t="str">
        <f aca="false">IF($A35="N/A"," ",(IF(AT35&gt;0,($BM35*(8*($HD35))*S35),0)+IF(BD35&gt;0,($BM35*((BD35/AB35)*8*$HD35)*S35),0)))</f>
        <v> </v>
      </c>
      <c r="BP35" s="330" t="str">
        <f aca="false">IF($A35="N/A"," ",(IF(AU35&gt;0,($BM35*(8*($HD35))*T35),0)+IF(BE35&gt;0,($BM35*((BE35))*T35),0)))</f>
        <v> </v>
      </c>
      <c r="BQ35" s="330" t="str">
        <f aca="false">IF($A35="N/A"," ",(IF(AV35&gt;0,($BM35*(8*($HE35))*U35),0)+IF(BF35&gt;0,($BM35*((BF35/AD35)*8*$HE35)*U35),0)))</f>
        <v> </v>
      </c>
      <c r="BR35" s="330" t="str">
        <f aca="false">IF($A35="N/A"," ",(IF(AW35&gt;0,($BM35*(8*($HE35))*V35),0)+IF(BG35&gt;0,($BM35*((BG35/AE35)*8*$HE35)*V35),0)))</f>
        <v> </v>
      </c>
      <c r="BS35" s="330" t="str">
        <f aca="false">IF($A35="N/A"," ",(IF(AX35&gt;0,($BM35*(8*($HE35))*W35),0)+IF(BH35&gt;0,($BM35*((BH35))*W35),0)))</f>
        <v> </v>
      </c>
      <c r="BT35" s="330" t="str">
        <f aca="false">IF($A35="N/A"," ",(IF(AY35&gt;0,($BM35*(8*($HF35))*X35),0)+IF(BI35&gt;0,($BM35*((BI35/AG35)*8*$HF35)*X35),0)))</f>
        <v> </v>
      </c>
      <c r="BU35" s="330" t="str">
        <f aca="false">IF($A35="N/A"," ",(IF(AZ35&gt;0,($BM35*(8*($HF35))*Y35),0)+IF(BJ35&gt;0,($BM35*((BJ35/AH35)*8*$HF35)*Y35),0)))</f>
        <v> </v>
      </c>
      <c r="BV35" s="330" t="str">
        <f aca="false">IF($A35="N/A"," ",(IF(BA35&gt;0,($BM35*(8*($HF35))*Z35),0)+IF(BK35&gt;0,($BM35*((BK35))*Z35),0)))</f>
        <v> </v>
      </c>
      <c r="BW35" s="330" t="str">
        <f aca="false">IF($A35="N/A"," ",SUM(BN35:BV35))</f>
        <v> </v>
      </c>
      <c r="BX35" s="331" t="str">
        <f aca="false">IF($A35="N/A"," ",(H35*(SUM(AS35:BA35)+SUM(BC35:BK35))*BM35))</f>
        <v> </v>
      </c>
      <c r="BY35" s="332" t="str">
        <f aca="false">IF($A35="N/A"," ",((C35*D35)*(SUM($AS35:$BA35)+SUM($BC35:$BK35))*$BM35))</f>
        <v> </v>
      </c>
      <c r="BZ35" s="332" t="str">
        <f aca="false">IF($A35="N/A"," ",(F35*(SUM($AS35:$BA35)+SUM($BC35:$BK35))*$BM35))</f>
        <v> </v>
      </c>
      <c r="CA35" s="333" t="str">
        <f aca="false">IF($A35="N/A"," ",(G35*(SUM($AS35:$BA35)+SUM($BC35:$BK35))*$BM35))</f>
        <v> </v>
      </c>
      <c r="CB35" s="334" t="str">
        <f aca="false">IF(A35="N/A"," ",(VLOOKUP(A35,PowerVolTable,(IF(BMO=2,7,IF(BMO=1,6,8))),FALSE())))</f>
        <v> </v>
      </c>
      <c r="CC35" s="334" t="str">
        <f aca="false">IF(A35="N/A"," ",(VLOOKUP(A35,IntraPowerVol,(IF(BMO=2,3,IF(BMO=1,2,4))),FALSE())*VLOOKUP(MONTH($A35),Volscale,2)))</f>
        <v> </v>
      </c>
      <c r="CD35" s="335" t="str">
        <f aca="false">IF($A35="N/A"," ",(IF(DateToday&gt;$A35,$CC35,((($CB35^2)*((($A35-1)-DateToday)/((EOMONTH($A35,0)+1)-DateToday-15)))+((($CC35)^2)*((15)/((EOMONTH($A35,0)+1)-DateToday-15))))^0.5)))</f>
        <v> </v>
      </c>
      <c r="CE35" s="334" t="str">
        <f aca="false">IF($A35="N/A"," ",(VLOOKUP($A35,GasVolTable,(IF(BMO=2,6,IF(BMO=1,7,5))),FALSE())))</f>
        <v> </v>
      </c>
      <c r="CF35" s="334" t="str">
        <f aca="false">IF($A35="N/A"," ",(VLOOKUP($A35,OmicronVol,(IF(BMO=2,3,IF(BMO=1,4,2))),FALSE())))</f>
        <v> </v>
      </c>
      <c r="CG35" s="335" t="str">
        <f aca="false">IF($A35="N/A"," ",(IF(DateToday&gt;$A35,$CF35,((($CE35^2)*((($A35-1)-DateToday)/((EOMONTH($A35,0)+1)-DateToday-15)))+((($CF35)^2)*((15)/((EOMONTH($A35,0)+1)-DateToday-15))))^0.5)))</f>
        <v> </v>
      </c>
      <c r="CH35" s="334" t="str">
        <f aca="false">IF($A35="N/A"," ",VLOOKUP($A35,CorrelationTable,2,FALSE()))</f>
        <v> </v>
      </c>
      <c r="CI35" s="336" t="str">
        <f aca="false">IF($A35="N/A"," ",F35+G35+(D35*('Pricing Inputs'!T68)))</f>
        <v> </v>
      </c>
      <c r="CJ35" s="334" t="str">
        <f aca="false">IF($A35="N/A"," ",IF(PV=1,0,'Pricing Inputs'!U68))</f>
        <v> </v>
      </c>
      <c r="CK35" s="337" t="str">
        <f aca="false">IF($A35="N/A"," ",(1+CJ35/2)^(-2*((EOMONTH(A35,0)+20)-DateToday)/365.25))</f>
        <v> </v>
      </c>
      <c r="CL35" s="338" t="str">
        <f aca="false">IF(A35="N/A"," ",IF(CC=2,(VLOOKUP(MONTH($A35),Hrtable,3))/1000,0))</f>
        <v> </v>
      </c>
      <c r="CM35" s="339" t="str">
        <f aca="false">IF(A35="N/A"," ",IF(CC=2,(CL35*C35)+F35,0))</f>
        <v> </v>
      </c>
      <c r="CN35" s="340" t="str">
        <f aca="false">IF($A35="N/A"," ",IF(CC=2,(VLOOKUP(A35,ScaledPrice,(IF(AND(Dayrun&gt;=1,Dayrun&lt;=6),2,4)))-((IF(R35&lt;&gt;0,$D35,$CL35)*$C35)+$F35+$G35)),0))</f>
        <v> </v>
      </c>
      <c r="CO35" s="340" t="str">
        <f aca="false">IF($A35="N/A"," ",IF(CC=2,(IF(AND(Dayrun&gt;=1,Dayrun&lt;=6),I35,(VLOOKUP(A35,ScaledPrice,2))*(2-(VLOOKUP(A35,ScaledPrice,3))))-((IF(S35&lt;&gt;0,$D35,$CL35)*$C35)+$F35+$G35)),0))</f>
        <v> </v>
      </c>
      <c r="CP35" s="340" t="str">
        <f aca="false">IF(A35="N/A"," ",IF(CC=2,(VLOOKUP(A35,ScaledPrice,9)-((IF(T35&lt;&gt;0,$D35,$CL35)*$C35)+$F35+$G35)),0))</f>
        <v> </v>
      </c>
      <c r="CQ35" s="340" t="str">
        <f aca="false">IF(A35="N/A"," ",IF(CC=2,(IF(OR(Dayrun=2,Dayrun=3,Dayrun=5,Dayrun=6,Dayrun=8,Dayrun=9),VLOOKUP(A35,ScaledPrice,IF(AND(Dayrun&gt;=2,Dayrun&lt;=6),5,6)),0)-((IF(U35&lt;&gt;0,$D35,$CL35)*$C35)+$F35+$G35)),0))</f>
        <v> </v>
      </c>
      <c r="CR35" s="340" t="str">
        <f aca="false">IF(A35="N/A"," ",IF(CC=2,(IF(OR(Dayrun=2,Dayrun=3,Dayrun=5,Dayrun=6,Dayrun=8,Dayrun=9),IF(AND(Dayrun&gt;=2,Dayrun&lt;=6),L35,(VLOOKUP(A35,ScaledPrice,5))*(2-(VLOOKUP(A35,ScaledPrice,3)))),0)-((IF(V35&lt;&gt;0,$D35,$CL35)*$C35)+$F35+$G35)),0))</f>
        <v> </v>
      </c>
      <c r="CS35" s="340" t="str">
        <f aca="false">IF(A35="N/A"," ",IF(CC=2,(VLOOKUP(A35,ScaledPrice,9)-((IF(W35&lt;&gt;0,$D35,$CL35)*$C35)+$F35+$G35)),0))</f>
        <v> </v>
      </c>
      <c r="CT35" s="340" t="str">
        <f aca="false">IF(A35="N/A"," ",IF(CC=2,(IF(OR(Dayrun=3,Dayrun=6,Dayrun=9),(VLOOKUP(A35,ScaledPrice,IF(AND(Dayrun&gt;=3,Dayrun&lt;=6),7,8))),0)-((IF(X35&lt;&gt;0,$D35,$CL35)*$C35)+$F35+$G35)),0))</f>
        <v> </v>
      </c>
      <c r="CU35" s="340" t="str">
        <f aca="false">IF(A35="N/A"," ",IF(CC=2,(IF(OR(Dayrun=3,Dayrun=6,Dayrun=9),IF(AND(Dayrun&gt;=3,Dayrun&lt;=6),O35,(VLOOKUP(A35,ScaledPrice,7))*(2-(VLOOKUP(A35,ScaledPrice,3)))),0)-((IF(Y35&lt;&gt;0,$D35,$CL35)*$C35)+$F35+$G35)),0))</f>
        <v> </v>
      </c>
      <c r="CV35" s="340" t="str">
        <f aca="false">IF(A35="N/A"," ",IF(CC=2,(VLOOKUP(A35,ScaledPrice,9)-((IF(Z35&lt;&gt;0,$D35,$CL35)*$C35)+$F35+$G35)),0))</f>
        <v> </v>
      </c>
      <c r="CW35" s="318" t="str">
        <f aca="false">IF($A35="N/A"," ",IF(0&lt;&gt;CN35,IF(CC=2,8*$HD35,0),0))</f>
        <v> </v>
      </c>
      <c r="CX35" s="318" t="str">
        <f aca="false">IF($A35="N/A"," ",IF(0&lt;&gt;CO35,IF(CC=2,8*$HD35,0),0))</f>
        <v> </v>
      </c>
      <c r="CY35" s="318" t="str">
        <f aca="false">IF($A35="N/A"," ",IF(0&lt;&gt;CP35,IF(CC=2,8*$HD35,0),0))</f>
        <v> </v>
      </c>
      <c r="CZ35" s="318" t="str">
        <f aca="false">IF($A35="N/A"," ",IF(0&lt;&gt;CQ35,IF(CC=2,8*$HE35,0),0))</f>
        <v> </v>
      </c>
      <c r="DA35" s="318" t="str">
        <f aca="false">IF($A35="N/A"," ",IF(0&lt;&gt;CR35,IF(CC=2,8*$HE35,0),0))</f>
        <v> </v>
      </c>
      <c r="DB35" s="318" t="str">
        <f aca="false">IF($A35="N/A"," ",IF(0&lt;&gt;CS35,IF(CC=2,8*$HE35,0),0))</f>
        <v> </v>
      </c>
      <c r="DC35" s="318" t="str">
        <f aca="false">IF($A35="N/A"," ",IF(0&lt;&gt;CT35,IF(CC=2,8*$HF35,0),0))</f>
        <v> </v>
      </c>
      <c r="DD35" s="318" t="str">
        <f aca="false">IF($A35="N/A"," ",IF(0&lt;&gt;CU35,IF(CC=2,8*$HF35,0),0))</f>
        <v> </v>
      </c>
      <c r="DE35" s="318" t="str">
        <f aca="false">IF($A35="N/A"," ",IF(0&lt;&gt;CV35,IF(CC=2,8*$HF35,0),0))</f>
        <v> </v>
      </c>
      <c r="DF35" s="341" t="str">
        <f aca="false">IF($A35="N/A"," ",IF(CC=2,(IF(MONTH(A35)&gt;=4,IF(MONTH(A35)&lt;=10,Inputs!$G$13,Inputs!$G$14),Inputs!$G$14))*$CK35,0))</f>
        <v> </v>
      </c>
      <c r="DG35" s="342" t="str">
        <f aca="false">IF($A35="N/A"," ",IF(CC=2,$DF35*CW35*CN35,0))</f>
        <v> </v>
      </c>
      <c r="DH35" s="342" t="str">
        <f aca="false">IF($A35="N/A"," ",IF(CC=2,$DF35*CX35*CO35,0))</f>
        <v> </v>
      </c>
      <c r="DI35" s="342" t="str">
        <f aca="false">IF($A35="N/A"," ",IF(CC=2,$DF35*CY35*CP35,0))</f>
        <v> </v>
      </c>
      <c r="DJ35" s="342" t="str">
        <f aca="false">IF($A35="N/A"," ",IF(CC=2,$DF35*CZ35*CQ35,0))</f>
        <v> </v>
      </c>
      <c r="DK35" s="342" t="str">
        <f aca="false">IF($A35="N/A"," ",IF(CC=2,$DF35*DA35*CR35,0))</f>
        <v> </v>
      </c>
      <c r="DL35" s="342" t="str">
        <f aca="false">IF($A35="N/A"," ",IF(CC=2,$DF35*DB35*CS35,0))</f>
        <v> </v>
      </c>
      <c r="DM35" s="342" t="str">
        <f aca="false">IF($A35="N/A"," ",IF(CC=2,$DF35*DC35*CT35,0))</f>
        <v> </v>
      </c>
      <c r="DN35" s="342" t="str">
        <f aca="false">IF($A35="N/A"," ",IF(CC=2,$DF35*DD35*CU35,0))</f>
        <v> </v>
      </c>
      <c r="DO35" s="342" t="str">
        <f aca="false">IF($A35="N/A"," ",IF(CC=2,$DF35*DE35*CV35,0))</f>
        <v> </v>
      </c>
      <c r="DP35" s="343" t="str">
        <f aca="false">IF($A35="N/A"," ",IF(CC=2,SUM(DG35:DO35),0))</f>
        <v> </v>
      </c>
      <c r="DQ35" s="0" t="str">
        <f aca="false">IF(A35="N/A"," ",Perstart)</f>
        <v> </v>
      </c>
      <c r="HD35" s="0" t="str">
        <f aca="false">IF($A35="N/A"," ",VLOOKUP($A35,NumberofDaysTable,2))</f>
        <v> </v>
      </c>
      <c r="HE35" s="0" t="str">
        <f aca="false">IF($A35="N/A"," ",VLOOKUP($A35,NumberofDaysTable,3))</f>
        <v> </v>
      </c>
      <c r="HF35" s="0" t="str">
        <f aca="false">IF($A35="N/A"," ",VLOOKUP($A35,NumberofDaysTable,4))</f>
        <v> </v>
      </c>
    </row>
    <row r="36" customFormat="false" ht="12.75" hidden="false" customHeight="false" outlineLevel="0" collapsed="false">
      <c r="A36" s="308" t="str">
        <f aca="false">IF(A35="N/A","N/A",IF(EDATE(A35,1)&gt;Inputs!$K$3,"N/A",EDATE(A35,1)))</f>
        <v>N/A</v>
      </c>
      <c r="B36" s="309" t="str">
        <f aca="false">IF(A36="N/A"," ",YEAR(A36))</f>
        <v> </v>
      </c>
      <c r="C36" s="310" t="str">
        <f aca="false">IF(A36="N/A"," ",VLOOKUP(A36,ScaledPrice,10))</f>
        <v> </v>
      </c>
      <c r="D36" s="311" t="str">
        <f aca="false">IF(A36="N/A"," ",(VLOOKUP(MONTH($A36),Hrtable,2))/1000)</f>
        <v> </v>
      </c>
      <c r="E36" s="312" t="str">
        <f aca="false">IF($A36="N/A"," ",(C36-'Pricing Inputs'!T69)*D36)</f>
        <v> </v>
      </c>
      <c r="F36" s="313" t="str">
        <f aca="false">IF(A36="N/A"," ",$F24*(1+VOMesc))</f>
        <v> </v>
      </c>
      <c r="G36" s="313" t="str">
        <f aca="false">IF(A36="N/A"," ",Perstart/IF(AND(Dayrun&gt;=4,Dayrun&lt;=6),16,IF(AND(Dayrun&gt;=7,Dayrun&lt;=9),8,24))/(BM36/CK36))</f>
        <v> </v>
      </c>
      <c r="H36" s="314" t="str">
        <f aca="false">IF(A36="N/A"," ",(C36*D36)+F36+G36)</f>
        <v> </v>
      </c>
      <c r="I36" s="315" t="str">
        <f aca="false">VLOOKUP(A36,ScaledPrice,(IF(AND(Dayrun&gt;=1,Dayrun&lt;=6),2,4)))</f>
        <v> </v>
      </c>
      <c r="J36" s="315" t="str">
        <f aca="false">IF(A36="N/A"," ",IF(AND(Dayrun&gt;=1,Dayrun&lt;=6),I36,(VLOOKUP(A36,ScaledPrice,2))*(2-(VLOOKUP(A36,ScaledPrice,3)))))</f>
        <v> </v>
      </c>
      <c r="K36" s="315" t="str">
        <f aca="false">IF(A36="N/A"," ",IF(AND(Dayrun&gt;=1,Dayrun&lt;=3),VLOOKUP(A36,ScaledPrice,9),0))</f>
        <v> </v>
      </c>
      <c r="L36" s="315" t="str">
        <f aca="false">IF(A36="N/A"," ",IF(OR(Dayrun=2,Dayrun=3,Dayrun=5,Dayrun=6,Dayrun=8,Dayrun=9),VLOOKUP(A36,ScaledPrice,IF(AND(Dayrun&gt;=2,Dayrun&lt;=6),5,6)),0))</f>
        <v> </v>
      </c>
      <c r="M36" s="315" t="str">
        <f aca="false">IF(A36="N/A"," ",IF(OR(Dayrun=2,Dayrun=3,Dayrun=5,Dayrun=6,Dayrun=8,Dayrun=9),IF(AND(Dayrun&gt;=2,Dayrun&lt;=6),L36,(VLOOKUP(A36,ScaledPrice,5))*(2-(VLOOKUP(A36,ScaledPrice,3)))),0))</f>
        <v> </v>
      </c>
      <c r="N36" s="315" t="str">
        <f aca="false">IF(A36="N/A"," ",IF(AND(Dayrun&gt;1,Dayrun&lt;=3),VLOOKUP(A36,ScaledPrice,9),0))</f>
        <v> </v>
      </c>
      <c r="O36" s="315" t="str">
        <f aca="false">IF(A36="N/A"," ",IF(OR(Dayrun=3,Dayrun=6,Dayrun=9),(VLOOKUP(A36,ScaledPrice,IF(AND(Dayrun&gt;=3,Dayrun&lt;=6),7,8))),0))</f>
        <v> </v>
      </c>
      <c r="P36" s="315" t="str">
        <f aca="false">IF(A36="N/A"," ",IF(OR(Dayrun=3,Dayrun=6,Dayrun=9),IF(AND(Dayrun&gt;=3,Dayrun&lt;=6),O36,(VLOOKUP(A36,ScaledPrice,7))*(2-(VLOOKUP(A36,ScaledPrice,3)))),0))</f>
        <v> </v>
      </c>
      <c r="Q36" s="315" t="str">
        <f aca="false">IF(A36="N/A"," ",IF(AND(Dayrun&gt;2,Dayrun&lt;=3),VLOOKUP(A36,ScaledPrice,9),0))</f>
        <v> </v>
      </c>
      <c r="R36" s="316" t="str">
        <f aca="false">IF($A36="N/A"," ",IF(Pricetype=2,MAX(I36-$H36,0),IF(Pricetype=1,(xSPRDOPT(I36,$E36,$CI36,0,($CD36+IF(Smile=TRUE(),VLOOKUP(MAX(-5,$H36-I36),Volsmile,2),0)),$CG36,$CH36,($A36-DateToday)+15,1,0)),I36-$H36)))</f>
        <v> </v>
      </c>
      <c r="S36" s="316" t="str">
        <f aca="false">IF($A36="N/A"," ",IF(Pricetype=2,MAX(J36-$H36,0),IF(Pricetype=1,(xSPRDOPT(J36,$E36,$CI36,0,($CD36+IF(Smile=TRUE(),VLOOKUP(MAX(-5,$H36-J36),Volsmile,2),0)),$CG36,$CH36,($A36-DateToday)+15,1,0)),J36-$H36)))</f>
        <v> </v>
      </c>
      <c r="T36" s="317" t="str">
        <f aca="false">IF($A36="N/A"," ",(IF(Pricetype=2,IF((K36-$H36)&lt;=0,0,(K36-$H36)),IF(K36&lt;&gt;0,(K36-$H36),0))))</f>
        <v> </v>
      </c>
      <c r="U36" s="316" t="str">
        <f aca="false">IF($A36="N/A"," ",IF(Pricetype=2,MAX(L36-$H36,0),IF(L36&lt;&gt;0,IF(Pricetype=1,(xSPRDOPT(L36,$E36,$CI36,0,($CD36+IF(Smile=TRUE(),VLOOKUP(MAX(-5,$H36-L36),Volsmile,2),0)),$CG36,$CH36,($A36-DateToday)+15,1,0)),L36-$H36),0)))</f>
        <v> </v>
      </c>
      <c r="V36" s="316" t="str">
        <f aca="false">IF($A36="N/A"," ",IF(Pricetype=2,MAX(M36-$H36,0),IF(M36&lt;&gt;0,IF(Pricetype=1,(xSPRDOPT(M36,$E36,$CI36,0,($CD36+IF(Smile=TRUE(),VLOOKUP(MAX(-5,$H36-M36),Volsmile,2),0)),$CG36,$CH36,($A36-DateToday)+15,1,0)),M36-$H36),0)))</f>
        <v> </v>
      </c>
      <c r="W36" s="317" t="str">
        <f aca="false">IF($A36="N/A"," ",(IF(Pricetype=2,IF((N36-$H36)&lt;=0,0,(N36-$H36)),IF(N36&lt;&gt;0,(N36-$H36),0))))</f>
        <v> </v>
      </c>
      <c r="X36" s="316" t="str">
        <f aca="false">IF($A36="N/A"," ",IF(Pricetype=2,MAX(O36-$H36,0),IF(O36&lt;&gt;0,IF(Pricetype=1,(xSPRDOPT(O36,$E36,$CI36,0,($CD36+IF(Smile=TRUE(),VLOOKUP(MAX(-5,$H36-O36),Volsmile,2),0)),$CG36,$CH36,($A36-DateToday)+15,1,0)),O36-$H36),0)))</f>
        <v> </v>
      </c>
      <c r="Y36" s="316" t="str">
        <f aca="false">IF($A36="N/A"," ",IF(Pricetype=2,MAX(P36-$H36,0),IF(P36&lt;&gt;0,IF(Pricetype=1,(xSPRDOPT(P36,$E36,$CI36,0,($CD36+IF(Smile=TRUE(),VLOOKUP(MAX(-5,$H36-P36),Volsmile,2),0)),$CG36,$CH36,($A36-DateToday)+15,1,0)),P36-$H36),0)))</f>
        <v> </v>
      </c>
      <c r="Z36" s="317" t="str">
        <f aca="false">IF($A36="N/A"," ",(IF(Pricetype=2,IF((Q36-$H36)&lt;=0,0,(Q36-$H36)),IF(Q36&lt;&gt;0,(Q36-$H36),0))))</f>
        <v> </v>
      </c>
      <c r="AA36" s="318" t="str">
        <f aca="false">IF($A36="N/A"," ",IF(VLOOKUP(MONTH(A36),ManualTable,2)=1,(IF(0&lt;&gt;R36,IF(Pricetype=1,(xSPRDOPT(I36,$E36,$CI36,0,($CD36+IF(Smile=TRUE(),VLOOKUP(MAX(-5,$H36-I36),Volsmile,2),0)),$CG36,$CH36,($A36-DateToday)+15,1,1))*(8*$HD36),8*$HD36),0)),0))</f>
        <v> </v>
      </c>
      <c r="AB36" s="318" t="str">
        <f aca="false">IF($A36="N/A"," ",IF(VLOOKUP(MONTH(A36),ManualTable,3)=1,(IF(S36&lt;&gt;0,IF(Pricetype=1,(xSPRDOPT(J36,$E36,$CI36,0,($CD36+IF(Smile=TRUE(),VLOOKUP(MAX(-5,$H36-J36),Volsmile,2),0)),$CG36,$CH36,($A36-DateToday)+15,1,1))*(8*$HD36),8*$HD36),0)),0))</f>
        <v> </v>
      </c>
      <c r="AC36" s="318" t="str">
        <f aca="false">IF($A36="N/A"," ",IF(VLOOKUP(MONTH(A36),ManualTable,4)=1,(IF(T36&lt;&gt;0,(8*$HD36),0)),0))</f>
        <v> </v>
      </c>
      <c r="AD36" s="318" t="str">
        <f aca="false">IF($A36="N/A"," ",IF(VLOOKUP(MONTH(A36),ManualTable,5)=1,(IF(U36&lt;&gt;0,IF(Pricetype=1,(xSPRDOPT(L36,$E36,$CI36,0,($CD36+IF(Smile=TRUE(),VLOOKUP(MAX(-5,$H36-L36),Volsmile,2),0)),$CG36,$CH36,($A36-DateToday)+15,1,1))*(8*$HE36),8*$HE36),0)),0))</f>
        <v> </v>
      </c>
      <c r="AE36" s="318" t="str">
        <f aca="false">IF($A36="N/A"," ",IF(VLOOKUP(MONTH(A36),ManualTable,6)=1,(IF(V36&lt;&gt;0,IF(Pricetype=1,(xSPRDOPT(M36,$E36,$CI36,0,($CD36+IF(Smile=TRUE(),VLOOKUP(MAX(-5,$H36-M36),Volsmile,2),0)),$CG36,$CH36,($A36-DateToday)+15,1,1))*(8*$HE36),8*$HE36),0)),0))</f>
        <v> </v>
      </c>
      <c r="AF36" s="318" t="str">
        <f aca="false">IF($A36="N/A"," ",IF(VLOOKUP(MONTH(A36),ManualTable,7)=1,(IF(W36&lt;&gt;0,(8*$HE36),0)),0))</f>
        <v> </v>
      </c>
      <c r="AG36" s="318" t="str">
        <f aca="false">IF($A36="N/A"," ",IF(VLOOKUP(MONTH(A36),ManualTable,8)=1,(IF(X36&lt;&gt;0,IF(Pricetype=1,(xSPRDOPT(O36,$E36,$CI36,0,($CD36+IF(Smile=TRUE(),VLOOKUP(MAX(-5,$H36-O36),Volsmile,2),0)),$CG36,$CH36,($A36-DateToday)+15,1,1))*(8*$HF36),8*$HF36),0)),0))</f>
        <v> </v>
      </c>
      <c r="AH36" s="318" t="str">
        <f aca="false">IF($A36="N/A"," ",IF(VLOOKUP(MONTH(A36),ManualTable,9)=1,(IF(Y36&lt;&gt;0,IF(Pricetype=1,(xSPRDOPT(P36,$E36,$CI36,0,($CD36+IF(Smile=TRUE(),VLOOKUP(MAX(-5,$H36-P36),Volsmile,2),0)),$CG36,$CH36,($A36-DateToday)+15,1,1))*(8*$HF36),8*$HF36),0)),0))</f>
        <v> </v>
      </c>
      <c r="AI36" s="318" t="str">
        <f aca="false">IF($A36="N/A"," ",IF(VLOOKUP(MONTH(A36),ManualTable,10)=1,(IF(Z36&lt;&gt;0,(8*($HF36)),0)),0))</f>
        <v> </v>
      </c>
      <c r="AJ36" s="344" t="str">
        <f aca="false">IF($A36="N/A"," ",RANK(R36,$R$28:$Z$39))</f>
        <v> </v>
      </c>
      <c r="AK36" s="321" t="str">
        <f aca="false">IF($A36="N/A"," ",RANK(S36,$R$28:$Z$39))</f>
        <v> </v>
      </c>
      <c r="AL36" s="321" t="str">
        <f aca="false">IF($A36="N/A"," ",RANK(T36,$R$28:$Z$39))</f>
        <v> </v>
      </c>
      <c r="AM36" s="321" t="str">
        <f aca="false">IF($A36="N/A"," ",RANK(U36,$R$28:$Z$39))</f>
        <v> </v>
      </c>
      <c r="AN36" s="321" t="str">
        <f aca="false">IF($A36="N/A"," ",RANK(V36,$R$28:$Z$39))</f>
        <v> </v>
      </c>
      <c r="AO36" s="321" t="str">
        <f aca="false">IF($A36="N/A"," ",RANK(W36,$R$28:$Z$39))</f>
        <v> </v>
      </c>
      <c r="AP36" s="321" t="str">
        <f aca="false">IF($A36="N/A"," ",RANK(X36,$R$28:$Z$39))</f>
        <v> </v>
      </c>
      <c r="AQ36" s="321" t="str">
        <f aca="false">IF($A36="N/A"," ",RANK(Y36,$R$28:$Z$39))</f>
        <v> </v>
      </c>
      <c r="AR36" s="345" t="str">
        <f aca="false">IF($A36="N/A"," ",RANK(Z36,$R$28:$Z$39))</f>
        <v> </v>
      </c>
      <c r="AS36" s="323" t="str">
        <f aca="false">IF($A36="N/A"," ",IF(AJ36&lt;=$AR$2,AA36,0))</f>
        <v> </v>
      </c>
      <c r="AT36" s="325" t="str">
        <f aca="false">IF($A36="N/A"," ",IF(AK36&lt;=$AR$2,AB36,0))</f>
        <v> </v>
      </c>
      <c r="AU36" s="325" t="str">
        <f aca="false">IF($A36="N/A"," ",IF(AL36&lt;=$AR$2,AC36,0))</f>
        <v> </v>
      </c>
      <c r="AV36" s="325" t="str">
        <f aca="false">IF($A36="N/A"," ",IF(AM36&lt;=$AR$2,AD36,0))</f>
        <v> </v>
      </c>
      <c r="AW36" s="325" t="str">
        <f aca="false">IF($A36="N/A"," ",IF(AN36&lt;=$AR$2,AE36,0))</f>
        <v> </v>
      </c>
      <c r="AX36" s="325" t="str">
        <f aca="false">IF($A36="N/A"," ",IF(AO36&lt;=$AR$2,AF36,0))</f>
        <v> </v>
      </c>
      <c r="AY36" s="325" t="str">
        <f aca="false">IF($A36="N/A"," ",IF(AP36&lt;=$AR$2,AG36,0))</f>
        <v> </v>
      </c>
      <c r="AZ36" s="325" t="str">
        <f aca="false">IF($A36="N/A"," ",IF(AQ36&lt;=$AR$2,AH36,0))</f>
        <v> </v>
      </c>
      <c r="BA36" s="325" t="str">
        <f aca="false">IF($A36="N/A"," ",IF(AR36&lt;=$AR$2,AI36,0))</f>
        <v> </v>
      </c>
      <c r="BB36" s="345"/>
      <c r="BC36" s="326" t="str">
        <f aca="false">IF($A36="N/A"," ",IF(AND(AJ36=$AR$2+1,AS36=0),MIN($BB$39,AA36),0))</f>
        <v> </v>
      </c>
      <c r="BD36" s="346" t="str">
        <f aca="false">IF($A36="N/A"," ",IF(AND(AK36=$AR$2+1,AT36=0),MIN($BB$39,AB36),0))</f>
        <v> </v>
      </c>
      <c r="BE36" s="346" t="str">
        <f aca="false">IF($A36="N/A"," ",IF(AND(AL36=$AR$2+1,AU36=0),MIN($BB$39,AC36),0))</f>
        <v> </v>
      </c>
      <c r="BF36" s="346" t="str">
        <f aca="false">IF($A36="N/A"," ",IF(AND(AM36=$AR$2+1,AV36=0),MIN($BB$39,AD36),0))</f>
        <v> </v>
      </c>
      <c r="BG36" s="346" t="str">
        <f aca="false">IF($A36="N/A"," ",IF(AND(AN36=$AR$2+1,AW36=0),MIN($BB$39,AE36),0))</f>
        <v> </v>
      </c>
      <c r="BH36" s="346" t="str">
        <f aca="false">IF($A36="N/A"," ",IF(AND(AO36=$AR$2+1,AX36=0),MIN($BB$39,AF36),0))</f>
        <v> </v>
      </c>
      <c r="BI36" s="346" t="str">
        <f aca="false">IF($A36="N/A"," ",IF(AND(AP36=$AR$2+1,AY36=0),MIN($BB$39,AG36),0))</f>
        <v> </v>
      </c>
      <c r="BJ36" s="346" t="str">
        <f aca="false">IF($A36="N/A"," ",IF(AND(AQ36=$AR$2+1,AZ36=0),MIN($BB$39,AH36),0))</f>
        <v> </v>
      </c>
      <c r="BK36" s="346" t="str">
        <f aca="false">IF($A36="N/A"," ",IF(AND(AR36=$AR$2+1,BA36=0),MIN($BB$39,AI36),0))</f>
        <v> </v>
      </c>
      <c r="BL36" s="345"/>
      <c r="BM36" s="329" t="str">
        <f aca="false">IF($A36="N/A"," ",(IF(MONTH(A36)&gt;=4,IF(MONTH(A36)&lt;=10,Inputs!$F$13-Inputs!$G$13,Inputs!$F$14-Inputs!$G$14),Inputs!$F$14-Inputs!$G$14))*$CK36*Availability)</f>
        <v> </v>
      </c>
      <c r="BN36" s="330" t="str">
        <f aca="false">IF($A36="N/A"," ",(IF(AS36&gt;0,($BM36*(8*($HD36))*R36),0)+IF(BC36&gt;0,($BM36*((BC36/AA36)*8*$HD36)*R36),0)))</f>
        <v> </v>
      </c>
      <c r="BO36" s="330" t="str">
        <f aca="false">IF($A36="N/A"," ",(IF(AT36&gt;0,($BM36*(8*($HD36))*S36),0)+IF(BD36&gt;0,($BM36*((BD36/AB36)*8*$HD36)*S36),0)))</f>
        <v> </v>
      </c>
      <c r="BP36" s="330" t="str">
        <f aca="false">IF($A36="N/A"," ",(IF(AU36&gt;0,($BM36*(8*($HD36))*T36),0)+IF(BE36&gt;0,($BM36*((BE36))*T36),0)))</f>
        <v> </v>
      </c>
      <c r="BQ36" s="330" t="str">
        <f aca="false">IF($A36="N/A"," ",(IF(AV36&gt;0,($BM36*(8*($HE36))*U36),0)+IF(BF36&gt;0,($BM36*((BF36/AD36)*8*$HE36)*U36),0)))</f>
        <v> </v>
      </c>
      <c r="BR36" s="330" t="str">
        <f aca="false">IF($A36="N/A"," ",(IF(AW36&gt;0,($BM36*(8*($HE36))*V36),0)+IF(BG36&gt;0,($BM36*((BG36/AE36)*8*$HE36)*V36),0)))</f>
        <v> </v>
      </c>
      <c r="BS36" s="330" t="str">
        <f aca="false">IF($A36="N/A"," ",(IF(AX36&gt;0,($BM36*(8*($HE36))*W36),0)+IF(BH36&gt;0,($BM36*((BH36))*W36),0)))</f>
        <v> </v>
      </c>
      <c r="BT36" s="330" t="str">
        <f aca="false">IF($A36="N/A"," ",(IF(AY36&gt;0,($BM36*(8*($HF36))*X36),0)+IF(BI36&gt;0,($BM36*((BI36/AG36)*8*$HF36)*X36),0)))</f>
        <v> </v>
      </c>
      <c r="BU36" s="330" t="str">
        <f aca="false">IF($A36="N/A"," ",(IF(AZ36&gt;0,($BM36*(8*($HF36))*Y36),0)+IF(BJ36&gt;0,($BM36*((BJ36/AH36)*8*$HF36)*Y36),0)))</f>
        <v> </v>
      </c>
      <c r="BV36" s="330" t="str">
        <f aca="false">IF($A36="N/A"," ",(IF(BA36&gt;0,($BM36*(8*($HF36))*Z36),0)+IF(BK36&gt;0,($BM36*((BK36))*Z36),0)))</f>
        <v> </v>
      </c>
      <c r="BW36" s="330" t="str">
        <f aca="false">IF($A36="N/A"," ",SUM(BN36:BV36))</f>
        <v> </v>
      </c>
      <c r="BX36" s="331" t="str">
        <f aca="false">IF($A36="N/A"," ",(H36*(SUM(AS36:BA36)+SUM(BC36:BK36))*BM36))</f>
        <v> </v>
      </c>
      <c r="BY36" s="332" t="str">
        <f aca="false">IF($A36="N/A"," ",((C36*D36)*(SUM($AS36:$BA36)+SUM($BC36:$BK36))*$BM36))</f>
        <v> </v>
      </c>
      <c r="BZ36" s="332" t="str">
        <f aca="false">IF($A36="N/A"," ",(F36*(SUM($AS36:$BA36)+SUM($BC36:$BK36))*$BM36))</f>
        <v> </v>
      </c>
      <c r="CA36" s="333" t="str">
        <f aca="false">IF($A36="N/A"," ",(G36*(SUM($AS36:$BA36)+SUM($BC36:$BK36))*$BM36))</f>
        <v> </v>
      </c>
      <c r="CB36" s="334" t="str">
        <f aca="false">IF(A36="N/A"," ",(VLOOKUP(A36,PowerVolTable,(IF(BMO=2,7,IF(BMO=1,6,8))),FALSE())))</f>
        <v> </v>
      </c>
      <c r="CC36" s="334" t="str">
        <f aca="false">IF(A36="N/A"," ",(VLOOKUP(A36,IntraPowerVol,(IF(BMO=2,3,IF(BMO=1,2,4))),FALSE())*VLOOKUP(MONTH($A36),Volscale,2)))</f>
        <v> </v>
      </c>
      <c r="CD36" s="335" t="str">
        <f aca="false">IF($A36="N/A"," ",(IF(DateToday&gt;$A36,$CC36,((($CB36^2)*((($A36-1)-DateToday)/((EOMONTH($A36,0)+1)-DateToday-15)))+((($CC36)^2)*((15)/((EOMONTH($A36,0)+1)-DateToday-15))))^0.5)))</f>
        <v> </v>
      </c>
      <c r="CE36" s="334" t="str">
        <f aca="false">IF($A36="N/A"," ",(VLOOKUP($A36,GasVolTable,(IF(BMO=2,6,IF(BMO=1,7,5))),FALSE())))</f>
        <v> </v>
      </c>
      <c r="CF36" s="334" t="str">
        <f aca="false">IF($A36="N/A"," ",(VLOOKUP($A36,OmicronVol,(IF(BMO=2,3,IF(BMO=1,4,2))),FALSE())))</f>
        <v> </v>
      </c>
      <c r="CG36" s="335" t="str">
        <f aca="false">IF($A36="N/A"," ",(IF(DateToday&gt;$A36,$CF36,((($CE36^2)*((($A36-1)-DateToday)/((EOMONTH($A36,0)+1)-DateToday-15)))+((($CF36)^2)*((15)/((EOMONTH($A36,0)+1)-DateToday-15))))^0.5)))</f>
        <v> </v>
      </c>
      <c r="CH36" s="334" t="str">
        <f aca="false">IF($A36="N/A"," ",VLOOKUP($A36,CorrelationTable,2,FALSE()))</f>
        <v> </v>
      </c>
      <c r="CI36" s="336" t="str">
        <f aca="false">IF($A36="N/A"," ",F36+G36+(D36*('Pricing Inputs'!T69)))</f>
        <v> </v>
      </c>
      <c r="CJ36" s="334" t="str">
        <f aca="false">IF($A36="N/A"," ",IF(PV=1,0,'Pricing Inputs'!U69))</f>
        <v> </v>
      </c>
      <c r="CK36" s="337" t="str">
        <f aca="false">IF($A36="N/A"," ",(1+CJ36/2)^(-2*((EOMONTH(A36,0)+20)-DateToday)/365.25))</f>
        <v> </v>
      </c>
      <c r="CL36" s="338" t="str">
        <f aca="false">IF(A36="N/A"," ",IF(CC=2,(VLOOKUP(MONTH($A36),Hrtable,3))/1000,0))</f>
        <v> </v>
      </c>
      <c r="CM36" s="339" t="str">
        <f aca="false">IF(A36="N/A"," ",IF(CC=2,(CL36*C36)+F36,0))</f>
        <v> </v>
      </c>
      <c r="CN36" s="340" t="str">
        <f aca="false">IF($A36="N/A"," ",IF(CC=2,(VLOOKUP(A36,ScaledPrice,(IF(AND(Dayrun&gt;=1,Dayrun&lt;=6),2,4)))-((IF(R36&lt;&gt;0,$D36,$CL36)*$C36)+$F36+$G36)),0))</f>
        <v> </v>
      </c>
      <c r="CO36" s="340" t="str">
        <f aca="false">IF($A36="N/A"," ",IF(CC=2,(IF(AND(Dayrun&gt;=1,Dayrun&lt;=6),I36,(VLOOKUP(A36,ScaledPrice,2))*(2-(VLOOKUP(A36,ScaledPrice,3))))-((IF(S36&lt;&gt;0,$D36,$CL36)*$C36)+$F36+$G36)),0))</f>
        <v> </v>
      </c>
      <c r="CP36" s="340" t="str">
        <f aca="false">IF(A36="N/A"," ",IF(CC=2,(VLOOKUP(A36,ScaledPrice,9)-((IF(T36&lt;&gt;0,$D36,$CL36)*$C36)+$F36+$G36)),0))</f>
        <v> </v>
      </c>
      <c r="CQ36" s="340" t="str">
        <f aca="false">IF(A36="N/A"," ",IF(CC=2,(IF(OR(Dayrun=2,Dayrun=3,Dayrun=5,Dayrun=6,Dayrun=8,Dayrun=9),VLOOKUP(A36,ScaledPrice,IF(AND(Dayrun&gt;=2,Dayrun&lt;=6),5,6)),0)-((IF(U36&lt;&gt;0,$D36,$CL36)*$C36)+$F36+$G36)),0))</f>
        <v> </v>
      </c>
      <c r="CR36" s="340" t="str">
        <f aca="false">IF(A36="N/A"," ",IF(CC=2,(IF(OR(Dayrun=2,Dayrun=3,Dayrun=5,Dayrun=6,Dayrun=8,Dayrun=9),IF(AND(Dayrun&gt;=2,Dayrun&lt;=6),L36,(VLOOKUP(A36,ScaledPrice,5))*(2-(VLOOKUP(A36,ScaledPrice,3)))),0)-((IF(V36&lt;&gt;0,$D36,$CL36)*$C36)+$F36+$G36)),0))</f>
        <v> </v>
      </c>
      <c r="CS36" s="340" t="str">
        <f aca="false">IF(A36="N/A"," ",IF(CC=2,(VLOOKUP(A36,ScaledPrice,9)-((IF(W36&lt;&gt;0,$D36,$CL36)*$C36)+$F36+$G36)),0))</f>
        <v> </v>
      </c>
      <c r="CT36" s="340" t="str">
        <f aca="false">IF(A36="N/A"," ",IF(CC=2,(IF(OR(Dayrun=3,Dayrun=6,Dayrun=9),(VLOOKUP(A36,ScaledPrice,IF(AND(Dayrun&gt;=3,Dayrun&lt;=6),7,8))),0)-((IF(X36&lt;&gt;0,$D36,$CL36)*$C36)+$F36+$G36)),0))</f>
        <v> </v>
      </c>
      <c r="CU36" s="340" t="str">
        <f aca="false">IF(A36="N/A"," ",IF(CC=2,(IF(OR(Dayrun=3,Dayrun=6,Dayrun=9),IF(AND(Dayrun&gt;=3,Dayrun&lt;=6),O36,(VLOOKUP(A36,ScaledPrice,7))*(2-(VLOOKUP(A36,ScaledPrice,3)))),0)-((IF(Y36&lt;&gt;0,$D36,$CL36)*$C36)+$F36+$G36)),0))</f>
        <v> </v>
      </c>
      <c r="CV36" s="340" t="str">
        <f aca="false">IF(A36="N/A"," ",IF(CC=2,(VLOOKUP(A36,ScaledPrice,9)-((IF(Z36&lt;&gt;0,$D36,$CL36)*$C36)+$F36+$G36)),0))</f>
        <v> </v>
      </c>
      <c r="CW36" s="318" t="str">
        <f aca="false">IF($A36="N/A"," ",IF(0&lt;&gt;CN36,IF(CC=2,8*$HD36,0),0))</f>
        <v> </v>
      </c>
      <c r="CX36" s="318" t="str">
        <f aca="false">IF($A36="N/A"," ",IF(0&lt;&gt;CO36,IF(CC=2,8*$HD36,0),0))</f>
        <v> </v>
      </c>
      <c r="CY36" s="318" t="str">
        <f aca="false">IF($A36="N/A"," ",IF(0&lt;&gt;CP36,IF(CC=2,8*$HD36,0),0))</f>
        <v> </v>
      </c>
      <c r="CZ36" s="318" t="str">
        <f aca="false">IF($A36="N/A"," ",IF(0&lt;&gt;CQ36,IF(CC=2,8*$HE36,0),0))</f>
        <v> </v>
      </c>
      <c r="DA36" s="318" t="str">
        <f aca="false">IF($A36="N/A"," ",IF(0&lt;&gt;CR36,IF(CC=2,8*$HE36,0),0))</f>
        <v> </v>
      </c>
      <c r="DB36" s="318" t="str">
        <f aca="false">IF($A36="N/A"," ",IF(0&lt;&gt;CS36,IF(CC=2,8*$HE36,0),0))</f>
        <v> </v>
      </c>
      <c r="DC36" s="318" t="str">
        <f aca="false">IF($A36="N/A"," ",IF(0&lt;&gt;CT36,IF(CC=2,8*$HF36,0),0))</f>
        <v> </v>
      </c>
      <c r="DD36" s="318" t="str">
        <f aca="false">IF($A36="N/A"," ",IF(0&lt;&gt;CU36,IF(CC=2,8*$HF36,0),0))</f>
        <v> </v>
      </c>
      <c r="DE36" s="318" t="str">
        <f aca="false">IF($A36="N/A"," ",IF(0&lt;&gt;CV36,IF(CC=2,8*$HF36,0),0))</f>
        <v> </v>
      </c>
      <c r="DF36" s="341" t="str">
        <f aca="false">IF($A36="N/A"," ",IF(CC=2,(IF(MONTH(A36)&gt;=4,IF(MONTH(A36)&lt;=10,Inputs!$G$13,Inputs!$G$14),Inputs!$G$14))*$CK36,0))</f>
        <v> </v>
      </c>
      <c r="DG36" s="342" t="str">
        <f aca="false">IF($A36="N/A"," ",IF(CC=2,$DF36*CW36*CN36,0))</f>
        <v> </v>
      </c>
      <c r="DH36" s="342" t="str">
        <f aca="false">IF($A36="N/A"," ",IF(CC=2,$DF36*CX36*CO36,0))</f>
        <v> </v>
      </c>
      <c r="DI36" s="342" t="str">
        <f aca="false">IF($A36="N/A"," ",IF(CC=2,$DF36*CY36*CP36,0))</f>
        <v> </v>
      </c>
      <c r="DJ36" s="342" t="str">
        <f aca="false">IF($A36="N/A"," ",IF(CC=2,$DF36*CZ36*CQ36,0))</f>
        <v> </v>
      </c>
      <c r="DK36" s="342" t="str">
        <f aca="false">IF($A36="N/A"," ",IF(CC=2,$DF36*DA36*CR36,0))</f>
        <v> </v>
      </c>
      <c r="DL36" s="342" t="str">
        <f aca="false">IF($A36="N/A"," ",IF(CC=2,$DF36*DB36*CS36,0))</f>
        <v> </v>
      </c>
      <c r="DM36" s="342" t="str">
        <f aca="false">IF($A36="N/A"," ",IF(CC=2,$DF36*DC36*CT36,0))</f>
        <v> </v>
      </c>
      <c r="DN36" s="342" t="str">
        <f aca="false">IF($A36="N/A"," ",IF(CC=2,$DF36*DD36*CU36,0))</f>
        <v> </v>
      </c>
      <c r="DO36" s="342" t="str">
        <f aca="false">IF($A36="N/A"," ",IF(CC=2,$DF36*DE36*CV36,0))</f>
        <v> </v>
      </c>
      <c r="DP36" s="343" t="str">
        <f aca="false">IF($A36="N/A"," ",IF(CC=2,SUM(DG36:DO36),0))</f>
        <v> </v>
      </c>
      <c r="DQ36" s="0" t="str">
        <f aca="false">IF(A36="N/A"," ",Perstart)</f>
        <v> </v>
      </c>
      <c r="HD36" s="0" t="str">
        <f aca="false">IF($A36="N/A"," ",VLOOKUP($A36,NumberofDaysTable,2))</f>
        <v> </v>
      </c>
      <c r="HE36" s="0" t="str">
        <f aca="false">IF($A36="N/A"," ",VLOOKUP($A36,NumberofDaysTable,3))</f>
        <v> </v>
      </c>
      <c r="HF36" s="0" t="str">
        <f aca="false">IF($A36="N/A"," ",VLOOKUP($A36,NumberofDaysTable,4))</f>
        <v> </v>
      </c>
    </row>
    <row r="37" customFormat="false" ht="12.75" hidden="false" customHeight="false" outlineLevel="0" collapsed="false">
      <c r="A37" s="308" t="str">
        <f aca="false">IF(A36="N/A","N/A",IF(EDATE(A36,1)&gt;Inputs!$K$3,"N/A",EDATE(A36,1)))</f>
        <v>N/A</v>
      </c>
      <c r="B37" s="309" t="str">
        <f aca="false">IF(A37="N/A"," ",YEAR(A37))</f>
        <v> </v>
      </c>
      <c r="C37" s="310" t="str">
        <f aca="false">IF(A37="N/A"," ",VLOOKUP(A37,ScaledPrice,10))</f>
        <v> </v>
      </c>
      <c r="D37" s="311" t="str">
        <f aca="false">IF(A37="N/A"," ",(VLOOKUP(MONTH($A37),Hrtable,2))/1000)</f>
        <v> </v>
      </c>
      <c r="E37" s="312" t="str">
        <f aca="false">IF($A37="N/A"," ",(C37-'Pricing Inputs'!T70)*D37)</f>
        <v> </v>
      </c>
      <c r="F37" s="313" t="str">
        <f aca="false">IF(A37="N/A"," ",$F25*(1+VOMesc))</f>
        <v> </v>
      </c>
      <c r="G37" s="313" t="str">
        <f aca="false">IF(A37="N/A"," ",Perstart/IF(AND(Dayrun&gt;=4,Dayrun&lt;=6),16,IF(AND(Dayrun&gt;=7,Dayrun&lt;=9),8,24))/(BM37/CK37))</f>
        <v> </v>
      </c>
      <c r="H37" s="314" t="str">
        <f aca="false">IF(A37="N/A"," ",(C37*D37)+F37+G37)</f>
        <v> </v>
      </c>
      <c r="I37" s="315" t="str">
        <f aca="false">VLOOKUP(A37,ScaledPrice,(IF(AND(Dayrun&gt;=1,Dayrun&lt;=6),2,4)))</f>
        <v> </v>
      </c>
      <c r="J37" s="315" t="str">
        <f aca="false">IF(A37="N/A"," ",IF(AND(Dayrun&gt;=1,Dayrun&lt;=6),I37,(VLOOKUP(A37,ScaledPrice,2))*(2-(VLOOKUP(A37,ScaledPrice,3)))))</f>
        <v> </v>
      </c>
      <c r="K37" s="315" t="str">
        <f aca="false">IF(A37="N/A"," ",IF(AND(Dayrun&gt;=1,Dayrun&lt;=3),VLOOKUP(A37,ScaledPrice,9),0))</f>
        <v> </v>
      </c>
      <c r="L37" s="315" t="str">
        <f aca="false">IF(A37="N/A"," ",IF(OR(Dayrun=2,Dayrun=3,Dayrun=5,Dayrun=6,Dayrun=8,Dayrun=9),VLOOKUP(A37,ScaledPrice,IF(AND(Dayrun&gt;=2,Dayrun&lt;=6),5,6)),0))</f>
        <v> </v>
      </c>
      <c r="M37" s="315" t="str">
        <f aca="false">IF(A37="N/A"," ",IF(OR(Dayrun=2,Dayrun=3,Dayrun=5,Dayrun=6,Dayrun=8,Dayrun=9),IF(AND(Dayrun&gt;=2,Dayrun&lt;=6),L37,(VLOOKUP(A37,ScaledPrice,5))*(2-(VLOOKUP(A37,ScaledPrice,3)))),0))</f>
        <v> </v>
      </c>
      <c r="N37" s="315" t="str">
        <f aca="false">IF(A37="N/A"," ",IF(AND(Dayrun&gt;1,Dayrun&lt;=3),VLOOKUP(A37,ScaledPrice,9),0))</f>
        <v> </v>
      </c>
      <c r="O37" s="315" t="str">
        <f aca="false">IF(A37="N/A"," ",IF(OR(Dayrun=3,Dayrun=6,Dayrun=9),(VLOOKUP(A37,ScaledPrice,IF(AND(Dayrun&gt;=3,Dayrun&lt;=6),7,8))),0))</f>
        <v> </v>
      </c>
      <c r="P37" s="315" t="str">
        <f aca="false">IF(A37="N/A"," ",IF(OR(Dayrun=3,Dayrun=6,Dayrun=9),IF(AND(Dayrun&gt;=3,Dayrun&lt;=6),O37,(VLOOKUP(A37,ScaledPrice,7))*(2-(VLOOKUP(A37,ScaledPrice,3)))),0))</f>
        <v> </v>
      </c>
      <c r="Q37" s="315" t="str">
        <f aca="false">IF(A37="N/A"," ",IF(AND(Dayrun&gt;2,Dayrun&lt;=3),VLOOKUP(A37,ScaledPrice,9),0))</f>
        <v> </v>
      </c>
      <c r="R37" s="316" t="str">
        <f aca="false">IF($A37="N/A"," ",IF(Pricetype=2,MAX(I37-$H37,0),IF(Pricetype=1,(xSPRDOPT(I37,$E37,$CI37,0,($CD37+IF(Smile=TRUE(),VLOOKUP(MAX(-5,$H37-I37),Volsmile,2),0)),$CG37,$CH37,($A37-DateToday)+15,1,0)),I37-$H37)))</f>
        <v> </v>
      </c>
      <c r="S37" s="316" t="str">
        <f aca="false">IF($A37="N/A"," ",IF(Pricetype=2,MAX(J37-$H37,0),IF(Pricetype=1,(xSPRDOPT(J37,$E37,$CI37,0,($CD37+IF(Smile=TRUE(),VLOOKUP(MAX(-5,$H37-J37),Volsmile,2),0)),$CG37,$CH37,($A37-DateToday)+15,1,0)),J37-$H37)))</f>
        <v> </v>
      </c>
      <c r="T37" s="317" t="str">
        <f aca="false">IF($A37="N/A"," ",(IF(Pricetype=2,IF((K37-$H37)&lt;=0,0,(K37-$H37)),IF(K37&lt;&gt;0,(K37-$H37),0))))</f>
        <v> </v>
      </c>
      <c r="U37" s="316" t="str">
        <f aca="false">IF($A37="N/A"," ",IF(Pricetype=2,MAX(L37-$H37,0),IF(L37&lt;&gt;0,IF(Pricetype=1,(xSPRDOPT(L37,$E37,$CI37,0,($CD37+IF(Smile=TRUE(),VLOOKUP(MAX(-5,$H37-L37),Volsmile,2),0)),$CG37,$CH37,($A37-DateToday)+15,1,0)),L37-$H37),0)))</f>
        <v> </v>
      </c>
      <c r="V37" s="316" t="str">
        <f aca="false">IF($A37="N/A"," ",IF(Pricetype=2,MAX(M37-$H37,0),IF(M37&lt;&gt;0,IF(Pricetype=1,(xSPRDOPT(M37,$E37,$CI37,0,($CD37+IF(Smile=TRUE(),VLOOKUP(MAX(-5,$H37-M37),Volsmile,2),0)),$CG37,$CH37,($A37-DateToday)+15,1,0)),M37-$H37),0)))</f>
        <v> </v>
      </c>
      <c r="W37" s="317" t="str">
        <f aca="false">IF($A37="N/A"," ",(IF(Pricetype=2,IF((N37-$H37)&lt;=0,0,(N37-$H37)),IF(N37&lt;&gt;0,(N37-$H37),0))))</f>
        <v> </v>
      </c>
      <c r="X37" s="316" t="str">
        <f aca="false">IF($A37="N/A"," ",IF(Pricetype=2,MAX(O37-$H37,0),IF(O37&lt;&gt;0,IF(Pricetype=1,(xSPRDOPT(O37,$E37,$CI37,0,($CD37+IF(Smile=TRUE(),VLOOKUP(MAX(-5,$H37-O37),Volsmile,2),0)),$CG37,$CH37,($A37-DateToday)+15,1,0)),O37-$H37),0)))</f>
        <v> </v>
      </c>
      <c r="Y37" s="316" t="str">
        <f aca="false">IF($A37="N/A"," ",IF(Pricetype=2,MAX(P37-$H37,0),IF(P37&lt;&gt;0,IF(Pricetype=1,(xSPRDOPT(P37,$E37,$CI37,0,($CD37+IF(Smile=TRUE(),VLOOKUP(MAX(-5,$H37-P37),Volsmile,2),0)),$CG37,$CH37,($A37-DateToday)+15,1,0)),P37-$H37),0)))</f>
        <v> </v>
      </c>
      <c r="Z37" s="317" t="str">
        <f aca="false">IF($A37="N/A"," ",(IF(Pricetype=2,IF((Q37-$H37)&lt;=0,0,(Q37-$H37)),IF(Q37&lt;&gt;0,(Q37-$H37),0))))</f>
        <v> </v>
      </c>
      <c r="AA37" s="318" t="str">
        <f aca="false">IF($A37="N/A"," ",IF(VLOOKUP(MONTH(A37),ManualTable,2)=1,(IF(0&lt;&gt;R37,IF(Pricetype=1,(xSPRDOPT(I37,$E37,$CI37,0,($CD37+IF(Smile=TRUE(),VLOOKUP(MAX(-5,$H37-I37),Volsmile,2),0)),$CG37,$CH37,($A37-DateToday)+15,1,1))*(8*$HD37),8*$HD37),0)),0))</f>
        <v> </v>
      </c>
      <c r="AB37" s="318" t="str">
        <f aca="false">IF($A37="N/A"," ",IF(VLOOKUP(MONTH(A37),ManualTable,3)=1,(IF(S37&lt;&gt;0,IF(Pricetype=1,(xSPRDOPT(J37,$E37,$CI37,0,($CD37+IF(Smile=TRUE(),VLOOKUP(MAX(-5,$H37-J37),Volsmile,2),0)),$CG37,$CH37,($A37-DateToday)+15,1,1))*(8*$HD37),8*$HD37),0)),0))</f>
        <v> </v>
      </c>
      <c r="AC37" s="318" t="str">
        <f aca="false">IF($A37="N/A"," ",IF(VLOOKUP(MONTH(A37),ManualTable,4)=1,(IF(T37&lt;&gt;0,(8*$HD37),0)),0))</f>
        <v> </v>
      </c>
      <c r="AD37" s="318" t="str">
        <f aca="false">IF($A37="N/A"," ",IF(VLOOKUP(MONTH(A37),ManualTable,5)=1,(IF(U37&lt;&gt;0,IF(Pricetype=1,(xSPRDOPT(L37,$E37,$CI37,0,($CD37+IF(Smile=TRUE(),VLOOKUP(MAX(-5,$H37-L37),Volsmile,2),0)),$CG37,$CH37,($A37-DateToday)+15,1,1))*(8*$HE37),8*$HE37),0)),0))</f>
        <v> </v>
      </c>
      <c r="AE37" s="318" t="str">
        <f aca="false">IF($A37="N/A"," ",IF(VLOOKUP(MONTH(A37),ManualTable,6)=1,(IF(V37&lt;&gt;0,IF(Pricetype=1,(xSPRDOPT(M37,$E37,$CI37,0,($CD37+IF(Smile=TRUE(),VLOOKUP(MAX(-5,$H37-M37),Volsmile,2),0)),$CG37,$CH37,($A37-DateToday)+15,1,1))*(8*$HE37),8*$HE37),0)),0))</f>
        <v> </v>
      </c>
      <c r="AF37" s="318" t="str">
        <f aca="false">IF($A37="N/A"," ",IF(VLOOKUP(MONTH(A37),ManualTable,7)=1,(IF(W37&lt;&gt;0,(8*$HE37),0)),0))</f>
        <v> </v>
      </c>
      <c r="AG37" s="318" t="str">
        <f aca="false">IF($A37="N/A"," ",IF(VLOOKUP(MONTH(A37),ManualTable,8)=1,(IF(X37&lt;&gt;0,IF(Pricetype=1,(xSPRDOPT(O37,$E37,$CI37,0,($CD37+IF(Smile=TRUE(),VLOOKUP(MAX(-5,$H37-O37),Volsmile,2),0)),$CG37,$CH37,($A37-DateToday)+15,1,1))*(8*$HF37),8*$HF37),0)),0))</f>
        <v> </v>
      </c>
      <c r="AH37" s="318" t="str">
        <f aca="false">IF($A37="N/A"," ",IF(VLOOKUP(MONTH(A37),ManualTable,9)=1,(IF(Y37&lt;&gt;0,IF(Pricetype=1,(xSPRDOPT(P37,$E37,$CI37,0,($CD37+IF(Smile=TRUE(),VLOOKUP(MAX(-5,$H37-P37),Volsmile,2),0)),$CG37,$CH37,($A37-DateToday)+15,1,1))*(8*$HF37),8*$HF37),0)),0))</f>
        <v> </v>
      </c>
      <c r="AI37" s="318" t="str">
        <f aca="false">IF($A37="N/A"," ",IF(VLOOKUP(MONTH(A37),ManualTable,10)=1,(IF(Z37&lt;&gt;0,(8*($HF37)),0)),0))</f>
        <v> </v>
      </c>
      <c r="AJ37" s="344" t="str">
        <f aca="false">IF($A37="N/A"," ",RANK(R37,$R$28:$Z$39))</f>
        <v> </v>
      </c>
      <c r="AK37" s="321" t="str">
        <f aca="false">IF($A37="N/A"," ",RANK(S37,$R$28:$Z$39))</f>
        <v> </v>
      </c>
      <c r="AL37" s="321" t="str">
        <f aca="false">IF($A37="N/A"," ",RANK(T37,$R$28:$Z$39))</f>
        <v> </v>
      </c>
      <c r="AM37" s="321" t="str">
        <f aca="false">IF($A37="N/A"," ",RANK(U37,$R$28:$Z$39))</f>
        <v> </v>
      </c>
      <c r="AN37" s="321" t="str">
        <f aca="false">IF($A37="N/A"," ",RANK(V37,$R$28:$Z$39))</f>
        <v> </v>
      </c>
      <c r="AO37" s="321" t="str">
        <f aca="false">IF($A37="N/A"," ",RANK(W37,$R$28:$Z$39))</f>
        <v> </v>
      </c>
      <c r="AP37" s="321" t="str">
        <f aca="false">IF($A37="N/A"," ",RANK(X37,$R$28:$Z$39))</f>
        <v> </v>
      </c>
      <c r="AQ37" s="321" t="str">
        <f aca="false">IF($A37="N/A"," ",RANK(Y37,$R$28:$Z$39))</f>
        <v> </v>
      </c>
      <c r="AR37" s="345" t="str">
        <f aca="false">IF($A37="N/A"," ",RANK(Z37,$R$28:$Z$39))</f>
        <v> </v>
      </c>
      <c r="AS37" s="323" t="str">
        <f aca="false">IF($A37="N/A"," ",IF(AJ37&lt;=$AR$2,AA37,0))</f>
        <v> </v>
      </c>
      <c r="AT37" s="325" t="str">
        <f aca="false">IF($A37="N/A"," ",IF(AK37&lt;=$AR$2,AB37,0))</f>
        <v> </v>
      </c>
      <c r="AU37" s="325" t="str">
        <f aca="false">IF($A37="N/A"," ",IF(AL37&lt;=$AR$2,AC37,0))</f>
        <v> </v>
      </c>
      <c r="AV37" s="325" t="str">
        <f aca="false">IF($A37="N/A"," ",IF(AM37&lt;=$AR$2,AD37,0))</f>
        <v> </v>
      </c>
      <c r="AW37" s="325" t="str">
        <f aca="false">IF($A37="N/A"," ",IF(AN37&lt;=$AR$2,AE37,0))</f>
        <v> </v>
      </c>
      <c r="AX37" s="325" t="str">
        <f aca="false">IF($A37="N/A"," ",IF(AO37&lt;=$AR$2,AF37,0))</f>
        <v> </v>
      </c>
      <c r="AY37" s="325" t="str">
        <f aca="false">IF($A37="N/A"," ",IF(AP37&lt;=$AR$2,AG37,0))</f>
        <v> </v>
      </c>
      <c r="AZ37" s="325" t="str">
        <f aca="false">IF($A37="N/A"," ",IF(AQ37&lt;=$AR$2,AH37,0))</f>
        <v> </v>
      </c>
      <c r="BA37" s="325" t="str">
        <f aca="false">IF($A37="N/A"," ",IF(AR37&lt;=$AR$2,AI37,0))</f>
        <v> </v>
      </c>
      <c r="BB37" s="348" t="s">
        <v>1319</v>
      </c>
      <c r="BC37" s="326" t="str">
        <f aca="false">IF($A37="N/A"," ",IF(AND(AJ37=$AR$2+1,AS37=0),MIN($BB$39,AA37),0))</f>
        <v> </v>
      </c>
      <c r="BD37" s="346" t="str">
        <f aca="false">IF($A37="N/A"," ",IF(AND(AK37=$AR$2+1,AT37=0),MIN($BB$39,AB37),0))</f>
        <v> </v>
      </c>
      <c r="BE37" s="346" t="str">
        <f aca="false">IF($A37="N/A"," ",IF(AND(AL37=$AR$2+1,AU37=0),MIN($BB$39,AC37),0))</f>
        <v> </v>
      </c>
      <c r="BF37" s="346" t="str">
        <f aca="false">IF($A37="N/A"," ",IF(AND(AM37=$AR$2+1,AV37=0),MIN($BB$39,AD37),0))</f>
        <v> </v>
      </c>
      <c r="BG37" s="346" t="str">
        <f aca="false">IF($A37="N/A"," ",IF(AND(AN37=$AR$2+1,AW37=0),MIN($BB$39,AE37),0))</f>
        <v> </v>
      </c>
      <c r="BH37" s="346" t="str">
        <f aca="false">IF($A37="N/A"," ",IF(AND(AO37=$AR$2+1,AX37=0),MIN($BB$39,AF37),0))</f>
        <v> </v>
      </c>
      <c r="BI37" s="346" t="str">
        <f aca="false">IF($A37="N/A"," ",IF(AND(AP37=$AR$2+1,AY37=0),MIN($BB$39,AG37),0))</f>
        <v> </v>
      </c>
      <c r="BJ37" s="346" t="str">
        <f aca="false">IF($A37="N/A"," ",IF(AND(AQ37=$AR$2+1,AZ37=0),MIN($BB$39,AH37),0))</f>
        <v> </v>
      </c>
      <c r="BK37" s="346" t="str">
        <f aca="false">IF($A37="N/A"," ",IF(AND(AR37=$AR$2+1,BA37=0),MIN($BB$39,AI37),0))</f>
        <v> </v>
      </c>
      <c r="BL37" s="347" t="s">
        <v>1359</v>
      </c>
      <c r="BM37" s="329" t="str">
        <f aca="false">IF($A37="N/A"," ",(IF(MONTH(A37)&gt;=4,IF(MONTH(A37)&lt;=10,Inputs!$F$13-Inputs!$G$13,Inputs!$F$14-Inputs!$G$14),Inputs!$F$14-Inputs!$G$14))*$CK37*Availability)</f>
        <v> </v>
      </c>
      <c r="BN37" s="330" t="str">
        <f aca="false">IF($A37="N/A"," ",(IF(AS37&gt;0,($BM37*(8*($HD37))*R37),0)+IF(BC37&gt;0,($BM37*((BC37/AA37)*8*$HD37)*R37),0)))</f>
        <v> </v>
      </c>
      <c r="BO37" s="330" t="str">
        <f aca="false">IF($A37="N/A"," ",(IF(AT37&gt;0,($BM37*(8*($HD37))*S37),0)+IF(BD37&gt;0,($BM37*((BD37/AB37)*8*$HD37)*S37),0)))</f>
        <v> </v>
      </c>
      <c r="BP37" s="330" t="str">
        <f aca="false">IF($A37="N/A"," ",(IF(AU37&gt;0,($BM37*(8*($HD37))*T37),0)+IF(BE37&gt;0,($BM37*((BE37))*T37),0)))</f>
        <v> </v>
      </c>
      <c r="BQ37" s="330" t="str">
        <f aca="false">IF($A37="N/A"," ",(IF(AV37&gt;0,($BM37*(8*($HE37))*U37),0)+IF(BF37&gt;0,($BM37*((BF37/AD37)*8*$HE37)*U37),0)))</f>
        <v> </v>
      </c>
      <c r="BR37" s="330" t="str">
        <f aca="false">IF($A37="N/A"," ",(IF(AW37&gt;0,($BM37*(8*($HE37))*V37),0)+IF(BG37&gt;0,($BM37*((BG37/AE37)*8*$HE37)*V37),0)))</f>
        <v> </v>
      </c>
      <c r="BS37" s="330" t="str">
        <f aca="false">IF($A37="N/A"," ",(IF(AX37&gt;0,($BM37*(8*($HE37))*W37),0)+IF(BH37&gt;0,($BM37*((BH37))*W37),0)))</f>
        <v> </v>
      </c>
      <c r="BT37" s="330" t="str">
        <f aca="false">IF($A37="N/A"," ",(IF(AY37&gt;0,($BM37*(8*($HF37))*X37),0)+IF(BI37&gt;0,($BM37*((BI37/AG37)*8*$HF37)*X37),0)))</f>
        <v> </v>
      </c>
      <c r="BU37" s="330" t="str">
        <f aca="false">IF($A37="N/A"," ",(IF(AZ37&gt;0,($BM37*(8*($HF37))*Y37),0)+IF(BJ37&gt;0,($BM37*((BJ37/AH37)*8*$HF37)*Y37),0)))</f>
        <v> </v>
      </c>
      <c r="BV37" s="330" t="str">
        <f aca="false">IF($A37="N/A"," ",(IF(BA37&gt;0,($BM37*(8*($HF37))*Z37),0)+IF(BK37&gt;0,($BM37*((BK37))*Z37),0)))</f>
        <v> </v>
      </c>
      <c r="BW37" s="330" t="str">
        <f aca="false">IF($A37="N/A"," ",SUM(BN37:BV37))</f>
        <v> </v>
      </c>
      <c r="BX37" s="331" t="str">
        <f aca="false">IF($A37="N/A"," ",(H37*(SUM(AS37:BA37)+SUM(BC37:BK37))*BM37))</f>
        <v> </v>
      </c>
      <c r="BY37" s="332" t="str">
        <f aca="false">IF($A37="N/A"," ",((C37*D37)*(SUM($AS37:$BA37)+SUM($BC37:$BK37))*$BM37))</f>
        <v> </v>
      </c>
      <c r="BZ37" s="332" t="str">
        <f aca="false">IF($A37="N/A"," ",(F37*(SUM($AS37:$BA37)+SUM($BC37:$BK37))*$BM37))</f>
        <v> </v>
      </c>
      <c r="CA37" s="333" t="str">
        <f aca="false">IF($A37="N/A"," ",(G37*(SUM($AS37:$BA37)+SUM($BC37:$BK37))*$BM37))</f>
        <v> </v>
      </c>
      <c r="CB37" s="334" t="str">
        <f aca="false">IF(A37="N/A"," ",(VLOOKUP(A37,PowerVolTable,(IF(BMO=2,7,IF(BMO=1,6,8))),FALSE())))</f>
        <v> </v>
      </c>
      <c r="CC37" s="334" t="str">
        <f aca="false">IF(A37="N/A"," ",(VLOOKUP(A37,IntraPowerVol,(IF(BMO=2,3,IF(BMO=1,2,4))),FALSE())*VLOOKUP(MONTH($A37),Volscale,2)))</f>
        <v> </v>
      </c>
      <c r="CD37" s="335" t="str">
        <f aca="false">IF($A37="N/A"," ",(IF(DateToday&gt;$A37,$CC37,((($CB37^2)*((($A37-1)-DateToday)/((EOMONTH($A37,0)+1)-DateToday-15)))+((($CC37)^2)*((15)/((EOMONTH($A37,0)+1)-DateToday-15))))^0.5)))</f>
        <v> </v>
      </c>
      <c r="CE37" s="334" t="str">
        <f aca="false">IF($A37="N/A"," ",(VLOOKUP($A37,GasVolTable,(IF(BMO=2,6,IF(BMO=1,7,5))),FALSE())))</f>
        <v> </v>
      </c>
      <c r="CF37" s="334" t="str">
        <f aca="false">IF($A37="N/A"," ",(VLOOKUP($A37,OmicronVol,(IF(BMO=2,3,IF(BMO=1,4,2))),FALSE())))</f>
        <v> </v>
      </c>
      <c r="CG37" s="335" t="str">
        <f aca="false">IF($A37="N/A"," ",(IF(DateToday&gt;$A37,$CF37,((($CE37^2)*((($A37-1)-DateToday)/((EOMONTH($A37,0)+1)-DateToday-15)))+((($CF37)^2)*((15)/((EOMONTH($A37,0)+1)-DateToday-15))))^0.5)))</f>
        <v> </v>
      </c>
      <c r="CH37" s="334" t="str">
        <f aca="false">IF($A37="N/A"," ",VLOOKUP($A37,CorrelationTable,2,FALSE()))</f>
        <v> </v>
      </c>
      <c r="CI37" s="336" t="str">
        <f aca="false">IF($A37="N/A"," ",F37+G37+(D37*('Pricing Inputs'!T70)))</f>
        <v> </v>
      </c>
      <c r="CJ37" s="334" t="str">
        <f aca="false">IF($A37="N/A"," ",IF(PV=1,0,'Pricing Inputs'!U70))</f>
        <v> </v>
      </c>
      <c r="CK37" s="337" t="str">
        <f aca="false">IF($A37="N/A"," ",(1+CJ37/2)^(-2*((EOMONTH(A37,0)+20)-DateToday)/365.25))</f>
        <v> </v>
      </c>
      <c r="CL37" s="338" t="str">
        <f aca="false">IF(A37="N/A"," ",IF(CC=2,(VLOOKUP(MONTH($A37),Hrtable,3))/1000,0))</f>
        <v> </v>
      </c>
      <c r="CM37" s="339" t="str">
        <f aca="false">IF(A37="N/A"," ",IF(CC=2,(CL37*C37)+F37,0))</f>
        <v> </v>
      </c>
      <c r="CN37" s="340" t="str">
        <f aca="false">IF($A37="N/A"," ",IF(CC=2,(VLOOKUP(A37,ScaledPrice,(IF(AND(Dayrun&gt;=1,Dayrun&lt;=6),2,4)))-((IF(R37&lt;&gt;0,$D37,$CL37)*$C37)+$F37+$G37)),0))</f>
        <v> </v>
      </c>
      <c r="CO37" s="340" t="str">
        <f aca="false">IF($A37="N/A"," ",IF(CC=2,(IF(AND(Dayrun&gt;=1,Dayrun&lt;=6),I37,(VLOOKUP(A37,ScaledPrice,2))*(2-(VLOOKUP(A37,ScaledPrice,3))))-((IF(S37&lt;&gt;0,$D37,$CL37)*$C37)+$F37+$G37)),0))</f>
        <v> </v>
      </c>
      <c r="CP37" s="340" t="str">
        <f aca="false">IF(A37="N/A"," ",IF(CC=2,(VLOOKUP(A37,ScaledPrice,9)-((IF(T37&lt;&gt;0,$D37,$CL37)*$C37)+$F37+$G37)),0))</f>
        <v> </v>
      </c>
      <c r="CQ37" s="340" t="str">
        <f aca="false">IF(A37="N/A"," ",IF(CC=2,(IF(OR(Dayrun=2,Dayrun=3,Dayrun=5,Dayrun=6,Dayrun=8,Dayrun=9),VLOOKUP(A37,ScaledPrice,IF(AND(Dayrun&gt;=2,Dayrun&lt;=6),5,6)),0)-((IF(U37&lt;&gt;0,$D37,$CL37)*$C37)+$F37+$G37)),0))</f>
        <v> </v>
      </c>
      <c r="CR37" s="340" t="str">
        <f aca="false">IF(A37="N/A"," ",IF(CC=2,(IF(OR(Dayrun=2,Dayrun=3,Dayrun=5,Dayrun=6,Dayrun=8,Dayrun=9),IF(AND(Dayrun&gt;=2,Dayrun&lt;=6),L37,(VLOOKUP(A37,ScaledPrice,5))*(2-(VLOOKUP(A37,ScaledPrice,3)))),0)-((IF(V37&lt;&gt;0,$D37,$CL37)*$C37)+$F37+$G37)),0))</f>
        <v> </v>
      </c>
      <c r="CS37" s="340" t="str">
        <f aca="false">IF(A37="N/A"," ",IF(CC=2,(VLOOKUP(A37,ScaledPrice,9)-((IF(W37&lt;&gt;0,$D37,$CL37)*$C37)+$F37+$G37)),0))</f>
        <v> </v>
      </c>
      <c r="CT37" s="340" t="str">
        <f aca="false">IF(A37="N/A"," ",IF(CC=2,(IF(OR(Dayrun=3,Dayrun=6,Dayrun=9),(VLOOKUP(A37,ScaledPrice,IF(AND(Dayrun&gt;=3,Dayrun&lt;=6),7,8))),0)-((IF(X37&lt;&gt;0,$D37,$CL37)*$C37)+$F37+$G37)),0))</f>
        <v> </v>
      </c>
      <c r="CU37" s="340" t="str">
        <f aca="false">IF(A37="N/A"," ",IF(CC=2,(IF(OR(Dayrun=3,Dayrun=6,Dayrun=9),IF(AND(Dayrun&gt;=3,Dayrun&lt;=6),O37,(VLOOKUP(A37,ScaledPrice,7))*(2-(VLOOKUP(A37,ScaledPrice,3)))),0)-((IF(Y37&lt;&gt;0,$D37,$CL37)*$C37)+$F37+$G37)),0))</f>
        <v> </v>
      </c>
      <c r="CV37" s="340" t="str">
        <f aca="false">IF(A37="N/A"," ",IF(CC=2,(VLOOKUP(A37,ScaledPrice,9)-((IF(Z37&lt;&gt;0,$D37,$CL37)*$C37)+$F37+$G37)),0))</f>
        <v> </v>
      </c>
      <c r="CW37" s="318" t="str">
        <f aca="false">IF($A37="N/A"," ",IF(0&lt;&gt;CN37,IF(CC=2,8*$HD37,0),0))</f>
        <v> </v>
      </c>
      <c r="CX37" s="318" t="str">
        <f aca="false">IF($A37="N/A"," ",IF(0&lt;&gt;CO37,IF(CC=2,8*$HD37,0),0))</f>
        <v> </v>
      </c>
      <c r="CY37" s="318" t="str">
        <f aca="false">IF($A37="N/A"," ",IF(0&lt;&gt;CP37,IF(CC=2,8*$HD37,0),0))</f>
        <v> </v>
      </c>
      <c r="CZ37" s="318" t="str">
        <f aca="false">IF($A37="N/A"," ",IF(0&lt;&gt;CQ37,IF(CC=2,8*$HE37,0),0))</f>
        <v> </v>
      </c>
      <c r="DA37" s="318" t="str">
        <f aca="false">IF($A37="N/A"," ",IF(0&lt;&gt;CR37,IF(CC=2,8*$HE37,0),0))</f>
        <v> </v>
      </c>
      <c r="DB37" s="318" t="str">
        <f aca="false">IF($A37="N/A"," ",IF(0&lt;&gt;CS37,IF(CC=2,8*$HE37,0),0))</f>
        <v> </v>
      </c>
      <c r="DC37" s="318" t="str">
        <f aca="false">IF($A37="N/A"," ",IF(0&lt;&gt;CT37,IF(CC=2,8*$HF37,0),0))</f>
        <v> </v>
      </c>
      <c r="DD37" s="318" t="str">
        <f aca="false">IF($A37="N/A"," ",IF(0&lt;&gt;CU37,IF(CC=2,8*$HF37,0),0))</f>
        <v> </v>
      </c>
      <c r="DE37" s="318" t="str">
        <f aca="false">IF($A37="N/A"," ",IF(0&lt;&gt;CV37,IF(CC=2,8*$HF37,0),0))</f>
        <v> </v>
      </c>
      <c r="DF37" s="341" t="str">
        <f aca="false">IF($A37="N/A"," ",IF(CC=2,(IF(MONTH(A37)&gt;=4,IF(MONTH(A37)&lt;=10,Inputs!$G$13,Inputs!$G$14),Inputs!$G$14))*$CK37,0))</f>
        <v> </v>
      </c>
      <c r="DG37" s="342" t="str">
        <f aca="false">IF($A37="N/A"," ",IF(CC=2,$DF37*CW37*CN37,0))</f>
        <v> </v>
      </c>
      <c r="DH37" s="342" t="str">
        <f aca="false">IF($A37="N/A"," ",IF(CC=2,$DF37*CX37*CO37,0))</f>
        <v> </v>
      </c>
      <c r="DI37" s="342" t="str">
        <f aca="false">IF($A37="N/A"," ",IF(CC=2,$DF37*CY37*CP37,0))</f>
        <v> </v>
      </c>
      <c r="DJ37" s="342" t="str">
        <f aca="false">IF($A37="N/A"," ",IF(CC=2,$DF37*CZ37*CQ37,0))</f>
        <v> </v>
      </c>
      <c r="DK37" s="342" t="str">
        <f aca="false">IF($A37="N/A"," ",IF(CC=2,$DF37*DA37*CR37,0))</f>
        <v> </v>
      </c>
      <c r="DL37" s="342" t="str">
        <f aca="false">IF($A37="N/A"," ",IF(CC=2,$DF37*DB37*CS37,0))</f>
        <v> </v>
      </c>
      <c r="DM37" s="342" t="str">
        <f aca="false">IF($A37="N/A"," ",IF(CC=2,$DF37*DC37*CT37,0))</f>
        <v> </v>
      </c>
      <c r="DN37" s="342" t="str">
        <f aca="false">IF($A37="N/A"," ",IF(CC=2,$DF37*DD37*CU37,0))</f>
        <v> </v>
      </c>
      <c r="DO37" s="342" t="str">
        <f aca="false">IF($A37="N/A"," ",IF(CC=2,$DF37*DE37*CV37,0))</f>
        <v> </v>
      </c>
      <c r="DP37" s="343" t="str">
        <f aca="false">IF($A37="N/A"," ",IF(CC=2,SUM(DG37:DO37),0))</f>
        <v> </v>
      </c>
      <c r="DQ37" s="0" t="str">
        <f aca="false">IF(A37="N/A"," ",Perstart)</f>
        <v> </v>
      </c>
      <c r="HD37" s="0" t="str">
        <f aca="false">IF($A37="N/A"," ",VLOOKUP($A37,NumberofDaysTable,2))</f>
        <v> </v>
      </c>
      <c r="HE37" s="0" t="str">
        <f aca="false">IF($A37="N/A"," ",VLOOKUP($A37,NumberofDaysTable,3))</f>
        <v> </v>
      </c>
      <c r="HF37" s="0" t="str">
        <f aca="false">IF($A37="N/A"," ",VLOOKUP($A37,NumberofDaysTable,4))</f>
        <v> </v>
      </c>
    </row>
    <row r="38" customFormat="false" ht="12.75" hidden="false" customHeight="false" outlineLevel="0" collapsed="false">
      <c r="A38" s="308" t="str">
        <f aca="false">IF(A37="N/A","N/A",IF(EDATE(A37,1)&gt;Inputs!$K$3,"N/A",EDATE(A37,1)))</f>
        <v>N/A</v>
      </c>
      <c r="B38" s="309" t="str">
        <f aca="false">IF(A38="N/A"," ",YEAR(A38))</f>
        <v> </v>
      </c>
      <c r="C38" s="310" t="str">
        <f aca="false">IF(A38="N/A"," ",VLOOKUP(A38,ScaledPrice,10))</f>
        <v> </v>
      </c>
      <c r="D38" s="311" t="str">
        <f aca="false">IF(A38="N/A"," ",(VLOOKUP(MONTH($A38),Hrtable,2))/1000)</f>
        <v> </v>
      </c>
      <c r="E38" s="312" t="str">
        <f aca="false">IF($A38="N/A"," ",(C38-'Pricing Inputs'!T71)*D38)</f>
        <v> </v>
      </c>
      <c r="F38" s="313" t="str">
        <f aca="false">IF(A38="N/A"," ",$F26*(1+VOMesc))</f>
        <v> </v>
      </c>
      <c r="G38" s="313" t="str">
        <f aca="false">IF(A38="N/A"," ",Perstart/IF(AND(Dayrun&gt;=4,Dayrun&lt;=6),16,IF(AND(Dayrun&gt;=7,Dayrun&lt;=9),8,24))/(BM38/CK38))</f>
        <v> </v>
      </c>
      <c r="H38" s="314" t="str">
        <f aca="false">IF(A38="N/A"," ",(C38*D38)+F38+G38)</f>
        <v> </v>
      </c>
      <c r="I38" s="315" t="str">
        <f aca="false">VLOOKUP(A38,ScaledPrice,(IF(AND(Dayrun&gt;=1,Dayrun&lt;=6),2,4)))</f>
        <v> </v>
      </c>
      <c r="J38" s="315" t="str">
        <f aca="false">IF(A38="N/A"," ",IF(AND(Dayrun&gt;=1,Dayrun&lt;=6),I38,(VLOOKUP(A38,ScaledPrice,2))*(2-(VLOOKUP(A38,ScaledPrice,3)))))</f>
        <v> </v>
      </c>
      <c r="K38" s="315" t="str">
        <f aca="false">IF(A38="N/A"," ",IF(AND(Dayrun&gt;=1,Dayrun&lt;=3),VLOOKUP(A38,ScaledPrice,9),0))</f>
        <v> </v>
      </c>
      <c r="L38" s="315" t="str">
        <f aca="false">IF(A38="N/A"," ",IF(OR(Dayrun=2,Dayrun=3,Dayrun=5,Dayrun=6,Dayrun=8,Dayrun=9),VLOOKUP(A38,ScaledPrice,IF(AND(Dayrun&gt;=2,Dayrun&lt;=6),5,6)),0))</f>
        <v> </v>
      </c>
      <c r="M38" s="315" t="str">
        <f aca="false">IF(A38="N/A"," ",IF(OR(Dayrun=2,Dayrun=3,Dayrun=5,Dayrun=6,Dayrun=8,Dayrun=9),IF(AND(Dayrun&gt;=2,Dayrun&lt;=6),L38,(VLOOKUP(A38,ScaledPrice,5))*(2-(VLOOKUP(A38,ScaledPrice,3)))),0))</f>
        <v> </v>
      </c>
      <c r="N38" s="315" t="str">
        <f aca="false">IF(A38="N/A"," ",IF(AND(Dayrun&gt;1,Dayrun&lt;=3),VLOOKUP(A38,ScaledPrice,9),0))</f>
        <v> </v>
      </c>
      <c r="O38" s="315" t="str">
        <f aca="false">IF(A38="N/A"," ",IF(OR(Dayrun=3,Dayrun=6,Dayrun=9),(VLOOKUP(A38,ScaledPrice,IF(AND(Dayrun&gt;=3,Dayrun&lt;=6),7,8))),0))</f>
        <v> </v>
      </c>
      <c r="P38" s="315" t="str">
        <f aca="false">IF(A38="N/A"," ",IF(OR(Dayrun=3,Dayrun=6,Dayrun=9),IF(AND(Dayrun&gt;=3,Dayrun&lt;=6),O38,(VLOOKUP(A38,ScaledPrice,7))*(2-(VLOOKUP(A38,ScaledPrice,3)))),0))</f>
        <v> </v>
      </c>
      <c r="Q38" s="315" t="str">
        <f aca="false">IF(A38="N/A"," ",IF(AND(Dayrun&gt;2,Dayrun&lt;=3),VLOOKUP(A38,ScaledPrice,9),0))</f>
        <v> </v>
      </c>
      <c r="R38" s="316" t="str">
        <f aca="false">IF($A38="N/A"," ",IF(Pricetype=2,MAX(I38-$H38,0),IF(Pricetype=1,(xSPRDOPT(I38,$E38,$CI38,0,($CD38+IF(Smile=TRUE(),VLOOKUP(MAX(-5,$H38-I38),Volsmile,2),0)),$CG38,$CH38,($A38-DateToday)+15,1,0)),I38-$H38)))</f>
        <v> </v>
      </c>
      <c r="S38" s="316" t="str">
        <f aca="false">IF($A38="N/A"," ",IF(Pricetype=2,MAX(J38-$H38,0),IF(Pricetype=1,(xSPRDOPT(J38,$E38,$CI38,0,($CD38+IF(Smile=TRUE(),VLOOKUP(MAX(-5,$H38-J38),Volsmile,2),0)),$CG38,$CH38,($A38-DateToday)+15,1,0)),J38-$H38)))</f>
        <v> </v>
      </c>
      <c r="T38" s="317" t="str">
        <f aca="false">IF($A38="N/A"," ",(IF(Pricetype=2,IF((K38-$H38)&lt;=0,0,(K38-$H38)),IF(K38&lt;&gt;0,(K38-$H38),0))))</f>
        <v> </v>
      </c>
      <c r="U38" s="316" t="str">
        <f aca="false">IF($A38="N/A"," ",IF(Pricetype=2,MAX(L38-$H38,0),IF(L38&lt;&gt;0,IF(Pricetype=1,(xSPRDOPT(L38,$E38,$CI38,0,($CD38+IF(Smile=TRUE(),VLOOKUP(MAX(-5,$H38-L38),Volsmile,2),0)),$CG38,$CH38,($A38-DateToday)+15,1,0)),L38-$H38),0)))</f>
        <v> </v>
      </c>
      <c r="V38" s="316" t="str">
        <f aca="false">IF($A38="N/A"," ",IF(Pricetype=2,MAX(M38-$H38,0),IF(M38&lt;&gt;0,IF(Pricetype=1,(xSPRDOPT(M38,$E38,$CI38,0,($CD38+IF(Smile=TRUE(),VLOOKUP(MAX(-5,$H38-M38),Volsmile,2),0)),$CG38,$CH38,($A38-DateToday)+15,1,0)),M38-$H38),0)))</f>
        <v> </v>
      </c>
      <c r="W38" s="317" t="str">
        <f aca="false">IF($A38="N/A"," ",(IF(Pricetype=2,IF((N38-$H38)&lt;=0,0,(N38-$H38)),IF(N38&lt;&gt;0,(N38-$H38),0))))</f>
        <v> </v>
      </c>
      <c r="X38" s="316" t="str">
        <f aca="false">IF($A38="N/A"," ",IF(Pricetype=2,MAX(O38-$H38,0),IF(O38&lt;&gt;0,IF(Pricetype=1,(xSPRDOPT(O38,$E38,$CI38,0,($CD38+IF(Smile=TRUE(),VLOOKUP(MAX(-5,$H38-O38),Volsmile,2),0)),$CG38,$CH38,($A38-DateToday)+15,1,0)),O38-$H38),0)))</f>
        <v> </v>
      </c>
      <c r="Y38" s="316" t="str">
        <f aca="false">IF($A38="N/A"," ",IF(Pricetype=2,MAX(P38-$H38,0),IF(P38&lt;&gt;0,IF(Pricetype=1,(xSPRDOPT(P38,$E38,$CI38,0,($CD38+IF(Smile=TRUE(),VLOOKUP(MAX(-5,$H38-P38),Volsmile,2),0)),$CG38,$CH38,($A38-DateToday)+15,1,0)),P38-$H38),0)))</f>
        <v> </v>
      </c>
      <c r="Z38" s="317" t="str">
        <f aca="false">IF($A38="N/A"," ",(IF(Pricetype=2,IF((Q38-$H38)&lt;=0,0,(Q38-$H38)),IF(Q38&lt;&gt;0,(Q38-$H38),0))))</f>
        <v> </v>
      </c>
      <c r="AA38" s="318" t="str">
        <f aca="false">IF($A38="N/A"," ",IF(VLOOKUP(MONTH(A38),ManualTable,2)=1,(IF(0&lt;&gt;R38,IF(Pricetype=1,(xSPRDOPT(I38,$E38,$CI38,0,($CD38+IF(Smile=TRUE(),VLOOKUP(MAX(-5,$H38-I38),Volsmile,2),0)),$CG38,$CH38,($A38-DateToday)+15,1,1))*(8*$HD38),8*$HD38),0)),0))</f>
        <v> </v>
      </c>
      <c r="AB38" s="318" t="str">
        <f aca="false">IF($A38="N/A"," ",IF(VLOOKUP(MONTH(A38),ManualTable,3)=1,(IF(S38&lt;&gt;0,IF(Pricetype=1,(xSPRDOPT(J38,$E38,$CI38,0,($CD38+IF(Smile=TRUE(),VLOOKUP(MAX(-5,$H38-J38),Volsmile,2),0)),$CG38,$CH38,($A38-DateToday)+15,1,1))*(8*$HD38),8*$HD38),0)),0))</f>
        <v> </v>
      </c>
      <c r="AC38" s="318" t="str">
        <f aca="false">IF($A38="N/A"," ",IF(VLOOKUP(MONTH(A38),ManualTable,4)=1,(IF(T38&lt;&gt;0,(8*$HD38),0)),0))</f>
        <v> </v>
      </c>
      <c r="AD38" s="318" t="str">
        <f aca="false">IF($A38="N/A"," ",IF(VLOOKUP(MONTH(A38),ManualTable,5)=1,(IF(U38&lt;&gt;0,IF(Pricetype=1,(xSPRDOPT(L38,$E38,$CI38,0,($CD38+IF(Smile=TRUE(),VLOOKUP(MAX(-5,$H38-L38),Volsmile,2),0)),$CG38,$CH38,($A38-DateToday)+15,1,1))*(8*$HE38),8*$HE38),0)),0))</f>
        <v> </v>
      </c>
      <c r="AE38" s="318" t="str">
        <f aca="false">IF($A38="N/A"," ",IF(VLOOKUP(MONTH(A38),ManualTable,6)=1,(IF(V38&lt;&gt;0,IF(Pricetype=1,(xSPRDOPT(M38,$E38,$CI38,0,($CD38+IF(Smile=TRUE(),VLOOKUP(MAX(-5,$H38-M38),Volsmile,2),0)),$CG38,$CH38,($A38-DateToday)+15,1,1))*(8*$HE38),8*$HE38),0)),0))</f>
        <v> </v>
      </c>
      <c r="AF38" s="318" t="str">
        <f aca="false">IF($A38="N/A"," ",IF(VLOOKUP(MONTH(A38),ManualTable,7)=1,(IF(W38&lt;&gt;0,(8*$HE38),0)),0))</f>
        <v> </v>
      </c>
      <c r="AG38" s="318" t="str">
        <f aca="false">IF($A38="N/A"," ",IF(VLOOKUP(MONTH(A38),ManualTable,8)=1,(IF(X38&lt;&gt;0,IF(Pricetype=1,(xSPRDOPT(O38,$E38,$CI38,0,($CD38+IF(Smile=TRUE(),VLOOKUP(MAX(-5,$H38-O38),Volsmile,2),0)),$CG38,$CH38,($A38-DateToday)+15,1,1))*(8*$HF38),8*$HF38),0)),0))</f>
        <v> </v>
      </c>
      <c r="AH38" s="318" t="str">
        <f aca="false">IF($A38="N/A"," ",IF(VLOOKUP(MONTH(A38),ManualTable,9)=1,(IF(Y38&lt;&gt;0,IF(Pricetype=1,(xSPRDOPT(P38,$E38,$CI38,0,($CD38+IF(Smile=TRUE(),VLOOKUP(MAX(-5,$H38-P38),Volsmile,2),0)),$CG38,$CH38,($A38-DateToday)+15,1,1))*(8*$HF38),8*$HF38),0)),0))</f>
        <v> </v>
      </c>
      <c r="AI38" s="318" t="str">
        <f aca="false">IF($A38="N/A"," ",IF(VLOOKUP(MONTH(A38),ManualTable,10)=1,(IF(Z38&lt;&gt;0,(8*($HF38)),0)),0))</f>
        <v> </v>
      </c>
      <c r="AJ38" s="344" t="str">
        <f aca="false">IF($A38="N/A"," ",RANK(R38,$R$28:$Z$39))</f>
        <v> </v>
      </c>
      <c r="AK38" s="321" t="str">
        <f aca="false">IF($A38="N/A"," ",RANK(S38,$R$28:$Z$39))</f>
        <v> </v>
      </c>
      <c r="AL38" s="321" t="str">
        <f aca="false">IF($A38="N/A"," ",RANK(T38,$R$28:$Z$39))</f>
        <v> </v>
      </c>
      <c r="AM38" s="321" t="str">
        <f aca="false">IF($A38="N/A"," ",RANK(U38,$R$28:$Z$39))</f>
        <v> </v>
      </c>
      <c r="AN38" s="321" t="str">
        <f aca="false">IF($A38="N/A"," ",RANK(V38,$R$28:$Z$39))</f>
        <v> </v>
      </c>
      <c r="AO38" s="321" t="str">
        <f aca="false">IF($A38="N/A"," ",RANK(W38,$R$28:$Z$39))</f>
        <v> </v>
      </c>
      <c r="AP38" s="321" t="str">
        <f aca="false">IF($A38="N/A"," ",RANK(X38,$R$28:$Z$39))</f>
        <v> </v>
      </c>
      <c r="AQ38" s="321" t="str">
        <f aca="false">IF($A38="N/A"," ",RANK(Y38,$R$28:$Z$39))</f>
        <v> </v>
      </c>
      <c r="AR38" s="345" t="str">
        <f aca="false">IF($A38="N/A"," ",RANK(Z38,$R$28:$Z$39))</f>
        <v> </v>
      </c>
      <c r="AS38" s="323" t="str">
        <f aca="false">IF($A38="N/A"," ",IF(AJ38&lt;=$AR$2,AA38,0))</f>
        <v> </v>
      </c>
      <c r="AT38" s="325" t="str">
        <f aca="false">IF($A38="N/A"," ",IF(AK38&lt;=$AR$2,AB38,0))</f>
        <v> </v>
      </c>
      <c r="AU38" s="325" t="str">
        <f aca="false">IF($A38="N/A"," ",IF(AL38&lt;=$AR$2,AC38,0))</f>
        <v> </v>
      </c>
      <c r="AV38" s="325" t="str">
        <f aca="false">IF($A38="N/A"," ",IF(AM38&lt;=$AR$2,AD38,0))</f>
        <v> </v>
      </c>
      <c r="AW38" s="325" t="str">
        <f aca="false">IF($A38="N/A"," ",IF(AN38&lt;=$AR$2,AE38,0))</f>
        <v> </v>
      </c>
      <c r="AX38" s="325" t="str">
        <f aca="false">IF($A38="N/A"," ",IF(AO38&lt;=$AR$2,AF38,0))</f>
        <v> </v>
      </c>
      <c r="AY38" s="325" t="str">
        <f aca="false">IF($A38="N/A"," ",IF(AP38&lt;=$AR$2,AG38,0))</f>
        <v> </v>
      </c>
      <c r="AZ38" s="325" t="str">
        <f aca="false">IF($A38="N/A"," ",IF(AQ38&lt;=$AR$2,AH38,0))</f>
        <v> </v>
      </c>
      <c r="BA38" s="325" t="str">
        <f aca="false">IF($A38="N/A"," ",IF(AR38&lt;=$AR$2,AI38,0))</f>
        <v> </v>
      </c>
      <c r="BB38" s="345" t="n">
        <f aca="false">SUM(AS28:BA39)</f>
        <v>0</v>
      </c>
      <c r="BC38" s="326" t="str">
        <f aca="false">IF($A38="N/A"," ",IF(AND(AJ38=$AR$2+1,AS38=0),MIN($BB$39,AA38),0))</f>
        <v> </v>
      </c>
      <c r="BD38" s="346" t="str">
        <f aca="false">IF($A38="N/A"," ",IF(AND(AK38=$AR$2+1,AT38=0),MIN($BB$39,AB38),0))</f>
        <v> </v>
      </c>
      <c r="BE38" s="346" t="str">
        <f aca="false">IF($A38="N/A"," ",IF(AND(AL38=$AR$2+1,AU38=0),MIN($BB$39,AC38),0))</f>
        <v> </v>
      </c>
      <c r="BF38" s="346" t="str">
        <f aca="false">IF($A38="N/A"," ",IF(AND(AM38=$AR$2+1,AV38=0),MIN($BB$39,AD38),0))</f>
        <v> </v>
      </c>
      <c r="BG38" s="346" t="str">
        <f aca="false">IF($A38="N/A"," ",IF(AND(AN38=$AR$2+1,AW38=0),MIN($BB$39,AE38),0))</f>
        <v> </v>
      </c>
      <c r="BH38" s="346" t="str">
        <f aca="false">IF($A38="N/A"," ",IF(AND(AO38=$AR$2+1,AX38=0),MIN($BB$39,AF38),0))</f>
        <v> </v>
      </c>
      <c r="BI38" s="346" t="str">
        <f aca="false">IF($A38="N/A"," ",IF(AND(AP38=$AR$2+1,AY38=0),MIN($BB$39,AG38),0))</f>
        <v> </v>
      </c>
      <c r="BJ38" s="346" t="str">
        <f aca="false">IF($A38="N/A"," ",IF(AND(AQ38=$AR$2+1,AZ38=0),MIN($BB$39,AH38),0))</f>
        <v> </v>
      </c>
      <c r="BK38" s="346" t="str">
        <f aca="false">IF($A38="N/A"," ",IF(AND(AR38=$AR$2+1,BA38=0),MIN($BB$39,AI38),0))</f>
        <v> </v>
      </c>
      <c r="BL38" s="345" t="n">
        <f aca="false">SUM(BC28:BK39)</f>
        <v>0</v>
      </c>
      <c r="BM38" s="329" t="str">
        <f aca="false">IF($A38="N/A"," ",(IF(MONTH(A38)&gt;=4,IF(MONTH(A38)&lt;=10,Inputs!$F$13-Inputs!$G$13,Inputs!$F$14-Inputs!$G$14),Inputs!$F$14-Inputs!$G$14))*$CK38*Availability)</f>
        <v> </v>
      </c>
      <c r="BN38" s="330" t="str">
        <f aca="false">IF($A38="N/A"," ",(IF(AS38&gt;0,($BM38*(8*($HD38))*R38),0)+IF(BC38&gt;0,($BM38*((BC38/AA38)*8*$HD38)*R38),0)))</f>
        <v> </v>
      </c>
      <c r="BO38" s="330" t="str">
        <f aca="false">IF($A38="N/A"," ",(IF(AT38&gt;0,($BM38*(8*($HD38))*S38),0)+IF(BD38&gt;0,($BM38*((BD38/AB38)*8*$HD38)*S38),0)))</f>
        <v> </v>
      </c>
      <c r="BP38" s="330" t="str">
        <f aca="false">IF($A38="N/A"," ",(IF(AU38&gt;0,($BM38*(8*($HD38))*T38),0)+IF(BE38&gt;0,($BM38*((BE38))*T38),0)))</f>
        <v> </v>
      </c>
      <c r="BQ38" s="330" t="str">
        <f aca="false">IF($A38="N/A"," ",(IF(AV38&gt;0,($BM38*(8*($HE38))*U38),0)+IF(BF38&gt;0,($BM38*((BF38/AD38)*8*$HE38)*U38),0)))</f>
        <v> </v>
      </c>
      <c r="BR38" s="330" t="str">
        <f aca="false">IF($A38="N/A"," ",(IF(AW38&gt;0,($BM38*(8*($HE38))*V38),0)+IF(BG38&gt;0,($BM38*((BG38/AE38)*8*$HE38)*V38),0)))</f>
        <v> </v>
      </c>
      <c r="BS38" s="330" t="str">
        <f aca="false">IF($A38="N/A"," ",(IF(AX38&gt;0,($BM38*(8*($HE38))*W38),0)+IF(BH38&gt;0,($BM38*((BH38))*W38),0)))</f>
        <v> </v>
      </c>
      <c r="BT38" s="330" t="str">
        <f aca="false">IF($A38="N/A"," ",(IF(AY38&gt;0,($BM38*(8*($HF38))*X38),0)+IF(BI38&gt;0,($BM38*((BI38/AG38)*8*$HF38)*X38),0)))</f>
        <v> </v>
      </c>
      <c r="BU38" s="330" t="str">
        <f aca="false">IF($A38="N/A"," ",(IF(AZ38&gt;0,($BM38*(8*($HF38))*Y38),0)+IF(BJ38&gt;0,($BM38*((BJ38/AH38)*8*$HF38)*Y38),0)))</f>
        <v> </v>
      </c>
      <c r="BV38" s="330" t="str">
        <f aca="false">IF($A38="N/A"," ",(IF(BA38&gt;0,($BM38*(8*($HF38))*Z38),0)+IF(BK38&gt;0,($BM38*((BK38))*Z38),0)))</f>
        <v> </v>
      </c>
      <c r="BW38" s="330" t="str">
        <f aca="false">IF($A38="N/A"," ",SUM(BN38:BV38))</f>
        <v> </v>
      </c>
      <c r="BX38" s="331" t="str">
        <f aca="false">IF($A38="N/A"," ",(H38*(SUM(AS38:BA38)+SUM(BC38:BK38))*BM38))</f>
        <v> </v>
      </c>
      <c r="BY38" s="332" t="str">
        <f aca="false">IF($A38="N/A"," ",((C38*D38)*(SUM($AS38:$BA38)+SUM($BC38:$BK38))*$BM38))</f>
        <v> </v>
      </c>
      <c r="BZ38" s="332" t="str">
        <f aca="false">IF($A38="N/A"," ",(F38*(SUM($AS38:$BA38)+SUM($BC38:$BK38))*$BM38))</f>
        <v> </v>
      </c>
      <c r="CA38" s="333" t="str">
        <f aca="false">IF($A38="N/A"," ",(G38*(SUM($AS38:$BA38)+SUM($BC38:$BK38))*$BM38))</f>
        <v> </v>
      </c>
      <c r="CB38" s="334" t="str">
        <f aca="false">IF(A38="N/A"," ",(VLOOKUP(A38,PowerVolTable,(IF(BMO=2,7,IF(BMO=1,6,8))),FALSE())))</f>
        <v> </v>
      </c>
      <c r="CC38" s="334" t="str">
        <f aca="false">IF(A38="N/A"," ",(VLOOKUP(A38,IntraPowerVol,(IF(BMO=2,3,IF(BMO=1,2,4))),FALSE())*VLOOKUP(MONTH($A38),Volscale,2)))</f>
        <v> </v>
      </c>
      <c r="CD38" s="335" t="str">
        <f aca="false">IF($A38="N/A"," ",(IF(DateToday&gt;$A38,$CC38,((($CB38^2)*((($A38-1)-DateToday)/((EOMONTH($A38,0)+1)-DateToday-15)))+((($CC38)^2)*((15)/((EOMONTH($A38,0)+1)-DateToday-15))))^0.5)))</f>
        <v> </v>
      </c>
      <c r="CE38" s="334" t="str">
        <f aca="false">IF($A38="N/A"," ",(VLOOKUP($A38,GasVolTable,(IF(BMO=2,6,IF(BMO=1,7,5))),FALSE())))</f>
        <v> </v>
      </c>
      <c r="CF38" s="334" t="str">
        <f aca="false">IF($A38="N/A"," ",(VLOOKUP($A38,OmicronVol,(IF(BMO=2,3,IF(BMO=1,4,2))),FALSE())))</f>
        <v> </v>
      </c>
      <c r="CG38" s="335" t="str">
        <f aca="false">IF($A38="N/A"," ",(IF(DateToday&gt;$A38,$CF38,((($CE38^2)*((($A38-1)-DateToday)/((EOMONTH($A38,0)+1)-DateToday-15)))+((($CF38)^2)*((15)/((EOMONTH($A38,0)+1)-DateToday-15))))^0.5)))</f>
        <v> </v>
      </c>
      <c r="CH38" s="334" t="str">
        <f aca="false">IF($A38="N/A"," ",VLOOKUP($A38,CorrelationTable,2,FALSE()))</f>
        <v> </v>
      </c>
      <c r="CI38" s="336" t="str">
        <f aca="false">IF($A38="N/A"," ",F38+G38+(D38*('Pricing Inputs'!T71)))</f>
        <v> </v>
      </c>
      <c r="CJ38" s="334" t="str">
        <f aca="false">IF($A38="N/A"," ",IF(PV=1,0,'Pricing Inputs'!U71))</f>
        <v> </v>
      </c>
      <c r="CK38" s="337" t="str">
        <f aca="false">IF($A38="N/A"," ",(1+CJ38/2)^(-2*((EOMONTH(A38,0)+20)-DateToday)/365.25))</f>
        <v> </v>
      </c>
      <c r="CL38" s="338" t="str">
        <f aca="false">IF(A38="N/A"," ",IF(CC=2,(VLOOKUP(MONTH($A38),Hrtable,3))/1000,0))</f>
        <v> </v>
      </c>
      <c r="CM38" s="339" t="str">
        <f aca="false">IF(A38="N/A"," ",IF(CC=2,(CL38*C38)+F38,0))</f>
        <v> </v>
      </c>
      <c r="CN38" s="340" t="str">
        <f aca="false">IF($A38="N/A"," ",IF(CC=2,(VLOOKUP(A38,ScaledPrice,(IF(AND(Dayrun&gt;=1,Dayrun&lt;=6),2,4)))-((IF(R38&lt;&gt;0,$D38,$CL38)*$C38)+$F38+$G38)),0))</f>
        <v> </v>
      </c>
      <c r="CO38" s="340" t="str">
        <f aca="false">IF($A38="N/A"," ",IF(CC=2,(IF(AND(Dayrun&gt;=1,Dayrun&lt;=6),I38,(VLOOKUP(A38,ScaledPrice,2))*(2-(VLOOKUP(A38,ScaledPrice,3))))-((IF(S38&lt;&gt;0,$D38,$CL38)*$C38)+$F38+$G38)),0))</f>
        <v> </v>
      </c>
      <c r="CP38" s="340" t="str">
        <f aca="false">IF(A38="N/A"," ",IF(CC=2,(VLOOKUP(A38,ScaledPrice,9)-((IF(T38&lt;&gt;0,$D38,$CL38)*$C38)+$F38+$G38)),0))</f>
        <v> </v>
      </c>
      <c r="CQ38" s="340" t="str">
        <f aca="false">IF(A38="N/A"," ",IF(CC=2,(IF(OR(Dayrun=2,Dayrun=3,Dayrun=5,Dayrun=6,Dayrun=8,Dayrun=9),VLOOKUP(A38,ScaledPrice,IF(AND(Dayrun&gt;=2,Dayrun&lt;=6),5,6)),0)-((IF(U38&lt;&gt;0,$D38,$CL38)*$C38)+$F38+$G38)),0))</f>
        <v> </v>
      </c>
      <c r="CR38" s="340" t="str">
        <f aca="false">IF(A38="N/A"," ",IF(CC=2,(IF(OR(Dayrun=2,Dayrun=3,Dayrun=5,Dayrun=6,Dayrun=8,Dayrun=9),IF(AND(Dayrun&gt;=2,Dayrun&lt;=6),L38,(VLOOKUP(A38,ScaledPrice,5))*(2-(VLOOKUP(A38,ScaledPrice,3)))),0)-((IF(V38&lt;&gt;0,$D38,$CL38)*$C38)+$F38+$G38)),0))</f>
        <v> </v>
      </c>
      <c r="CS38" s="340" t="str">
        <f aca="false">IF(A38="N/A"," ",IF(CC=2,(VLOOKUP(A38,ScaledPrice,9)-((IF(W38&lt;&gt;0,$D38,$CL38)*$C38)+$F38+$G38)),0))</f>
        <v> </v>
      </c>
      <c r="CT38" s="340" t="str">
        <f aca="false">IF(A38="N/A"," ",IF(CC=2,(IF(OR(Dayrun=3,Dayrun=6,Dayrun=9),(VLOOKUP(A38,ScaledPrice,IF(AND(Dayrun&gt;=3,Dayrun&lt;=6),7,8))),0)-((IF(X38&lt;&gt;0,$D38,$CL38)*$C38)+$F38+$G38)),0))</f>
        <v> </v>
      </c>
      <c r="CU38" s="340" t="str">
        <f aca="false">IF(A38="N/A"," ",IF(CC=2,(IF(OR(Dayrun=3,Dayrun=6,Dayrun=9),IF(AND(Dayrun&gt;=3,Dayrun&lt;=6),O38,(VLOOKUP(A38,ScaledPrice,7))*(2-(VLOOKUP(A38,ScaledPrice,3)))),0)-((IF(Y38&lt;&gt;0,$D38,$CL38)*$C38)+$F38+$G38)),0))</f>
        <v> </v>
      </c>
      <c r="CV38" s="340" t="str">
        <f aca="false">IF(A38="N/A"," ",IF(CC=2,(VLOOKUP(A38,ScaledPrice,9)-((IF(Z38&lt;&gt;0,$D38,$CL38)*$C38)+$F38+$G38)),0))</f>
        <v> </v>
      </c>
      <c r="CW38" s="318" t="str">
        <f aca="false">IF($A38="N/A"," ",IF(0&lt;&gt;CN38,IF(CC=2,8*$HD38,0),0))</f>
        <v> </v>
      </c>
      <c r="CX38" s="318" t="str">
        <f aca="false">IF($A38="N/A"," ",IF(0&lt;&gt;CO38,IF(CC=2,8*$HD38,0),0))</f>
        <v> </v>
      </c>
      <c r="CY38" s="318" t="str">
        <f aca="false">IF($A38="N/A"," ",IF(0&lt;&gt;CP38,IF(CC=2,8*$HD38,0),0))</f>
        <v> </v>
      </c>
      <c r="CZ38" s="318" t="str">
        <f aca="false">IF($A38="N/A"," ",IF(0&lt;&gt;CQ38,IF(CC=2,8*$HE38,0),0))</f>
        <v> </v>
      </c>
      <c r="DA38" s="318" t="str">
        <f aca="false">IF($A38="N/A"," ",IF(0&lt;&gt;CR38,IF(CC=2,8*$HE38,0),0))</f>
        <v> </v>
      </c>
      <c r="DB38" s="318" t="str">
        <f aca="false">IF($A38="N/A"," ",IF(0&lt;&gt;CS38,IF(CC=2,8*$HE38,0),0))</f>
        <v> </v>
      </c>
      <c r="DC38" s="318" t="str">
        <f aca="false">IF($A38="N/A"," ",IF(0&lt;&gt;CT38,IF(CC=2,8*$HF38,0),0))</f>
        <v> </v>
      </c>
      <c r="DD38" s="318" t="str">
        <f aca="false">IF($A38="N/A"," ",IF(0&lt;&gt;CU38,IF(CC=2,8*$HF38,0),0))</f>
        <v> </v>
      </c>
      <c r="DE38" s="318" t="str">
        <f aca="false">IF($A38="N/A"," ",IF(0&lt;&gt;CV38,IF(CC=2,8*$HF38,0),0))</f>
        <v> </v>
      </c>
      <c r="DF38" s="341" t="str">
        <f aca="false">IF($A38="N/A"," ",IF(CC=2,(IF(MONTH(A38)&gt;=4,IF(MONTH(A38)&lt;=10,Inputs!$G$13,Inputs!$G$14),Inputs!$G$14))*$CK38,0))</f>
        <v> </v>
      </c>
      <c r="DG38" s="342" t="str">
        <f aca="false">IF($A38="N/A"," ",IF(CC=2,$DF38*CW38*CN38,0))</f>
        <v> </v>
      </c>
      <c r="DH38" s="342" t="str">
        <f aca="false">IF($A38="N/A"," ",IF(CC=2,$DF38*CX38*CO38,0))</f>
        <v> </v>
      </c>
      <c r="DI38" s="342" t="str">
        <f aca="false">IF($A38="N/A"," ",IF(CC=2,$DF38*CY38*CP38,0))</f>
        <v> </v>
      </c>
      <c r="DJ38" s="342" t="str">
        <f aca="false">IF($A38="N/A"," ",IF(CC=2,$DF38*CZ38*CQ38,0))</f>
        <v> </v>
      </c>
      <c r="DK38" s="342" t="str">
        <f aca="false">IF($A38="N/A"," ",IF(CC=2,$DF38*DA38*CR38,0))</f>
        <v> </v>
      </c>
      <c r="DL38" s="342" t="str">
        <f aca="false">IF($A38="N/A"," ",IF(CC=2,$DF38*DB38*CS38,0))</f>
        <v> </v>
      </c>
      <c r="DM38" s="342" t="str">
        <f aca="false">IF($A38="N/A"," ",IF(CC=2,$DF38*DC38*CT38,0))</f>
        <v> </v>
      </c>
      <c r="DN38" s="342" t="str">
        <f aca="false">IF($A38="N/A"," ",IF(CC=2,$DF38*DD38*CU38,0))</f>
        <v> </v>
      </c>
      <c r="DO38" s="342" t="str">
        <f aca="false">IF($A38="N/A"," ",IF(CC=2,$DF38*DE38*CV38,0))</f>
        <v> </v>
      </c>
      <c r="DP38" s="343" t="str">
        <f aca="false">IF($A38="N/A"," ",IF(CC=2,SUM(DG38:DO38),0))</f>
        <v> </v>
      </c>
      <c r="DQ38" s="0" t="str">
        <f aca="false">IF(A38="N/A"," ",Perstart)</f>
        <v> </v>
      </c>
      <c r="HD38" s="0" t="str">
        <f aca="false">IF($A38="N/A"," ",VLOOKUP($A38,NumberofDaysTable,2))</f>
        <v> </v>
      </c>
      <c r="HE38" s="0" t="str">
        <f aca="false">IF($A38="N/A"," ",VLOOKUP($A38,NumberofDaysTable,3))</f>
        <v> </v>
      </c>
      <c r="HF38" s="0" t="str">
        <f aca="false">IF($A38="N/A"," ",VLOOKUP($A38,NumberofDaysTable,4))</f>
        <v> </v>
      </c>
    </row>
    <row r="39" customFormat="false" ht="12.75" hidden="false" customHeight="false" outlineLevel="0" collapsed="false">
      <c r="A39" s="308" t="str">
        <f aca="false">IF(A38="N/A","N/A",IF(EDATE(A38,1)&gt;Inputs!$K$3,"N/A",EDATE(A38,1)))</f>
        <v>N/A</v>
      </c>
      <c r="B39" s="309" t="str">
        <f aca="false">IF(A39="N/A"," ",YEAR(A39))</f>
        <v> </v>
      </c>
      <c r="C39" s="310" t="str">
        <f aca="false">IF(A39="N/A"," ",VLOOKUP(A39,ScaledPrice,10))</f>
        <v> </v>
      </c>
      <c r="D39" s="311" t="str">
        <f aca="false">IF(A39="N/A"," ",(VLOOKUP(MONTH($A39),Hrtable,2))/1000)</f>
        <v> </v>
      </c>
      <c r="E39" s="312" t="str">
        <f aca="false">IF($A39="N/A"," ",(C39-'Pricing Inputs'!T72)*D39)</f>
        <v> </v>
      </c>
      <c r="F39" s="313" t="str">
        <f aca="false">IF(A39="N/A"," ",$F27*(1+VOMesc))</f>
        <v> </v>
      </c>
      <c r="G39" s="313" t="str">
        <f aca="false">IF(A39="N/A"," ",Perstart/IF(AND(Dayrun&gt;=4,Dayrun&lt;=6),16,IF(AND(Dayrun&gt;=7,Dayrun&lt;=9),8,24))/(BM39/CK39))</f>
        <v> </v>
      </c>
      <c r="H39" s="314" t="str">
        <f aca="false">IF(A39="N/A"," ",(C39*D39)+F39+G39)</f>
        <v> </v>
      </c>
      <c r="I39" s="315" t="str">
        <f aca="false">VLOOKUP(A39,ScaledPrice,(IF(AND(Dayrun&gt;=1,Dayrun&lt;=6),2,4)))</f>
        <v> </v>
      </c>
      <c r="J39" s="315" t="str">
        <f aca="false">IF(A39="N/A"," ",IF(AND(Dayrun&gt;=1,Dayrun&lt;=6),I39,(VLOOKUP(A39,ScaledPrice,2))*(2-(VLOOKUP(A39,ScaledPrice,3)))))</f>
        <v> </v>
      </c>
      <c r="K39" s="315" t="str">
        <f aca="false">IF(A39="N/A"," ",IF(AND(Dayrun&gt;=1,Dayrun&lt;=3),VLOOKUP(A39,ScaledPrice,9),0))</f>
        <v> </v>
      </c>
      <c r="L39" s="315" t="str">
        <f aca="false">IF(A39="N/A"," ",IF(OR(Dayrun=2,Dayrun=3,Dayrun=5,Dayrun=6,Dayrun=8,Dayrun=9),VLOOKUP(A39,ScaledPrice,IF(AND(Dayrun&gt;=2,Dayrun&lt;=6),5,6)),0))</f>
        <v> </v>
      </c>
      <c r="M39" s="315" t="str">
        <f aca="false">IF(A39="N/A"," ",IF(OR(Dayrun=2,Dayrun=3,Dayrun=5,Dayrun=6,Dayrun=8,Dayrun=9),IF(AND(Dayrun&gt;=2,Dayrun&lt;=6),L39,(VLOOKUP(A39,ScaledPrice,5))*(2-(VLOOKUP(A39,ScaledPrice,3)))),0))</f>
        <v> </v>
      </c>
      <c r="N39" s="315" t="str">
        <f aca="false">IF(A39="N/A"," ",IF(AND(Dayrun&gt;1,Dayrun&lt;=3),VLOOKUP(A39,ScaledPrice,9),0))</f>
        <v> </v>
      </c>
      <c r="O39" s="315" t="str">
        <f aca="false">IF(A39="N/A"," ",IF(OR(Dayrun=3,Dayrun=6,Dayrun=9),(VLOOKUP(A39,ScaledPrice,IF(AND(Dayrun&gt;=3,Dayrun&lt;=6),7,8))),0))</f>
        <v> </v>
      </c>
      <c r="P39" s="315" t="str">
        <f aca="false">IF(A39="N/A"," ",IF(OR(Dayrun=3,Dayrun=6,Dayrun=9),IF(AND(Dayrun&gt;=3,Dayrun&lt;=6),O39,(VLOOKUP(A39,ScaledPrice,7))*(2-(VLOOKUP(A39,ScaledPrice,3)))),0))</f>
        <v> </v>
      </c>
      <c r="Q39" s="315" t="str">
        <f aca="false">IF(A39="N/A"," ",IF(AND(Dayrun&gt;2,Dayrun&lt;=3),VLOOKUP(A39,ScaledPrice,9),0))</f>
        <v> </v>
      </c>
      <c r="R39" s="316" t="str">
        <f aca="false">IF($A39="N/A"," ",IF(Pricetype=2,MAX(I39-$H39,0),IF(Pricetype=1,(xSPRDOPT(I39,$E39,$CI39,0,($CD39+IF(Smile=TRUE(),VLOOKUP(MAX(-5,$H39-I39),Volsmile,2),0)),$CG39,$CH39,($A39-DateToday)+15,1,0)),I39-$H39)))</f>
        <v> </v>
      </c>
      <c r="S39" s="316" t="str">
        <f aca="false">IF($A39="N/A"," ",IF(Pricetype=2,MAX(J39-$H39,0),IF(Pricetype=1,(xSPRDOPT(J39,$E39,$CI39,0,($CD39+IF(Smile=TRUE(),VLOOKUP(MAX(-5,$H39-J39),Volsmile,2),0)),$CG39,$CH39,($A39-DateToday)+15,1,0)),J39-$H39)))</f>
        <v> </v>
      </c>
      <c r="T39" s="317" t="str">
        <f aca="false">IF($A39="N/A"," ",(IF(Pricetype=2,IF((K39-$H39)&lt;=0,0,(K39-$H39)),IF(K39&lt;&gt;0,(K39-$H39),0))))</f>
        <v> </v>
      </c>
      <c r="U39" s="316" t="str">
        <f aca="false">IF($A39="N/A"," ",IF(Pricetype=2,MAX(L39-$H39,0),IF(L39&lt;&gt;0,IF(Pricetype=1,(xSPRDOPT(L39,$E39,$CI39,0,($CD39+IF(Smile=TRUE(),VLOOKUP(MAX(-5,$H39-L39),Volsmile,2),0)),$CG39,$CH39,($A39-DateToday)+15,1,0)),L39-$H39),0)))</f>
        <v> </v>
      </c>
      <c r="V39" s="316" t="str">
        <f aca="false">IF($A39="N/A"," ",IF(Pricetype=2,MAX(M39-$H39,0),IF(M39&lt;&gt;0,IF(Pricetype=1,(xSPRDOPT(M39,$E39,$CI39,0,($CD39+IF(Smile=TRUE(),VLOOKUP(MAX(-5,$H39-M39),Volsmile,2),0)),$CG39,$CH39,($A39-DateToday)+15,1,0)),M39-$H39),0)))</f>
        <v> </v>
      </c>
      <c r="W39" s="317" t="str">
        <f aca="false">IF($A39="N/A"," ",(IF(Pricetype=2,IF((N39-$H39)&lt;=0,0,(N39-$H39)),IF(N39&lt;&gt;0,(N39-$H39),0))))</f>
        <v> </v>
      </c>
      <c r="X39" s="316" t="str">
        <f aca="false">IF($A39="N/A"," ",IF(Pricetype=2,MAX(O39-$H39,0),IF(O39&lt;&gt;0,IF(Pricetype=1,(xSPRDOPT(O39,$E39,$CI39,0,($CD39+IF(Smile=TRUE(),VLOOKUP(MAX(-5,$H39-O39),Volsmile,2),0)),$CG39,$CH39,($A39-DateToday)+15,1,0)),O39-$H39),0)))</f>
        <v> </v>
      </c>
      <c r="Y39" s="316" t="str">
        <f aca="false">IF($A39="N/A"," ",IF(Pricetype=2,MAX(P39-$H39,0),IF(P39&lt;&gt;0,IF(Pricetype=1,(xSPRDOPT(P39,$E39,$CI39,0,($CD39+IF(Smile=TRUE(),VLOOKUP(MAX(-5,$H39-P39),Volsmile,2),0)),$CG39,$CH39,($A39-DateToday)+15,1,0)),P39-$H39),0)))</f>
        <v> </v>
      </c>
      <c r="Z39" s="317" t="str">
        <f aca="false">IF($A39="N/A"," ",(IF(Pricetype=2,IF((Q39-$H39)&lt;=0,0,(Q39-$H39)),IF(Q39&lt;&gt;0,(Q39-$H39),0))))</f>
        <v> </v>
      </c>
      <c r="AA39" s="318" t="str">
        <f aca="false">IF($A39="N/A"," ",IF(VLOOKUP(MONTH(A39),ManualTable,2)=1,(IF(0&lt;&gt;R39,IF(Pricetype=1,(xSPRDOPT(I39,$E39,$CI39,0,($CD39+IF(Smile=TRUE(),VLOOKUP(MAX(-5,$H39-I39),Volsmile,2),0)),$CG39,$CH39,($A39-DateToday)+15,1,1))*(8*$HD39),8*$HD39),0)),0))</f>
        <v> </v>
      </c>
      <c r="AB39" s="318" t="str">
        <f aca="false">IF($A39="N/A"," ",IF(VLOOKUP(MONTH(A39),ManualTable,3)=1,(IF(S39&lt;&gt;0,IF(Pricetype=1,(xSPRDOPT(J39,$E39,$CI39,0,($CD39+IF(Smile=TRUE(),VLOOKUP(MAX(-5,$H39-J39),Volsmile,2),0)),$CG39,$CH39,($A39-DateToday)+15,1,1))*(8*$HD39),8*$HD39),0)),0))</f>
        <v> </v>
      </c>
      <c r="AC39" s="318" t="str">
        <f aca="false">IF($A39="N/A"," ",IF(VLOOKUP(MONTH(A39),ManualTable,4)=1,(IF(T39&lt;&gt;0,(8*$HD39),0)),0))</f>
        <v> </v>
      </c>
      <c r="AD39" s="318" t="str">
        <f aca="false">IF($A39="N/A"," ",IF(VLOOKUP(MONTH(A39),ManualTable,5)=1,(IF(U39&lt;&gt;0,IF(Pricetype=1,(xSPRDOPT(L39,$E39,$CI39,0,($CD39+IF(Smile=TRUE(),VLOOKUP(MAX(-5,$H39-L39),Volsmile,2),0)),$CG39,$CH39,($A39-DateToday)+15,1,1))*(8*$HE39),8*$HE39),0)),0))</f>
        <v> </v>
      </c>
      <c r="AE39" s="318" t="str">
        <f aca="false">IF($A39="N/A"," ",IF(VLOOKUP(MONTH(A39),ManualTable,6)=1,(IF(V39&lt;&gt;0,IF(Pricetype=1,(xSPRDOPT(M39,$E39,$CI39,0,($CD39+IF(Smile=TRUE(),VLOOKUP(MAX(-5,$H39-M39),Volsmile,2),0)),$CG39,$CH39,($A39-DateToday)+15,1,1))*(8*$HE39),8*$HE39),0)),0))</f>
        <v> </v>
      </c>
      <c r="AF39" s="318" t="str">
        <f aca="false">IF($A39="N/A"," ",IF(VLOOKUP(MONTH(A39),ManualTable,7)=1,(IF(W39&lt;&gt;0,(8*$HE39),0)),0))</f>
        <v> </v>
      </c>
      <c r="AG39" s="318" t="str">
        <f aca="false">IF($A39="N/A"," ",IF(VLOOKUP(MONTH(A39),ManualTable,8)=1,(IF(X39&lt;&gt;0,IF(Pricetype=1,(xSPRDOPT(O39,$E39,$CI39,0,($CD39+IF(Smile=TRUE(),VLOOKUP(MAX(-5,$H39-O39),Volsmile,2),0)),$CG39,$CH39,($A39-DateToday)+15,1,1))*(8*$HF39),8*$HF39),0)),0))</f>
        <v> </v>
      </c>
      <c r="AH39" s="318" t="str">
        <f aca="false">IF($A39="N/A"," ",IF(VLOOKUP(MONTH(A39),ManualTable,9)=1,(IF(Y39&lt;&gt;0,IF(Pricetype=1,(xSPRDOPT(P39,$E39,$CI39,0,($CD39+IF(Smile=TRUE(),VLOOKUP(MAX(-5,$H39-P39),Volsmile,2),0)),$CG39,$CH39,($A39-DateToday)+15,1,1))*(8*$HF39),8*$HF39),0)),0))</f>
        <v> </v>
      </c>
      <c r="AI39" s="318" t="str">
        <f aca="false">IF($A39="N/A"," ",IF(VLOOKUP(MONTH(A39),ManualTable,10)=1,(IF(Z39&lt;&gt;0,(8*($HF39)),0)),0))</f>
        <v> </v>
      </c>
      <c r="AJ39" s="349" t="str">
        <f aca="false">IF($A39="N/A"," ",RANK(R39,$R$28:$Z$39))</f>
        <v> </v>
      </c>
      <c r="AK39" s="350" t="str">
        <f aca="false">IF($A39="N/A"," ",RANK(S39,$R$28:$Z$39))</f>
        <v> </v>
      </c>
      <c r="AL39" s="321" t="str">
        <f aca="false">IF($A39="N/A"," ",RANK(T39,$R$28:$Z$39))</f>
        <v> </v>
      </c>
      <c r="AM39" s="350" t="str">
        <f aca="false">IF($A39="N/A"," ",RANK(U39,$R$28:$Z$39))</f>
        <v> </v>
      </c>
      <c r="AN39" s="350" t="str">
        <f aca="false">IF($A39="N/A"," ",RANK(V39,$R$28:$Z$39))</f>
        <v> </v>
      </c>
      <c r="AO39" s="321" t="str">
        <f aca="false">IF($A39="N/A"," ",RANK(W39,$R$28:$Z$39))</f>
        <v> </v>
      </c>
      <c r="AP39" s="350" t="str">
        <f aca="false">IF($A39="N/A"," ",RANK(X39,$R$28:$Z$39))</f>
        <v> </v>
      </c>
      <c r="AQ39" s="350" t="str">
        <f aca="false">IF($A39="N/A"," ",RANK(Y39,$R$28:$Z$39))</f>
        <v> </v>
      </c>
      <c r="AR39" s="351" t="str">
        <f aca="false">IF($A39="N/A"," ",RANK(Z39,$R$28:$Z$39))</f>
        <v> </v>
      </c>
      <c r="AS39" s="352" t="str">
        <f aca="false">IF($A39="N/A"," ",IF(AJ39&lt;=$AR$2,AA39,0))</f>
        <v> </v>
      </c>
      <c r="AT39" s="353" t="str">
        <f aca="false">IF($A39="N/A"," ",IF(AK39&lt;=$AR$2,AB39,0))</f>
        <v> </v>
      </c>
      <c r="AU39" s="353" t="str">
        <f aca="false">IF($A39="N/A"," ",IF(AL39&lt;=$AR$2,AC39,0))</f>
        <v> </v>
      </c>
      <c r="AV39" s="353" t="str">
        <f aca="false">IF($A39="N/A"," ",IF(AM39&lt;=$AR$2,AD39,0))</f>
        <v> </v>
      </c>
      <c r="AW39" s="353" t="str">
        <f aca="false">IF($A39="N/A"," ",IF(AN39&lt;=$AR$2,AE39,0))</f>
        <v> </v>
      </c>
      <c r="AX39" s="353" t="str">
        <f aca="false">IF($A39="N/A"," ",IF(AO39&lt;=$AR$2,AF39,0))</f>
        <v> </v>
      </c>
      <c r="AY39" s="353" t="str">
        <f aca="false">IF($A39="N/A"," ",IF(AP39&lt;=$AR$2,AG39,0))</f>
        <v> </v>
      </c>
      <c r="AZ39" s="353" t="str">
        <f aca="false">IF($A39="N/A"," ",IF(AQ39&lt;=$AR$2,AH39,0))</f>
        <v> </v>
      </c>
      <c r="BA39" s="353" t="str">
        <f aca="false">IF($A39="N/A"," ",IF(AR39&lt;=$AR$2,AI39,0))</f>
        <v> </v>
      </c>
      <c r="BB39" s="351" t="n">
        <f aca="false">IF(($AZ$2-BB38)&gt;=0,$AZ$2-BB38,0)</f>
        <v>980</v>
      </c>
      <c r="BC39" s="354" t="str">
        <f aca="false">IF($A39="N/A"," ",IF(AND(AJ39=$AR$2+1,AS39=0),MIN($BB$39,AA39),0))</f>
        <v> </v>
      </c>
      <c r="BD39" s="355" t="str">
        <f aca="false">IF($A39="N/A"," ",IF(AND(AK39=$AR$2+1,AT39=0),MIN($BB$39,AB39),0))</f>
        <v> </v>
      </c>
      <c r="BE39" s="346" t="str">
        <f aca="false">IF($A39="N/A"," ",IF(AND(AL39=$AR$2+1,AU39=0),MIN($BB$39,AC39),0))</f>
        <v> </v>
      </c>
      <c r="BF39" s="355" t="str">
        <f aca="false">IF($A39="N/A"," ",IF(AND(AM39=$AR$2+1,AV39=0),MIN($BB$39,AD39),0))</f>
        <v> </v>
      </c>
      <c r="BG39" s="355" t="str">
        <f aca="false">IF($A39="N/A"," ",IF(AND(AN39=$AR$2+1,AW39=0),MIN($BB$39,AE39),0))</f>
        <v> </v>
      </c>
      <c r="BH39" s="346" t="str">
        <f aca="false">IF($A39="N/A"," ",IF(AND(AO39=$AR$2+1,AX39=0),MIN($BB$39,AF39),0))</f>
        <v> </v>
      </c>
      <c r="BI39" s="355" t="str">
        <f aca="false">IF($A39="N/A"," ",IF(AND(AP39=$AR$2+1,AY39=0),MIN($BB$39,AG39),0))</f>
        <v> </v>
      </c>
      <c r="BJ39" s="355" t="str">
        <f aca="false">IF($A39="N/A"," ",IF(AND(AQ39=$AR$2+1,AZ39=0),MIN($BB$39,AH39),0))</f>
        <v> </v>
      </c>
      <c r="BK39" s="355" t="str">
        <f aca="false">IF($A39="N/A"," ",IF(AND(AR39=$AR$2+1,BA39=0),MIN($BB$39,AI39),0))</f>
        <v> </v>
      </c>
      <c r="BL39" s="356" t="n">
        <f aca="false">BB38+BL38</f>
        <v>0</v>
      </c>
      <c r="BM39" s="329" t="str">
        <f aca="false">IF($A39="N/A"," ",(IF(MONTH(A39)&gt;=4,IF(MONTH(A39)&lt;=10,Inputs!$F$13-Inputs!$G$13,Inputs!$F$14-Inputs!$G$14),Inputs!$F$14-Inputs!$G$14))*$CK39*Availability)</f>
        <v> </v>
      </c>
      <c r="BN39" s="330" t="str">
        <f aca="false">IF($A39="N/A"," ",(IF(AS39&gt;0,($BM39*(8*($HD39))*R39),0)+IF(BC39&gt;0,($BM39*((BC39/AA39)*8*$HD39)*R39),0)))</f>
        <v> </v>
      </c>
      <c r="BO39" s="330" t="str">
        <f aca="false">IF($A39="N/A"," ",(IF(AT39&gt;0,($BM39*(8*($HD39))*S39),0)+IF(BD39&gt;0,($BM39*((BD39/AB39)*8*$HD39)*S39),0)))</f>
        <v> </v>
      </c>
      <c r="BP39" s="330" t="str">
        <f aca="false">IF($A39="N/A"," ",(IF(AU39&gt;0,($BM39*(8*($HD39))*T39),0)+IF(BE39&gt;0,($BM39*((BE39))*T39),0)))</f>
        <v> </v>
      </c>
      <c r="BQ39" s="330" t="str">
        <f aca="false">IF($A39="N/A"," ",(IF(AV39&gt;0,($BM39*(8*($HE39))*U39),0)+IF(BF39&gt;0,($BM39*((BF39/AD39)*8*$HE39)*U39),0)))</f>
        <v> </v>
      </c>
      <c r="BR39" s="330" t="str">
        <f aca="false">IF($A39="N/A"," ",(IF(AW39&gt;0,($BM39*(8*($HE39))*V39),0)+IF(BG39&gt;0,($BM39*((BG39/AE39)*8*$HE39)*V39),0)))</f>
        <v> </v>
      </c>
      <c r="BS39" s="330" t="str">
        <f aca="false">IF($A39="N/A"," ",(IF(AX39&gt;0,($BM39*(8*($HE39))*W39),0)+IF(BH39&gt;0,($BM39*((BH39))*W39),0)))</f>
        <v> </v>
      </c>
      <c r="BT39" s="330" t="str">
        <f aca="false">IF($A39="N/A"," ",(IF(AY39&gt;0,($BM39*(8*($HF39))*X39),0)+IF(BI39&gt;0,($BM39*((BI39/AG39)*8*$HF39)*X39),0)))</f>
        <v> </v>
      </c>
      <c r="BU39" s="330" t="str">
        <f aca="false">IF($A39="N/A"," ",(IF(AZ39&gt;0,($BM39*(8*($HF39))*Y39),0)+IF(BJ39&gt;0,($BM39*((BJ39/AH39)*8*$HF39)*Y39),0)))</f>
        <v> </v>
      </c>
      <c r="BV39" s="330" t="str">
        <f aca="false">IF($A39="N/A"," ",(IF(BA39&gt;0,($BM39*(8*($HF39))*Z39),0)+IF(BK39&gt;0,($BM39*((BK39))*Z39),0)))</f>
        <v> </v>
      </c>
      <c r="BW39" s="330" t="str">
        <f aca="false">IF($A39="N/A"," ",SUM(BN39:BV39))</f>
        <v> </v>
      </c>
      <c r="BX39" s="331" t="str">
        <f aca="false">IF($A39="N/A"," ",(H39*(SUM(AS39:BA39)+SUM(BC39:BK39))*BM39))</f>
        <v> </v>
      </c>
      <c r="BY39" s="332" t="str">
        <f aca="false">IF($A39="N/A"," ",((C39*D39)*(SUM($AS39:$BA39)+SUM($BC39:$BK39))*$BM39))</f>
        <v> </v>
      </c>
      <c r="BZ39" s="332" t="str">
        <f aca="false">IF($A39="N/A"," ",(F39*(SUM($AS39:$BA39)+SUM($BC39:$BK39))*$BM39))</f>
        <v> </v>
      </c>
      <c r="CA39" s="333" t="str">
        <f aca="false">IF($A39="N/A"," ",(G39*(SUM($AS39:$BA39)+SUM($BC39:$BK39))*$BM39))</f>
        <v> </v>
      </c>
      <c r="CB39" s="334" t="str">
        <f aca="false">IF(A39="N/A"," ",(VLOOKUP(A39,PowerVolTable,(IF(BMO=2,7,IF(BMO=1,6,8))),FALSE())))</f>
        <v> </v>
      </c>
      <c r="CC39" s="334" t="str">
        <f aca="false">IF(A39="N/A"," ",(VLOOKUP(A39,IntraPowerVol,(IF(BMO=2,3,IF(BMO=1,2,4))),FALSE())*VLOOKUP(MONTH($A39),Volscale,2)))</f>
        <v> </v>
      </c>
      <c r="CD39" s="335" t="str">
        <f aca="false">IF($A39="N/A"," ",(IF(DateToday&gt;$A39,$CC39,((($CB39^2)*((($A39-1)-DateToday)/((EOMONTH($A39,0)+1)-DateToday-15)))+((($CC39)^2)*((15)/((EOMONTH($A39,0)+1)-DateToday-15))))^0.5)))</f>
        <v> </v>
      </c>
      <c r="CE39" s="334" t="str">
        <f aca="false">IF($A39="N/A"," ",(VLOOKUP($A39,GasVolTable,(IF(BMO=2,6,IF(BMO=1,7,5))),FALSE())))</f>
        <v> </v>
      </c>
      <c r="CF39" s="334" t="str">
        <f aca="false">IF($A39="N/A"," ",(VLOOKUP($A39,OmicronVol,(IF(BMO=2,3,IF(BMO=1,4,2))),FALSE())))</f>
        <v> </v>
      </c>
      <c r="CG39" s="335" t="str">
        <f aca="false">IF($A39="N/A"," ",(IF(DateToday&gt;$A39,$CF39,((($CE39^2)*((($A39-1)-DateToday)/((EOMONTH($A39,0)+1)-DateToday-15)))+((($CF39)^2)*((15)/((EOMONTH($A39,0)+1)-DateToday-15))))^0.5)))</f>
        <v> </v>
      </c>
      <c r="CH39" s="334" t="str">
        <f aca="false">IF($A39="N/A"," ",VLOOKUP($A39,CorrelationTable,2,FALSE()))</f>
        <v> </v>
      </c>
      <c r="CI39" s="336" t="str">
        <f aca="false">IF($A39="N/A"," ",F39+G39+(D39*('Pricing Inputs'!T72)))</f>
        <v> </v>
      </c>
      <c r="CJ39" s="334" t="str">
        <f aca="false">IF($A39="N/A"," ",IF(PV=1,0,'Pricing Inputs'!U72))</f>
        <v> </v>
      </c>
      <c r="CK39" s="337" t="str">
        <f aca="false">IF($A39="N/A"," ",(1+CJ39/2)^(-2*((EOMONTH(A39,0)+20)-DateToday)/365.25))</f>
        <v> </v>
      </c>
      <c r="CL39" s="338" t="str">
        <f aca="false">IF(A39="N/A"," ",IF(CC=2,(VLOOKUP(MONTH($A39),Hrtable,3))/1000,0))</f>
        <v> </v>
      </c>
      <c r="CM39" s="339" t="str">
        <f aca="false">IF(A39="N/A"," ",IF(CC=2,(CL39*C39)+F39,0))</f>
        <v> </v>
      </c>
      <c r="CN39" s="340" t="str">
        <f aca="false">IF($A39="N/A"," ",IF(CC=2,(VLOOKUP(A39,ScaledPrice,(IF(AND(Dayrun&gt;=1,Dayrun&lt;=6),2,4)))-((IF(R39&lt;&gt;0,$D39,$CL39)*$C39)+$F39+$G39)),0))</f>
        <v> </v>
      </c>
      <c r="CO39" s="340" t="str">
        <f aca="false">IF($A39="N/A"," ",IF(CC=2,(IF(AND(Dayrun&gt;=1,Dayrun&lt;=6),I39,(VLOOKUP(A39,ScaledPrice,2))*(2-(VLOOKUP(A39,ScaledPrice,3))))-((IF(S39&lt;&gt;0,$D39,$CL39)*$C39)+$F39+$G39)),0))</f>
        <v> </v>
      </c>
      <c r="CP39" s="340" t="str">
        <f aca="false">IF(A39="N/A"," ",IF(CC=2,(VLOOKUP(A39,ScaledPrice,9)-((IF(T39&lt;&gt;0,$D39,$CL39)*$C39)+$F39+$G39)),0))</f>
        <v> </v>
      </c>
      <c r="CQ39" s="340" t="str">
        <f aca="false">IF(A39="N/A"," ",IF(CC=2,(IF(OR(Dayrun=2,Dayrun=3,Dayrun=5,Dayrun=6,Dayrun=8,Dayrun=9),VLOOKUP(A39,ScaledPrice,IF(AND(Dayrun&gt;=2,Dayrun&lt;=6),5,6)),0)-((IF(U39&lt;&gt;0,$D39,$CL39)*$C39)+$F39+$G39)),0))</f>
        <v> </v>
      </c>
      <c r="CR39" s="340" t="str">
        <f aca="false">IF(A39="N/A"," ",IF(CC=2,(IF(OR(Dayrun=2,Dayrun=3,Dayrun=5,Dayrun=6,Dayrun=8,Dayrun=9),IF(AND(Dayrun&gt;=2,Dayrun&lt;=6),L39,(VLOOKUP(A39,ScaledPrice,5))*(2-(VLOOKUP(A39,ScaledPrice,3)))),0)-((IF(V39&lt;&gt;0,$D39,$CL39)*$C39)+$F39+$G39)),0))</f>
        <v> </v>
      </c>
      <c r="CS39" s="340" t="str">
        <f aca="false">IF(A39="N/A"," ",IF(CC=2,(VLOOKUP(A39,ScaledPrice,9)-((IF(W39&lt;&gt;0,$D39,$CL39)*$C39)+$F39+$G39)),0))</f>
        <v> </v>
      </c>
      <c r="CT39" s="340" t="str">
        <f aca="false">IF(A39="N/A"," ",IF(CC=2,(IF(OR(Dayrun=3,Dayrun=6,Dayrun=9),(VLOOKUP(A39,ScaledPrice,IF(AND(Dayrun&gt;=3,Dayrun&lt;=6),7,8))),0)-((IF(X39&lt;&gt;0,$D39,$CL39)*$C39)+$F39+$G39)),0))</f>
        <v> </v>
      </c>
      <c r="CU39" s="340" t="str">
        <f aca="false">IF(A39="N/A"," ",IF(CC=2,(IF(OR(Dayrun=3,Dayrun=6,Dayrun=9),IF(AND(Dayrun&gt;=3,Dayrun&lt;=6),O39,(VLOOKUP(A39,ScaledPrice,7))*(2-(VLOOKUP(A39,ScaledPrice,3)))),0)-((IF(Y39&lt;&gt;0,$D39,$CL39)*$C39)+$F39+$G39)),0))</f>
        <v> </v>
      </c>
      <c r="CV39" s="340" t="str">
        <f aca="false">IF(A39="N/A"," ",IF(CC=2,(VLOOKUP(A39,ScaledPrice,9)-((IF(Z39&lt;&gt;0,$D39,$CL39)*$C39)+$F39+$G39)),0))</f>
        <v> </v>
      </c>
      <c r="CW39" s="318" t="str">
        <f aca="false">IF($A39="N/A"," ",IF(0&lt;&gt;CN39,IF(CC=2,8*$HD39,0),0))</f>
        <v> </v>
      </c>
      <c r="CX39" s="318" t="str">
        <f aca="false">IF($A39="N/A"," ",IF(0&lt;&gt;CO39,IF(CC=2,8*$HD39,0),0))</f>
        <v> </v>
      </c>
      <c r="CY39" s="318" t="str">
        <f aca="false">IF($A39="N/A"," ",IF(0&lt;&gt;CP39,IF(CC=2,8*$HD39,0),0))</f>
        <v> </v>
      </c>
      <c r="CZ39" s="318" t="str">
        <f aca="false">IF($A39="N/A"," ",IF(0&lt;&gt;CQ39,IF(CC=2,8*$HE39,0),0))</f>
        <v> </v>
      </c>
      <c r="DA39" s="318" t="str">
        <f aca="false">IF($A39="N/A"," ",IF(0&lt;&gt;CR39,IF(CC=2,8*$HE39,0),0))</f>
        <v> </v>
      </c>
      <c r="DB39" s="318" t="str">
        <f aca="false">IF($A39="N/A"," ",IF(0&lt;&gt;CS39,IF(CC=2,8*$HE39,0),0))</f>
        <v> </v>
      </c>
      <c r="DC39" s="318" t="str">
        <f aca="false">IF($A39="N/A"," ",IF(0&lt;&gt;CT39,IF(CC=2,8*$HF39,0),0))</f>
        <v> </v>
      </c>
      <c r="DD39" s="318" t="str">
        <f aca="false">IF($A39="N/A"," ",IF(0&lt;&gt;CU39,IF(CC=2,8*$HF39,0),0))</f>
        <v> </v>
      </c>
      <c r="DE39" s="318" t="str">
        <f aca="false">IF($A39="N/A"," ",IF(0&lt;&gt;CV39,IF(CC=2,8*$HF39,0),0))</f>
        <v> </v>
      </c>
      <c r="DF39" s="341" t="str">
        <f aca="false">IF($A39="N/A"," ",IF(CC=2,(IF(MONTH(A39)&gt;=4,IF(MONTH(A39)&lt;=10,Inputs!$G$13,Inputs!$G$14),Inputs!$G$14))*$CK39,0))</f>
        <v> </v>
      </c>
      <c r="DG39" s="342" t="str">
        <f aca="false">IF($A39="N/A"," ",IF(CC=2,$DF39*CW39*CN39,0))</f>
        <v> </v>
      </c>
      <c r="DH39" s="342" t="str">
        <f aca="false">IF($A39="N/A"," ",IF(CC=2,$DF39*CX39*CO39,0))</f>
        <v> </v>
      </c>
      <c r="DI39" s="342" t="str">
        <f aca="false">IF($A39="N/A"," ",IF(CC=2,$DF39*CY39*CP39,0))</f>
        <v> </v>
      </c>
      <c r="DJ39" s="342" t="str">
        <f aca="false">IF($A39="N/A"," ",IF(CC=2,$DF39*CZ39*CQ39,0))</f>
        <v> </v>
      </c>
      <c r="DK39" s="342" t="str">
        <f aca="false">IF($A39="N/A"," ",IF(CC=2,$DF39*DA39*CR39,0))</f>
        <v> </v>
      </c>
      <c r="DL39" s="342" t="str">
        <f aca="false">IF($A39="N/A"," ",IF(CC=2,$DF39*DB39*CS39,0))</f>
        <v> </v>
      </c>
      <c r="DM39" s="342" t="str">
        <f aca="false">IF($A39="N/A"," ",IF(CC=2,$DF39*DC39*CT39,0))</f>
        <v> </v>
      </c>
      <c r="DN39" s="342" t="str">
        <f aca="false">IF($A39="N/A"," ",IF(CC=2,$DF39*DD39*CU39,0))</f>
        <v> </v>
      </c>
      <c r="DO39" s="342" t="str">
        <f aca="false">IF($A39="N/A"," ",IF(CC=2,$DF39*DE39*CV39,0))</f>
        <v> </v>
      </c>
      <c r="DP39" s="343" t="str">
        <f aca="false">IF($A39="N/A"," ",IF(CC=2,SUM(DG39:DO39),0))</f>
        <v> </v>
      </c>
      <c r="DQ39" s="0" t="str">
        <f aca="false">IF(A39="N/A"," ",Perstart)</f>
        <v> </v>
      </c>
      <c r="HD39" s="0" t="str">
        <f aca="false">IF($A39="N/A"," ",VLOOKUP($A39,NumberofDaysTable,2))</f>
        <v> </v>
      </c>
      <c r="HE39" s="0" t="str">
        <f aca="false">IF($A39="N/A"," ",VLOOKUP($A39,NumberofDaysTable,3))</f>
        <v> </v>
      </c>
      <c r="HF39" s="0" t="str">
        <f aca="false">IF($A39="N/A"," ",VLOOKUP($A39,NumberofDaysTable,4))</f>
        <v> </v>
      </c>
    </row>
    <row r="40" customFormat="false" ht="12.75" hidden="false" customHeight="false" outlineLevel="0" collapsed="false">
      <c r="A40" s="308" t="str">
        <f aca="false">IF(A39="N/A","N/A",IF(EDATE(A39,1)&gt;Inputs!$K$3,"N/A",EDATE(A39,1)))</f>
        <v>N/A</v>
      </c>
      <c r="B40" s="309" t="str">
        <f aca="false">IF(A40="N/A"," ",YEAR(A40))</f>
        <v> </v>
      </c>
      <c r="C40" s="310" t="str">
        <f aca="false">IF(A40="N/A"," ",VLOOKUP(A40,ScaledPrice,10))</f>
        <v> </v>
      </c>
      <c r="D40" s="311" t="str">
        <f aca="false">IF(A40="N/A"," ",(VLOOKUP(MONTH($A40),Hrtable,2))/1000)</f>
        <v> </v>
      </c>
      <c r="E40" s="312" t="str">
        <f aca="false">IF($A40="N/A"," ",(C40-'Pricing Inputs'!T73)*D40)</f>
        <v> </v>
      </c>
      <c r="F40" s="313" t="str">
        <f aca="false">IF(A40="N/A"," ",$F28*(1+VOMesc))</f>
        <v> </v>
      </c>
      <c r="G40" s="313" t="str">
        <f aca="false">IF(A40="N/A"," ",Perstart/IF(AND(Dayrun&gt;=4,Dayrun&lt;=6),16,IF(AND(Dayrun&gt;=7,Dayrun&lt;=9),8,24))/(BM40/CK40))</f>
        <v> </v>
      </c>
      <c r="H40" s="314" t="str">
        <f aca="false">IF(A40="N/A"," ",(C40*D40)+F40+G40)</f>
        <v> </v>
      </c>
      <c r="I40" s="315" t="str">
        <f aca="false">VLOOKUP(A40,ScaledPrice,(IF(AND(Dayrun&gt;=1,Dayrun&lt;=6),2,4)))</f>
        <v> </v>
      </c>
      <c r="J40" s="315" t="str">
        <f aca="false">IF(A40="N/A"," ",IF(AND(Dayrun&gt;=1,Dayrun&lt;=6),I40,(VLOOKUP(A40,ScaledPrice,2))*(2-(VLOOKUP(A40,ScaledPrice,3)))))</f>
        <v> </v>
      </c>
      <c r="K40" s="315" t="str">
        <f aca="false">IF(A40="N/A"," ",IF(AND(Dayrun&gt;=1,Dayrun&lt;=3),VLOOKUP(A40,ScaledPrice,9),0))</f>
        <v> </v>
      </c>
      <c r="L40" s="315" t="str">
        <f aca="false">IF(A40="N/A"," ",IF(OR(Dayrun=2,Dayrun=3,Dayrun=5,Dayrun=6,Dayrun=8,Dayrun=9),VLOOKUP(A40,ScaledPrice,IF(AND(Dayrun&gt;=2,Dayrun&lt;=6),5,6)),0))</f>
        <v> </v>
      </c>
      <c r="M40" s="315" t="str">
        <f aca="false">IF(A40="N/A"," ",IF(OR(Dayrun=2,Dayrun=3,Dayrun=5,Dayrun=6,Dayrun=8,Dayrun=9),IF(AND(Dayrun&gt;=2,Dayrun&lt;=6),L40,(VLOOKUP(A40,ScaledPrice,5))*(2-(VLOOKUP(A40,ScaledPrice,3)))),0))</f>
        <v> </v>
      </c>
      <c r="N40" s="315" t="str">
        <f aca="false">IF(A40="N/A"," ",IF(AND(Dayrun&gt;1,Dayrun&lt;=3),VLOOKUP(A40,ScaledPrice,9),0))</f>
        <v> </v>
      </c>
      <c r="O40" s="315" t="str">
        <f aca="false">IF(A40="N/A"," ",IF(OR(Dayrun=3,Dayrun=6,Dayrun=9),(VLOOKUP(A40,ScaledPrice,IF(AND(Dayrun&gt;=3,Dayrun&lt;=6),7,8))),0))</f>
        <v> </v>
      </c>
      <c r="P40" s="315" t="str">
        <f aca="false">IF(A40="N/A"," ",IF(OR(Dayrun=3,Dayrun=6,Dayrun=9),IF(AND(Dayrun&gt;=3,Dayrun&lt;=6),O40,(VLOOKUP(A40,ScaledPrice,7))*(2-(VLOOKUP(A40,ScaledPrice,3)))),0))</f>
        <v> </v>
      </c>
      <c r="Q40" s="315" t="str">
        <f aca="false">IF(A40="N/A"," ",IF(AND(Dayrun&gt;2,Dayrun&lt;=3),VLOOKUP(A40,ScaledPrice,9),0))</f>
        <v> </v>
      </c>
      <c r="R40" s="316" t="str">
        <f aca="false">IF($A40="N/A"," ",IF(Pricetype=2,MAX(I40-$H40,0),IF(Pricetype=1,(xSPRDOPT(I40,$E40,$CI40,0,($CD40+IF(Smile=TRUE(),VLOOKUP(MAX(-5,$H40-I40),Volsmile,2),0)),$CG40,$CH40,($A40-DateToday)+15,1,0)),I40-$H40)))</f>
        <v> </v>
      </c>
      <c r="S40" s="316" t="str">
        <f aca="false">IF($A40="N/A"," ",IF(Pricetype=2,MAX(J40-$H40,0),IF(Pricetype=1,(xSPRDOPT(J40,$E40,$CI40,0,($CD40+IF(Smile=TRUE(),VLOOKUP(MAX(-5,$H40-J40),Volsmile,2),0)),$CG40,$CH40,($A40-DateToday)+15,1,0)),J40-$H40)))</f>
        <v> </v>
      </c>
      <c r="T40" s="317" t="str">
        <f aca="false">IF($A40="N/A"," ",(IF(Pricetype=2,IF((K40-$H40)&lt;=0,0,(K40-$H40)),IF(K40&lt;&gt;0,(K40-$H40),0))))</f>
        <v> </v>
      </c>
      <c r="U40" s="316" t="str">
        <f aca="false">IF($A40="N/A"," ",IF(Pricetype=2,MAX(L40-$H40,0),IF(L40&lt;&gt;0,IF(Pricetype=1,(xSPRDOPT(L40,$E40,$CI40,0,($CD40+IF(Smile=TRUE(),VLOOKUP(MAX(-5,$H40-L40),Volsmile,2),0)),$CG40,$CH40,($A40-DateToday)+15,1,0)),L40-$H40),0)))</f>
        <v> </v>
      </c>
      <c r="V40" s="316" t="str">
        <f aca="false">IF($A40="N/A"," ",IF(Pricetype=2,MAX(M40-$H40,0),IF(M40&lt;&gt;0,IF(Pricetype=1,(xSPRDOPT(M40,$E40,$CI40,0,($CD40+IF(Smile=TRUE(),VLOOKUP(MAX(-5,$H40-M40),Volsmile,2),0)),$CG40,$CH40,($A40-DateToday)+15,1,0)),M40-$H40),0)))</f>
        <v> </v>
      </c>
      <c r="W40" s="317" t="str">
        <f aca="false">IF($A40="N/A"," ",(IF(Pricetype=2,IF((N40-$H40)&lt;=0,0,(N40-$H40)),IF(N40&lt;&gt;0,(N40-$H40),0))))</f>
        <v> </v>
      </c>
      <c r="X40" s="316" t="str">
        <f aca="false">IF($A40="N/A"," ",IF(Pricetype=2,MAX(O40-$H40,0),IF(O40&lt;&gt;0,IF(Pricetype=1,(xSPRDOPT(O40,$E40,$CI40,0,($CD40+IF(Smile=TRUE(),VLOOKUP(MAX(-5,$H40-O40),Volsmile,2),0)),$CG40,$CH40,($A40-DateToday)+15,1,0)),O40-$H40),0)))</f>
        <v> </v>
      </c>
      <c r="Y40" s="316" t="str">
        <f aca="false">IF($A40="N/A"," ",IF(Pricetype=2,MAX(P40-$H40,0),IF(P40&lt;&gt;0,IF(Pricetype=1,(xSPRDOPT(P40,$E40,$CI40,0,($CD40+IF(Smile=TRUE(),VLOOKUP(MAX(-5,$H40-P40),Volsmile,2),0)),$CG40,$CH40,($A40-DateToday)+15,1,0)),P40-$H40),0)))</f>
        <v> </v>
      </c>
      <c r="Z40" s="317" t="str">
        <f aca="false">IF($A40="N/A"," ",(IF(Pricetype=2,IF((Q40-$H40)&lt;=0,0,(Q40-$H40)),IF(Q40&lt;&gt;0,(Q40-$H40),0))))</f>
        <v> </v>
      </c>
      <c r="AA40" s="318" t="str">
        <f aca="false">IF($A40="N/A"," ",IF(VLOOKUP(MONTH(A40),ManualTable,2)=1,(IF(0&lt;&gt;R40,IF(Pricetype=1,(xSPRDOPT(I40,$E40,$CI40,0,($CD40+IF(Smile=TRUE(),VLOOKUP(MAX(-5,$H40-I40),Volsmile,2),0)),$CG40,$CH40,($A40-DateToday)+15,1,1))*(8*$HD40),8*$HD40),0)),0))</f>
        <v> </v>
      </c>
      <c r="AB40" s="318" t="str">
        <f aca="false">IF($A40="N/A"," ",IF(VLOOKUP(MONTH(A40),ManualTable,3)=1,(IF(S40&lt;&gt;0,IF(Pricetype=1,(xSPRDOPT(J40,$E40,$CI40,0,($CD40+IF(Smile=TRUE(),VLOOKUP(MAX(-5,$H40-J40),Volsmile,2),0)),$CG40,$CH40,($A40-DateToday)+15,1,1))*(8*$HD40),8*$HD40),0)),0))</f>
        <v> </v>
      </c>
      <c r="AC40" s="318" t="str">
        <f aca="false">IF($A40="N/A"," ",IF(VLOOKUP(MONTH(A40),ManualTable,4)=1,(IF(T40&lt;&gt;0,(8*$HD40),0)),0))</f>
        <v> </v>
      </c>
      <c r="AD40" s="318" t="str">
        <f aca="false">IF($A40="N/A"," ",IF(VLOOKUP(MONTH(A40),ManualTable,5)=1,(IF(U40&lt;&gt;0,IF(Pricetype=1,(xSPRDOPT(L40,$E40,$CI40,0,($CD40+IF(Smile=TRUE(),VLOOKUP(MAX(-5,$H40-L40),Volsmile,2),0)),$CG40,$CH40,($A40-DateToday)+15,1,1))*(8*$HE40),8*$HE40),0)),0))</f>
        <v> </v>
      </c>
      <c r="AE40" s="318" t="str">
        <f aca="false">IF($A40="N/A"," ",IF(VLOOKUP(MONTH(A40),ManualTable,6)=1,(IF(V40&lt;&gt;0,IF(Pricetype=1,(xSPRDOPT(M40,$E40,$CI40,0,($CD40+IF(Smile=TRUE(),VLOOKUP(MAX(-5,$H40-M40),Volsmile,2),0)),$CG40,$CH40,($A40-DateToday)+15,1,1))*(8*$HE40),8*$HE40),0)),0))</f>
        <v> </v>
      </c>
      <c r="AF40" s="318" t="str">
        <f aca="false">IF($A40="N/A"," ",IF(VLOOKUP(MONTH(A40),ManualTable,7)=1,(IF(W40&lt;&gt;0,(8*$HE40),0)),0))</f>
        <v> </v>
      </c>
      <c r="AG40" s="318" t="str">
        <f aca="false">IF($A40="N/A"," ",IF(VLOOKUP(MONTH(A40),ManualTable,8)=1,(IF(X40&lt;&gt;0,IF(Pricetype=1,(xSPRDOPT(O40,$E40,$CI40,0,($CD40+IF(Smile=TRUE(),VLOOKUP(MAX(-5,$H40-O40),Volsmile,2),0)),$CG40,$CH40,($A40-DateToday)+15,1,1))*(8*$HF40),8*$HF40),0)),0))</f>
        <v> </v>
      </c>
      <c r="AH40" s="318" t="str">
        <f aca="false">IF($A40="N/A"," ",IF(VLOOKUP(MONTH(A40),ManualTable,9)=1,(IF(Y40&lt;&gt;0,IF(Pricetype=1,(xSPRDOPT(P40,$E40,$CI40,0,($CD40+IF(Smile=TRUE(),VLOOKUP(MAX(-5,$H40-P40),Volsmile,2),0)),$CG40,$CH40,($A40-DateToday)+15,1,1))*(8*$HF40),8*$HF40),0)),0))</f>
        <v> </v>
      </c>
      <c r="AI40" s="318" t="str">
        <f aca="false">IF($A40="N/A"," ",IF(VLOOKUP(MONTH(A40),ManualTable,10)=1,(IF(Z40&lt;&gt;0,(8*($HF40)),0)),0))</f>
        <v> </v>
      </c>
      <c r="AJ40" s="319" t="str">
        <f aca="false">IF($A40="N/A"," ",RANK(R40,$R$40:$Z$51))</f>
        <v> </v>
      </c>
      <c r="AK40" s="320" t="str">
        <f aca="false">IF($A40="N/A"," ",RANK(S40,$R$40:$Z$51))</f>
        <v> </v>
      </c>
      <c r="AL40" s="320" t="str">
        <f aca="false">IF($A40="N/A"," ",RANK(T40,$R$40:$Z$51))</f>
        <v> </v>
      </c>
      <c r="AM40" s="320" t="str">
        <f aca="false">IF($A40="N/A"," ",RANK(U40,$R$40:$Z$51))</f>
        <v> </v>
      </c>
      <c r="AN40" s="320" t="str">
        <f aca="false">IF($A40="N/A"," ",RANK(V40,$R$40:$Z$51))</f>
        <v> </v>
      </c>
      <c r="AO40" s="320" t="str">
        <f aca="false">IF($A40="N/A"," ",RANK(W40,$R$40:$Z$51))</f>
        <v> </v>
      </c>
      <c r="AP40" s="320" t="str">
        <f aca="false">IF($A40="N/A"," ",RANK(X40,$R$40:$Z$51))</f>
        <v> </v>
      </c>
      <c r="AQ40" s="320" t="str">
        <f aca="false">IF($A40="N/A"," ",RANK(Y40,$R$40:$Z$51))</f>
        <v> </v>
      </c>
      <c r="AR40" s="322" t="str">
        <f aca="false">IF($A40="N/A"," ",RANK(Z40,$R$40:$Z$51))</f>
        <v> </v>
      </c>
      <c r="AS40" s="357" t="str">
        <f aca="false">IF($A40="N/A"," ",IF(AJ40&lt;=$AR$2,AA40,0))</f>
        <v> </v>
      </c>
      <c r="AT40" s="324" t="str">
        <f aca="false">IF($A40="N/A"," ",IF(AK40&lt;=$AR$2,AB40,0))</f>
        <v> </v>
      </c>
      <c r="AU40" s="325" t="str">
        <f aca="false">IF($A40="N/A"," ",IF(AL40&lt;=$AR$2,AC40,0))</f>
        <v> </v>
      </c>
      <c r="AV40" s="324" t="str">
        <f aca="false">IF($A40="N/A"," ",IF(AM40&lt;=$AR$2,AD40,0))</f>
        <v> </v>
      </c>
      <c r="AW40" s="324" t="str">
        <f aca="false">IF($A40="N/A"," ",IF(AN40&lt;=$AR$2,AE40,0))</f>
        <v> </v>
      </c>
      <c r="AX40" s="325" t="str">
        <f aca="false">IF($A40="N/A"," ",IF(AO40&lt;=$AR$2,AF40,0))</f>
        <v> </v>
      </c>
      <c r="AY40" s="324" t="str">
        <f aca="false">IF($A40="N/A"," ",IF(AP40&lt;=$AR$2,AG40,0))</f>
        <v> </v>
      </c>
      <c r="AZ40" s="324" t="str">
        <f aca="false">IF($A40="N/A"," ",IF(AQ40&lt;=$AR$2,AH40,0))</f>
        <v> </v>
      </c>
      <c r="BA40" s="324" t="str">
        <f aca="false">IF($A40="N/A"," ",IF(AR40&lt;=$AR$2,AI40,0))</f>
        <v> </v>
      </c>
      <c r="BB40" s="322"/>
      <c r="BC40" s="358" t="str">
        <f aca="false">IF($A40="N/A"," ",IF(AND(AJ40=$AR$2+1,AS40=0),MIN($BB$51,AA40),0))</f>
        <v> </v>
      </c>
      <c r="BD40" s="327" t="str">
        <f aca="false">IF($A40="N/A"," ",IF(AND(AK40=$AR$2+1,AT40=0),MIN($BB$51,AB40),0))</f>
        <v> </v>
      </c>
      <c r="BE40" s="327" t="str">
        <f aca="false">IF($A40="N/A"," ",IF(AND(AL40=$AR$2+1,AU40=0),MIN($BB$51,AC40),0))</f>
        <v> </v>
      </c>
      <c r="BF40" s="327" t="str">
        <f aca="false">IF($A40="N/A"," ",IF(AND(AM40=$AR$2+1,AV40=0),MIN($BB$51,AD40),0))</f>
        <v> </v>
      </c>
      <c r="BG40" s="327" t="str">
        <f aca="false">IF($A40="N/A"," ",IF(AND(AN40=$AR$2+1,AW40=0),MIN($BB$51,AE40),0))</f>
        <v> </v>
      </c>
      <c r="BH40" s="327" t="str">
        <f aca="false">IF($A40="N/A"," ",IF(AND(AO40=$AR$2+1,AX40=0),MIN($BB$51,AF40),0))</f>
        <v> </v>
      </c>
      <c r="BI40" s="327" t="str">
        <f aca="false">IF($A40="N/A"," ",IF(AND(AP40=$AR$2+1,AY40=0),MIN($BB$51,AG40),0))</f>
        <v> </v>
      </c>
      <c r="BJ40" s="327" t="str">
        <f aca="false">IF($A40="N/A"," ",IF(AND(AQ40=$AR$2+1,AZ40=0),MIN($BB$51,AH40),0))</f>
        <v> </v>
      </c>
      <c r="BK40" s="327" t="str">
        <f aca="false">IF($A40="N/A"," ",IF(AND(AR40=$AR$2+1,BA40=0),MIN($BB$51,AI40),0))</f>
        <v> </v>
      </c>
      <c r="BL40" s="322"/>
      <c r="BM40" s="329" t="str">
        <f aca="false">IF($A40="N/A"," ",(IF(MONTH(A40)&gt;=4,IF(MONTH(A40)&lt;=10,Inputs!$F$13-Inputs!$G$13,Inputs!$F$14-Inputs!$G$14),Inputs!$F$14-Inputs!$G$14))*$CK40*Availability)</f>
        <v> </v>
      </c>
      <c r="BN40" s="330" t="str">
        <f aca="false">IF($A40="N/A"," ",(IF(AS40&gt;0,($BM40*(8*($HD40))*R40),0)+IF(BC40&gt;0,($BM40*((BC40/AA40)*8*$HD40)*R40),0)))</f>
        <v> </v>
      </c>
      <c r="BO40" s="330" t="str">
        <f aca="false">IF($A40="N/A"," ",(IF(AT40&gt;0,($BM40*(8*($HD40))*S40),0)+IF(BD40&gt;0,($BM40*((BD40/AB40)*8*$HD40)*S40),0)))</f>
        <v> </v>
      </c>
      <c r="BP40" s="330" t="str">
        <f aca="false">IF($A40="N/A"," ",(IF(AU40&gt;0,($BM40*(8*($HD40))*T40),0)+IF(BE40&gt;0,($BM40*((BE40))*T40),0)))</f>
        <v> </v>
      </c>
      <c r="BQ40" s="330" t="str">
        <f aca="false">IF($A40="N/A"," ",(IF(AV40&gt;0,($BM40*(8*($HE40))*U40),0)+IF(BF40&gt;0,($BM40*((BF40/AD40)*8*$HE40)*U40),0)))</f>
        <v> </v>
      </c>
      <c r="BR40" s="330" t="str">
        <f aca="false">IF($A40="N/A"," ",(IF(AW40&gt;0,($BM40*(8*($HE40))*V40),0)+IF(BG40&gt;0,($BM40*((BG40/AE40)*8*$HE40)*V40),0)))</f>
        <v> </v>
      </c>
      <c r="BS40" s="330" t="str">
        <f aca="false">IF($A40="N/A"," ",(IF(AX40&gt;0,($BM40*(8*($HE40))*W40),0)+IF(BH40&gt;0,($BM40*((BH40))*W40),0)))</f>
        <v> </v>
      </c>
      <c r="BT40" s="330" t="str">
        <f aca="false">IF($A40="N/A"," ",(IF(AY40&gt;0,($BM40*(8*($HF40))*X40),0)+IF(BI40&gt;0,($BM40*((BI40/AG40)*8*$HF40)*X40),0)))</f>
        <v> </v>
      </c>
      <c r="BU40" s="330" t="str">
        <f aca="false">IF($A40="N/A"," ",(IF(AZ40&gt;0,($BM40*(8*($HF40))*Y40),0)+IF(BJ40&gt;0,($BM40*((BJ40/AH40)*8*$HF40)*Y40),0)))</f>
        <v> </v>
      </c>
      <c r="BV40" s="330" t="str">
        <f aca="false">IF($A40="N/A"," ",(IF(BA40&gt;0,($BM40*(8*($HF40))*Z40),0)+IF(BK40&gt;0,($BM40*((BK40))*Z40),0)))</f>
        <v> </v>
      </c>
      <c r="BW40" s="330" t="str">
        <f aca="false">IF($A40="N/A"," ",SUM(BN40:BV40))</f>
        <v> </v>
      </c>
      <c r="BX40" s="331" t="str">
        <f aca="false">IF($A40="N/A"," ",(H40*(SUM(AS40:BA40)+SUM(BC40:BK40))*BM40))</f>
        <v> </v>
      </c>
      <c r="BY40" s="332" t="str">
        <f aca="false">IF($A40="N/A"," ",((C40*D40)*(SUM($AS40:$BA40)+SUM($BC40:$BK40))*$BM40))</f>
        <v> </v>
      </c>
      <c r="BZ40" s="332" t="str">
        <f aca="false">IF($A40="N/A"," ",(F40*(SUM($AS40:$BA40)+SUM($BC40:$BK40))*$BM40))</f>
        <v> </v>
      </c>
      <c r="CA40" s="333" t="str">
        <f aca="false">IF($A40="N/A"," ",(G40*(SUM($AS40:$BA40)+SUM($BC40:$BK40))*$BM40))</f>
        <v> </v>
      </c>
      <c r="CB40" s="334" t="str">
        <f aca="false">IF(A40="N/A"," ",(VLOOKUP(A40,PowerVolTable,(IF(BMO=2,7,IF(BMO=1,6,8))),FALSE())))</f>
        <v> </v>
      </c>
      <c r="CC40" s="334" t="str">
        <f aca="false">IF(A40="N/A"," ",(VLOOKUP(A40,IntraPowerVol,(IF(BMO=2,3,IF(BMO=1,2,4))),FALSE())*VLOOKUP(MONTH($A40),Volscale,2)))</f>
        <v> </v>
      </c>
      <c r="CD40" s="335" t="str">
        <f aca="false">IF($A40="N/A"," ",(IF(DateToday&gt;$A40,$CC40,((($CB40^2)*((($A40-1)-DateToday)/((EOMONTH($A40,0)+1)-DateToday-15)))+((($CC40)^2)*((15)/((EOMONTH($A40,0)+1)-DateToday-15))))^0.5)))</f>
        <v> </v>
      </c>
      <c r="CE40" s="334" t="str">
        <f aca="false">IF($A40="N/A"," ",(VLOOKUP($A40,GasVolTable,(IF(BMO=2,6,IF(BMO=1,7,5))),FALSE())))</f>
        <v> </v>
      </c>
      <c r="CF40" s="334" t="str">
        <f aca="false">IF($A40="N/A"," ",(VLOOKUP($A40,OmicronVol,(IF(BMO=2,3,IF(BMO=1,4,2))),FALSE())))</f>
        <v> </v>
      </c>
      <c r="CG40" s="335" t="str">
        <f aca="false">IF($A40="N/A"," ",(IF(DateToday&gt;$A40,$CF40,((($CE40^2)*((($A40-1)-DateToday)/((EOMONTH($A40,0)+1)-DateToday-15)))+((($CF40)^2)*((15)/((EOMONTH($A40,0)+1)-DateToday-15))))^0.5)))</f>
        <v> </v>
      </c>
      <c r="CH40" s="334" t="str">
        <f aca="false">IF($A40="N/A"," ",VLOOKUP($A40,CorrelationTable,2,FALSE()))</f>
        <v> </v>
      </c>
      <c r="CI40" s="336" t="str">
        <f aca="false">IF($A40="N/A"," ",F40+G40+(D40*('Pricing Inputs'!T73)))</f>
        <v> </v>
      </c>
      <c r="CJ40" s="334" t="str">
        <f aca="false">IF($A40="N/A"," ",IF(PV=1,0,'Pricing Inputs'!U73))</f>
        <v> </v>
      </c>
      <c r="CK40" s="337" t="str">
        <f aca="false">IF($A40="N/A"," ",(1+CJ40/2)^(-2*((EOMONTH(A40,0)+20)-DateToday)/365.25))</f>
        <v> </v>
      </c>
      <c r="CL40" s="338" t="str">
        <f aca="false">IF(A40="N/A"," ",IF(CC=2,(VLOOKUP(MONTH($A40),Hrtable,3))/1000,0))</f>
        <v> </v>
      </c>
      <c r="CM40" s="339" t="str">
        <f aca="false">IF(A40="N/A"," ",IF(CC=2,(CL40*C40)+F40,0))</f>
        <v> </v>
      </c>
      <c r="CN40" s="340" t="str">
        <f aca="false">IF($A40="N/A"," ",IF(CC=2,(VLOOKUP(A40,ScaledPrice,(IF(AND(Dayrun&gt;=1,Dayrun&lt;=6),2,4)))-((IF(R40&lt;&gt;0,$D40,$CL40)*$C40)+$F40+$G40)),0))</f>
        <v> </v>
      </c>
      <c r="CO40" s="340" t="str">
        <f aca="false">IF($A40="N/A"," ",IF(CC=2,(IF(AND(Dayrun&gt;=1,Dayrun&lt;=6),I40,(VLOOKUP(A40,ScaledPrice,2))*(2-(VLOOKUP(A40,ScaledPrice,3))))-((IF(S40&lt;&gt;0,$D40,$CL40)*$C40)+$F40+$G40)),0))</f>
        <v> </v>
      </c>
      <c r="CP40" s="340" t="str">
        <f aca="false">IF(A40="N/A"," ",IF(CC=2,(VLOOKUP(A40,ScaledPrice,9)-((IF(T40&lt;&gt;0,$D40,$CL40)*$C40)+$F40+$G40)),0))</f>
        <v> </v>
      </c>
      <c r="CQ40" s="340" t="str">
        <f aca="false">IF(A40="N/A"," ",IF(CC=2,(IF(OR(Dayrun=2,Dayrun=3,Dayrun=5,Dayrun=6,Dayrun=8,Dayrun=9),VLOOKUP(A40,ScaledPrice,IF(AND(Dayrun&gt;=2,Dayrun&lt;=6),5,6)),0)-((IF(U40&lt;&gt;0,$D40,$CL40)*$C40)+$F40+$G40)),0))</f>
        <v> </v>
      </c>
      <c r="CR40" s="340" t="str">
        <f aca="false">IF(A40="N/A"," ",IF(CC=2,(IF(OR(Dayrun=2,Dayrun=3,Dayrun=5,Dayrun=6,Dayrun=8,Dayrun=9),IF(AND(Dayrun&gt;=2,Dayrun&lt;=6),L40,(VLOOKUP(A40,ScaledPrice,5))*(2-(VLOOKUP(A40,ScaledPrice,3)))),0)-((IF(V40&lt;&gt;0,$D40,$CL40)*$C40)+$F40+$G40)),0))</f>
        <v> </v>
      </c>
      <c r="CS40" s="340" t="str">
        <f aca="false">IF(A40="N/A"," ",IF(CC=2,(VLOOKUP(A40,ScaledPrice,9)-((IF(W40&lt;&gt;0,$D40,$CL40)*$C40)+$F40+$G40)),0))</f>
        <v> </v>
      </c>
      <c r="CT40" s="340" t="str">
        <f aca="false">IF(A40="N/A"," ",IF(CC=2,(IF(OR(Dayrun=3,Dayrun=6,Dayrun=9),(VLOOKUP(A40,ScaledPrice,IF(AND(Dayrun&gt;=3,Dayrun&lt;=6),7,8))),0)-((IF(X40&lt;&gt;0,$D40,$CL40)*$C40)+$F40+$G40)),0))</f>
        <v> </v>
      </c>
      <c r="CU40" s="340" t="str">
        <f aca="false">IF(A40="N/A"," ",IF(CC=2,(IF(OR(Dayrun=3,Dayrun=6,Dayrun=9),IF(AND(Dayrun&gt;=3,Dayrun&lt;=6),O40,(VLOOKUP(A40,ScaledPrice,7))*(2-(VLOOKUP(A40,ScaledPrice,3)))),0)-((IF(Y40&lt;&gt;0,$D40,$CL40)*$C40)+$F40+$G40)),0))</f>
        <v> </v>
      </c>
      <c r="CV40" s="340" t="str">
        <f aca="false">IF(A40="N/A"," ",IF(CC=2,(VLOOKUP(A40,ScaledPrice,9)-((IF(Z40&lt;&gt;0,$D40,$CL40)*$C40)+$F40+$G40)),0))</f>
        <v> </v>
      </c>
      <c r="CW40" s="318" t="str">
        <f aca="false">IF($A40="N/A"," ",IF(0&lt;&gt;CN40,IF(CC=2,8*$HD40,0),0))</f>
        <v> </v>
      </c>
      <c r="CX40" s="318" t="str">
        <f aca="false">IF($A40="N/A"," ",IF(0&lt;&gt;CO40,IF(CC=2,8*$HD40,0),0))</f>
        <v> </v>
      </c>
      <c r="CY40" s="318" t="str">
        <f aca="false">IF($A40="N/A"," ",IF(0&lt;&gt;CP40,IF(CC=2,8*$HD40,0),0))</f>
        <v> </v>
      </c>
      <c r="CZ40" s="318" t="str">
        <f aca="false">IF($A40="N/A"," ",IF(0&lt;&gt;CQ40,IF(CC=2,8*$HE40,0),0))</f>
        <v> </v>
      </c>
      <c r="DA40" s="318" t="str">
        <f aca="false">IF($A40="N/A"," ",IF(0&lt;&gt;CR40,IF(CC=2,8*$HE40,0),0))</f>
        <v> </v>
      </c>
      <c r="DB40" s="318" t="str">
        <f aca="false">IF($A40="N/A"," ",IF(0&lt;&gt;CS40,IF(CC=2,8*$HE40,0),0))</f>
        <v> </v>
      </c>
      <c r="DC40" s="318" t="str">
        <f aca="false">IF($A40="N/A"," ",IF(0&lt;&gt;CT40,IF(CC=2,8*$HF40,0),0))</f>
        <v> </v>
      </c>
      <c r="DD40" s="318" t="str">
        <f aca="false">IF($A40="N/A"," ",IF(0&lt;&gt;CU40,IF(CC=2,8*$HF40,0),0))</f>
        <v> </v>
      </c>
      <c r="DE40" s="318" t="str">
        <f aca="false">IF($A40="N/A"," ",IF(0&lt;&gt;CV40,IF(CC=2,8*$HF40,0),0))</f>
        <v> </v>
      </c>
      <c r="DF40" s="341" t="str">
        <f aca="false">IF($A40="N/A"," ",IF(CC=2,(IF(MONTH(A40)&gt;=4,IF(MONTH(A40)&lt;=10,Inputs!$G$13,Inputs!$G$14),Inputs!$G$14))*$CK40,0))</f>
        <v> </v>
      </c>
      <c r="DG40" s="342" t="str">
        <f aca="false">IF($A40="N/A"," ",IF(CC=2,$DF40*CW40*CN40,0))</f>
        <v> </v>
      </c>
      <c r="DH40" s="342" t="str">
        <f aca="false">IF($A40="N/A"," ",IF(CC=2,$DF40*CX40*CO40,0))</f>
        <v> </v>
      </c>
      <c r="DI40" s="342" t="str">
        <f aca="false">IF($A40="N/A"," ",IF(CC=2,$DF40*CY40*CP40,0))</f>
        <v> </v>
      </c>
      <c r="DJ40" s="342" t="str">
        <f aca="false">IF($A40="N/A"," ",IF(CC=2,$DF40*CZ40*CQ40,0))</f>
        <v> </v>
      </c>
      <c r="DK40" s="342" t="str">
        <f aca="false">IF($A40="N/A"," ",IF(CC=2,$DF40*DA40*CR40,0))</f>
        <v> </v>
      </c>
      <c r="DL40" s="342" t="str">
        <f aca="false">IF($A40="N/A"," ",IF(CC=2,$DF40*DB40*CS40,0))</f>
        <v> </v>
      </c>
      <c r="DM40" s="342" t="str">
        <f aca="false">IF($A40="N/A"," ",IF(CC=2,$DF40*DC40*CT40,0))</f>
        <v> </v>
      </c>
      <c r="DN40" s="342" t="str">
        <f aca="false">IF($A40="N/A"," ",IF(CC=2,$DF40*DD40*CU40,0))</f>
        <v> </v>
      </c>
      <c r="DO40" s="342" t="str">
        <f aca="false">IF($A40="N/A"," ",IF(CC=2,$DF40*DE40*CV40,0))</f>
        <v> </v>
      </c>
      <c r="DP40" s="343" t="str">
        <f aca="false">IF($A40="N/A"," ",IF(CC=2,SUM(DG40:DO40),0))</f>
        <v> </v>
      </c>
      <c r="DQ40" s="0" t="str">
        <f aca="false">IF(A40="N/A"," ",Perstart)</f>
        <v> </v>
      </c>
      <c r="HD40" s="0" t="str">
        <f aca="false">IF($A40="N/A"," ",VLOOKUP($A40,NumberofDaysTable,2))</f>
        <v> </v>
      </c>
      <c r="HE40" s="0" t="str">
        <f aca="false">IF($A40="N/A"," ",VLOOKUP($A40,NumberofDaysTable,3))</f>
        <v> </v>
      </c>
      <c r="HF40" s="0" t="str">
        <f aca="false">IF($A40="N/A"," ",VLOOKUP($A40,NumberofDaysTable,4))</f>
        <v> </v>
      </c>
    </row>
    <row r="41" customFormat="false" ht="12.75" hidden="false" customHeight="false" outlineLevel="0" collapsed="false">
      <c r="A41" s="308" t="str">
        <f aca="false">IF(A40="N/A","N/A",IF(EDATE(A40,1)&gt;Inputs!$K$3,"N/A",EDATE(A40,1)))</f>
        <v>N/A</v>
      </c>
      <c r="B41" s="309" t="str">
        <f aca="false">IF(A41="N/A"," ",YEAR(A41))</f>
        <v> </v>
      </c>
      <c r="C41" s="310" t="str">
        <f aca="false">IF(A41="N/A"," ",VLOOKUP(A41,ScaledPrice,10))</f>
        <v> </v>
      </c>
      <c r="D41" s="311" t="str">
        <f aca="false">IF(A41="N/A"," ",(VLOOKUP(MONTH($A41),Hrtable,2))/1000)</f>
        <v> </v>
      </c>
      <c r="E41" s="312" t="str">
        <f aca="false">IF($A41="N/A"," ",(C41-'Pricing Inputs'!T74)*D41)</f>
        <v> </v>
      </c>
      <c r="F41" s="313" t="str">
        <f aca="false">IF(A41="N/A"," ",$F29*(1+VOMesc))</f>
        <v> </v>
      </c>
      <c r="G41" s="313" t="str">
        <f aca="false">IF(A41="N/A"," ",Perstart/IF(AND(Dayrun&gt;=4,Dayrun&lt;=6),16,IF(AND(Dayrun&gt;=7,Dayrun&lt;=9),8,24))/(BM41/CK41))</f>
        <v> </v>
      </c>
      <c r="H41" s="314" t="str">
        <f aca="false">IF(A41="N/A"," ",(C41*D41)+F41+G41)</f>
        <v> </v>
      </c>
      <c r="I41" s="315" t="str">
        <f aca="false">VLOOKUP(A41,ScaledPrice,(IF(AND(Dayrun&gt;=1,Dayrun&lt;=6),2,4)))</f>
        <v> </v>
      </c>
      <c r="J41" s="315" t="str">
        <f aca="false">IF(A41="N/A"," ",IF(AND(Dayrun&gt;=1,Dayrun&lt;=6),I41,(VLOOKUP(A41,ScaledPrice,2))*(2-(VLOOKUP(A41,ScaledPrice,3)))))</f>
        <v> </v>
      </c>
      <c r="K41" s="315" t="str">
        <f aca="false">IF(A41="N/A"," ",IF(AND(Dayrun&gt;=1,Dayrun&lt;=3),VLOOKUP(A41,ScaledPrice,9),0))</f>
        <v> </v>
      </c>
      <c r="L41" s="315" t="str">
        <f aca="false">IF(A41="N/A"," ",IF(OR(Dayrun=2,Dayrun=3,Dayrun=5,Dayrun=6,Dayrun=8,Dayrun=9),VLOOKUP(A41,ScaledPrice,IF(AND(Dayrun&gt;=2,Dayrun&lt;=6),5,6)),0))</f>
        <v> </v>
      </c>
      <c r="M41" s="315" t="str">
        <f aca="false">IF(A41="N/A"," ",IF(OR(Dayrun=2,Dayrun=3,Dayrun=5,Dayrun=6,Dayrun=8,Dayrun=9),IF(AND(Dayrun&gt;=2,Dayrun&lt;=6),L41,(VLOOKUP(A41,ScaledPrice,5))*(2-(VLOOKUP(A41,ScaledPrice,3)))),0))</f>
        <v> </v>
      </c>
      <c r="N41" s="315" t="str">
        <f aca="false">IF(A41="N/A"," ",IF(AND(Dayrun&gt;1,Dayrun&lt;=3),VLOOKUP(A41,ScaledPrice,9),0))</f>
        <v> </v>
      </c>
      <c r="O41" s="315" t="str">
        <f aca="false">IF(A41="N/A"," ",IF(OR(Dayrun=3,Dayrun=6,Dayrun=9),(VLOOKUP(A41,ScaledPrice,IF(AND(Dayrun&gt;=3,Dayrun&lt;=6),7,8))),0))</f>
        <v> </v>
      </c>
      <c r="P41" s="315" t="str">
        <f aca="false">IF(A41="N/A"," ",IF(OR(Dayrun=3,Dayrun=6,Dayrun=9),IF(AND(Dayrun&gt;=3,Dayrun&lt;=6),O41,(VLOOKUP(A41,ScaledPrice,7))*(2-(VLOOKUP(A41,ScaledPrice,3)))),0))</f>
        <v> </v>
      </c>
      <c r="Q41" s="315" t="str">
        <f aca="false">IF(A41="N/A"," ",IF(AND(Dayrun&gt;2,Dayrun&lt;=3),VLOOKUP(A41,ScaledPrice,9),0))</f>
        <v> </v>
      </c>
      <c r="R41" s="316" t="str">
        <f aca="false">IF($A41="N/A"," ",IF(Pricetype=2,MAX(I41-$H41,0),IF(Pricetype=1,(xSPRDOPT(I41,$E41,$CI41,0,($CD41+IF(Smile=TRUE(),VLOOKUP(MAX(-5,$H41-I41),Volsmile,2),0)),$CG41,$CH41,($A41-DateToday)+15,1,0)),I41-$H41)))</f>
        <v> </v>
      </c>
      <c r="S41" s="316" t="str">
        <f aca="false">IF($A41="N/A"," ",IF(Pricetype=2,MAX(J41-$H41,0),IF(Pricetype=1,(xSPRDOPT(J41,$E41,$CI41,0,($CD41+IF(Smile=TRUE(),VLOOKUP(MAX(-5,$H41-J41),Volsmile,2),0)),$CG41,$CH41,($A41-DateToday)+15,1,0)),J41-$H41)))</f>
        <v> </v>
      </c>
      <c r="T41" s="317" t="str">
        <f aca="false">IF($A41="N/A"," ",(IF(Pricetype=2,IF((K41-$H41)&lt;=0,0,(K41-$H41)),IF(K41&lt;&gt;0,(K41-$H41),0))))</f>
        <v> </v>
      </c>
      <c r="U41" s="316" t="str">
        <f aca="false">IF($A41="N/A"," ",IF(Pricetype=2,MAX(L41-$H41,0),IF(L41&lt;&gt;0,IF(Pricetype=1,(xSPRDOPT(L41,$E41,$CI41,0,($CD41+IF(Smile=TRUE(),VLOOKUP(MAX(-5,$H41-L41),Volsmile,2),0)),$CG41,$CH41,($A41-DateToday)+15,1,0)),L41-$H41),0)))</f>
        <v> </v>
      </c>
      <c r="V41" s="316" t="str">
        <f aca="false">IF($A41="N/A"," ",IF(Pricetype=2,MAX(M41-$H41,0),IF(M41&lt;&gt;0,IF(Pricetype=1,(xSPRDOPT(M41,$E41,$CI41,0,($CD41+IF(Smile=TRUE(),VLOOKUP(MAX(-5,$H41-M41),Volsmile,2),0)),$CG41,$CH41,($A41-DateToday)+15,1,0)),M41-$H41),0)))</f>
        <v> </v>
      </c>
      <c r="W41" s="317" t="str">
        <f aca="false">IF($A41="N/A"," ",(IF(Pricetype=2,IF((N41-$H41)&lt;=0,0,(N41-$H41)),IF(N41&lt;&gt;0,(N41-$H41),0))))</f>
        <v> </v>
      </c>
      <c r="X41" s="316" t="str">
        <f aca="false">IF($A41="N/A"," ",IF(Pricetype=2,MAX(O41-$H41,0),IF(O41&lt;&gt;0,IF(Pricetype=1,(xSPRDOPT(O41,$E41,$CI41,0,($CD41+IF(Smile=TRUE(),VLOOKUP(MAX(-5,$H41-O41),Volsmile,2),0)),$CG41,$CH41,($A41-DateToday)+15,1,0)),O41-$H41),0)))</f>
        <v> </v>
      </c>
      <c r="Y41" s="316" t="str">
        <f aca="false">IF($A41="N/A"," ",IF(Pricetype=2,MAX(P41-$H41,0),IF(P41&lt;&gt;0,IF(Pricetype=1,(xSPRDOPT(P41,$E41,$CI41,0,($CD41+IF(Smile=TRUE(),VLOOKUP(MAX(-5,$H41-P41),Volsmile,2),0)),$CG41,$CH41,($A41-DateToday)+15,1,0)),P41-$H41),0)))</f>
        <v> </v>
      </c>
      <c r="Z41" s="317" t="str">
        <f aca="false">IF($A41="N/A"," ",(IF(Pricetype=2,IF((Q41-$H41)&lt;=0,0,(Q41-$H41)),IF(Q41&lt;&gt;0,(Q41-$H41),0))))</f>
        <v> </v>
      </c>
      <c r="AA41" s="318" t="str">
        <f aca="false">IF($A41="N/A"," ",IF(VLOOKUP(MONTH(A41),ManualTable,2)=1,(IF(0&lt;&gt;R41,IF(Pricetype=1,(xSPRDOPT(I41,$E41,$CI41,0,($CD41+IF(Smile=TRUE(),VLOOKUP(MAX(-5,$H41-I41),Volsmile,2),0)),$CG41,$CH41,($A41-DateToday)+15,1,1))*(8*$HD41),8*$HD41),0)),0))</f>
        <v> </v>
      </c>
      <c r="AB41" s="318" t="str">
        <f aca="false">IF($A41="N/A"," ",IF(VLOOKUP(MONTH(A41),ManualTable,3)=1,(IF(S41&lt;&gt;0,IF(Pricetype=1,(xSPRDOPT(J41,$E41,$CI41,0,($CD41+IF(Smile=TRUE(),VLOOKUP(MAX(-5,$H41-J41),Volsmile,2),0)),$CG41,$CH41,($A41-DateToday)+15,1,1))*(8*$HD41),8*$HD41),0)),0))</f>
        <v> </v>
      </c>
      <c r="AC41" s="318" t="str">
        <f aca="false">IF($A41="N/A"," ",IF(VLOOKUP(MONTH(A41),ManualTable,4)=1,(IF(T41&lt;&gt;0,(8*$HD41),0)),0))</f>
        <v> </v>
      </c>
      <c r="AD41" s="318" t="str">
        <f aca="false">IF($A41="N/A"," ",IF(VLOOKUP(MONTH(A41),ManualTable,5)=1,(IF(U41&lt;&gt;0,IF(Pricetype=1,(xSPRDOPT(L41,$E41,$CI41,0,($CD41+IF(Smile=TRUE(),VLOOKUP(MAX(-5,$H41-L41),Volsmile,2),0)),$CG41,$CH41,($A41-DateToday)+15,1,1))*(8*$HE41),8*$HE41),0)),0))</f>
        <v> </v>
      </c>
      <c r="AE41" s="318" t="str">
        <f aca="false">IF($A41="N/A"," ",IF(VLOOKUP(MONTH(A41),ManualTable,6)=1,(IF(V41&lt;&gt;0,IF(Pricetype=1,(xSPRDOPT(M41,$E41,$CI41,0,($CD41+IF(Smile=TRUE(),VLOOKUP(MAX(-5,$H41-M41),Volsmile,2),0)),$CG41,$CH41,($A41-DateToday)+15,1,1))*(8*$HE41),8*$HE41),0)),0))</f>
        <v> </v>
      </c>
      <c r="AF41" s="318" t="str">
        <f aca="false">IF($A41="N/A"," ",IF(VLOOKUP(MONTH(A41),ManualTable,7)=1,(IF(W41&lt;&gt;0,(8*$HE41),0)),0))</f>
        <v> </v>
      </c>
      <c r="AG41" s="318" t="str">
        <f aca="false">IF($A41="N/A"," ",IF(VLOOKUP(MONTH(A41),ManualTable,8)=1,(IF(X41&lt;&gt;0,IF(Pricetype=1,(xSPRDOPT(O41,$E41,$CI41,0,($CD41+IF(Smile=TRUE(),VLOOKUP(MAX(-5,$H41-O41),Volsmile,2),0)),$CG41,$CH41,($A41-DateToday)+15,1,1))*(8*$HF41),8*$HF41),0)),0))</f>
        <v> </v>
      </c>
      <c r="AH41" s="318" t="str">
        <f aca="false">IF($A41="N/A"," ",IF(VLOOKUP(MONTH(A41),ManualTable,9)=1,(IF(Y41&lt;&gt;0,IF(Pricetype=1,(xSPRDOPT(P41,$E41,$CI41,0,($CD41+IF(Smile=TRUE(),VLOOKUP(MAX(-5,$H41-P41),Volsmile,2),0)),$CG41,$CH41,($A41-DateToday)+15,1,1))*(8*$HF41),8*$HF41),0)),0))</f>
        <v> </v>
      </c>
      <c r="AI41" s="318" t="str">
        <f aca="false">IF($A41="N/A"," ",IF(VLOOKUP(MONTH(A41),ManualTable,10)=1,(IF(Z41&lt;&gt;0,(8*($HF41)),0)),0))</f>
        <v> </v>
      </c>
      <c r="AJ41" s="344" t="str">
        <f aca="false">IF($A41="N/A"," ",RANK(R41,$R$40:$Z$51))</f>
        <v> </v>
      </c>
      <c r="AK41" s="321" t="str">
        <f aca="false">IF($A41="N/A"," ",RANK(S41,$R$40:$Z$51))</f>
        <v> </v>
      </c>
      <c r="AL41" s="321" t="str">
        <f aca="false">IF($A41="N/A"," ",RANK(T41,$R$40:$Z$51))</f>
        <v> </v>
      </c>
      <c r="AM41" s="321" t="str">
        <f aca="false">IF($A41="N/A"," ",RANK(U41,$R$40:$Z$51))</f>
        <v> </v>
      </c>
      <c r="AN41" s="321" t="str">
        <f aca="false">IF($A41="N/A"," ",RANK(V41,$R$40:$Z$51))</f>
        <v> </v>
      </c>
      <c r="AO41" s="321" t="str">
        <f aca="false">IF($A41="N/A"," ",RANK(W41,$R$40:$Z$51))</f>
        <v> </v>
      </c>
      <c r="AP41" s="321" t="str">
        <f aca="false">IF($A41="N/A"," ",RANK(X41,$R$40:$Z$51))</f>
        <v> </v>
      </c>
      <c r="AQ41" s="321" t="str">
        <f aca="false">IF($A41="N/A"," ",RANK(Y41,$R$40:$Z$51))</f>
        <v> </v>
      </c>
      <c r="AR41" s="345" t="str">
        <f aca="false">IF($A41="N/A"," ",RANK(Z41,$R$40:$Z$51))</f>
        <v> </v>
      </c>
      <c r="AS41" s="323" t="str">
        <f aca="false">IF($A41="N/A"," ",IF(AJ41&lt;=$AR$2,AA41,0))</f>
        <v> </v>
      </c>
      <c r="AT41" s="325" t="str">
        <f aca="false">IF($A41="N/A"," ",IF(AK41&lt;=$AR$2,AB41,0))</f>
        <v> </v>
      </c>
      <c r="AU41" s="325" t="str">
        <f aca="false">IF($A41="N/A"," ",IF(AL41&lt;=$AR$2,AC41,0))</f>
        <v> </v>
      </c>
      <c r="AV41" s="325" t="str">
        <f aca="false">IF($A41="N/A"," ",IF(AM41&lt;=$AR$2,AD41,0))</f>
        <v> </v>
      </c>
      <c r="AW41" s="325" t="str">
        <f aca="false">IF($A41="N/A"," ",IF(AN41&lt;=$AR$2,AE41,0))</f>
        <v> </v>
      </c>
      <c r="AX41" s="325" t="str">
        <f aca="false">IF($A41="N/A"," ",IF(AO41&lt;=$AR$2,AF41,0))</f>
        <v> </v>
      </c>
      <c r="AY41" s="325" t="str">
        <f aca="false">IF($A41="N/A"," ",IF(AP41&lt;=$AR$2,AG41,0))</f>
        <v> </v>
      </c>
      <c r="AZ41" s="325" t="str">
        <f aca="false">IF($A41="N/A"," ",IF(AQ41&lt;=$AR$2,AH41,0))</f>
        <v> </v>
      </c>
      <c r="BA41" s="325" t="str">
        <f aca="false">IF($A41="N/A"," ",IF(AR41&lt;=$AR$2,AI41,0))</f>
        <v> </v>
      </c>
      <c r="BB41" s="345"/>
      <c r="BC41" s="326" t="str">
        <f aca="false">IF($A41="N/A"," ",IF(AND(AJ41=$AR$2+1,AS41=0),MIN($BB$51,AA41),0))</f>
        <v> </v>
      </c>
      <c r="BD41" s="346" t="str">
        <f aca="false">IF($A41="N/A"," ",IF(AND(AK41=$AR$2+1,AT41=0),MIN($BB$51,AB41),0))</f>
        <v> </v>
      </c>
      <c r="BE41" s="346" t="str">
        <f aca="false">IF($A41="N/A"," ",IF(AND(AL41=$AR$2+1,AU41=0),MIN($BB$51,AC41),0))</f>
        <v> </v>
      </c>
      <c r="BF41" s="346" t="str">
        <f aca="false">IF($A41="N/A"," ",IF(AND(AM41=$AR$2+1,AV41=0),MIN($BB$51,AD41),0))</f>
        <v> </v>
      </c>
      <c r="BG41" s="346" t="str">
        <f aca="false">IF($A41="N/A"," ",IF(AND(AN41=$AR$2+1,AW41=0),MIN($BB$51,AE41),0))</f>
        <v> </v>
      </c>
      <c r="BH41" s="346" t="str">
        <f aca="false">IF($A41="N/A"," ",IF(AND(AO41=$AR$2+1,AX41=0),MIN($BB$51,AF41),0))</f>
        <v> </v>
      </c>
      <c r="BI41" s="346" t="str">
        <f aca="false">IF($A41="N/A"," ",IF(AND(AP41=$AR$2+1,AY41=0),MIN($BB$51,AG41),0))</f>
        <v> </v>
      </c>
      <c r="BJ41" s="346" t="str">
        <f aca="false">IF($A41="N/A"," ",IF(AND(AQ41=$AR$2+1,AZ41=0),MIN($BB$51,AH41),0))</f>
        <v> </v>
      </c>
      <c r="BK41" s="346" t="str">
        <f aca="false">IF($A41="N/A"," ",IF(AND(AR41=$AR$2+1,BA41=0),MIN($BB$51,AI41),0))</f>
        <v> </v>
      </c>
      <c r="BL41" s="345"/>
      <c r="BM41" s="329" t="str">
        <f aca="false">IF($A41="N/A"," ",(IF(MONTH(A41)&gt;=4,IF(MONTH(A41)&lt;=10,Inputs!$F$13-Inputs!$G$13,Inputs!$F$14-Inputs!$G$14),Inputs!$F$14-Inputs!$G$14))*$CK41*Availability)</f>
        <v> </v>
      </c>
      <c r="BN41" s="330" t="str">
        <f aca="false">IF($A41="N/A"," ",(IF(AS41&gt;0,($BM41*(8*($HD41))*R41),0)+IF(BC41&gt;0,($BM41*((BC41/AA41)*8*$HD41)*R41),0)))</f>
        <v> </v>
      </c>
      <c r="BO41" s="330" t="str">
        <f aca="false">IF($A41="N/A"," ",(IF(AT41&gt;0,($BM41*(8*($HD41))*S41),0)+IF(BD41&gt;0,($BM41*((BD41/AB41)*8*$HD41)*S41),0)))</f>
        <v> </v>
      </c>
      <c r="BP41" s="330" t="str">
        <f aca="false">IF($A41="N/A"," ",(IF(AU41&gt;0,($BM41*(8*($HD41))*T41),0)+IF(BE41&gt;0,($BM41*((BE41))*T41),0)))</f>
        <v> </v>
      </c>
      <c r="BQ41" s="330" t="str">
        <f aca="false">IF($A41="N/A"," ",(IF(AV41&gt;0,($BM41*(8*($HE41))*U41),0)+IF(BF41&gt;0,($BM41*((BF41/AD41)*8*$HE41)*U41),0)))</f>
        <v> </v>
      </c>
      <c r="BR41" s="330" t="str">
        <f aca="false">IF($A41="N/A"," ",(IF(AW41&gt;0,($BM41*(8*($HE41))*V41),0)+IF(BG41&gt;0,($BM41*((BG41/AE41)*8*$HE41)*V41),0)))</f>
        <v> </v>
      </c>
      <c r="BS41" s="330" t="str">
        <f aca="false">IF($A41="N/A"," ",(IF(AX41&gt;0,($BM41*(8*($HE41))*W41),0)+IF(BH41&gt;0,($BM41*((BH41))*W41),0)))</f>
        <v> </v>
      </c>
      <c r="BT41" s="330" t="str">
        <f aca="false">IF($A41="N/A"," ",(IF(AY41&gt;0,($BM41*(8*($HF41))*X41),0)+IF(BI41&gt;0,($BM41*((BI41/AG41)*8*$HF41)*X41),0)))</f>
        <v> </v>
      </c>
      <c r="BU41" s="330" t="str">
        <f aca="false">IF($A41="N/A"," ",(IF(AZ41&gt;0,($BM41*(8*($HF41))*Y41),0)+IF(BJ41&gt;0,($BM41*((BJ41/AH41)*8*$HF41)*Y41),0)))</f>
        <v> </v>
      </c>
      <c r="BV41" s="330" t="str">
        <f aca="false">IF($A41="N/A"," ",(IF(BA41&gt;0,($BM41*(8*($HF41))*Z41),0)+IF(BK41&gt;0,($BM41*((BK41))*Z41),0)))</f>
        <v> </v>
      </c>
      <c r="BW41" s="330" t="str">
        <f aca="false">IF($A41="N/A"," ",SUM(BN41:BV41))</f>
        <v> </v>
      </c>
      <c r="BX41" s="331" t="str">
        <f aca="false">IF($A41="N/A"," ",(H41*(SUM(AS41:BA41)+SUM(BC41:BK41))*BM41))</f>
        <v> </v>
      </c>
      <c r="BY41" s="332" t="str">
        <f aca="false">IF($A41="N/A"," ",((C41*D41)*(SUM($AS41:$BA41)+SUM($BC41:$BK41))*$BM41))</f>
        <v> </v>
      </c>
      <c r="BZ41" s="332" t="str">
        <f aca="false">IF($A41="N/A"," ",(F41*(SUM($AS41:$BA41)+SUM($BC41:$BK41))*$BM41))</f>
        <v> </v>
      </c>
      <c r="CA41" s="333" t="str">
        <f aca="false">IF($A41="N/A"," ",(G41*(SUM($AS41:$BA41)+SUM($BC41:$BK41))*$BM41))</f>
        <v> </v>
      </c>
      <c r="CB41" s="334" t="str">
        <f aca="false">IF(A41="N/A"," ",(VLOOKUP(A41,PowerVolTable,(IF(BMO=2,7,IF(BMO=1,6,8))),FALSE())))</f>
        <v> </v>
      </c>
      <c r="CC41" s="334" t="str">
        <f aca="false">IF(A41="N/A"," ",(VLOOKUP(A41,IntraPowerVol,(IF(BMO=2,3,IF(BMO=1,2,4))),FALSE())*VLOOKUP(MONTH($A41),Volscale,2)))</f>
        <v> </v>
      </c>
      <c r="CD41" s="335" t="str">
        <f aca="false">IF($A41="N/A"," ",(IF(DateToday&gt;$A41,$CC41,((($CB41^2)*((($A41-1)-DateToday)/((EOMONTH($A41,0)+1)-DateToday-15)))+((($CC41)^2)*((15)/((EOMONTH($A41,0)+1)-DateToday-15))))^0.5)))</f>
        <v> </v>
      </c>
      <c r="CE41" s="334" t="str">
        <f aca="false">IF($A41="N/A"," ",(VLOOKUP($A41,GasVolTable,(IF(BMO=2,6,IF(BMO=1,7,5))),FALSE())))</f>
        <v> </v>
      </c>
      <c r="CF41" s="334" t="str">
        <f aca="false">IF($A41="N/A"," ",(VLOOKUP($A41,OmicronVol,(IF(BMO=2,3,IF(BMO=1,4,2))),FALSE())))</f>
        <v> </v>
      </c>
      <c r="CG41" s="335" t="str">
        <f aca="false">IF($A41="N/A"," ",(IF(DateToday&gt;$A41,$CF41,((($CE41^2)*((($A41-1)-DateToday)/((EOMONTH($A41,0)+1)-DateToday-15)))+((($CF41)^2)*((15)/((EOMONTH($A41,0)+1)-DateToday-15))))^0.5)))</f>
        <v> </v>
      </c>
      <c r="CH41" s="334" t="str">
        <f aca="false">IF($A41="N/A"," ",VLOOKUP($A41,CorrelationTable,2,FALSE()))</f>
        <v> </v>
      </c>
      <c r="CI41" s="336" t="str">
        <f aca="false">IF($A41="N/A"," ",F41+G41+(D41*('Pricing Inputs'!T74)))</f>
        <v> </v>
      </c>
      <c r="CJ41" s="334" t="str">
        <f aca="false">IF($A41="N/A"," ",IF(PV=1,0,'Pricing Inputs'!U74))</f>
        <v> </v>
      </c>
      <c r="CK41" s="337" t="str">
        <f aca="false">IF($A41="N/A"," ",(1+CJ41/2)^(-2*((EOMONTH(A41,0)+20)-DateToday)/365.25))</f>
        <v> </v>
      </c>
      <c r="CL41" s="338" t="str">
        <f aca="false">IF(A41="N/A"," ",IF(CC=2,(VLOOKUP(MONTH($A41),Hrtable,3))/1000,0))</f>
        <v> </v>
      </c>
      <c r="CM41" s="339" t="str">
        <f aca="false">IF(A41="N/A"," ",IF(CC=2,(CL41*C41)+F41,0))</f>
        <v> </v>
      </c>
      <c r="CN41" s="340" t="str">
        <f aca="false">IF($A41="N/A"," ",IF(CC=2,(VLOOKUP(A41,ScaledPrice,(IF(AND(Dayrun&gt;=1,Dayrun&lt;=6),2,4)))-((IF(R41&lt;&gt;0,$D41,$CL41)*$C41)+$F41+$G41)),0))</f>
        <v> </v>
      </c>
      <c r="CO41" s="340" t="str">
        <f aca="false">IF($A41="N/A"," ",IF(CC=2,(IF(AND(Dayrun&gt;=1,Dayrun&lt;=6),I41,(VLOOKUP(A41,ScaledPrice,2))*(2-(VLOOKUP(A41,ScaledPrice,3))))-((IF(S41&lt;&gt;0,$D41,$CL41)*$C41)+$F41+$G41)),0))</f>
        <v> </v>
      </c>
      <c r="CP41" s="340" t="str">
        <f aca="false">IF(A41="N/A"," ",IF(CC=2,(VLOOKUP(A41,ScaledPrice,9)-((IF(T41&lt;&gt;0,$D41,$CL41)*$C41)+$F41+$G41)),0))</f>
        <v> </v>
      </c>
      <c r="CQ41" s="340" t="str">
        <f aca="false">IF(A41="N/A"," ",IF(CC=2,(IF(OR(Dayrun=2,Dayrun=3,Dayrun=5,Dayrun=6,Dayrun=8,Dayrun=9),VLOOKUP(A41,ScaledPrice,IF(AND(Dayrun&gt;=2,Dayrun&lt;=6),5,6)),0)-((IF(U41&lt;&gt;0,$D41,$CL41)*$C41)+$F41+$G41)),0))</f>
        <v> </v>
      </c>
      <c r="CR41" s="340" t="str">
        <f aca="false">IF(A41="N/A"," ",IF(CC=2,(IF(OR(Dayrun=2,Dayrun=3,Dayrun=5,Dayrun=6,Dayrun=8,Dayrun=9),IF(AND(Dayrun&gt;=2,Dayrun&lt;=6),L41,(VLOOKUP(A41,ScaledPrice,5))*(2-(VLOOKUP(A41,ScaledPrice,3)))),0)-((IF(V41&lt;&gt;0,$D41,$CL41)*$C41)+$F41+$G41)),0))</f>
        <v> </v>
      </c>
      <c r="CS41" s="340" t="str">
        <f aca="false">IF(A41="N/A"," ",IF(CC=2,(VLOOKUP(A41,ScaledPrice,9)-((IF(W41&lt;&gt;0,$D41,$CL41)*$C41)+$F41+$G41)),0))</f>
        <v> </v>
      </c>
      <c r="CT41" s="340" t="str">
        <f aca="false">IF(A41="N/A"," ",IF(CC=2,(IF(OR(Dayrun=3,Dayrun=6,Dayrun=9),(VLOOKUP(A41,ScaledPrice,IF(AND(Dayrun&gt;=3,Dayrun&lt;=6),7,8))),0)-((IF(X41&lt;&gt;0,$D41,$CL41)*$C41)+$F41+$G41)),0))</f>
        <v> </v>
      </c>
      <c r="CU41" s="340" t="str">
        <f aca="false">IF(A41="N/A"," ",IF(CC=2,(IF(OR(Dayrun=3,Dayrun=6,Dayrun=9),IF(AND(Dayrun&gt;=3,Dayrun&lt;=6),O41,(VLOOKUP(A41,ScaledPrice,7))*(2-(VLOOKUP(A41,ScaledPrice,3)))),0)-((IF(Y41&lt;&gt;0,$D41,$CL41)*$C41)+$F41+$G41)),0))</f>
        <v> </v>
      </c>
      <c r="CV41" s="340" t="str">
        <f aca="false">IF(A41="N/A"," ",IF(CC=2,(VLOOKUP(A41,ScaledPrice,9)-((IF(Z41&lt;&gt;0,$D41,$CL41)*$C41)+$F41+$G41)),0))</f>
        <v> </v>
      </c>
      <c r="CW41" s="318" t="str">
        <f aca="false">IF($A41="N/A"," ",IF(0&lt;&gt;CN41,IF(CC=2,8*$HD41,0),0))</f>
        <v> </v>
      </c>
      <c r="CX41" s="318" t="str">
        <f aca="false">IF($A41="N/A"," ",IF(0&lt;&gt;CO41,IF(CC=2,8*$HD41,0),0))</f>
        <v> </v>
      </c>
      <c r="CY41" s="318" t="str">
        <f aca="false">IF($A41="N/A"," ",IF(0&lt;&gt;CP41,IF(CC=2,8*$HD41,0),0))</f>
        <v> </v>
      </c>
      <c r="CZ41" s="318" t="str">
        <f aca="false">IF($A41="N/A"," ",IF(0&lt;&gt;CQ41,IF(CC=2,8*$HE41,0),0))</f>
        <v> </v>
      </c>
      <c r="DA41" s="318" t="str">
        <f aca="false">IF($A41="N/A"," ",IF(0&lt;&gt;CR41,IF(CC=2,8*$HE41,0),0))</f>
        <v> </v>
      </c>
      <c r="DB41" s="318" t="str">
        <f aca="false">IF($A41="N/A"," ",IF(0&lt;&gt;CS41,IF(CC=2,8*$HE41,0),0))</f>
        <v> </v>
      </c>
      <c r="DC41" s="318" t="str">
        <f aca="false">IF($A41="N/A"," ",IF(0&lt;&gt;CT41,IF(CC=2,8*$HF41,0),0))</f>
        <v> </v>
      </c>
      <c r="DD41" s="318" t="str">
        <f aca="false">IF($A41="N/A"," ",IF(0&lt;&gt;CU41,IF(CC=2,8*$HF41,0),0))</f>
        <v> </v>
      </c>
      <c r="DE41" s="318" t="str">
        <f aca="false">IF($A41="N/A"," ",IF(0&lt;&gt;CV41,IF(CC=2,8*$HF41,0),0))</f>
        <v> </v>
      </c>
      <c r="DF41" s="341" t="str">
        <f aca="false">IF($A41="N/A"," ",IF(CC=2,(IF(MONTH(A41)&gt;=4,IF(MONTH(A41)&lt;=10,Inputs!$G$13,Inputs!$G$14),Inputs!$G$14))*$CK41,0))</f>
        <v> </v>
      </c>
      <c r="DG41" s="342" t="str">
        <f aca="false">IF($A41="N/A"," ",IF(CC=2,$DF41*CW41*CN41,0))</f>
        <v> </v>
      </c>
      <c r="DH41" s="342" t="str">
        <f aca="false">IF($A41="N/A"," ",IF(CC=2,$DF41*CX41*CO41,0))</f>
        <v> </v>
      </c>
      <c r="DI41" s="342" t="str">
        <f aca="false">IF($A41="N/A"," ",IF(CC=2,$DF41*CY41*CP41,0))</f>
        <v> </v>
      </c>
      <c r="DJ41" s="342" t="str">
        <f aca="false">IF($A41="N/A"," ",IF(CC=2,$DF41*CZ41*CQ41,0))</f>
        <v> </v>
      </c>
      <c r="DK41" s="342" t="str">
        <f aca="false">IF($A41="N/A"," ",IF(CC=2,$DF41*DA41*CR41,0))</f>
        <v> </v>
      </c>
      <c r="DL41" s="342" t="str">
        <f aca="false">IF($A41="N/A"," ",IF(CC=2,$DF41*DB41*CS41,0))</f>
        <v> </v>
      </c>
      <c r="DM41" s="342" t="str">
        <f aca="false">IF($A41="N/A"," ",IF(CC=2,$DF41*DC41*CT41,0))</f>
        <v> </v>
      </c>
      <c r="DN41" s="342" t="str">
        <f aca="false">IF($A41="N/A"," ",IF(CC=2,$DF41*DD41*CU41,0))</f>
        <v> </v>
      </c>
      <c r="DO41" s="342" t="str">
        <f aca="false">IF($A41="N/A"," ",IF(CC=2,$DF41*DE41*CV41,0))</f>
        <v> </v>
      </c>
      <c r="DP41" s="343" t="str">
        <f aca="false">IF($A41="N/A"," ",IF(CC=2,SUM(DG41:DO41),0))</f>
        <v> </v>
      </c>
      <c r="DQ41" s="0" t="str">
        <f aca="false">IF(A41="N/A"," ",Perstart)</f>
        <v> </v>
      </c>
      <c r="HD41" s="0" t="str">
        <f aca="false">IF($A41="N/A"," ",VLOOKUP($A41,NumberofDaysTable,2))</f>
        <v> </v>
      </c>
      <c r="HE41" s="0" t="str">
        <f aca="false">IF($A41="N/A"," ",VLOOKUP($A41,NumberofDaysTable,3))</f>
        <v> </v>
      </c>
      <c r="HF41" s="0" t="str">
        <f aca="false">IF($A41="N/A"," ",VLOOKUP($A41,NumberofDaysTable,4))</f>
        <v> </v>
      </c>
    </row>
    <row r="42" customFormat="false" ht="12.75" hidden="false" customHeight="false" outlineLevel="0" collapsed="false">
      <c r="A42" s="308" t="str">
        <f aca="false">IF(A41="N/A","N/A",IF(EDATE(A41,1)&gt;Inputs!$K$3,"N/A",EDATE(A41,1)))</f>
        <v>N/A</v>
      </c>
      <c r="B42" s="309" t="str">
        <f aca="false">IF(A42="N/A"," ",YEAR(A42))</f>
        <v> </v>
      </c>
      <c r="C42" s="310" t="str">
        <f aca="false">IF(A42="N/A"," ",VLOOKUP(A42,ScaledPrice,10))</f>
        <v> </v>
      </c>
      <c r="D42" s="311" t="str">
        <f aca="false">IF(A42="N/A"," ",(VLOOKUP(MONTH($A42),Hrtable,2))/1000)</f>
        <v> </v>
      </c>
      <c r="E42" s="312" t="str">
        <f aca="false">IF($A42="N/A"," ",(C42-'Pricing Inputs'!T75)*D42)</f>
        <v> </v>
      </c>
      <c r="F42" s="313" t="str">
        <f aca="false">IF(A42="N/A"," ",$F30*(1+VOMesc))</f>
        <v> </v>
      </c>
      <c r="G42" s="313" t="str">
        <f aca="false">IF(A42="N/A"," ",Perstart/IF(AND(Dayrun&gt;=4,Dayrun&lt;=6),16,IF(AND(Dayrun&gt;=7,Dayrun&lt;=9),8,24))/(BM42/CK42))</f>
        <v> </v>
      </c>
      <c r="H42" s="314" t="str">
        <f aca="false">IF(A42="N/A"," ",(C42*D42)+F42+G42)</f>
        <v> </v>
      </c>
      <c r="I42" s="315" t="str">
        <f aca="false">VLOOKUP(A42,ScaledPrice,(IF(AND(Dayrun&gt;=1,Dayrun&lt;=6),2,4)))</f>
        <v> </v>
      </c>
      <c r="J42" s="315" t="str">
        <f aca="false">IF(A42="N/A"," ",IF(AND(Dayrun&gt;=1,Dayrun&lt;=6),I42,(VLOOKUP(A42,ScaledPrice,2))*(2-(VLOOKUP(A42,ScaledPrice,3)))))</f>
        <v> </v>
      </c>
      <c r="K42" s="315" t="str">
        <f aca="false">IF(A42="N/A"," ",IF(AND(Dayrun&gt;=1,Dayrun&lt;=3),VLOOKUP(A42,ScaledPrice,9),0))</f>
        <v> </v>
      </c>
      <c r="L42" s="315" t="str">
        <f aca="false">IF(A42="N/A"," ",IF(OR(Dayrun=2,Dayrun=3,Dayrun=5,Dayrun=6,Dayrun=8,Dayrun=9),VLOOKUP(A42,ScaledPrice,IF(AND(Dayrun&gt;=2,Dayrun&lt;=6),5,6)),0))</f>
        <v> </v>
      </c>
      <c r="M42" s="315" t="str">
        <f aca="false">IF(A42="N/A"," ",IF(OR(Dayrun=2,Dayrun=3,Dayrun=5,Dayrun=6,Dayrun=8,Dayrun=9),IF(AND(Dayrun&gt;=2,Dayrun&lt;=6),L42,(VLOOKUP(A42,ScaledPrice,5))*(2-(VLOOKUP(A42,ScaledPrice,3)))),0))</f>
        <v> </v>
      </c>
      <c r="N42" s="315" t="str">
        <f aca="false">IF(A42="N/A"," ",IF(AND(Dayrun&gt;1,Dayrun&lt;=3),VLOOKUP(A42,ScaledPrice,9),0))</f>
        <v> </v>
      </c>
      <c r="O42" s="315" t="str">
        <f aca="false">IF(A42="N/A"," ",IF(OR(Dayrun=3,Dayrun=6,Dayrun=9),(VLOOKUP(A42,ScaledPrice,IF(AND(Dayrun&gt;=3,Dayrun&lt;=6),7,8))),0))</f>
        <v> </v>
      </c>
      <c r="P42" s="315" t="str">
        <f aca="false">IF(A42="N/A"," ",IF(OR(Dayrun=3,Dayrun=6,Dayrun=9),IF(AND(Dayrun&gt;=3,Dayrun&lt;=6),O42,(VLOOKUP(A42,ScaledPrice,7))*(2-(VLOOKUP(A42,ScaledPrice,3)))),0))</f>
        <v> </v>
      </c>
      <c r="Q42" s="315" t="str">
        <f aca="false">IF(A42="N/A"," ",IF(AND(Dayrun&gt;2,Dayrun&lt;=3),VLOOKUP(A42,ScaledPrice,9),0))</f>
        <v> </v>
      </c>
      <c r="R42" s="316" t="str">
        <f aca="false">IF($A42="N/A"," ",IF(Pricetype=2,MAX(I42-$H42,0),IF(Pricetype=1,(xSPRDOPT(I42,$E42,$CI42,0,($CD42+IF(Smile=TRUE(),VLOOKUP(MAX(-5,$H42-I42),Volsmile,2),0)),$CG42,$CH42,($A42-DateToday)+15,1,0)),I42-$H42)))</f>
        <v> </v>
      </c>
      <c r="S42" s="316" t="str">
        <f aca="false">IF($A42="N/A"," ",IF(Pricetype=2,MAX(J42-$H42,0),IF(Pricetype=1,(xSPRDOPT(J42,$E42,$CI42,0,($CD42+IF(Smile=TRUE(),VLOOKUP(MAX(-5,$H42-J42),Volsmile,2),0)),$CG42,$CH42,($A42-DateToday)+15,1,0)),J42-$H42)))</f>
        <v> </v>
      </c>
      <c r="T42" s="317" t="str">
        <f aca="false">IF($A42="N/A"," ",(IF(Pricetype=2,IF((K42-$H42)&lt;=0,0,(K42-$H42)),IF(K42&lt;&gt;0,(K42-$H42),0))))</f>
        <v> </v>
      </c>
      <c r="U42" s="316" t="str">
        <f aca="false">IF($A42="N/A"," ",IF(Pricetype=2,MAX(L42-$H42,0),IF(L42&lt;&gt;0,IF(Pricetype=1,(xSPRDOPT(L42,$E42,$CI42,0,($CD42+IF(Smile=TRUE(),VLOOKUP(MAX(-5,$H42-L42),Volsmile,2),0)),$CG42,$CH42,($A42-DateToday)+15,1,0)),L42-$H42),0)))</f>
        <v> </v>
      </c>
      <c r="V42" s="316" t="str">
        <f aca="false">IF($A42="N/A"," ",IF(Pricetype=2,MAX(M42-$H42,0),IF(M42&lt;&gt;0,IF(Pricetype=1,(xSPRDOPT(M42,$E42,$CI42,0,($CD42+IF(Smile=TRUE(),VLOOKUP(MAX(-5,$H42-M42),Volsmile,2),0)),$CG42,$CH42,($A42-DateToday)+15,1,0)),M42-$H42),0)))</f>
        <v> </v>
      </c>
      <c r="W42" s="317" t="str">
        <f aca="false">IF($A42="N/A"," ",(IF(Pricetype=2,IF((N42-$H42)&lt;=0,0,(N42-$H42)),IF(N42&lt;&gt;0,(N42-$H42),0))))</f>
        <v> </v>
      </c>
      <c r="X42" s="316" t="str">
        <f aca="false">IF($A42="N/A"," ",IF(Pricetype=2,MAX(O42-$H42,0),IF(O42&lt;&gt;0,IF(Pricetype=1,(xSPRDOPT(O42,$E42,$CI42,0,($CD42+IF(Smile=TRUE(),VLOOKUP(MAX(-5,$H42-O42),Volsmile,2),0)),$CG42,$CH42,($A42-DateToday)+15,1,0)),O42-$H42),0)))</f>
        <v> </v>
      </c>
      <c r="Y42" s="316" t="str">
        <f aca="false">IF($A42="N/A"," ",IF(Pricetype=2,MAX(P42-$H42,0),IF(P42&lt;&gt;0,IF(Pricetype=1,(xSPRDOPT(P42,$E42,$CI42,0,($CD42+IF(Smile=TRUE(),VLOOKUP(MAX(-5,$H42-P42),Volsmile,2),0)),$CG42,$CH42,($A42-DateToday)+15,1,0)),P42-$H42),0)))</f>
        <v> </v>
      </c>
      <c r="Z42" s="317" t="str">
        <f aca="false">IF($A42="N/A"," ",(IF(Pricetype=2,IF((Q42-$H42)&lt;=0,0,(Q42-$H42)),IF(Q42&lt;&gt;0,(Q42-$H42),0))))</f>
        <v> </v>
      </c>
      <c r="AA42" s="318" t="str">
        <f aca="false">IF($A42="N/A"," ",IF(VLOOKUP(MONTH(A42),ManualTable,2)=1,(IF(0&lt;&gt;R42,IF(Pricetype=1,(xSPRDOPT(I42,$E42,$CI42,0,($CD42+IF(Smile=TRUE(),VLOOKUP(MAX(-5,$H42-I42),Volsmile,2),0)),$CG42,$CH42,($A42-DateToday)+15,1,1))*(8*$HD42),8*$HD42),0)),0))</f>
        <v> </v>
      </c>
      <c r="AB42" s="318" t="str">
        <f aca="false">IF($A42="N/A"," ",IF(VLOOKUP(MONTH(A42),ManualTable,3)=1,(IF(S42&lt;&gt;0,IF(Pricetype=1,(xSPRDOPT(J42,$E42,$CI42,0,($CD42+IF(Smile=TRUE(),VLOOKUP(MAX(-5,$H42-J42),Volsmile,2),0)),$CG42,$CH42,($A42-DateToday)+15,1,1))*(8*$HD42),8*$HD42),0)),0))</f>
        <v> </v>
      </c>
      <c r="AC42" s="318" t="str">
        <f aca="false">IF($A42="N/A"," ",IF(VLOOKUP(MONTH(A42),ManualTable,4)=1,(IF(T42&lt;&gt;0,(8*$HD42),0)),0))</f>
        <v> </v>
      </c>
      <c r="AD42" s="318" t="str">
        <f aca="false">IF($A42="N/A"," ",IF(VLOOKUP(MONTH(A42),ManualTable,5)=1,(IF(U42&lt;&gt;0,IF(Pricetype=1,(xSPRDOPT(L42,$E42,$CI42,0,($CD42+IF(Smile=TRUE(),VLOOKUP(MAX(-5,$H42-L42),Volsmile,2),0)),$CG42,$CH42,($A42-DateToday)+15,1,1))*(8*$HE42),8*$HE42),0)),0))</f>
        <v> </v>
      </c>
      <c r="AE42" s="318" t="str">
        <f aca="false">IF($A42="N/A"," ",IF(VLOOKUP(MONTH(A42),ManualTable,6)=1,(IF(V42&lt;&gt;0,IF(Pricetype=1,(xSPRDOPT(M42,$E42,$CI42,0,($CD42+IF(Smile=TRUE(),VLOOKUP(MAX(-5,$H42-M42),Volsmile,2),0)),$CG42,$CH42,($A42-DateToday)+15,1,1))*(8*$HE42),8*$HE42),0)),0))</f>
        <v> </v>
      </c>
      <c r="AF42" s="318" t="str">
        <f aca="false">IF($A42="N/A"," ",IF(VLOOKUP(MONTH(A42),ManualTable,7)=1,(IF(W42&lt;&gt;0,(8*$HE42),0)),0))</f>
        <v> </v>
      </c>
      <c r="AG42" s="318" t="str">
        <f aca="false">IF($A42="N/A"," ",IF(VLOOKUP(MONTH(A42),ManualTable,8)=1,(IF(X42&lt;&gt;0,IF(Pricetype=1,(xSPRDOPT(O42,$E42,$CI42,0,($CD42+IF(Smile=TRUE(),VLOOKUP(MAX(-5,$H42-O42),Volsmile,2),0)),$CG42,$CH42,($A42-DateToday)+15,1,1))*(8*$HF42),8*$HF42),0)),0))</f>
        <v> </v>
      </c>
      <c r="AH42" s="318" t="str">
        <f aca="false">IF($A42="N/A"," ",IF(VLOOKUP(MONTH(A42),ManualTable,9)=1,(IF(Y42&lt;&gt;0,IF(Pricetype=1,(xSPRDOPT(P42,$E42,$CI42,0,($CD42+IF(Smile=TRUE(),VLOOKUP(MAX(-5,$H42-P42),Volsmile,2),0)),$CG42,$CH42,($A42-DateToday)+15,1,1))*(8*$HF42),8*$HF42),0)),0))</f>
        <v> </v>
      </c>
      <c r="AI42" s="318" t="str">
        <f aca="false">IF($A42="N/A"," ",IF(VLOOKUP(MONTH(A42),ManualTable,10)=1,(IF(Z42&lt;&gt;0,(8*($HF42)),0)),0))</f>
        <v> </v>
      </c>
      <c r="AJ42" s="344" t="str">
        <f aca="false">IF($A42="N/A"," ",RANK(R42,$R$40:$Z$51))</f>
        <v> </v>
      </c>
      <c r="AK42" s="321" t="str">
        <f aca="false">IF($A42="N/A"," ",RANK(S42,$R$40:$Z$51))</f>
        <v> </v>
      </c>
      <c r="AL42" s="321" t="str">
        <f aca="false">IF($A42="N/A"," ",RANK(T42,$R$40:$Z$51))</f>
        <v> </v>
      </c>
      <c r="AM42" s="321" t="str">
        <f aca="false">IF($A42="N/A"," ",RANK(U42,$R$40:$Z$51))</f>
        <v> </v>
      </c>
      <c r="AN42" s="321" t="str">
        <f aca="false">IF($A42="N/A"," ",RANK(V42,$R$40:$Z$51))</f>
        <v> </v>
      </c>
      <c r="AO42" s="321" t="str">
        <f aca="false">IF($A42="N/A"," ",RANK(W42,$R$40:$Z$51))</f>
        <v> </v>
      </c>
      <c r="AP42" s="321" t="str">
        <f aca="false">IF($A42="N/A"," ",RANK(X42,$R$40:$Z$51))</f>
        <v> </v>
      </c>
      <c r="AQ42" s="321" t="str">
        <f aca="false">IF($A42="N/A"," ",RANK(Y42,$R$40:$Z$51))</f>
        <v> </v>
      </c>
      <c r="AR42" s="345" t="str">
        <f aca="false">IF($A42="N/A"," ",RANK(Z42,$R$40:$Z$51))</f>
        <v> </v>
      </c>
      <c r="AS42" s="323" t="str">
        <f aca="false">IF($A42="N/A"," ",IF(AJ42&lt;=$AR$2,AA42,0))</f>
        <v> </v>
      </c>
      <c r="AT42" s="325" t="str">
        <f aca="false">IF($A42="N/A"," ",IF(AK42&lt;=$AR$2,AB42,0))</f>
        <v> </v>
      </c>
      <c r="AU42" s="325" t="str">
        <f aca="false">IF($A42="N/A"," ",IF(AL42&lt;=$AR$2,AC42,0))</f>
        <v> </v>
      </c>
      <c r="AV42" s="325" t="str">
        <f aca="false">IF($A42="N/A"," ",IF(AM42&lt;=$AR$2,AD42,0))</f>
        <v> </v>
      </c>
      <c r="AW42" s="325" t="str">
        <f aca="false">IF($A42="N/A"," ",IF(AN42&lt;=$AR$2,AE42,0))</f>
        <v> </v>
      </c>
      <c r="AX42" s="325" t="str">
        <f aca="false">IF($A42="N/A"," ",IF(AO42&lt;=$AR$2,AF42,0))</f>
        <v> </v>
      </c>
      <c r="AY42" s="325" t="str">
        <f aca="false">IF($A42="N/A"," ",IF(AP42&lt;=$AR$2,AG42,0))</f>
        <v> </v>
      </c>
      <c r="AZ42" s="325" t="str">
        <f aca="false">IF($A42="N/A"," ",IF(AQ42&lt;=$AR$2,AH42,0))</f>
        <v> </v>
      </c>
      <c r="BA42" s="325" t="str">
        <f aca="false">IF($A42="N/A"," ",IF(AR42&lt;=$AR$2,AI42,0))</f>
        <v> </v>
      </c>
      <c r="BB42" s="345"/>
      <c r="BC42" s="326" t="str">
        <f aca="false">IF($A42="N/A"," ",IF(AND(AJ42=$AR$2+1,AS42=0),MIN($BB$51,AA42),0))</f>
        <v> </v>
      </c>
      <c r="BD42" s="346" t="str">
        <f aca="false">IF($A42="N/A"," ",IF(AND(AK42=$AR$2+1,AT42=0),MIN($BB$51,AB42),0))</f>
        <v> </v>
      </c>
      <c r="BE42" s="346" t="str">
        <f aca="false">IF($A42="N/A"," ",IF(AND(AL42=$AR$2+1,AU42=0),MIN($BB$51,AC42),0))</f>
        <v> </v>
      </c>
      <c r="BF42" s="346" t="str">
        <f aca="false">IF($A42="N/A"," ",IF(AND(AM42=$AR$2+1,AV42=0),MIN($BB$51,AD42),0))</f>
        <v> </v>
      </c>
      <c r="BG42" s="346" t="str">
        <f aca="false">IF($A42="N/A"," ",IF(AND(AN42=$AR$2+1,AW42=0),MIN($BB$51,AE42),0))</f>
        <v> </v>
      </c>
      <c r="BH42" s="346" t="str">
        <f aca="false">IF($A42="N/A"," ",IF(AND(AO42=$AR$2+1,AX42=0),MIN($BB$51,AF42),0))</f>
        <v> </v>
      </c>
      <c r="BI42" s="346" t="str">
        <f aca="false">IF($A42="N/A"," ",IF(AND(AP42=$AR$2+1,AY42=0),MIN($BB$51,AG42),0))</f>
        <v> </v>
      </c>
      <c r="BJ42" s="346" t="str">
        <f aca="false">IF($A42="N/A"," ",IF(AND(AQ42=$AR$2+1,AZ42=0),MIN($BB$51,AH42),0))</f>
        <v> </v>
      </c>
      <c r="BK42" s="346" t="str">
        <f aca="false">IF($A42="N/A"," ",IF(AND(AR42=$AR$2+1,BA42=0),MIN($BB$51,AI42),0))</f>
        <v> </v>
      </c>
      <c r="BL42" s="345"/>
      <c r="BM42" s="329" t="str">
        <f aca="false">IF($A42="N/A"," ",(IF(MONTH(A42)&gt;=4,IF(MONTH(A42)&lt;=10,Inputs!$F$13-Inputs!$G$13,Inputs!$F$14-Inputs!$G$14),Inputs!$F$14-Inputs!$G$14))*$CK42*Availability)</f>
        <v> </v>
      </c>
      <c r="BN42" s="330" t="str">
        <f aca="false">IF($A42="N/A"," ",(IF(AS42&gt;0,($BM42*(8*($HD42))*R42),0)+IF(BC42&gt;0,($BM42*((BC42/AA42)*8*$HD42)*R42),0)))</f>
        <v> </v>
      </c>
      <c r="BO42" s="330" t="str">
        <f aca="false">IF($A42="N/A"," ",(IF(AT42&gt;0,($BM42*(8*($HD42))*S42),0)+IF(BD42&gt;0,($BM42*((BD42/AB42)*8*$HD42)*S42),0)))</f>
        <v> </v>
      </c>
      <c r="BP42" s="330" t="str">
        <f aca="false">IF($A42="N/A"," ",(IF(AU42&gt;0,($BM42*(8*($HD42))*T42),0)+IF(BE42&gt;0,($BM42*((BE42))*T42),0)))</f>
        <v> </v>
      </c>
      <c r="BQ42" s="330" t="str">
        <f aca="false">IF($A42="N/A"," ",(IF(AV42&gt;0,($BM42*(8*($HE42))*U42),0)+IF(BF42&gt;0,($BM42*((BF42/AD42)*8*$HE42)*U42),0)))</f>
        <v> </v>
      </c>
      <c r="BR42" s="330" t="str">
        <f aca="false">IF($A42="N/A"," ",(IF(AW42&gt;0,($BM42*(8*($HE42))*V42),0)+IF(BG42&gt;0,($BM42*((BG42/AE42)*8*$HE42)*V42),0)))</f>
        <v> </v>
      </c>
      <c r="BS42" s="330" t="str">
        <f aca="false">IF($A42="N/A"," ",(IF(AX42&gt;0,($BM42*(8*($HE42))*W42),0)+IF(BH42&gt;0,($BM42*((BH42))*W42),0)))</f>
        <v> </v>
      </c>
      <c r="BT42" s="330" t="str">
        <f aca="false">IF($A42="N/A"," ",(IF(AY42&gt;0,($BM42*(8*($HF42))*X42),0)+IF(BI42&gt;0,($BM42*((BI42/AG42)*8*$HF42)*X42),0)))</f>
        <v> </v>
      </c>
      <c r="BU42" s="330" t="str">
        <f aca="false">IF($A42="N/A"," ",(IF(AZ42&gt;0,($BM42*(8*($HF42))*Y42),0)+IF(BJ42&gt;0,($BM42*((BJ42/AH42)*8*$HF42)*Y42),0)))</f>
        <v> </v>
      </c>
      <c r="BV42" s="330" t="str">
        <f aca="false">IF($A42="N/A"," ",(IF(BA42&gt;0,($BM42*(8*($HF42))*Z42),0)+IF(BK42&gt;0,($BM42*((BK42))*Z42),0)))</f>
        <v> </v>
      </c>
      <c r="BW42" s="330" t="str">
        <f aca="false">IF($A42="N/A"," ",SUM(BN42:BV42))</f>
        <v> </v>
      </c>
      <c r="BX42" s="331" t="str">
        <f aca="false">IF($A42="N/A"," ",(H42*(SUM(AS42:BA42)+SUM(BC42:BK42))*BM42))</f>
        <v> </v>
      </c>
      <c r="BY42" s="332" t="str">
        <f aca="false">IF($A42="N/A"," ",((C42*D42)*(SUM($AS42:$BA42)+SUM($BC42:$BK42))*$BM42))</f>
        <v> </v>
      </c>
      <c r="BZ42" s="332" t="str">
        <f aca="false">IF($A42="N/A"," ",(F42*(SUM($AS42:$BA42)+SUM($BC42:$BK42))*$BM42))</f>
        <v> </v>
      </c>
      <c r="CA42" s="333" t="str">
        <f aca="false">IF($A42="N/A"," ",(G42*(SUM($AS42:$BA42)+SUM($BC42:$BK42))*$BM42))</f>
        <v> </v>
      </c>
      <c r="CB42" s="334" t="str">
        <f aca="false">IF(A42="N/A"," ",(VLOOKUP(A42,PowerVolTable,(IF(BMO=2,7,IF(BMO=1,6,8))),FALSE())))</f>
        <v> </v>
      </c>
      <c r="CC42" s="334" t="str">
        <f aca="false">IF(A42="N/A"," ",(VLOOKUP(A42,IntraPowerVol,(IF(BMO=2,3,IF(BMO=1,2,4))),FALSE())*VLOOKUP(MONTH($A42),Volscale,2)))</f>
        <v> </v>
      </c>
      <c r="CD42" s="335" t="str">
        <f aca="false">IF($A42="N/A"," ",(IF(DateToday&gt;$A42,$CC42,((($CB42^2)*((($A42-1)-DateToday)/((EOMONTH($A42,0)+1)-DateToday-15)))+((($CC42)^2)*((15)/((EOMONTH($A42,0)+1)-DateToday-15))))^0.5)))</f>
        <v> </v>
      </c>
      <c r="CE42" s="334" t="str">
        <f aca="false">IF($A42="N/A"," ",(VLOOKUP($A42,GasVolTable,(IF(BMO=2,6,IF(BMO=1,7,5))),FALSE())))</f>
        <v> </v>
      </c>
      <c r="CF42" s="334" t="str">
        <f aca="false">IF($A42="N/A"," ",(VLOOKUP($A42,OmicronVol,(IF(BMO=2,3,IF(BMO=1,4,2))),FALSE())))</f>
        <v> </v>
      </c>
      <c r="CG42" s="335" t="str">
        <f aca="false">IF($A42="N/A"," ",(IF(DateToday&gt;$A42,$CF42,((($CE42^2)*((($A42-1)-DateToday)/((EOMONTH($A42,0)+1)-DateToday-15)))+((($CF42)^2)*((15)/((EOMONTH($A42,0)+1)-DateToday-15))))^0.5)))</f>
        <v> </v>
      </c>
      <c r="CH42" s="334" t="str">
        <f aca="false">IF($A42="N/A"," ",VLOOKUP($A42,CorrelationTable,2,FALSE()))</f>
        <v> </v>
      </c>
      <c r="CI42" s="336" t="str">
        <f aca="false">IF($A42="N/A"," ",F42+G42+(D42*('Pricing Inputs'!T75)))</f>
        <v> </v>
      </c>
      <c r="CJ42" s="334" t="str">
        <f aca="false">IF($A42="N/A"," ",IF(PV=1,0,'Pricing Inputs'!U75))</f>
        <v> </v>
      </c>
      <c r="CK42" s="337" t="str">
        <f aca="false">IF($A42="N/A"," ",(1+CJ42/2)^(-2*((EOMONTH(A42,0)+20)-DateToday)/365.25))</f>
        <v> </v>
      </c>
      <c r="CL42" s="338" t="str">
        <f aca="false">IF(A42="N/A"," ",IF(CC=2,(VLOOKUP(MONTH($A42),Hrtable,3))/1000,0))</f>
        <v> </v>
      </c>
      <c r="CM42" s="339" t="str">
        <f aca="false">IF(A42="N/A"," ",IF(CC=2,(CL42*C42)+F42,0))</f>
        <v> </v>
      </c>
      <c r="CN42" s="340" t="str">
        <f aca="false">IF($A42="N/A"," ",IF(CC=2,(VLOOKUP(A42,ScaledPrice,(IF(AND(Dayrun&gt;=1,Dayrun&lt;=6),2,4)))-((IF(R42&lt;&gt;0,$D42,$CL42)*$C42)+$F42+$G42)),0))</f>
        <v> </v>
      </c>
      <c r="CO42" s="340" t="str">
        <f aca="false">IF($A42="N/A"," ",IF(CC=2,(IF(AND(Dayrun&gt;=1,Dayrun&lt;=6),I42,(VLOOKUP(A42,ScaledPrice,2))*(2-(VLOOKUP(A42,ScaledPrice,3))))-((IF(S42&lt;&gt;0,$D42,$CL42)*$C42)+$F42+$G42)),0))</f>
        <v> </v>
      </c>
      <c r="CP42" s="340" t="str">
        <f aca="false">IF(A42="N/A"," ",IF(CC=2,(VLOOKUP(A42,ScaledPrice,9)-((IF(T42&lt;&gt;0,$D42,$CL42)*$C42)+$F42+$G42)),0))</f>
        <v> </v>
      </c>
      <c r="CQ42" s="340" t="str">
        <f aca="false">IF(A42="N/A"," ",IF(CC=2,(IF(OR(Dayrun=2,Dayrun=3,Dayrun=5,Dayrun=6,Dayrun=8,Dayrun=9),VLOOKUP(A42,ScaledPrice,IF(AND(Dayrun&gt;=2,Dayrun&lt;=6),5,6)),0)-((IF(U42&lt;&gt;0,$D42,$CL42)*$C42)+$F42+$G42)),0))</f>
        <v> </v>
      </c>
      <c r="CR42" s="340" t="str">
        <f aca="false">IF(A42="N/A"," ",IF(CC=2,(IF(OR(Dayrun=2,Dayrun=3,Dayrun=5,Dayrun=6,Dayrun=8,Dayrun=9),IF(AND(Dayrun&gt;=2,Dayrun&lt;=6),L42,(VLOOKUP(A42,ScaledPrice,5))*(2-(VLOOKUP(A42,ScaledPrice,3)))),0)-((IF(V42&lt;&gt;0,$D42,$CL42)*$C42)+$F42+$G42)),0))</f>
        <v> </v>
      </c>
      <c r="CS42" s="340" t="str">
        <f aca="false">IF(A42="N/A"," ",IF(CC=2,(VLOOKUP(A42,ScaledPrice,9)-((IF(W42&lt;&gt;0,$D42,$CL42)*$C42)+$F42+$G42)),0))</f>
        <v> </v>
      </c>
      <c r="CT42" s="340" t="str">
        <f aca="false">IF(A42="N/A"," ",IF(CC=2,(IF(OR(Dayrun=3,Dayrun=6,Dayrun=9),(VLOOKUP(A42,ScaledPrice,IF(AND(Dayrun&gt;=3,Dayrun&lt;=6),7,8))),0)-((IF(X42&lt;&gt;0,$D42,$CL42)*$C42)+$F42+$G42)),0))</f>
        <v> </v>
      </c>
      <c r="CU42" s="340" t="str">
        <f aca="false">IF(A42="N/A"," ",IF(CC=2,(IF(OR(Dayrun=3,Dayrun=6,Dayrun=9),IF(AND(Dayrun&gt;=3,Dayrun&lt;=6),O42,(VLOOKUP(A42,ScaledPrice,7))*(2-(VLOOKUP(A42,ScaledPrice,3)))),0)-((IF(Y42&lt;&gt;0,$D42,$CL42)*$C42)+$F42+$G42)),0))</f>
        <v> </v>
      </c>
      <c r="CV42" s="340" t="str">
        <f aca="false">IF(A42="N/A"," ",IF(CC=2,(VLOOKUP(A42,ScaledPrice,9)-((IF(Z42&lt;&gt;0,$D42,$CL42)*$C42)+$F42+$G42)),0))</f>
        <v> </v>
      </c>
      <c r="CW42" s="318" t="str">
        <f aca="false">IF($A42="N/A"," ",IF(0&lt;&gt;CN42,IF(CC=2,8*$HD42,0),0))</f>
        <v> </v>
      </c>
      <c r="CX42" s="318" t="str">
        <f aca="false">IF($A42="N/A"," ",IF(0&lt;&gt;CO42,IF(CC=2,8*$HD42,0),0))</f>
        <v> </v>
      </c>
      <c r="CY42" s="318" t="str">
        <f aca="false">IF($A42="N/A"," ",IF(0&lt;&gt;CP42,IF(CC=2,8*$HD42,0),0))</f>
        <v> </v>
      </c>
      <c r="CZ42" s="318" t="str">
        <f aca="false">IF($A42="N/A"," ",IF(0&lt;&gt;CQ42,IF(CC=2,8*$HE42,0),0))</f>
        <v> </v>
      </c>
      <c r="DA42" s="318" t="str">
        <f aca="false">IF($A42="N/A"," ",IF(0&lt;&gt;CR42,IF(CC=2,8*$HE42,0),0))</f>
        <v> </v>
      </c>
      <c r="DB42" s="318" t="str">
        <f aca="false">IF($A42="N/A"," ",IF(0&lt;&gt;CS42,IF(CC=2,8*$HE42,0),0))</f>
        <v> </v>
      </c>
      <c r="DC42" s="318" t="str">
        <f aca="false">IF($A42="N/A"," ",IF(0&lt;&gt;CT42,IF(CC=2,8*$HF42,0),0))</f>
        <v> </v>
      </c>
      <c r="DD42" s="318" t="str">
        <f aca="false">IF($A42="N/A"," ",IF(0&lt;&gt;CU42,IF(CC=2,8*$HF42,0),0))</f>
        <v> </v>
      </c>
      <c r="DE42" s="318" t="str">
        <f aca="false">IF($A42="N/A"," ",IF(0&lt;&gt;CV42,IF(CC=2,8*$HF42,0),0))</f>
        <v> </v>
      </c>
      <c r="DF42" s="341" t="str">
        <f aca="false">IF($A42="N/A"," ",IF(CC=2,(IF(MONTH(A42)&gt;=4,IF(MONTH(A42)&lt;=10,Inputs!$G$13,Inputs!$G$14),Inputs!$G$14))*$CK42,0))</f>
        <v> </v>
      </c>
      <c r="DG42" s="342" t="str">
        <f aca="false">IF($A42="N/A"," ",IF(CC=2,$DF42*CW42*CN42,0))</f>
        <v> </v>
      </c>
      <c r="DH42" s="342" t="str">
        <f aca="false">IF($A42="N/A"," ",IF(CC=2,$DF42*CX42*CO42,0))</f>
        <v> </v>
      </c>
      <c r="DI42" s="342" t="str">
        <f aca="false">IF($A42="N/A"," ",IF(CC=2,$DF42*CY42*CP42,0))</f>
        <v> </v>
      </c>
      <c r="DJ42" s="342" t="str">
        <f aca="false">IF($A42="N/A"," ",IF(CC=2,$DF42*CZ42*CQ42,0))</f>
        <v> </v>
      </c>
      <c r="DK42" s="342" t="str">
        <f aca="false">IF($A42="N/A"," ",IF(CC=2,$DF42*DA42*CR42,0))</f>
        <v> </v>
      </c>
      <c r="DL42" s="342" t="str">
        <f aca="false">IF($A42="N/A"," ",IF(CC=2,$DF42*DB42*CS42,0))</f>
        <v> </v>
      </c>
      <c r="DM42" s="342" t="str">
        <f aca="false">IF($A42="N/A"," ",IF(CC=2,$DF42*DC42*CT42,0))</f>
        <v> </v>
      </c>
      <c r="DN42" s="342" t="str">
        <f aca="false">IF($A42="N/A"," ",IF(CC=2,$DF42*DD42*CU42,0))</f>
        <v> </v>
      </c>
      <c r="DO42" s="342" t="str">
        <f aca="false">IF($A42="N/A"," ",IF(CC=2,$DF42*DE42*CV42,0))</f>
        <v> </v>
      </c>
      <c r="DP42" s="343" t="str">
        <f aca="false">IF($A42="N/A"," ",IF(CC=2,SUM(DG42:DO42),0))</f>
        <v> </v>
      </c>
      <c r="DQ42" s="0" t="str">
        <f aca="false">IF(A42="N/A"," ",Perstart)</f>
        <v> </v>
      </c>
      <c r="HD42" s="0" t="str">
        <f aca="false">IF($A42="N/A"," ",VLOOKUP($A42,NumberofDaysTable,2))</f>
        <v> </v>
      </c>
      <c r="HE42" s="0" t="str">
        <f aca="false">IF($A42="N/A"," ",VLOOKUP($A42,NumberofDaysTable,3))</f>
        <v> </v>
      </c>
      <c r="HF42" s="0" t="str">
        <f aca="false">IF($A42="N/A"," ",VLOOKUP($A42,NumberofDaysTable,4))</f>
        <v> </v>
      </c>
    </row>
    <row r="43" customFormat="false" ht="12.75" hidden="false" customHeight="false" outlineLevel="0" collapsed="false">
      <c r="A43" s="308" t="str">
        <f aca="false">IF(A42="N/A","N/A",IF(EDATE(A42,1)&gt;Inputs!$K$3,"N/A",EDATE(A42,1)))</f>
        <v>N/A</v>
      </c>
      <c r="B43" s="309" t="str">
        <f aca="false">IF(A43="N/A"," ",YEAR(A43))</f>
        <v> </v>
      </c>
      <c r="C43" s="310" t="str">
        <f aca="false">IF(A43="N/A"," ",VLOOKUP(A43,ScaledPrice,10))</f>
        <v> </v>
      </c>
      <c r="D43" s="311" t="str">
        <f aca="false">IF(A43="N/A"," ",(VLOOKUP(MONTH($A43),Hrtable,2))/1000)</f>
        <v> </v>
      </c>
      <c r="E43" s="312" t="str">
        <f aca="false">IF($A43="N/A"," ",(C43-'Pricing Inputs'!T76)*D43)</f>
        <v> </v>
      </c>
      <c r="F43" s="313" t="str">
        <f aca="false">IF(A43="N/A"," ",$F31*(1+VOMesc))</f>
        <v> </v>
      </c>
      <c r="G43" s="313" t="str">
        <f aca="false">IF(A43="N/A"," ",Perstart/IF(AND(Dayrun&gt;=4,Dayrun&lt;=6),16,IF(AND(Dayrun&gt;=7,Dayrun&lt;=9),8,24))/(BM43/CK43))</f>
        <v> </v>
      </c>
      <c r="H43" s="314" t="str">
        <f aca="false">IF(A43="N/A"," ",(C43*D43)+F43+G43)</f>
        <v> </v>
      </c>
      <c r="I43" s="315" t="str">
        <f aca="false">VLOOKUP(A43,ScaledPrice,(IF(AND(Dayrun&gt;=1,Dayrun&lt;=6),2,4)))</f>
        <v> </v>
      </c>
      <c r="J43" s="315" t="str">
        <f aca="false">IF(A43="N/A"," ",IF(AND(Dayrun&gt;=1,Dayrun&lt;=6),I43,(VLOOKUP(A43,ScaledPrice,2))*(2-(VLOOKUP(A43,ScaledPrice,3)))))</f>
        <v> </v>
      </c>
      <c r="K43" s="315" t="str">
        <f aca="false">IF(A43="N/A"," ",IF(AND(Dayrun&gt;=1,Dayrun&lt;=3),VLOOKUP(A43,ScaledPrice,9),0))</f>
        <v> </v>
      </c>
      <c r="L43" s="315" t="str">
        <f aca="false">IF(A43="N/A"," ",IF(OR(Dayrun=2,Dayrun=3,Dayrun=5,Dayrun=6,Dayrun=8,Dayrun=9),VLOOKUP(A43,ScaledPrice,IF(AND(Dayrun&gt;=2,Dayrun&lt;=6),5,6)),0))</f>
        <v> </v>
      </c>
      <c r="M43" s="315" t="str">
        <f aca="false">IF(A43="N/A"," ",IF(OR(Dayrun=2,Dayrun=3,Dayrun=5,Dayrun=6,Dayrun=8,Dayrun=9),IF(AND(Dayrun&gt;=2,Dayrun&lt;=6),L43,(VLOOKUP(A43,ScaledPrice,5))*(2-(VLOOKUP(A43,ScaledPrice,3)))),0))</f>
        <v> </v>
      </c>
      <c r="N43" s="315" t="str">
        <f aca="false">IF(A43="N/A"," ",IF(AND(Dayrun&gt;1,Dayrun&lt;=3),VLOOKUP(A43,ScaledPrice,9),0))</f>
        <v> </v>
      </c>
      <c r="O43" s="315" t="str">
        <f aca="false">IF(A43="N/A"," ",IF(OR(Dayrun=3,Dayrun=6,Dayrun=9),(VLOOKUP(A43,ScaledPrice,IF(AND(Dayrun&gt;=3,Dayrun&lt;=6),7,8))),0))</f>
        <v> </v>
      </c>
      <c r="P43" s="315" t="str">
        <f aca="false">IF(A43="N/A"," ",IF(OR(Dayrun=3,Dayrun=6,Dayrun=9),IF(AND(Dayrun&gt;=3,Dayrun&lt;=6),O43,(VLOOKUP(A43,ScaledPrice,7))*(2-(VLOOKUP(A43,ScaledPrice,3)))),0))</f>
        <v> </v>
      </c>
      <c r="Q43" s="315" t="str">
        <f aca="false">IF(A43="N/A"," ",IF(AND(Dayrun&gt;2,Dayrun&lt;=3),VLOOKUP(A43,ScaledPrice,9),0))</f>
        <v> </v>
      </c>
      <c r="R43" s="316" t="str">
        <f aca="false">IF($A43="N/A"," ",IF(Pricetype=2,MAX(I43-$H43,0),IF(Pricetype=1,(xSPRDOPT(I43,$E43,$CI43,0,($CD43+IF(Smile=TRUE(),VLOOKUP(MAX(-5,$H43-I43),Volsmile,2),0)),$CG43,$CH43,($A43-DateToday)+15,1,0)),I43-$H43)))</f>
        <v> </v>
      </c>
      <c r="S43" s="316" t="str">
        <f aca="false">IF($A43="N/A"," ",IF(Pricetype=2,MAX(J43-$H43,0),IF(Pricetype=1,(xSPRDOPT(J43,$E43,$CI43,0,($CD43+IF(Smile=TRUE(),VLOOKUP(MAX(-5,$H43-J43),Volsmile,2),0)),$CG43,$CH43,($A43-DateToday)+15,1,0)),J43-$H43)))</f>
        <v> </v>
      </c>
      <c r="T43" s="317" t="str">
        <f aca="false">IF($A43="N/A"," ",(IF(Pricetype=2,IF((K43-$H43)&lt;=0,0,(K43-$H43)),IF(K43&lt;&gt;0,(K43-$H43),0))))</f>
        <v> </v>
      </c>
      <c r="U43" s="316" t="str">
        <f aca="false">IF($A43="N/A"," ",IF(Pricetype=2,MAX(L43-$H43,0),IF(L43&lt;&gt;0,IF(Pricetype=1,(xSPRDOPT(L43,$E43,$CI43,0,($CD43+IF(Smile=TRUE(),VLOOKUP(MAX(-5,$H43-L43),Volsmile,2),0)),$CG43,$CH43,($A43-DateToday)+15,1,0)),L43-$H43),0)))</f>
        <v> </v>
      </c>
      <c r="V43" s="316" t="str">
        <f aca="false">IF($A43="N/A"," ",IF(Pricetype=2,MAX(M43-$H43,0),IF(M43&lt;&gt;0,IF(Pricetype=1,(xSPRDOPT(M43,$E43,$CI43,0,($CD43+IF(Smile=TRUE(),VLOOKUP(MAX(-5,$H43-M43),Volsmile,2),0)),$CG43,$CH43,($A43-DateToday)+15,1,0)),M43-$H43),0)))</f>
        <v> </v>
      </c>
      <c r="W43" s="317" t="str">
        <f aca="false">IF($A43="N/A"," ",(IF(Pricetype=2,IF((N43-$H43)&lt;=0,0,(N43-$H43)),IF(N43&lt;&gt;0,(N43-$H43),0))))</f>
        <v> </v>
      </c>
      <c r="X43" s="316" t="str">
        <f aca="false">IF($A43="N/A"," ",IF(Pricetype=2,MAX(O43-$H43,0),IF(O43&lt;&gt;0,IF(Pricetype=1,(xSPRDOPT(O43,$E43,$CI43,0,($CD43+IF(Smile=TRUE(),VLOOKUP(MAX(-5,$H43-O43),Volsmile,2),0)),$CG43,$CH43,($A43-DateToday)+15,1,0)),O43-$H43),0)))</f>
        <v> </v>
      </c>
      <c r="Y43" s="316" t="str">
        <f aca="false">IF($A43="N/A"," ",IF(Pricetype=2,MAX(P43-$H43,0),IF(P43&lt;&gt;0,IF(Pricetype=1,(xSPRDOPT(P43,$E43,$CI43,0,($CD43+IF(Smile=TRUE(),VLOOKUP(MAX(-5,$H43-P43),Volsmile,2),0)),$CG43,$CH43,($A43-DateToday)+15,1,0)),P43-$H43),0)))</f>
        <v> </v>
      </c>
      <c r="Z43" s="317" t="str">
        <f aca="false">IF($A43="N/A"," ",(IF(Pricetype=2,IF((Q43-$H43)&lt;=0,0,(Q43-$H43)),IF(Q43&lt;&gt;0,(Q43-$H43),0))))</f>
        <v> </v>
      </c>
      <c r="AA43" s="318" t="str">
        <f aca="false">IF($A43="N/A"," ",IF(VLOOKUP(MONTH(A43),ManualTable,2)=1,(IF(0&lt;&gt;R43,IF(Pricetype=1,(xSPRDOPT(I43,$E43,$CI43,0,($CD43+IF(Smile=TRUE(),VLOOKUP(MAX(-5,$H43-I43),Volsmile,2),0)),$CG43,$CH43,($A43-DateToday)+15,1,1))*(8*$HD43),8*$HD43),0)),0))</f>
        <v> </v>
      </c>
      <c r="AB43" s="318" t="str">
        <f aca="false">IF($A43="N/A"," ",IF(VLOOKUP(MONTH(A43),ManualTable,3)=1,(IF(S43&lt;&gt;0,IF(Pricetype=1,(xSPRDOPT(J43,$E43,$CI43,0,($CD43+IF(Smile=TRUE(),VLOOKUP(MAX(-5,$H43-J43),Volsmile,2),0)),$CG43,$CH43,($A43-DateToday)+15,1,1))*(8*$HD43),8*$HD43),0)),0))</f>
        <v> </v>
      </c>
      <c r="AC43" s="318" t="str">
        <f aca="false">IF($A43="N/A"," ",IF(VLOOKUP(MONTH(A43),ManualTable,4)=1,(IF(T43&lt;&gt;0,(8*$HD43),0)),0))</f>
        <v> </v>
      </c>
      <c r="AD43" s="318" t="str">
        <f aca="false">IF($A43="N/A"," ",IF(VLOOKUP(MONTH(A43),ManualTable,5)=1,(IF(U43&lt;&gt;0,IF(Pricetype=1,(xSPRDOPT(L43,$E43,$CI43,0,($CD43+IF(Smile=TRUE(),VLOOKUP(MAX(-5,$H43-L43),Volsmile,2),0)),$CG43,$CH43,($A43-DateToday)+15,1,1))*(8*$HE43),8*$HE43),0)),0))</f>
        <v> </v>
      </c>
      <c r="AE43" s="318" t="str">
        <f aca="false">IF($A43="N/A"," ",IF(VLOOKUP(MONTH(A43),ManualTable,6)=1,(IF(V43&lt;&gt;0,IF(Pricetype=1,(xSPRDOPT(M43,$E43,$CI43,0,($CD43+IF(Smile=TRUE(),VLOOKUP(MAX(-5,$H43-M43),Volsmile,2),0)),$CG43,$CH43,($A43-DateToday)+15,1,1))*(8*$HE43),8*$HE43),0)),0))</f>
        <v> </v>
      </c>
      <c r="AF43" s="318" t="str">
        <f aca="false">IF($A43="N/A"," ",IF(VLOOKUP(MONTH(A43),ManualTable,7)=1,(IF(W43&lt;&gt;0,(8*$HE43),0)),0))</f>
        <v> </v>
      </c>
      <c r="AG43" s="318" t="str">
        <f aca="false">IF($A43="N/A"," ",IF(VLOOKUP(MONTH(A43),ManualTable,8)=1,(IF(X43&lt;&gt;0,IF(Pricetype=1,(xSPRDOPT(O43,$E43,$CI43,0,($CD43+IF(Smile=TRUE(),VLOOKUP(MAX(-5,$H43-O43),Volsmile,2),0)),$CG43,$CH43,($A43-DateToday)+15,1,1))*(8*$HF43),8*$HF43),0)),0))</f>
        <v> </v>
      </c>
      <c r="AH43" s="318" t="str">
        <f aca="false">IF($A43="N/A"," ",IF(VLOOKUP(MONTH(A43),ManualTable,9)=1,(IF(Y43&lt;&gt;0,IF(Pricetype=1,(xSPRDOPT(P43,$E43,$CI43,0,($CD43+IF(Smile=TRUE(),VLOOKUP(MAX(-5,$H43-P43),Volsmile,2),0)),$CG43,$CH43,($A43-DateToday)+15,1,1))*(8*$HF43),8*$HF43),0)),0))</f>
        <v> </v>
      </c>
      <c r="AI43" s="318" t="str">
        <f aca="false">IF($A43="N/A"," ",IF(VLOOKUP(MONTH(A43),ManualTable,10)=1,(IF(Z43&lt;&gt;0,(8*($HF43)),0)),0))</f>
        <v> </v>
      </c>
      <c r="AJ43" s="344" t="str">
        <f aca="false">IF($A43="N/A"," ",RANK(R43,$R$40:$Z$51))</f>
        <v> </v>
      </c>
      <c r="AK43" s="321" t="str">
        <f aca="false">IF($A43="N/A"," ",RANK(S43,$R$40:$Z$51))</f>
        <v> </v>
      </c>
      <c r="AL43" s="321" t="str">
        <f aca="false">IF($A43="N/A"," ",RANK(T43,$R$40:$Z$51))</f>
        <v> </v>
      </c>
      <c r="AM43" s="321" t="str">
        <f aca="false">IF($A43="N/A"," ",RANK(U43,$R$40:$Z$51))</f>
        <v> </v>
      </c>
      <c r="AN43" s="321" t="str">
        <f aca="false">IF($A43="N/A"," ",RANK(V43,$R$40:$Z$51))</f>
        <v> </v>
      </c>
      <c r="AO43" s="321" t="str">
        <f aca="false">IF($A43="N/A"," ",RANK(W43,$R$40:$Z$51))</f>
        <v> </v>
      </c>
      <c r="AP43" s="321" t="str">
        <f aca="false">IF($A43="N/A"," ",RANK(X43,$R$40:$Z$51))</f>
        <v> </v>
      </c>
      <c r="AQ43" s="321" t="str">
        <f aca="false">IF($A43="N/A"," ",RANK(Y43,$R$40:$Z$51))</f>
        <v> </v>
      </c>
      <c r="AR43" s="345" t="str">
        <f aca="false">IF($A43="N/A"," ",RANK(Z43,$R$40:$Z$51))</f>
        <v> </v>
      </c>
      <c r="AS43" s="323" t="str">
        <f aca="false">IF($A43="N/A"," ",IF(AJ43&lt;=$AR$2,AA43,0))</f>
        <v> </v>
      </c>
      <c r="AT43" s="325" t="str">
        <f aca="false">IF($A43="N/A"," ",IF(AK43&lt;=$AR$2,AB43,0))</f>
        <v> </v>
      </c>
      <c r="AU43" s="325" t="str">
        <f aca="false">IF($A43="N/A"," ",IF(AL43&lt;=$AR$2,AC43,0))</f>
        <v> </v>
      </c>
      <c r="AV43" s="325" t="str">
        <f aca="false">IF($A43="N/A"," ",IF(AM43&lt;=$AR$2,AD43,0))</f>
        <v> </v>
      </c>
      <c r="AW43" s="325" t="str">
        <f aca="false">IF($A43="N/A"," ",IF(AN43&lt;=$AR$2,AE43,0))</f>
        <v> </v>
      </c>
      <c r="AX43" s="325" t="str">
        <f aca="false">IF($A43="N/A"," ",IF(AO43&lt;=$AR$2,AF43,0))</f>
        <v> </v>
      </c>
      <c r="AY43" s="325" t="str">
        <f aca="false">IF($A43="N/A"," ",IF(AP43&lt;=$AR$2,AG43,0))</f>
        <v> </v>
      </c>
      <c r="AZ43" s="325" t="str">
        <f aca="false">IF($A43="N/A"," ",IF(AQ43&lt;=$AR$2,AH43,0))</f>
        <v> </v>
      </c>
      <c r="BA43" s="325" t="str">
        <f aca="false">IF($A43="N/A"," ",IF(AR43&lt;=$AR$2,AI43,0))</f>
        <v> </v>
      </c>
      <c r="BB43" s="345"/>
      <c r="BC43" s="326" t="str">
        <f aca="false">IF($A43="N/A"," ",IF(AND(AJ43=$AR$2+1,AS43=0),MIN($BB$51,AA43),0))</f>
        <v> </v>
      </c>
      <c r="BD43" s="346" t="str">
        <f aca="false">IF($A43="N/A"," ",IF(AND(AK43=$AR$2+1,AT43=0),MIN($BB$51,AB43),0))</f>
        <v> </v>
      </c>
      <c r="BE43" s="346" t="str">
        <f aca="false">IF($A43="N/A"," ",IF(AND(AL43=$AR$2+1,AU43=0),MIN($BB$51,AC43),0))</f>
        <v> </v>
      </c>
      <c r="BF43" s="346" t="str">
        <f aca="false">IF($A43="N/A"," ",IF(AND(AM43=$AR$2+1,AV43=0),MIN($BB$51,AD43),0))</f>
        <v> </v>
      </c>
      <c r="BG43" s="346" t="str">
        <f aca="false">IF($A43="N/A"," ",IF(AND(AN43=$AR$2+1,AW43=0),MIN($BB$51,AE43),0))</f>
        <v> </v>
      </c>
      <c r="BH43" s="346" t="str">
        <f aca="false">IF($A43="N/A"," ",IF(AND(AO43=$AR$2+1,AX43=0),MIN($BB$51,AF43),0))</f>
        <v> </v>
      </c>
      <c r="BI43" s="346" t="str">
        <f aca="false">IF($A43="N/A"," ",IF(AND(AP43=$AR$2+1,AY43=0),MIN($BB$51,AG43),0))</f>
        <v> </v>
      </c>
      <c r="BJ43" s="346" t="str">
        <f aca="false">IF($A43="N/A"," ",IF(AND(AQ43=$AR$2+1,AZ43=0),MIN($BB$51,AH43),0))</f>
        <v> </v>
      </c>
      <c r="BK43" s="346" t="str">
        <f aca="false">IF($A43="N/A"," ",IF(AND(AR43=$AR$2+1,BA43=0),MIN($BB$51,AI43),0))</f>
        <v> </v>
      </c>
      <c r="BL43" s="345"/>
      <c r="BM43" s="329" t="str">
        <f aca="false">IF($A43="N/A"," ",(IF(MONTH(A43)&gt;=4,IF(MONTH(A43)&lt;=10,Inputs!$F$13-Inputs!$G$13,Inputs!$F$14-Inputs!$G$14),Inputs!$F$14-Inputs!$G$14))*$CK43*Availability)</f>
        <v> </v>
      </c>
      <c r="BN43" s="330" t="str">
        <f aca="false">IF($A43="N/A"," ",(IF(AS43&gt;0,($BM43*(8*($HD43))*R43),0)+IF(BC43&gt;0,($BM43*((BC43/AA43)*8*$HD43)*R43),0)))</f>
        <v> </v>
      </c>
      <c r="BO43" s="330" t="str">
        <f aca="false">IF($A43="N/A"," ",(IF(AT43&gt;0,($BM43*(8*($HD43))*S43),0)+IF(BD43&gt;0,($BM43*((BD43/AB43)*8*$HD43)*S43),0)))</f>
        <v> </v>
      </c>
      <c r="BP43" s="330" t="str">
        <f aca="false">IF($A43="N/A"," ",(IF(AU43&gt;0,($BM43*(8*($HD43))*T43),0)+IF(BE43&gt;0,($BM43*((BE43))*T43),0)))</f>
        <v> </v>
      </c>
      <c r="BQ43" s="330" t="str">
        <f aca="false">IF($A43="N/A"," ",(IF(AV43&gt;0,($BM43*(8*($HE43))*U43),0)+IF(BF43&gt;0,($BM43*((BF43/AD43)*8*$HE43)*U43),0)))</f>
        <v> </v>
      </c>
      <c r="BR43" s="330" t="str">
        <f aca="false">IF($A43="N/A"," ",(IF(AW43&gt;0,($BM43*(8*($HE43))*V43),0)+IF(BG43&gt;0,($BM43*((BG43/AE43)*8*$HE43)*V43),0)))</f>
        <v> </v>
      </c>
      <c r="BS43" s="330" t="str">
        <f aca="false">IF($A43="N/A"," ",(IF(AX43&gt;0,($BM43*(8*($HE43))*W43),0)+IF(BH43&gt;0,($BM43*((BH43))*W43),0)))</f>
        <v> </v>
      </c>
      <c r="BT43" s="330" t="str">
        <f aca="false">IF($A43="N/A"," ",(IF(AY43&gt;0,($BM43*(8*($HF43))*X43),0)+IF(BI43&gt;0,($BM43*((BI43/AG43)*8*$HF43)*X43),0)))</f>
        <v> </v>
      </c>
      <c r="BU43" s="330" t="str">
        <f aca="false">IF($A43="N/A"," ",(IF(AZ43&gt;0,($BM43*(8*($HF43))*Y43),0)+IF(BJ43&gt;0,($BM43*((BJ43/AH43)*8*$HF43)*Y43),0)))</f>
        <v> </v>
      </c>
      <c r="BV43" s="330" t="str">
        <f aca="false">IF($A43="N/A"," ",(IF(BA43&gt;0,($BM43*(8*($HF43))*Z43),0)+IF(BK43&gt;0,($BM43*((BK43))*Z43),0)))</f>
        <v> </v>
      </c>
      <c r="BW43" s="330" t="str">
        <f aca="false">IF($A43="N/A"," ",SUM(BN43:BV43))</f>
        <v> </v>
      </c>
      <c r="BX43" s="331" t="str">
        <f aca="false">IF($A43="N/A"," ",(H43*(SUM(AS43:BA43)+SUM(BC43:BK43))*BM43))</f>
        <v> </v>
      </c>
      <c r="BY43" s="332" t="str">
        <f aca="false">IF($A43="N/A"," ",((C43*D43)*(SUM($AS43:$BA43)+SUM($BC43:$BK43))*$BM43))</f>
        <v> </v>
      </c>
      <c r="BZ43" s="332" t="str">
        <f aca="false">IF($A43="N/A"," ",(F43*(SUM($AS43:$BA43)+SUM($BC43:$BK43))*$BM43))</f>
        <v> </v>
      </c>
      <c r="CA43" s="333" t="str">
        <f aca="false">IF($A43="N/A"," ",(G43*(SUM($AS43:$BA43)+SUM($BC43:$BK43))*$BM43))</f>
        <v> </v>
      </c>
      <c r="CB43" s="334" t="str">
        <f aca="false">IF(A43="N/A"," ",(VLOOKUP(A43,PowerVolTable,(IF(BMO=2,7,IF(BMO=1,6,8))),FALSE())))</f>
        <v> </v>
      </c>
      <c r="CC43" s="334" t="str">
        <f aca="false">IF(A43="N/A"," ",(VLOOKUP(A43,IntraPowerVol,(IF(BMO=2,3,IF(BMO=1,2,4))),FALSE())*VLOOKUP(MONTH($A43),Volscale,2)))</f>
        <v> </v>
      </c>
      <c r="CD43" s="335" t="str">
        <f aca="false">IF($A43="N/A"," ",(IF(DateToday&gt;$A43,$CC43,((($CB43^2)*((($A43-1)-DateToday)/((EOMONTH($A43,0)+1)-DateToday-15)))+((($CC43)^2)*((15)/((EOMONTH($A43,0)+1)-DateToday-15))))^0.5)))</f>
        <v> </v>
      </c>
      <c r="CE43" s="334" t="str">
        <f aca="false">IF($A43="N/A"," ",(VLOOKUP($A43,GasVolTable,(IF(BMO=2,6,IF(BMO=1,7,5))),FALSE())))</f>
        <v> </v>
      </c>
      <c r="CF43" s="334" t="str">
        <f aca="false">IF($A43="N/A"," ",(VLOOKUP($A43,OmicronVol,(IF(BMO=2,3,IF(BMO=1,4,2))),FALSE())))</f>
        <v> </v>
      </c>
      <c r="CG43" s="335" t="str">
        <f aca="false">IF($A43="N/A"," ",(IF(DateToday&gt;$A43,$CF43,((($CE43^2)*((($A43-1)-DateToday)/((EOMONTH($A43,0)+1)-DateToday-15)))+((($CF43)^2)*((15)/((EOMONTH($A43,0)+1)-DateToday-15))))^0.5)))</f>
        <v> </v>
      </c>
      <c r="CH43" s="334" t="str">
        <f aca="false">IF($A43="N/A"," ",VLOOKUP($A43,CorrelationTable,2,FALSE()))</f>
        <v> </v>
      </c>
      <c r="CI43" s="336" t="str">
        <f aca="false">IF($A43="N/A"," ",F43+G43+(D43*('Pricing Inputs'!T76)))</f>
        <v> </v>
      </c>
      <c r="CJ43" s="334" t="str">
        <f aca="false">IF($A43="N/A"," ",IF(PV=1,0,'Pricing Inputs'!U76))</f>
        <v> </v>
      </c>
      <c r="CK43" s="337" t="str">
        <f aca="false">IF($A43="N/A"," ",(1+CJ43/2)^(-2*((EOMONTH(A43,0)+20)-DateToday)/365.25))</f>
        <v> </v>
      </c>
      <c r="CL43" s="338" t="str">
        <f aca="false">IF(A43="N/A"," ",IF(CC=2,(VLOOKUP(MONTH($A43),Hrtable,3))/1000,0))</f>
        <v> </v>
      </c>
      <c r="CM43" s="339" t="str">
        <f aca="false">IF(A43="N/A"," ",IF(CC=2,(CL43*C43)+F43,0))</f>
        <v> </v>
      </c>
      <c r="CN43" s="340" t="str">
        <f aca="false">IF($A43="N/A"," ",IF(CC=2,(VLOOKUP(A43,ScaledPrice,(IF(AND(Dayrun&gt;=1,Dayrun&lt;=6),2,4)))-((IF(R43&lt;&gt;0,$D43,$CL43)*$C43)+$F43+$G43)),0))</f>
        <v> </v>
      </c>
      <c r="CO43" s="340" t="str">
        <f aca="false">IF($A43="N/A"," ",IF(CC=2,(IF(AND(Dayrun&gt;=1,Dayrun&lt;=6),I43,(VLOOKUP(A43,ScaledPrice,2))*(2-(VLOOKUP(A43,ScaledPrice,3))))-((IF(S43&lt;&gt;0,$D43,$CL43)*$C43)+$F43+$G43)),0))</f>
        <v> </v>
      </c>
      <c r="CP43" s="340" t="str">
        <f aca="false">IF(A43="N/A"," ",IF(CC=2,(VLOOKUP(A43,ScaledPrice,9)-((IF(T43&lt;&gt;0,$D43,$CL43)*$C43)+$F43+$G43)),0))</f>
        <v> </v>
      </c>
      <c r="CQ43" s="340" t="str">
        <f aca="false">IF(A43="N/A"," ",IF(CC=2,(IF(OR(Dayrun=2,Dayrun=3,Dayrun=5,Dayrun=6,Dayrun=8,Dayrun=9),VLOOKUP(A43,ScaledPrice,IF(AND(Dayrun&gt;=2,Dayrun&lt;=6),5,6)),0)-((IF(U43&lt;&gt;0,$D43,$CL43)*$C43)+$F43+$G43)),0))</f>
        <v> </v>
      </c>
      <c r="CR43" s="340" t="str">
        <f aca="false">IF(A43="N/A"," ",IF(CC=2,(IF(OR(Dayrun=2,Dayrun=3,Dayrun=5,Dayrun=6,Dayrun=8,Dayrun=9),IF(AND(Dayrun&gt;=2,Dayrun&lt;=6),L43,(VLOOKUP(A43,ScaledPrice,5))*(2-(VLOOKUP(A43,ScaledPrice,3)))),0)-((IF(V43&lt;&gt;0,$D43,$CL43)*$C43)+$F43+$G43)),0))</f>
        <v> </v>
      </c>
      <c r="CS43" s="340" t="str">
        <f aca="false">IF(A43="N/A"," ",IF(CC=2,(VLOOKUP(A43,ScaledPrice,9)-((IF(W43&lt;&gt;0,$D43,$CL43)*$C43)+$F43+$G43)),0))</f>
        <v> </v>
      </c>
      <c r="CT43" s="340" t="str">
        <f aca="false">IF(A43="N/A"," ",IF(CC=2,(IF(OR(Dayrun=3,Dayrun=6,Dayrun=9),(VLOOKUP(A43,ScaledPrice,IF(AND(Dayrun&gt;=3,Dayrun&lt;=6),7,8))),0)-((IF(X43&lt;&gt;0,$D43,$CL43)*$C43)+$F43+$G43)),0))</f>
        <v> </v>
      </c>
      <c r="CU43" s="340" t="str">
        <f aca="false">IF(A43="N/A"," ",IF(CC=2,(IF(OR(Dayrun=3,Dayrun=6,Dayrun=9),IF(AND(Dayrun&gt;=3,Dayrun&lt;=6),O43,(VLOOKUP(A43,ScaledPrice,7))*(2-(VLOOKUP(A43,ScaledPrice,3)))),0)-((IF(Y43&lt;&gt;0,$D43,$CL43)*$C43)+$F43+$G43)),0))</f>
        <v> </v>
      </c>
      <c r="CV43" s="340" t="str">
        <f aca="false">IF(A43="N/A"," ",IF(CC=2,(VLOOKUP(A43,ScaledPrice,9)-((IF(Z43&lt;&gt;0,$D43,$CL43)*$C43)+$F43+$G43)),0))</f>
        <v> </v>
      </c>
      <c r="CW43" s="318" t="str">
        <f aca="false">IF($A43="N/A"," ",IF(0&lt;&gt;CN43,IF(CC=2,8*$HD43,0),0))</f>
        <v> </v>
      </c>
      <c r="CX43" s="318" t="str">
        <f aca="false">IF($A43="N/A"," ",IF(0&lt;&gt;CO43,IF(CC=2,8*$HD43,0),0))</f>
        <v> </v>
      </c>
      <c r="CY43" s="318" t="str">
        <f aca="false">IF($A43="N/A"," ",IF(0&lt;&gt;CP43,IF(CC=2,8*$HD43,0),0))</f>
        <v> </v>
      </c>
      <c r="CZ43" s="318" t="str">
        <f aca="false">IF($A43="N/A"," ",IF(0&lt;&gt;CQ43,IF(CC=2,8*$HE43,0),0))</f>
        <v> </v>
      </c>
      <c r="DA43" s="318" t="str">
        <f aca="false">IF($A43="N/A"," ",IF(0&lt;&gt;CR43,IF(CC=2,8*$HE43,0),0))</f>
        <v> </v>
      </c>
      <c r="DB43" s="318" t="str">
        <f aca="false">IF($A43="N/A"," ",IF(0&lt;&gt;CS43,IF(CC=2,8*$HE43,0),0))</f>
        <v> </v>
      </c>
      <c r="DC43" s="318" t="str">
        <f aca="false">IF($A43="N/A"," ",IF(0&lt;&gt;CT43,IF(CC=2,8*$HF43,0),0))</f>
        <v> </v>
      </c>
      <c r="DD43" s="318" t="str">
        <f aca="false">IF($A43="N/A"," ",IF(0&lt;&gt;CU43,IF(CC=2,8*$HF43,0),0))</f>
        <v> </v>
      </c>
      <c r="DE43" s="318" t="str">
        <f aca="false">IF($A43="N/A"," ",IF(0&lt;&gt;CV43,IF(CC=2,8*$HF43,0),0))</f>
        <v> </v>
      </c>
      <c r="DF43" s="341" t="str">
        <f aca="false">IF($A43="N/A"," ",IF(CC=2,(IF(MONTH(A43)&gt;=4,IF(MONTH(A43)&lt;=10,Inputs!$G$13,Inputs!$G$14),Inputs!$G$14))*$CK43,0))</f>
        <v> </v>
      </c>
      <c r="DG43" s="342" t="str">
        <f aca="false">IF($A43="N/A"," ",IF(CC=2,$DF43*CW43*CN43,0))</f>
        <v> </v>
      </c>
      <c r="DH43" s="342" t="str">
        <f aca="false">IF($A43="N/A"," ",IF(CC=2,$DF43*CX43*CO43,0))</f>
        <v> </v>
      </c>
      <c r="DI43" s="342" t="str">
        <f aca="false">IF($A43="N/A"," ",IF(CC=2,$DF43*CY43*CP43,0))</f>
        <v> </v>
      </c>
      <c r="DJ43" s="342" t="str">
        <f aca="false">IF($A43="N/A"," ",IF(CC=2,$DF43*CZ43*CQ43,0))</f>
        <v> </v>
      </c>
      <c r="DK43" s="342" t="str">
        <f aca="false">IF($A43="N/A"," ",IF(CC=2,$DF43*DA43*CR43,0))</f>
        <v> </v>
      </c>
      <c r="DL43" s="342" t="str">
        <f aca="false">IF($A43="N/A"," ",IF(CC=2,$DF43*DB43*CS43,0))</f>
        <v> </v>
      </c>
      <c r="DM43" s="342" t="str">
        <f aca="false">IF($A43="N/A"," ",IF(CC=2,$DF43*DC43*CT43,0))</f>
        <v> </v>
      </c>
      <c r="DN43" s="342" t="str">
        <f aca="false">IF($A43="N/A"," ",IF(CC=2,$DF43*DD43*CU43,0))</f>
        <v> </v>
      </c>
      <c r="DO43" s="342" t="str">
        <f aca="false">IF($A43="N/A"," ",IF(CC=2,$DF43*DE43*CV43,0))</f>
        <v> </v>
      </c>
      <c r="DP43" s="343" t="str">
        <f aca="false">IF($A43="N/A"," ",IF(CC=2,SUM(DG43:DO43),0))</f>
        <v> </v>
      </c>
      <c r="DQ43" s="0" t="str">
        <f aca="false">IF(A43="N/A"," ",Perstart)</f>
        <v> </v>
      </c>
      <c r="HD43" s="0" t="str">
        <f aca="false">IF($A43="N/A"," ",VLOOKUP($A43,NumberofDaysTable,2))</f>
        <v> </v>
      </c>
      <c r="HE43" s="0" t="str">
        <f aca="false">IF($A43="N/A"," ",VLOOKUP($A43,NumberofDaysTable,3))</f>
        <v> </v>
      </c>
      <c r="HF43" s="0" t="str">
        <f aca="false">IF($A43="N/A"," ",VLOOKUP($A43,NumberofDaysTable,4))</f>
        <v> </v>
      </c>
    </row>
    <row r="44" customFormat="false" ht="12.75" hidden="false" customHeight="false" outlineLevel="0" collapsed="false">
      <c r="A44" s="308" t="str">
        <f aca="false">IF(A43="N/A","N/A",IF(EDATE(A43,1)&gt;Inputs!$K$3,"N/A",EDATE(A43,1)))</f>
        <v>N/A</v>
      </c>
      <c r="B44" s="309" t="str">
        <f aca="false">IF(A44="N/A"," ",YEAR(A44))</f>
        <v> </v>
      </c>
      <c r="C44" s="310" t="str">
        <f aca="false">IF(A44="N/A"," ",VLOOKUP(A44,ScaledPrice,10))</f>
        <v> </v>
      </c>
      <c r="D44" s="311" t="str">
        <f aca="false">IF(A44="N/A"," ",(VLOOKUP(MONTH($A44),Hrtable,2))/1000)</f>
        <v> </v>
      </c>
      <c r="E44" s="312" t="str">
        <f aca="false">IF($A44="N/A"," ",(C44-'Pricing Inputs'!T77)*D44)</f>
        <v> </v>
      </c>
      <c r="F44" s="313" t="str">
        <f aca="false">IF(A44="N/A"," ",$F32*(1+VOMesc))</f>
        <v> </v>
      </c>
      <c r="G44" s="313" t="str">
        <f aca="false">IF(A44="N/A"," ",Perstart/IF(AND(Dayrun&gt;=4,Dayrun&lt;=6),16,IF(AND(Dayrun&gt;=7,Dayrun&lt;=9),8,24))/(BM44/CK44))</f>
        <v> </v>
      </c>
      <c r="H44" s="314" t="str">
        <f aca="false">IF(A44="N/A"," ",(C44*D44)+F44+G44)</f>
        <v> </v>
      </c>
      <c r="I44" s="315" t="str">
        <f aca="false">VLOOKUP(A44,ScaledPrice,(IF(AND(Dayrun&gt;=1,Dayrun&lt;=6),2,4)))</f>
        <v> </v>
      </c>
      <c r="J44" s="315" t="str">
        <f aca="false">IF(A44="N/A"," ",IF(AND(Dayrun&gt;=1,Dayrun&lt;=6),I44,(VLOOKUP(A44,ScaledPrice,2))*(2-(VLOOKUP(A44,ScaledPrice,3)))))</f>
        <v> </v>
      </c>
      <c r="K44" s="315" t="str">
        <f aca="false">IF(A44="N/A"," ",IF(AND(Dayrun&gt;=1,Dayrun&lt;=3),VLOOKUP(A44,ScaledPrice,9),0))</f>
        <v> </v>
      </c>
      <c r="L44" s="315" t="str">
        <f aca="false">IF(A44="N/A"," ",IF(OR(Dayrun=2,Dayrun=3,Dayrun=5,Dayrun=6,Dayrun=8,Dayrun=9),VLOOKUP(A44,ScaledPrice,IF(AND(Dayrun&gt;=2,Dayrun&lt;=6),5,6)),0))</f>
        <v> </v>
      </c>
      <c r="M44" s="315" t="str">
        <f aca="false">IF(A44="N/A"," ",IF(OR(Dayrun=2,Dayrun=3,Dayrun=5,Dayrun=6,Dayrun=8,Dayrun=9),IF(AND(Dayrun&gt;=2,Dayrun&lt;=6),L44,(VLOOKUP(A44,ScaledPrice,5))*(2-(VLOOKUP(A44,ScaledPrice,3)))),0))</f>
        <v> </v>
      </c>
      <c r="N44" s="315" t="str">
        <f aca="false">IF(A44="N/A"," ",IF(AND(Dayrun&gt;1,Dayrun&lt;=3),VLOOKUP(A44,ScaledPrice,9),0))</f>
        <v> </v>
      </c>
      <c r="O44" s="315" t="str">
        <f aca="false">IF(A44="N/A"," ",IF(OR(Dayrun=3,Dayrun=6,Dayrun=9),(VLOOKUP(A44,ScaledPrice,IF(AND(Dayrun&gt;=3,Dayrun&lt;=6),7,8))),0))</f>
        <v> </v>
      </c>
      <c r="P44" s="315" t="str">
        <f aca="false">IF(A44="N/A"," ",IF(OR(Dayrun=3,Dayrun=6,Dayrun=9),IF(AND(Dayrun&gt;=3,Dayrun&lt;=6),O44,(VLOOKUP(A44,ScaledPrice,7))*(2-(VLOOKUP(A44,ScaledPrice,3)))),0))</f>
        <v> </v>
      </c>
      <c r="Q44" s="315" t="str">
        <f aca="false">IF(A44="N/A"," ",IF(AND(Dayrun&gt;2,Dayrun&lt;=3),VLOOKUP(A44,ScaledPrice,9),0))</f>
        <v> </v>
      </c>
      <c r="R44" s="316" t="str">
        <f aca="false">IF($A44="N/A"," ",IF(Pricetype=2,MAX(I44-$H44,0),IF(Pricetype=1,(xSPRDOPT(I44,$E44,$CI44,0,($CD44+IF(Smile=TRUE(),VLOOKUP(MAX(-5,$H44-I44),Volsmile,2),0)),$CG44,$CH44,($A44-DateToday)+15,1,0)),I44-$H44)))</f>
        <v> </v>
      </c>
      <c r="S44" s="316" t="str">
        <f aca="false">IF($A44="N/A"," ",IF(Pricetype=2,MAX(J44-$H44,0),IF(Pricetype=1,(xSPRDOPT(J44,$E44,$CI44,0,($CD44+IF(Smile=TRUE(),VLOOKUP(MAX(-5,$H44-J44),Volsmile,2),0)),$CG44,$CH44,($A44-DateToday)+15,1,0)),J44-$H44)))</f>
        <v> </v>
      </c>
      <c r="T44" s="317" t="str">
        <f aca="false">IF($A44="N/A"," ",(IF(Pricetype=2,IF((K44-$H44)&lt;=0,0,(K44-$H44)),IF(K44&lt;&gt;0,(K44-$H44),0))))</f>
        <v> </v>
      </c>
      <c r="U44" s="316" t="str">
        <f aca="false">IF($A44="N/A"," ",IF(Pricetype=2,MAX(L44-$H44,0),IF(L44&lt;&gt;0,IF(Pricetype=1,(xSPRDOPT(L44,$E44,$CI44,0,($CD44+IF(Smile=TRUE(),VLOOKUP(MAX(-5,$H44-L44),Volsmile,2),0)),$CG44,$CH44,($A44-DateToday)+15,1,0)),L44-$H44),0)))</f>
        <v> </v>
      </c>
      <c r="V44" s="316" t="str">
        <f aca="false">IF($A44="N/A"," ",IF(Pricetype=2,MAX(M44-$H44,0),IF(M44&lt;&gt;0,IF(Pricetype=1,(xSPRDOPT(M44,$E44,$CI44,0,($CD44+IF(Smile=TRUE(),VLOOKUP(MAX(-5,$H44-M44),Volsmile,2),0)),$CG44,$CH44,($A44-DateToday)+15,1,0)),M44-$H44),0)))</f>
        <v> </v>
      </c>
      <c r="W44" s="317" t="str">
        <f aca="false">IF($A44="N/A"," ",(IF(Pricetype=2,IF((N44-$H44)&lt;=0,0,(N44-$H44)),IF(N44&lt;&gt;0,(N44-$H44),0))))</f>
        <v> </v>
      </c>
      <c r="X44" s="316" t="str">
        <f aca="false">IF($A44="N/A"," ",IF(Pricetype=2,MAX(O44-$H44,0),IF(O44&lt;&gt;0,IF(Pricetype=1,(xSPRDOPT(O44,$E44,$CI44,0,($CD44+IF(Smile=TRUE(),VLOOKUP(MAX(-5,$H44-O44),Volsmile,2),0)),$CG44,$CH44,($A44-DateToday)+15,1,0)),O44-$H44),0)))</f>
        <v> </v>
      </c>
      <c r="Y44" s="316" t="str">
        <f aca="false">IF($A44="N/A"," ",IF(Pricetype=2,MAX(P44-$H44,0),IF(P44&lt;&gt;0,IF(Pricetype=1,(xSPRDOPT(P44,$E44,$CI44,0,($CD44+IF(Smile=TRUE(),VLOOKUP(MAX(-5,$H44-P44),Volsmile,2),0)),$CG44,$CH44,($A44-DateToday)+15,1,0)),P44-$H44),0)))</f>
        <v> </v>
      </c>
      <c r="Z44" s="317" t="str">
        <f aca="false">IF($A44="N/A"," ",(IF(Pricetype=2,IF((Q44-$H44)&lt;=0,0,(Q44-$H44)),IF(Q44&lt;&gt;0,(Q44-$H44),0))))</f>
        <v> </v>
      </c>
      <c r="AA44" s="318" t="str">
        <f aca="false">IF($A44="N/A"," ",IF(VLOOKUP(MONTH(A44),ManualTable,2)=1,(IF(0&lt;&gt;R44,IF(Pricetype=1,(xSPRDOPT(I44,$E44,$CI44,0,($CD44+IF(Smile=TRUE(),VLOOKUP(MAX(-5,$H44-I44),Volsmile,2),0)),$CG44,$CH44,($A44-DateToday)+15,1,1))*(8*$HD44),8*$HD44),0)),0))</f>
        <v> </v>
      </c>
      <c r="AB44" s="318" t="str">
        <f aca="false">IF($A44="N/A"," ",IF(VLOOKUP(MONTH(A44),ManualTable,3)=1,(IF(S44&lt;&gt;0,IF(Pricetype=1,(xSPRDOPT(J44,$E44,$CI44,0,($CD44+IF(Smile=TRUE(),VLOOKUP(MAX(-5,$H44-J44),Volsmile,2),0)),$CG44,$CH44,($A44-DateToday)+15,1,1))*(8*$HD44),8*$HD44),0)),0))</f>
        <v> </v>
      </c>
      <c r="AC44" s="318" t="str">
        <f aca="false">IF($A44="N/A"," ",IF(VLOOKUP(MONTH(A44),ManualTable,4)=1,(IF(T44&lt;&gt;0,(8*$HD44),0)),0))</f>
        <v> </v>
      </c>
      <c r="AD44" s="318" t="str">
        <f aca="false">IF($A44="N/A"," ",IF(VLOOKUP(MONTH(A44),ManualTable,5)=1,(IF(U44&lt;&gt;0,IF(Pricetype=1,(xSPRDOPT(L44,$E44,$CI44,0,($CD44+IF(Smile=TRUE(),VLOOKUP(MAX(-5,$H44-L44),Volsmile,2),0)),$CG44,$CH44,($A44-DateToday)+15,1,1))*(8*$HE44),8*$HE44),0)),0))</f>
        <v> </v>
      </c>
      <c r="AE44" s="318" t="str">
        <f aca="false">IF($A44="N/A"," ",IF(VLOOKUP(MONTH(A44),ManualTable,6)=1,(IF(V44&lt;&gt;0,IF(Pricetype=1,(xSPRDOPT(M44,$E44,$CI44,0,($CD44+IF(Smile=TRUE(),VLOOKUP(MAX(-5,$H44-M44),Volsmile,2),0)),$CG44,$CH44,($A44-DateToday)+15,1,1))*(8*$HE44),8*$HE44),0)),0))</f>
        <v> </v>
      </c>
      <c r="AF44" s="318" t="str">
        <f aca="false">IF($A44="N/A"," ",IF(VLOOKUP(MONTH(A44),ManualTable,7)=1,(IF(W44&lt;&gt;0,(8*$HE44),0)),0))</f>
        <v> </v>
      </c>
      <c r="AG44" s="318" t="str">
        <f aca="false">IF($A44="N/A"," ",IF(VLOOKUP(MONTH(A44),ManualTable,8)=1,(IF(X44&lt;&gt;0,IF(Pricetype=1,(xSPRDOPT(O44,$E44,$CI44,0,($CD44+IF(Smile=TRUE(),VLOOKUP(MAX(-5,$H44-O44),Volsmile,2),0)),$CG44,$CH44,($A44-DateToday)+15,1,1))*(8*$HF44),8*$HF44),0)),0))</f>
        <v> </v>
      </c>
      <c r="AH44" s="318" t="str">
        <f aca="false">IF($A44="N/A"," ",IF(VLOOKUP(MONTH(A44),ManualTable,9)=1,(IF(Y44&lt;&gt;0,IF(Pricetype=1,(xSPRDOPT(P44,$E44,$CI44,0,($CD44+IF(Smile=TRUE(),VLOOKUP(MAX(-5,$H44-P44),Volsmile,2),0)),$CG44,$CH44,($A44-DateToday)+15,1,1))*(8*$HF44),8*$HF44),0)),0))</f>
        <v> </v>
      </c>
      <c r="AI44" s="318" t="str">
        <f aca="false">IF($A44="N/A"," ",IF(VLOOKUP(MONTH(A44),ManualTable,10)=1,(IF(Z44&lt;&gt;0,(8*($HF44)),0)),0))</f>
        <v> </v>
      </c>
      <c r="AJ44" s="344" t="str">
        <f aca="false">IF($A44="N/A"," ",RANK(R44,$R$40:$Z$51))</f>
        <v> </v>
      </c>
      <c r="AK44" s="321" t="str">
        <f aca="false">IF($A44="N/A"," ",RANK(S44,$R$40:$Z$51))</f>
        <v> </v>
      </c>
      <c r="AL44" s="321" t="str">
        <f aca="false">IF($A44="N/A"," ",RANK(T44,$R$40:$Z$51))</f>
        <v> </v>
      </c>
      <c r="AM44" s="321" t="str">
        <f aca="false">IF($A44="N/A"," ",RANK(U44,$R$40:$Z$51))</f>
        <v> </v>
      </c>
      <c r="AN44" s="321" t="str">
        <f aca="false">IF($A44="N/A"," ",RANK(V44,$R$40:$Z$51))</f>
        <v> </v>
      </c>
      <c r="AO44" s="321" t="str">
        <f aca="false">IF($A44="N/A"," ",RANK(W44,$R$40:$Z$51))</f>
        <v> </v>
      </c>
      <c r="AP44" s="321" t="str">
        <f aca="false">IF($A44="N/A"," ",RANK(X44,$R$40:$Z$51))</f>
        <v> </v>
      </c>
      <c r="AQ44" s="321" t="str">
        <f aca="false">IF($A44="N/A"," ",RANK(Y44,$R$40:$Z$51))</f>
        <v> </v>
      </c>
      <c r="AR44" s="345" t="str">
        <f aca="false">IF($A44="N/A"," ",RANK(Z44,$R$40:$Z$51))</f>
        <v> </v>
      </c>
      <c r="AS44" s="323" t="str">
        <f aca="false">IF($A44="N/A"," ",IF(AJ44&lt;=$AR$2,AA44,0))</f>
        <v> </v>
      </c>
      <c r="AT44" s="325" t="str">
        <f aca="false">IF($A44="N/A"," ",IF(AK44&lt;=$AR$2,AB44,0))</f>
        <v> </v>
      </c>
      <c r="AU44" s="325" t="str">
        <f aca="false">IF($A44="N/A"," ",IF(AL44&lt;=$AR$2,AC44,0))</f>
        <v> </v>
      </c>
      <c r="AV44" s="325" t="str">
        <f aca="false">IF($A44="N/A"," ",IF(AM44&lt;=$AR$2,AD44,0))</f>
        <v> </v>
      </c>
      <c r="AW44" s="325" t="str">
        <f aca="false">IF($A44="N/A"," ",IF(AN44&lt;=$AR$2,AE44,0))</f>
        <v> </v>
      </c>
      <c r="AX44" s="325" t="str">
        <f aca="false">IF($A44="N/A"," ",IF(AO44&lt;=$AR$2,AF44,0))</f>
        <v> </v>
      </c>
      <c r="AY44" s="325" t="str">
        <f aca="false">IF($A44="N/A"," ",IF(AP44&lt;=$AR$2,AG44,0))</f>
        <v> </v>
      </c>
      <c r="AZ44" s="325" t="str">
        <f aca="false">IF($A44="N/A"," ",IF(AQ44&lt;=$AR$2,AH44,0))</f>
        <v> </v>
      </c>
      <c r="BA44" s="325" t="str">
        <f aca="false">IF($A44="N/A"," ",IF(AR44&lt;=$AR$2,AI44,0))</f>
        <v> </v>
      </c>
      <c r="BB44" s="345"/>
      <c r="BC44" s="326" t="str">
        <f aca="false">IF($A44="N/A"," ",IF(AND(AJ44=$AR$2+1,AS44=0),MIN($BB$51,AA44),0))</f>
        <v> </v>
      </c>
      <c r="BD44" s="346" t="str">
        <f aca="false">IF($A44="N/A"," ",IF(AND(AK44=$AR$2+1,AT44=0),MIN($BB$51,AB44),0))</f>
        <v> </v>
      </c>
      <c r="BE44" s="346" t="str">
        <f aca="false">IF($A44="N/A"," ",IF(AND(AL44=$AR$2+1,AU44=0),MIN($BB$51,AC44),0))</f>
        <v> </v>
      </c>
      <c r="BF44" s="346" t="str">
        <f aca="false">IF($A44="N/A"," ",IF(AND(AM44=$AR$2+1,AV44=0),MIN($BB$51,AD44),0))</f>
        <v> </v>
      </c>
      <c r="BG44" s="346" t="str">
        <f aca="false">IF($A44="N/A"," ",IF(AND(AN44=$AR$2+1,AW44=0),MIN($BB$51,AE44),0))</f>
        <v> </v>
      </c>
      <c r="BH44" s="346" t="str">
        <f aca="false">IF($A44="N/A"," ",IF(AND(AO44=$AR$2+1,AX44=0),MIN($BB$51,AF44),0))</f>
        <v> </v>
      </c>
      <c r="BI44" s="346" t="str">
        <f aca="false">IF($A44="N/A"," ",IF(AND(AP44=$AR$2+1,AY44=0),MIN($BB$51,AG44),0))</f>
        <v> </v>
      </c>
      <c r="BJ44" s="346" t="str">
        <f aca="false">IF($A44="N/A"," ",IF(AND(AQ44=$AR$2+1,AZ44=0),MIN($BB$51,AH44),0))</f>
        <v> </v>
      </c>
      <c r="BK44" s="346" t="str">
        <f aca="false">IF($A44="N/A"," ",IF(AND(AR44=$AR$2+1,BA44=0),MIN($BB$51,AI44),0))</f>
        <v> </v>
      </c>
      <c r="BL44" s="345"/>
      <c r="BM44" s="329" t="str">
        <f aca="false">IF($A44="N/A"," ",(IF(MONTH(A44)&gt;=4,IF(MONTH(A44)&lt;=10,Inputs!$F$13-Inputs!$G$13,Inputs!$F$14-Inputs!$G$14),Inputs!$F$14-Inputs!$G$14))*$CK44*Availability)</f>
        <v> </v>
      </c>
      <c r="BN44" s="330" t="str">
        <f aca="false">IF($A44="N/A"," ",(IF(AS44&gt;0,($BM44*(8*($HD44))*R44),0)+IF(BC44&gt;0,($BM44*((BC44/AA44)*8*$HD44)*R44),0)))</f>
        <v> </v>
      </c>
      <c r="BO44" s="330" t="str">
        <f aca="false">IF($A44="N/A"," ",(IF(AT44&gt;0,($BM44*(8*($HD44))*S44),0)+IF(BD44&gt;0,($BM44*((BD44/AB44)*8*$HD44)*S44),0)))</f>
        <v> </v>
      </c>
      <c r="BP44" s="330" t="str">
        <f aca="false">IF($A44="N/A"," ",(IF(AU44&gt;0,($BM44*(8*($HD44))*T44),0)+IF(BE44&gt;0,($BM44*((BE44))*T44),0)))</f>
        <v> </v>
      </c>
      <c r="BQ44" s="330" t="str">
        <f aca="false">IF($A44="N/A"," ",(IF(AV44&gt;0,($BM44*(8*($HE44))*U44),0)+IF(BF44&gt;0,($BM44*((BF44/AD44)*8*$HE44)*U44),0)))</f>
        <v> </v>
      </c>
      <c r="BR44" s="330" t="str">
        <f aca="false">IF($A44="N/A"," ",(IF(AW44&gt;0,($BM44*(8*($HE44))*V44),0)+IF(BG44&gt;0,($BM44*((BG44/AE44)*8*$HE44)*V44),0)))</f>
        <v> </v>
      </c>
      <c r="BS44" s="330" t="str">
        <f aca="false">IF($A44="N/A"," ",(IF(AX44&gt;0,($BM44*(8*($HE44))*W44),0)+IF(BH44&gt;0,($BM44*((BH44))*W44),0)))</f>
        <v> </v>
      </c>
      <c r="BT44" s="330" t="str">
        <f aca="false">IF($A44="N/A"," ",(IF(AY44&gt;0,($BM44*(8*($HF44))*X44),0)+IF(BI44&gt;0,($BM44*((BI44/AG44)*8*$HF44)*X44),0)))</f>
        <v> </v>
      </c>
      <c r="BU44" s="330" t="str">
        <f aca="false">IF($A44="N/A"," ",(IF(AZ44&gt;0,($BM44*(8*($HF44))*Y44),0)+IF(BJ44&gt;0,($BM44*((BJ44/AH44)*8*$HF44)*Y44),0)))</f>
        <v> </v>
      </c>
      <c r="BV44" s="330" t="str">
        <f aca="false">IF($A44="N/A"," ",(IF(BA44&gt;0,($BM44*(8*($HF44))*Z44),0)+IF(BK44&gt;0,($BM44*((BK44))*Z44),0)))</f>
        <v> </v>
      </c>
      <c r="BW44" s="330" t="str">
        <f aca="false">IF($A44="N/A"," ",SUM(BN44:BV44))</f>
        <v> </v>
      </c>
      <c r="BX44" s="331" t="str">
        <f aca="false">IF($A44="N/A"," ",(H44*(SUM(AS44:BA44)+SUM(BC44:BK44))*BM44))</f>
        <v> </v>
      </c>
      <c r="BY44" s="332" t="str">
        <f aca="false">IF($A44="N/A"," ",((C44*D44)*(SUM($AS44:$BA44)+SUM($BC44:$BK44))*$BM44))</f>
        <v> </v>
      </c>
      <c r="BZ44" s="332" t="str">
        <f aca="false">IF($A44="N/A"," ",(F44*(SUM($AS44:$BA44)+SUM($BC44:$BK44))*$BM44))</f>
        <v> </v>
      </c>
      <c r="CA44" s="333" t="str">
        <f aca="false">IF($A44="N/A"," ",(G44*(SUM($AS44:$BA44)+SUM($BC44:$BK44))*$BM44))</f>
        <v> </v>
      </c>
      <c r="CB44" s="334" t="str">
        <f aca="false">IF(A44="N/A"," ",(VLOOKUP(A44,PowerVolTable,(IF(BMO=2,7,IF(BMO=1,6,8))),FALSE())))</f>
        <v> </v>
      </c>
      <c r="CC44" s="334" t="str">
        <f aca="false">IF(A44="N/A"," ",(VLOOKUP(A44,IntraPowerVol,(IF(BMO=2,3,IF(BMO=1,2,4))),FALSE())*VLOOKUP(MONTH($A44),Volscale,2)))</f>
        <v> </v>
      </c>
      <c r="CD44" s="335" t="str">
        <f aca="false">IF($A44="N/A"," ",(IF(DateToday&gt;$A44,$CC44,((($CB44^2)*((($A44-1)-DateToday)/((EOMONTH($A44,0)+1)-DateToday-15)))+((($CC44)^2)*((15)/((EOMONTH($A44,0)+1)-DateToday-15))))^0.5)))</f>
        <v> </v>
      </c>
      <c r="CE44" s="334" t="str">
        <f aca="false">IF($A44="N/A"," ",(VLOOKUP($A44,GasVolTable,(IF(BMO=2,6,IF(BMO=1,7,5))),FALSE())))</f>
        <v> </v>
      </c>
      <c r="CF44" s="334" t="str">
        <f aca="false">IF($A44="N/A"," ",(VLOOKUP($A44,OmicronVol,(IF(BMO=2,3,IF(BMO=1,4,2))),FALSE())))</f>
        <v> </v>
      </c>
      <c r="CG44" s="335" t="str">
        <f aca="false">IF($A44="N/A"," ",(IF(DateToday&gt;$A44,$CF44,((($CE44^2)*((($A44-1)-DateToday)/((EOMONTH($A44,0)+1)-DateToday-15)))+((($CF44)^2)*((15)/((EOMONTH($A44,0)+1)-DateToday-15))))^0.5)))</f>
        <v> </v>
      </c>
      <c r="CH44" s="334" t="str">
        <f aca="false">IF($A44="N/A"," ",VLOOKUP($A44,CorrelationTable,2,FALSE()))</f>
        <v> </v>
      </c>
      <c r="CI44" s="336" t="str">
        <f aca="false">IF($A44="N/A"," ",F44+G44+(D44*('Pricing Inputs'!T77)))</f>
        <v> </v>
      </c>
      <c r="CJ44" s="334" t="str">
        <f aca="false">IF($A44="N/A"," ",IF(PV=1,0,'Pricing Inputs'!U77))</f>
        <v> </v>
      </c>
      <c r="CK44" s="337" t="str">
        <f aca="false">IF($A44="N/A"," ",(1+CJ44/2)^(-2*((EOMONTH(A44,0)+20)-DateToday)/365.25))</f>
        <v> </v>
      </c>
      <c r="CL44" s="338" t="str">
        <f aca="false">IF(A44="N/A"," ",IF(CC=2,(VLOOKUP(MONTH($A44),Hrtable,3))/1000,0))</f>
        <v> </v>
      </c>
      <c r="CM44" s="339" t="str">
        <f aca="false">IF(A44="N/A"," ",IF(CC=2,(CL44*C44)+F44,0))</f>
        <v> </v>
      </c>
      <c r="CN44" s="340" t="str">
        <f aca="false">IF($A44="N/A"," ",IF(CC=2,(VLOOKUP(A44,ScaledPrice,(IF(AND(Dayrun&gt;=1,Dayrun&lt;=6),2,4)))-((IF(R44&lt;&gt;0,$D44,$CL44)*$C44)+$F44+$G44)),0))</f>
        <v> </v>
      </c>
      <c r="CO44" s="340" t="str">
        <f aca="false">IF($A44="N/A"," ",IF(CC=2,(IF(AND(Dayrun&gt;=1,Dayrun&lt;=6),I44,(VLOOKUP(A44,ScaledPrice,2))*(2-(VLOOKUP(A44,ScaledPrice,3))))-((IF(S44&lt;&gt;0,$D44,$CL44)*$C44)+$F44+$G44)),0))</f>
        <v> </v>
      </c>
      <c r="CP44" s="340" t="str">
        <f aca="false">IF(A44="N/A"," ",IF(CC=2,(VLOOKUP(A44,ScaledPrice,9)-((IF(T44&lt;&gt;0,$D44,$CL44)*$C44)+$F44+$G44)),0))</f>
        <v> </v>
      </c>
      <c r="CQ44" s="340" t="str">
        <f aca="false">IF(A44="N/A"," ",IF(CC=2,(IF(OR(Dayrun=2,Dayrun=3,Dayrun=5,Dayrun=6,Dayrun=8,Dayrun=9),VLOOKUP(A44,ScaledPrice,IF(AND(Dayrun&gt;=2,Dayrun&lt;=6),5,6)),0)-((IF(U44&lt;&gt;0,$D44,$CL44)*$C44)+$F44+$G44)),0))</f>
        <v> </v>
      </c>
      <c r="CR44" s="340" t="str">
        <f aca="false">IF(A44="N/A"," ",IF(CC=2,(IF(OR(Dayrun=2,Dayrun=3,Dayrun=5,Dayrun=6,Dayrun=8,Dayrun=9),IF(AND(Dayrun&gt;=2,Dayrun&lt;=6),L44,(VLOOKUP(A44,ScaledPrice,5))*(2-(VLOOKUP(A44,ScaledPrice,3)))),0)-((IF(V44&lt;&gt;0,$D44,$CL44)*$C44)+$F44+$G44)),0))</f>
        <v> </v>
      </c>
      <c r="CS44" s="340" t="str">
        <f aca="false">IF(A44="N/A"," ",IF(CC=2,(VLOOKUP(A44,ScaledPrice,9)-((IF(W44&lt;&gt;0,$D44,$CL44)*$C44)+$F44+$G44)),0))</f>
        <v> </v>
      </c>
      <c r="CT44" s="340" t="str">
        <f aca="false">IF(A44="N/A"," ",IF(CC=2,(IF(OR(Dayrun=3,Dayrun=6,Dayrun=9),(VLOOKUP(A44,ScaledPrice,IF(AND(Dayrun&gt;=3,Dayrun&lt;=6),7,8))),0)-((IF(X44&lt;&gt;0,$D44,$CL44)*$C44)+$F44+$G44)),0))</f>
        <v> </v>
      </c>
      <c r="CU44" s="340" t="str">
        <f aca="false">IF(A44="N/A"," ",IF(CC=2,(IF(OR(Dayrun=3,Dayrun=6,Dayrun=9),IF(AND(Dayrun&gt;=3,Dayrun&lt;=6),O44,(VLOOKUP(A44,ScaledPrice,7))*(2-(VLOOKUP(A44,ScaledPrice,3)))),0)-((IF(Y44&lt;&gt;0,$D44,$CL44)*$C44)+$F44+$G44)),0))</f>
        <v> </v>
      </c>
      <c r="CV44" s="340" t="str">
        <f aca="false">IF(A44="N/A"," ",IF(CC=2,(VLOOKUP(A44,ScaledPrice,9)-((IF(Z44&lt;&gt;0,$D44,$CL44)*$C44)+$F44+$G44)),0))</f>
        <v> </v>
      </c>
      <c r="CW44" s="318" t="str">
        <f aca="false">IF($A44="N/A"," ",IF(0&lt;&gt;CN44,IF(CC=2,8*$HD44,0),0))</f>
        <v> </v>
      </c>
      <c r="CX44" s="318" t="str">
        <f aca="false">IF($A44="N/A"," ",IF(0&lt;&gt;CO44,IF(CC=2,8*$HD44,0),0))</f>
        <v> </v>
      </c>
      <c r="CY44" s="318" t="str">
        <f aca="false">IF($A44="N/A"," ",IF(0&lt;&gt;CP44,IF(CC=2,8*$HD44,0),0))</f>
        <v> </v>
      </c>
      <c r="CZ44" s="318" t="str">
        <f aca="false">IF($A44="N/A"," ",IF(0&lt;&gt;CQ44,IF(CC=2,8*$HE44,0),0))</f>
        <v> </v>
      </c>
      <c r="DA44" s="318" t="str">
        <f aca="false">IF($A44="N/A"," ",IF(0&lt;&gt;CR44,IF(CC=2,8*$HE44,0),0))</f>
        <v> </v>
      </c>
      <c r="DB44" s="318" t="str">
        <f aca="false">IF($A44="N/A"," ",IF(0&lt;&gt;CS44,IF(CC=2,8*$HE44,0),0))</f>
        <v> </v>
      </c>
      <c r="DC44" s="318" t="str">
        <f aca="false">IF($A44="N/A"," ",IF(0&lt;&gt;CT44,IF(CC=2,8*$HF44,0),0))</f>
        <v> </v>
      </c>
      <c r="DD44" s="318" t="str">
        <f aca="false">IF($A44="N/A"," ",IF(0&lt;&gt;CU44,IF(CC=2,8*$HF44,0),0))</f>
        <v> </v>
      </c>
      <c r="DE44" s="318" t="str">
        <f aca="false">IF($A44="N/A"," ",IF(0&lt;&gt;CV44,IF(CC=2,8*$HF44,0),0))</f>
        <v> </v>
      </c>
      <c r="DF44" s="341" t="str">
        <f aca="false">IF($A44="N/A"," ",IF(CC=2,(IF(MONTH(A44)&gt;=4,IF(MONTH(A44)&lt;=10,Inputs!$G$13,Inputs!$G$14),Inputs!$G$14))*$CK44,0))</f>
        <v> </v>
      </c>
      <c r="DG44" s="342" t="str">
        <f aca="false">IF($A44="N/A"," ",IF(CC=2,$DF44*CW44*CN44,0))</f>
        <v> </v>
      </c>
      <c r="DH44" s="342" t="str">
        <f aca="false">IF($A44="N/A"," ",IF(CC=2,$DF44*CX44*CO44,0))</f>
        <v> </v>
      </c>
      <c r="DI44" s="342" t="str">
        <f aca="false">IF($A44="N/A"," ",IF(CC=2,$DF44*CY44*CP44,0))</f>
        <v> </v>
      </c>
      <c r="DJ44" s="342" t="str">
        <f aca="false">IF($A44="N/A"," ",IF(CC=2,$DF44*CZ44*CQ44,0))</f>
        <v> </v>
      </c>
      <c r="DK44" s="342" t="str">
        <f aca="false">IF($A44="N/A"," ",IF(CC=2,$DF44*DA44*CR44,0))</f>
        <v> </v>
      </c>
      <c r="DL44" s="342" t="str">
        <f aca="false">IF($A44="N/A"," ",IF(CC=2,$DF44*DB44*CS44,0))</f>
        <v> </v>
      </c>
      <c r="DM44" s="342" t="str">
        <f aca="false">IF($A44="N/A"," ",IF(CC=2,$DF44*DC44*CT44,0))</f>
        <v> </v>
      </c>
      <c r="DN44" s="342" t="str">
        <f aca="false">IF($A44="N/A"," ",IF(CC=2,$DF44*DD44*CU44,0))</f>
        <v> </v>
      </c>
      <c r="DO44" s="342" t="str">
        <f aca="false">IF($A44="N/A"," ",IF(CC=2,$DF44*DE44*CV44,0))</f>
        <v> </v>
      </c>
      <c r="DP44" s="343" t="str">
        <f aca="false">IF($A44="N/A"," ",IF(CC=2,SUM(DG44:DO44),0))</f>
        <v> </v>
      </c>
      <c r="DQ44" s="0" t="str">
        <f aca="false">IF(A44="N/A"," ",Perstart)</f>
        <v> </v>
      </c>
      <c r="HD44" s="0" t="str">
        <f aca="false">IF($A44="N/A"," ",VLOOKUP($A44,NumberofDaysTable,2))</f>
        <v> </v>
      </c>
      <c r="HE44" s="0" t="str">
        <f aca="false">IF($A44="N/A"," ",VLOOKUP($A44,NumberofDaysTable,3))</f>
        <v> </v>
      </c>
      <c r="HF44" s="0" t="str">
        <f aca="false">IF($A44="N/A"," ",VLOOKUP($A44,NumberofDaysTable,4))</f>
        <v> </v>
      </c>
    </row>
    <row r="45" customFormat="false" ht="12.75" hidden="false" customHeight="false" outlineLevel="0" collapsed="false">
      <c r="A45" s="308" t="str">
        <f aca="false">IF(A44="N/A","N/A",IF(EDATE(A44,1)&gt;Inputs!$K$3,"N/A",EDATE(A44,1)))</f>
        <v>N/A</v>
      </c>
      <c r="B45" s="309" t="str">
        <f aca="false">IF(A45="N/A"," ",YEAR(A45))</f>
        <v> </v>
      </c>
      <c r="C45" s="310" t="str">
        <f aca="false">IF(A45="N/A"," ",VLOOKUP(A45,ScaledPrice,10))</f>
        <v> </v>
      </c>
      <c r="D45" s="311" t="str">
        <f aca="false">IF(A45="N/A"," ",(VLOOKUP(MONTH($A45),Hrtable,2))/1000)</f>
        <v> </v>
      </c>
      <c r="E45" s="312" t="str">
        <f aca="false">IF($A45="N/A"," ",(C45-'Pricing Inputs'!T78)*D45)</f>
        <v> </v>
      </c>
      <c r="F45" s="313" t="str">
        <f aca="false">IF(A45="N/A"," ",$F33*(1+VOMesc))</f>
        <v> </v>
      </c>
      <c r="G45" s="313" t="str">
        <f aca="false">IF(A45="N/A"," ",Perstart/IF(AND(Dayrun&gt;=4,Dayrun&lt;=6),16,IF(AND(Dayrun&gt;=7,Dayrun&lt;=9),8,24))/(BM45/CK45))</f>
        <v> </v>
      </c>
      <c r="H45" s="314" t="str">
        <f aca="false">IF(A45="N/A"," ",(C45*D45)+F45+G45)</f>
        <v> </v>
      </c>
      <c r="I45" s="315" t="str">
        <f aca="false">VLOOKUP(A45,ScaledPrice,(IF(AND(Dayrun&gt;=1,Dayrun&lt;=6),2,4)))</f>
        <v> </v>
      </c>
      <c r="J45" s="315" t="str">
        <f aca="false">IF(A45="N/A"," ",IF(AND(Dayrun&gt;=1,Dayrun&lt;=6),I45,(VLOOKUP(A45,ScaledPrice,2))*(2-(VLOOKUP(A45,ScaledPrice,3)))))</f>
        <v> </v>
      </c>
      <c r="K45" s="315" t="str">
        <f aca="false">IF(A45="N/A"," ",IF(AND(Dayrun&gt;=1,Dayrun&lt;=3),VLOOKUP(A45,ScaledPrice,9),0))</f>
        <v> </v>
      </c>
      <c r="L45" s="315" t="str">
        <f aca="false">IF(A45="N/A"," ",IF(OR(Dayrun=2,Dayrun=3,Dayrun=5,Dayrun=6,Dayrun=8,Dayrun=9),VLOOKUP(A45,ScaledPrice,IF(AND(Dayrun&gt;=2,Dayrun&lt;=6),5,6)),0))</f>
        <v> </v>
      </c>
      <c r="M45" s="315" t="str">
        <f aca="false">IF(A45="N/A"," ",IF(OR(Dayrun=2,Dayrun=3,Dayrun=5,Dayrun=6,Dayrun=8,Dayrun=9),IF(AND(Dayrun&gt;=2,Dayrun&lt;=6),L45,(VLOOKUP(A45,ScaledPrice,5))*(2-(VLOOKUP(A45,ScaledPrice,3)))),0))</f>
        <v> </v>
      </c>
      <c r="N45" s="315" t="str">
        <f aca="false">IF(A45="N/A"," ",IF(AND(Dayrun&gt;1,Dayrun&lt;=3),VLOOKUP(A45,ScaledPrice,9),0))</f>
        <v> </v>
      </c>
      <c r="O45" s="315" t="str">
        <f aca="false">IF(A45="N/A"," ",IF(OR(Dayrun=3,Dayrun=6,Dayrun=9),(VLOOKUP(A45,ScaledPrice,IF(AND(Dayrun&gt;=3,Dayrun&lt;=6),7,8))),0))</f>
        <v> </v>
      </c>
      <c r="P45" s="315" t="str">
        <f aca="false">IF(A45="N/A"," ",IF(OR(Dayrun=3,Dayrun=6,Dayrun=9),IF(AND(Dayrun&gt;=3,Dayrun&lt;=6),O45,(VLOOKUP(A45,ScaledPrice,7))*(2-(VLOOKUP(A45,ScaledPrice,3)))),0))</f>
        <v> </v>
      </c>
      <c r="Q45" s="315" t="str">
        <f aca="false">IF(A45="N/A"," ",IF(AND(Dayrun&gt;2,Dayrun&lt;=3),VLOOKUP(A45,ScaledPrice,9),0))</f>
        <v> </v>
      </c>
      <c r="R45" s="316" t="str">
        <f aca="false">IF($A45="N/A"," ",IF(Pricetype=2,MAX(I45-$H45,0),IF(Pricetype=1,(xSPRDOPT(I45,$E45,$CI45,0,($CD45+IF(Smile=TRUE(),VLOOKUP(MAX(-5,$H45-I45),Volsmile,2),0)),$CG45,$CH45,($A45-DateToday)+15,1,0)),I45-$H45)))</f>
        <v> </v>
      </c>
      <c r="S45" s="316" t="str">
        <f aca="false">IF($A45="N/A"," ",IF(Pricetype=2,MAX(J45-$H45,0),IF(Pricetype=1,(xSPRDOPT(J45,$E45,$CI45,0,($CD45+IF(Smile=TRUE(),VLOOKUP(MAX(-5,$H45-J45),Volsmile,2),0)),$CG45,$CH45,($A45-DateToday)+15,1,0)),J45-$H45)))</f>
        <v> </v>
      </c>
      <c r="T45" s="317" t="str">
        <f aca="false">IF($A45="N/A"," ",(IF(Pricetype=2,IF((K45-$H45)&lt;=0,0,(K45-$H45)),IF(K45&lt;&gt;0,(K45-$H45),0))))</f>
        <v> </v>
      </c>
      <c r="U45" s="316" t="str">
        <f aca="false">IF($A45="N/A"," ",IF(Pricetype=2,MAX(L45-$H45,0),IF(L45&lt;&gt;0,IF(Pricetype=1,(xSPRDOPT(L45,$E45,$CI45,0,($CD45+IF(Smile=TRUE(),VLOOKUP(MAX(-5,$H45-L45),Volsmile,2),0)),$CG45,$CH45,($A45-DateToday)+15,1,0)),L45-$H45),0)))</f>
        <v> </v>
      </c>
      <c r="V45" s="316" t="str">
        <f aca="false">IF($A45="N/A"," ",IF(Pricetype=2,MAX(M45-$H45,0),IF(M45&lt;&gt;0,IF(Pricetype=1,(xSPRDOPT(M45,$E45,$CI45,0,($CD45+IF(Smile=TRUE(),VLOOKUP(MAX(-5,$H45-M45),Volsmile,2),0)),$CG45,$CH45,($A45-DateToday)+15,1,0)),M45-$H45),0)))</f>
        <v> </v>
      </c>
      <c r="W45" s="317" t="str">
        <f aca="false">IF($A45="N/A"," ",(IF(Pricetype=2,IF((N45-$H45)&lt;=0,0,(N45-$H45)),IF(N45&lt;&gt;0,(N45-$H45),0))))</f>
        <v> </v>
      </c>
      <c r="X45" s="316" t="str">
        <f aca="false">IF($A45="N/A"," ",IF(Pricetype=2,MAX(O45-$H45,0),IF(O45&lt;&gt;0,IF(Pricetype=1,(xSPRDOPT(O45,$E45,$CI45,0,($CD45+IF(Smile=TRUE(),VLOOKUP(MAX(-5,$H45-O45),Volsmile,2),0)),$CG45,$CH45,($A45-DateToday)+15,1,0)),O45-$H45),0)))</f>
        <v> </v>
      </c>
      <c r="Y45" s="316" t="str">
        <f aca="false">IF($A45="N/A"," ",IF(Pricetype=2,MAX(P45-$H45,0),IF(P45&lt;&gt;0,IF(Pricetype=1,(xSPRDOPT(P45,$E45,$CI45,0,($CD45+IF(Smile=TRUE(),VLOOKUP(MAX(-5,$H45-P45),Volsmile,2),0)),$CG45,$CH45,($A45-DateToday)+15,1,0)),P45-$H45),0)))</f>
        <v> </v>
      </c>
      <c r="Z45" s="317" t="str">
        <f aca="false">IF($A45="N/A"," ",(IF(Pricetype=2,IF((Q45-$H45)&lt;=0,0,(Q45-$H45)),IF(Q45&lt;&gt;0,(Q45-$H45),0))))</f>
        <v> </v>
      </c>
      <c r="AA45" s="318" t="str">
        <f aca="false">IF($A45="N/A"," ",IF(VLOOKUP(MONTH(A45),ManualTable,2)=1,(IF(0&lt;&gt;R45,IF(Pricetype=1,(xSPRDOPT(I45,$E45,$CI45,0,($CD45+IF(Smile=TRUE(),VLOOKUP(MAX(-5,$H45-I45),Volsmile,2),0)),$CG45,$CH45,($A45-DateToday)+15,1,1))*(8*$HD45),8*$HD45),0)),0))</f>
        <v> </v>
      </c>
      <c r="AB45" s="318" t="str">
        <f aca="false">IF($A45="N/A"," ",IF(VLOOKUP(MONTH(A45),ManualTable,3)=1,(IF(S45&lt;&gt;0,IF(Pricetype=1,(xSPRDOPT(J45,$E45,$CI45,0,($CD45+IF(Smile=TRUE(),VLOOKUP(MAX(-5,$H45-J45),Volsmile,2),0)),$CG45,$CH45,($A45-DateToday)+15,1,1))*(8*$HD45),8*$HD45),0)),0))</f>
        <v> </v>
      </c>
      <c r="AC45" s="318" t="str">
        <f aca="false">IF($A45="N/A"," ",IF(VLOOKUP(MONTH(A45),ManualTable,4)=1,(IF(T45&lt;&gt;0,(8*$HD45),0)),0))</f>
        <v> </v>
      </c>
      <c r="AD45" s="318" t="str">
        <f aca="false">IF($A45="N/A"," ",IF(VLOOKUP(MONTH(A45),ManualTable,5)=1,(IF(U45&lt;&gt;0,IF(Pricetype=1,(xSPRDOPT(L45,$E45,$CI45,0,($CD45+IF(Smile=TRUE(),VLOOKUP(MAX(-5,$H45-L45),Volsmile,2),0)),$CG45,$CH45,($A45-DateToday)+15,1,1))*(8*$HE45),8*$HE45),0)),0))</f>
        <v> </v>
      </c>
      <c r="AE45" s="318" t="str">
        <f aca="false">IF($A45="N/A"," ",IF(VLOOKUP(MONTH(A45),ManualTable,6)=1,(IF(V45&lt;&gt;0,IF(Pricetype=1,(xSPRDOPT(M45,$E45,$CI45,0,($CD45+IF(Smile=TRUE(),VLOOKUP(MAX(-5,$H45-M45),Volsmile,2),0)),$CG45,$CH45,($A45-DateToday)+15,1,1))*(8*$HE45),8*$HE45),0)),0))</f>
        <v> </v>
      </c>
      <c r="AF45" s="318" t="str">
        <f aca="false">IF($A45="N/A"," ",IF(VLOOKUP(MONTH(A45),ManualTable,7)=1,(IF(W45&lt;&gt;0,(8*$HE45),0)),0))</f>
        <v> </v>
      </c>
      <c r="AG45" s="318" t="str">
        <f aca="false">IF($A45="N/A"," ",IF(VLOOKUP(MONTH(A45),ManualTable,8)=1,(IF(X45&lt;&gt;0,IF(Pricetype=1,(xSPRDOPT(O45,$E45,$CI45,0,($CD45+IF(Smile=TRUE(),VLOOKUP(MAX(-5,$H45-O45),Volsmile,2),0)),$CG45,$CH45,($A45-DateToday)+15,1,1))*(8*$HF45),8*$HF45),0)),0))</f>
        <v> </v>
      </c>
      <c r="AH45" s="318" t="str">
        <f aca="false">IF($A45="N/A"," ",IF(VLOOKUP(MONTH(A45),ManualTable,9)=1,(IF(Y45&lt;&gt;0,IF(Pricetype=1,(xSPRDOPT(P45,$E45,$CI45,0,($CD45+IF(Smile=TRUE(),VLOOKUP(MAX(-5,$H45-P45),Volsmile,2),0)),$CG45,$CH45,($A45-DateToday)+15,1,1))*(8*$HF45),8*$HF45),0)),0))</f>
        <v> </v>
      </c>
      <c r="AI45" s="318" t="str">
        <f aca="false">IF($A45="N/A"," ",IF(VLOOKUP(MONTH(A45),ManualTable,10)=1,(IF(Z45&lt;&gt;0,(8*($HF45)),0)),0))</f>
        <v> </v>
      </c>
      <c r="AJ45" s="344" t="str">
        <f aca="false">IF($A45="N/A"," ",RANK(R45,$R$40:$Z$51))</f>
        <v> </v>
      </c>
      <c r="AK45" s="321" t="str">
        <f aca="false">IF($A45="N/A"," ",RANK(S45,$R$40:$Z$51))</f>
        <v> </v>
      </c>
      <c r="AL45" s="321" t="str">
        <f aca="false">IF($A45="N/A"," ",RANK(T45,$R$40:$Z$51))</f>
        <v> </v>
      </c>
      <c r="AM45" s="321" t="str">
        <f aca="false">IF($A45="N/A"," ",RANK(U45,$R$40:$Z$51))</f>
        <v> </v>
      </c>
      <c r="AN45" s="321" t="str">
        <f aca="false">IF($A45="N/A"," ",RANK(V45,$R$40:$Z$51))</f>
        <v> </v>
      </c>
      <c r="AO45" s="321" t="str">
        <f aca="false">IF($A45="N/A"," ",RANK(W45,$R$40:$Z$51))</f>
        <v> </v>
      </c>
      <c r="AP45" s="321" t="str">
        <f aca="false">IF($A45="N/A"," ",RANK(X45,$R$40:$Z$51))</f>
        <v> </v>
      </c>
      <c r="AQ45" s="321" t="str">
        <f aca="false">IF($A45="N/A"," ",RANK(Y45,$R$40:$Z$51))</f>
        <v> </v>
      </c>
      <c r="AR45" s="345" t="str">
        <f aca="false">IF($A45="N/A"," ",RANK(Z45,$R$40:$Z$51))</f>
        <v> </v>
      </c>
      <c r="AS45" s="323" t="str">
        <f aca="false">IF($A45="N/A"," ",IF(AJ45&lt;=$AR$2,AA45,0))</f>
        <v> </v>
      </c>
      <c r="AT45" s="325" t="str">
        <f aca="false">IF($A45="N/A"," ",IF(AK45&lt;=$AR$2,AB45,0))</f>
        <v> </v>
      </c>
      <c r="AU45" s="325" t="str">
        <f aca="false">IF($A45="N/A"," ",IF(AL45&lt;=$AR$2,AC45,0))</f>
        <v> </v>
      </c>
      <c r="AV45" s="325" t="str">
        <f aca="false">IF($A45="N/A"," ",IF(AM45&lt;=$AR$2,AD45,0))</f>
        <v> </v>
      </c>
      <c r="AW45" s="325" t="str">
        <f aca="false">IF($A45="N/A"," ",IF(AN45&lt;=$AR$2,AE45,0))</f>
        <v> </v>
      </c>
      <c r="AX45" s="325" t="str">
        <f aca="false">IF($A45="N/A"," ",IF(AO45&lt;=$AR$2,AF45,0))</f>
        <v> </v>
      </c>
      <c r="AY45" s="325" t="str">
        <f aca="false">IF($A45="N/A"," ",IF(AP45&lt;=$AR$2,AG45,0))</f>
        <v> </v>
      </c>
      <c r="AZ45" s="325" t="str">
        <f aca="false">IF($A45="N/A"," ",IF(AQ45&lt;=$AR$2,AH45,0))</f>
        <v> </v>
      </c>
      <c r="BA45" s="325" t="str">
        <f aca="false">IF($A45="N/A"," ",IF(AR45&lt;=$AR$2,AI45,0))</f>
        <v> </v>
      </c>
      <c r="BB45" s="345"/>
      <c r="BC45" s="326" t="str">
        <f aca="false">IF($A45="N/A"," ",IF(AND(AJ45=$AR$2+1,AS45=0),MIN($BB$51,AA45),0))</f>
        <v> </v>
      </c>
      <c r="BD45" s="346" t="str">
        <f aca="false">IF($A45="N/A"," ",IF(AND(AK45=$AR$2+1,AT45=0),MIN($BB$51,AB45),0))</f>
        <v> </v>
      </c>
      <c r="BE45" s="346" t="str">
        <f aca="false">IF($A45="N/A"," ",IF(AND(AL45=$AR$2+1,AU45=0),MIN($BB$51,AC45),0))</f>
        <v> </v>
      </c>
      <c r="BF45" s="346" t="str">
        <f aca="false">IF($A45="N/A"," ",IF(AND(AM45=$AR$2+1,AV45=0),MIN($BB$51,AD45),0))</f>
        <v> </v>
      </c>
      <c r="BG45" s="346" t="str">
        <f aca="false">IF($A45="N/A"," ",IF(AND(AN45=$AR$2+1,AW45=0),MIN($BB$51,AE45),0))</f>
        <v> </v>
      </c>
      <c r="BH45" s="346" t="str">
        <f aca="false">IF($A45="N/A"," ",IF(AND(AO45=$AR$2+1,AX45=0),MIN($BB$51,AF45),0))</f>
        <v> </v>
      </c>
      <c r="BI45" s="346" t="str">
        <f aca="false">IF($A45="N/A"," ",IF(AND(AP45=$AR$2+1,AY45=0),MIN($BB$51,AG45),0))</f>
        <v> </v>
      </c>
      <c r="BJ45" s="346" t="str">
        <f aca="false">IF($A45="N/A"," ",IF(AND(AQ45=$AR$2+1,AZ45=0),MIN($BB$51,AH45),0))</f>
        <v> </v>
      </c>
      <c r="BK45" s="346" t="str">
        <f aca="false">IF($A45="N/A"," ",IF(AND(AR45=$AR$2+1,BA45=0),MIN($BB$51,AI45),0))</f>
        <v> </v>
      </c>
      <c r="BL45" s="345"/>
      <c r="BM45" s="329" t="str">
        <f aca="false">IF($A45="N/A"," ",(IF(MONTH(A45)&gt;=4,IF(MONTH(A45)&lt;=10,Inputs!$F$13-Inputs!$G$13,Inputs!$F$14-Inputs!$G$14),Inputs!$F$14-Inputs!$G$14))*$CK45*Availability)</f>
        <v> </v>
      </c>
      <c r="BN45" s="330" t="str">
        <f aca="false">IF($A45="N/A"," ",(IF(AS45&gt;0,($BM45*(8*($HD45))*R45),0)+IF(BC45&gt;0,($BM45*((BC45/AA45)*8*$HD45)*R45),0)))</f>
        <v> </v>
      </c>
      <c r="BO45" s="330" t="str">
        <f aca="false">IF($A45="N/A"," ",(IF(AT45&gt;0,($BM45*(8*($HD45))*S45),0)+IF(BD45&gt;0,($BM45*((BD45/AB45)*8*$HD45)*S45),0)))</f>
        <v> </v>
      </c>
      <c r="BP45" s="330" t="str">
        <f aca="false">IF($A45="N/A"," ",(IF(AU45&gt;0,($BM45*(8*($HD45))*T45),0)+IF(BE45&gt;0,($BM45*((BE45))*T45),0)))</f>
        <v> </v>
      </c>
      <c r="BQ45" s="330" t="str">
        <f aca="false">IF($A45="N/A"," ",(IF(AV45&gt;0,($BM45*(8*($HE45))*U45),0)+IF(BF45&gt;0,($BM45*((BF45/AD45)*8*$HE45)*U45),0)))</f>
        <v> </v>
      </c>
      <c r="BR45" s="330" t="str">
        <f aca="false">IF($A45="N/A"," ",(IF(AW45&gt;0,($BM45*(8*($HE45))*V45),0)+IF(BG45&gt;0,($BM45*((BG45/AE45)*8*$HE45)*V45),0)))</f>
        <v> </v>
      </c>
      <c r="BS45" s="330" t="str">
        <f aca="false">IF($A45="N/A"," ",(IF(AX45&gt;0,($BM45*(8*($HE45))*W45),0)+IF(BH45&gt;0,($BM45*((BH45))*W45),0)))</f>
        <v> </v>
      </c>
      <c r="BT45" s="330" t="str">
        <f aca="false">IF($A45="N/A"," ",(IF(AY45&gt;0,($BM45*(8*($HF45))*X45),0)+IF(BI45&gt;0,($BM45*((BI45/AG45)*8*$HF45)*X45),0)))</f>
        <v> </v>
      </c>
      <c r="BU45" s="330" t="str">
        <f aca="false">IF($A45="N/A"," ",(IF(AZ45&gt;0,($BM45*(8*($HF45))*Y45),0)+IF(BJ45&gt;0,($BM45*((BJ45/AH45)*8*$HF45)*Y45),0)))</f>
        <v> </v>
      </c>
      <c r="BV45" s="330" t="str">
        <f aca="false">IF($A45="N/A"," ",(IF(BA45&gt;0,($BM45*(8*($HF45))*Z45),0)+IF(BK45&gt;0,($BM45*((BK45))*Z45),0)))</f>
        <v> </v>
      </c>
      <c r="BW45" s="330" t="str">
        <f aca="false">IF($A45="N/A"," ",SUM(BN45:BV45))</f>
        <v> </v>
      </c>
      <c r="BX45" s="331" t="str">
        <f aca="false">IF($A45="N/A"," ",(H45*(SUM(AS45:BA45)+SUM(BC45:BK45))*BM45))</f>
        <v> </v>
      </c>
      <c r="BY45" s="332" t="str">
        <f aca="false">IF($A45="N/A"," ",((C45*D45)*(SUM($AS45:$BA45)+SUM($BC45:$BK45))*$BM45))</f>
        <v> </v>
      </c>
      <c r="BZ45" s="332" t="str">
        <f aca="false">IF($A45="N/A"," ",(F45*(SUM($AS45:$BA45)+SUM($BC45:$BK45))*$BM45))</f>
        <v> </v>
      </c>
      <c r="CA45" s="333" t="str">
        <f aca="false">IF($A45="N/A"," ",(G45*(SUM($AS45:$BA45)+SUM($BC45:$BK45))*$BM45))</f>
        <v> </v>
      </c>
      <c r="CB45" s="334" t="str">
        <f aca="false">IF(A45="N/A"," ",(VLOOKUP(A45,PowerVolTable,(IF(BMO=2,7,IF(BMO=1,6,8))),FALSE())))</f>
        <v> </v>
      </c>
      <c r="CC45" s="334" t="str">
        <f aca="false">IF(A45="N/A"," ",(VLOOKUP(A45,IntraPowerVol,(IF(BMO=2,3,IF(BMO=1,2,4))),FALSE())*VLOOKUP(MONTH($A45),Volscale,2)))</f>
        <v> </v>
      </c>
      <c r="CD45" s="335" t="str">
        <f aca="false">IF($A45="N/A"," ",(IF(DateToday&gt;$A45,$CC45,((($CB45^2)*((($A45-1)-DateToday)/((EOMONTH($A45,0)+1)-DateToday-15)))+((($CC45)^2)*((15)/((EOMONTH($A45,0)+1)-DateToday-15))))^0.5)))</f>
        <v> </v>
      </c>
      <c r="CE45" s="334" t="str">
        <f aca="false">IF($A45="N/A"," ",(VLOOKUP($A45,GasVolTable,(IF(BMO=2,6,IF(BMO=1,7,5))),FALSE())))</f>
        <v> </v>
      </c>
      <c r="CF45" s="334" t="str">
        <f aca="false">IF($A45="N/A"," ",(VLOOKUP($A45,OmicronVol,(IF(BMO=2,3,IF(BMO=1,4,2))),FALSE())))</f>
        <v> </v>
      </c>
      <c r="CG45" s="335" t="str">
        <f aca="false">IF($A45="N/A"," ",(IF(DateToday&gt;$A45,$CF45,((($CE45^2)*((($A45-1)-DateToday)/((EOMONTH($A45,0)+1)-DateToday-15)))+((($CF45)^2)*((15)/((EOMONTH($A45,0)+1)-DateToday-15))))^0.5)))</f>
        <v> </v>
      </c>
      <c r="CH45" s="334" t="str">
        <f aca="false">IF($A45="N/A"," ",VLOOKUP($A45,CorrelationTable,2,FALSE()))</f>
        <v> </v>
      </c>
      <c r="CI45" s="336" t="str">
        <f aca="false">IF($A45="N/A"," ",F45+G45+(D45*('Pricing Inputs'!T78)))</f>
        <v> </v>
      </c>
      <c r="CJ45" s="334" t="str">
        <f aca="false">IF($A45="N/A"," ",IF(PV=1,0,'Pricing Inputs'!U78))</f>
        <v> </v>
      </c>
      <c r="CK45" s="337" t="str">
        <f aca="false">IF($A45="N/A"," ",(1+CJ45/2)^(-2*((EOMONTH(A45,0)+20)-DateToday)/365.25))</f>
        <v> </v>
      </c>
      <c r="CL45" s="338" t="str">
        <f aca="false">IF(A45="N/A"," ",IF(CC=2,(VLOOKUP(MONTH($A45),Hrtable,3))/1000,0))</f>
        <v> </v>
      </c>
      <c r="CM45" s="339" t="str">
        <f aca="false">IF(A45="N/A"," ",IF(CC=2,(CL45*C45)+F45,0))</f>
        <v> </v>
      </c>
      <c r="CN45" s="340" t="str">
        <f aca="false">IF($A45="N/A"," ",IF(CC=2,(VLOOKUP(A45,ScaledPrice,(IF(AND(Dayrun&gt;=1,Dayrun&lt;=6),2,4)))-((IF(R45&lt;&gt;0,$D45,$CL45)*$C45)+$F45+$G45)),0))</f>
        <v> </v>
      </c>
      <c r="CO45" s="340" t="str">
        <f aca="false">IF($A45="N/A"," ",IF(CC=2,(IF(AND(Dayrun&gt;=1,Dayrun&lt;=6),I45,(VLOOKUP(A45,ScaledPrice,2))*(2-(VLOOKUP(A45,ScaledPrice,3))))-((IF(S45&lt;&gt;0,$D45,$CL45)*$C45)+$F45+$G45)),0))</f>
        <v> </v>
      </c>
      <c r="CP45" s="340" t="str">
        <f aca="false">IF(A45="N/A"," ",IF(CC=2,(VLOOKUP(A45,ScaledPrice,9)-((IF(T45&lt;&gt;0,$D45,$CL45)*$C45)+$F45+$G45)),0))</f>
        <v> </v>
      </c>
      <c r="CQ45" s="340" t="str">
        <f aca="false">IF(A45="N/A"," ",IF(CC=2,(IF(OR(Dayrun=2,Dayrun=3,Dayrun=5,Dayrun=6,Dayrun=8,Dayrun=9),VLOOKUP(A45,ScaledPrice,IF(AND(Dayrun&gt;=2,Dayrun&lt;=6),5,6)),0)-((IF(U45&lt;&gt;0,$D45,$CL45)*$C45)+$F45+$G45)),0))</f>
        <v> </v>
      </c>
      <c r="CR45" s="340" t="str">
        <f aca="false">IF(A45="N/A"," ",IF(CC=2,(IF(OR(Dayrun=2,Dayrun=3,Dayrun=5,Dayrun=6,Dayrun=8,Dayrun=9),IF(AND(Dayrun&gt;=2,Dayrun&lt;=6),L45,(VLOOKUP(A45,ScaledPrice,5))*(2-(VLOOKUP(A45,ScaledPrice,3)))),0)-((IF(V45&lt;&gt;0,$D45,$CL45)*$C45)+$F45+$G45)),0))</f>
        <v> </v>
      </c>
      <c r="CS45" s="340" t="str">
        <f aca="false">IF(A45="N/A"," ",IF(CC=2,(VLOOKUP(A45,ScaledPrice,9)-((IF(W45&lt;&gt;0,$D45,$CL45)*$C45)+$F45+$G45)),0))</f>
        <v> </v>
      </c>
      <c r="CT45" s="340" t="str">
        <f aca="false">IF(A45="N/A"," ",IF(CC=2,(IF(OR(Dayrun=3,Dayrun=6,Dayrun=9),(VLOOKUP(A45,ScaledPrice,IF(AND(Dayrun&gt;=3,Dayrun&lt;=6),7,8))),0)-((IF(X45&lt;&gt;0,$D45,$CL45)*$C45)+$F45+$G45)),0))</f>
        <v> </v>
      </c>
      <c r="CU45" s="340" t="str">
        <f aca="false">IF(A45="N/A"," ",IF(CC=2,(IF(OR(Dayrun=3,Dayrun=6,Dayrun=9),IF(AND(Dayrun&gt;=3,Dayrun&lt;=6),O45,(VLOOKUP(A45,ScaledPrice,7))*(2-(VLOOKUP(A45,ScaledPrice,3)))),0)-((IF(Y45&lt;&gt;0,$D45,$CL45)*$C45)+$F45+$G45)),0))</f>
        <v> </v>
      </c>
      <c r="CV45" s="340" t="str">
        <f aca="false">IF(A45="N/A"," ",IF(CC=2,(VLOOKUP(A45,ScaledPrice,9)-((IF(Z45&lt;&gt;0,$D45,$CL45)*$C45)+$F45+$G45)),0))</f>
        <v> </v>
      </c>
      <c r="CW45" s="318" t="str">
        <f aca="false">IF($A45="N/A"," ",IF(0&lt;&gt;CN45,IF(CC=2,8*$HD45,0),0))</f>
        <v> </v>
      </c>
      <c r="CX45" s="318" t="str">
        <f aca="false">IF($A45="N/A"," ",IF(0&lt;&gt;CO45,IF(CC=2,8*$HD45,0),0))</f>
        <v> </v>
      </c>
      <c r="CY45" s="318" t="str">
        <f aca="false">IF($A45="N/A"," ",IF(0&lt;&gt;CP45,IF(CC=2,8*$HD45,0),0))</f>
        <v> </v>
      </c>
      <c r="CZ45" s="318" t="str">
        <f aca="false">IF($A45="N/A"," ",IF(0&lt;&gt;CQ45,IF(CC=2,8*$HE45,0),0))</f>
        <v> </v>
      </c>
      <c r="DA45" s="318" t="str">
        <f aca="false">IF($A45="N/A"," ",IF(0&lt;&gt;CR45,IF(CC=2,8*$HE45,0),0))</f>
        <v> </v>
      </c>
      <c r="DB45" s="318" t="str">
        <f aca="false">IF($A45="N/A"," ",IF(0&lt;&gt;CS45,IF(CC=2,8*$HE45,0),0))</f>
        <v> </v>
      </c>
      <c r="DC45" s="318" t="str">
        <f aca="false">IF($A45="N/A"," ",IF(0&lt;&gt;CT45,IF(CC=2,8*$HF45,0),0))</f>
        <v> </v>
      </c>
      <c r="DD45" s="318" t="str">
        <f aca="false">IF($A45="N/A"," ",IF(0&lt;&gt;CU45,IF(CC=2,8*$HF45,0),0))</f>
        <v> </v>
      </c>
      <c r="DE45" s="318" t="str">
        <f aca="false">IF($A45="N/A"," ",IF(0&lt;&gt;CV45,IF(CC=2,8*$HF45,0),0))</f>
        <v> </v>
      </c>
      <c r="DF45" s="341" t="str">
        <f aca="false">IF($A45="N/A"," ",IF(CC=2,(IF(MONTH(A45)&gt;=4,IF(MONTH(A45)&lt;=10,Inputs!$G$13,Inputs!$G$14),Inputs!$G$14))*$CK45,0))</f>
        <v> </v>
      </c>
      <c r="DG45" s="342" t="str">
        <f aca="false">IF($A45="N/A"," ",IF(CC=2,$DF45*CW45*CN45,0))</f>
        <v> </v>
      </c>
      <c r="DH45" s="342" t="str">
        <f aca="false">IF($A45="N/A"," ",IF(CC=2,$DF45*CX45*CO45,0))</f>
        <v> </v>
      </c>
      <c r="DI45" s="342" t="str">
        <f aca="false">IF($A45="N/A"," ",IF(CC=2,$DF45*CY45*CP45,0))</f>
        <v> </v>
      </c>
      <c r="DJ45" s="342" t="str">
        <f aca="false">IF($A45="N/A"," ",IF(CC=2,$DF45*CZ45*CQ45,0))</f>
        <v> </v>
      </c>
      <c r="DK45" s="342" t="str">
        <f aca="false">IF($A45="N/A"," ",IF(CC=2,$DF45*DA45*CR45,0))</f>
        <v> </v>
      </c>
      <c r="DL45" s="342" t="str">
        <f aca="false">IF($A45="N/A"," ",IF(CC=2,$DF45*DB45*CS45,0))</f>
        <v> </v>
      </c>
      <c r="DM45" s="342" t="str">
        <f aca="false">IF($A45="N/A"," ",IF(CC=2,$DF45*DC45*CT45,0))</f>
        <v> </v>
      </c>
      <c r="DN45" s="342" t="str">
        <f aca="false">IF($A45="N/A"," ",IF(CC=2,$DF45*DD45*CU45,0))</f>
        <v> </v>
      </c>
      <c r="DO45" s="342" t="str">
        <f aca="false">IF($A45="N/A"," ",IF(CC=2,$DF45*DE45*CV45,0))</f>
        <v> </v>
      </c>
      <c r="DP45" s="343" t="str">
        <f aca="false">IF($A45="N/A"," ",IF(CC=2,SUM(DG45:DO45),0))</f>
        <v> </v>
      </c>
      <c r="DQ45" s="0" t="str">
        <f aca="false">IF(A45="N/A"," ",Perstart)</f>
        <v> </v>
      </c>
      <c r="HD45" s="0" t="str">
        <f aca="false">IF($A45="N/A"," ",VLOOKUP($A45,NumberofDaysTable,2))</f>
        <v> </v>
      </c>
      <c r="HE45" s="0" t="str">
        <f aca="false">IF($A45="N/A"," ",VLOOKUP($A45,NumberofDaysTable,3))</f>
        <v> </v>
      </c>
      <c r="HF45" s="0" t="str">
        <f aca="false">IF($A45="N/A"," ",VLOOKUP($A45,NumberofDaysTable,4))</f>
        <v> </v>
      </c>
    </row>
    <row r="46" customFormat="false" ht="12.75" hidden="false" customHeight="false" outlineLevel="0" collapsed="false">
      <c r="A46" s="308" t="str">
        <f aca="false">IF(A45="N/A","N/A",IF(EDATE(A45,1)&gt;Inputs!$K$3,"N/A",EDATE(A45,1)))</f>
        <v>N/A</v>
      </c>
      <c r="B46" s="309" t="str">
        <f aca="false">IF(A46="N/A"," ",YEAR(A46))</f>
        <v> </v>
      </c>
      <c r="C46" s="310" t="str">
        <f aca="false">IF(A46="N/A"," ",VLOOKUP(A46,ScaledPrice,10))</f>
        <v> </v>
      </c>
      <c r="D46" s="311" t="str">
        <f aca="false">IF(A46="N/A"," ",(VLOOKUP(MONTH($A46),Hrtable,2))/1000)</f>
        <v> </v>
      </c>
      <c r="E46" s="312" t="str">
        <f aca="false">IF($A46="N/A"," ",(C46-'Pricing Inputs'!T79)*D46)</f>
        <v> </v>
      </c>
      <c r="F46" s="313" t="str">
        <f aca="false">IF(A46="N/A"," ",$F34*(1+VOMesc))</f>
        <v> </v>
      </c>
      <c r="G46" s="313" t="str">
        <f aca="false">IF(A46="N/A"," ",Perstart/IF(AND(Dayrun&gt;=4,Dayrun&lt;=6),16,IF(AND(Dayrun&gt;=7,Dayrun&lt;=9),8,24))/(BM46/CK46))</f>
        <v> </v>
      </c>
      <c r="H46" s="314" t="str">
        <f aca="false">IF(A46="N/A"," ",(C46*D46)+F46+G46)</f>
        <v> </v>
      </c>
      <c r="I46" s="315" t="str">
        <f aca="false">VLOOKUP(A46,ScaledPrice,(IF(AND(Dayrun&gt;=1,Dayrun&lt;=6),2,4)))</f>
        <v> </v>
      </c>
      <c r="J46" s="315" t="str">
        <f aca="false">IF(A46="N/A"," ",IF(AND(Dayrun&gt;=1,Dayrun&lt;=6),I46,(VLOOKUP(A46,ScaledPrice,2))*(2-(VLOOKUP(A46,ScaledPrice,3)))))</f>
        <v> </v>
      </c>
      <c r="K46" s="315" t="str">
        <f aca="false">IF(A46="N/A"," ",IF(AND(Dayrun&gt;=1,Dayrun&lt;=3),VLOOKUP(A46,ScaledPrice,9),0))</f>
        <v> </v>
      </c>
      <c r="L46" s="315" t="str">
        <f aca="false">IF(A46="N/A"," ",IF(OR(Dayrun=2,Dayrun=3,Dayrun=5,Dayrun=6,Dayrun=8,Dayrun=9),VLOOKUP(A46,ScaledPrice,IF(AND(Dayrun&gt;=2,Dayrun&lt;=6),5,6)),0))</f>
        <v> </v>
      </c>
      <c r="M46" s="315" t="str">
        <f aca="false">IF(A46="N/A"," ",IF(OR(Dayrun=2,Dayrun=3,Dayrun=5,Dayrun=6,Dayrun=8,Dayrun=9),IF(AND(Dayrun&gt;=2,Dayrun&lt;=6),L46,(VLOOKUP(A46,ScaledPrice,5))*(2-(VLOOKUP(A46,ScaledPrice,3)))),0))</f>
        <v> </v>
      </c>
      <c r="N46" s="315" t="str">
        <f aca="false">IF(A46="N/A"," ",IF(AND(Dayrun&gt;1,Dayrun&lt;=3),VLOOKUP(A46,ScaledPrice,9),0))</f>
        <v> </v>
      </c>
      <c r="O46" s="315" t="str">
        <f aca="false">IF(A46="N/A"," ",IF(OR(Dayrun=3,Dayrun=6,Dayrun=9),(VLOOKUP(A46,ScaledPrice,IF(AND(Dayrun&gt;=3,Dayrun&lt;=6),7,8))),0))</f>
        <v> </v>
      </c>
      <c r="P46" s="315" t="str">
        <f aca="false">IF(A46="N/A"," ",IF(OR(Dayrun=3,Dayrun=6,Dayrun=9),IF(AND(Dayrun&gt;=3,Dayrun&lt;=6),O46,(VLOOKUP(A46,ScaledPrice,7))*(2-(VLOOKUP(A46,ScaledPrice,3)))),0))</f>
        <v> </v>
      </c>
      <c r="Q46" s="315" t="str">
        <f aca="false">IF(A46="N/A"," ",IF(AND(Dayrun&gt;2,Dayrun&lt;=3),VLOOKUP(A46,ScaledPrice,9),0))</f>
        <v> </v>
      </c>
      <c r="R46" s="316" t="str">
        <f aca="false">IF($A46="N/A"," ",IF(Pricetype=2,MAX(I46-$H46,0),IF(Pricetype=1,(xSPRDOPT(I46,$E46,$CI46,0,($CD46+IF(Smile=TRUE(),VLOOKUP(MAX(-5,$H46-I46),Volsmile,2),0)),$CG46,$CH46,($A46-DateToday)+15,1,0)),I46-$H46)))</f>
        <v> </v>
      </c>
      <c r="S46" s="316" t="str">
        <f aca="false">IF($A46="N/A"," ",IF(Pricetype=2,MAX(J46-$H46,0),IF(Pricetype=1,(xSPRDOPT(J46,$E46,$CI46,0,($CD46+IF(Smile=TRUE(),VLOOKUP(MAX(-5,$H46-J46),Volsmile,2),0)),$CG46,$CH46,($A46-DateToday)+15,1,0)),J46-$H46)))</f>
        <v> </v>
      </c>
      <c r="T46" s="317" t="str">
        <f aca="false">IF($A46="N/A"," ",(IF(Pricetype=2,IF((K46-$H46)&lt;=0,0,(K46-$H46)),IF(K46&lt;&gt;0,(K46-$H46),0))))</f>
        <v> </v>
      </c>
      <c r="U46" s="316" t="str">
        <f aca="false">IF($A46="N/A"," ",IF(Pricetype=2,MAX(L46-$H46,0),IF(L46&lt;&gt;0,IF(Pricetype=1,(xSPRDOPT(L46,$E46,$CI46,0,($CD46+IF(Smile=TRUE(),VLOOKUP(MAX(-5,$H46-L46),Volsmile,2),0)),$CG46,$CH46,($A46-DateToday)+15,1,0)),L46-$H46),0)))</f>
        <v> </v>
      </c>
      <c r="V46" s="316" t="str">
        <f aca="false">IF($A46="N/A"," ",IF(Pricetype=2,MAX(M46-$H46,0),IF(M46&lt;&gt;0,IF(Pricetype=1,(xSPRDOPT(M46,$E46,$CI46,0,($CD46+IF(Smile=TRUE(),VLOOKUP(MAX(-5,$H46-M46),Volsmile,2),0)),$CG46,$CH46,($A46-DateToday)+15,1,0)),M46-$H46),0)))</f>
        <v> </v>
      </c>
      <c r="W46" s="317" t="str">
        <f aca="false">IF($A46="N/A"," ",(IF(Pricetype=2,IF((N46-$H46)&lt;=0,0,(N46-$H46)),IF(N46&lt;&gt;0,(N46-$H46),0))))</f>
        <v> </v>
      </c>
      <c r="X46" s="316" t="str">
        <f aca="false">IF($A46="N/A"," ",IF(Pricetype=2,MAX(O46-$H46,0),IF(O46&lt;&gt;0,IF(Pricetype=1,(xSPRDOPT(O46,$E46,$CI46,0,($CD46+IF(Smile=TRUE(),VLOOKUP(MAX(-5,$H46-O46),Volsmile,2),0)),$CG46,$CH46,($A46-DateToday)+15,1,0)),O46-$H46),0)))</f>
        <v> </v>
      </c>
      <c r="Y46" s="316" t="str">
        <f aca="false">IF($A46="N/A"," ",IF(Pricetype=2,MAX(P46-$H46,0),IF(P46&lt;&gt;0,IF(Pricetype=1,(xSPRDOPT(P46,$E46,$CI46,0,($CD46+IF(Smile=TRUE(),VLOOKUP(MAX(-5,$H46-P46),Volsmile,2),0)),$CG46,$CH46,($A46-DateToday)+15,1,0)),P46-$H46),0)))</f>
        <v> </v>
      </c>
      <c r="Z46" s="317" t="str">
        <f aca="false">IF($A46="N/A"," ",(IF(Pricetype=2,IF((Q46-$H46)&lt;=0,0,(Q46-$H46)),IF(Q46&lt;&gt;0,(Q46-$H46),0))))</f>
        <v> </v>
      </c>
      <c r="AA46" s="318" t="str">
        <f aca="false">IF($A46="N/A"," ",IF(VLOOKUP(MONTH(A46),ManualTable,2)=1,(IF(0&lt;&gt;R46,IF(Pricetype=1,(xSPRDOPT(I46,$E46,$CI46,0,($CD46+IF(Smile=TRUE(),VLOOKUP(MAX(-5,$H46-I46),Volsmile,2),0)),$CG46,$CH46,($A46-DateToday)+15,1,1))*(8*$HD46),8*$HD46),0)),0))</f>
        <v> </v>
      </c>
      <c r="AB46" s="318" t="str">
        <f aca="false">IF($A46="N/A"," ",IF(VLOOKUP(MONTH(A46),ManualTable,3)=1,(IF(S46&lt;&gt;0,IF(Pricetype=1,(xSPRDOPT(J46,$E46,$CI46,0,($CD46+IF(Smile=TRUE(),VLOOKUP(MAX(-5,$H46-J46),Volsmile,2),0)),$CG46,$CH46,($A46-DateToday)+15,1,1))*(8*$HD46),8*$HD46),0)),0))</f>
        <v> </v>
      </c>
      <c r="AC46" s="318" t="str">
        <f aca="false">IF($A46="N/A"," ",IF(VLOOKUP(MONTH(A46),ManualTable,4)=1,(IF(T46&lt;&gt;0,(8*$HD46),0)),0))</f>
        <v> </v>
      </c>
      <c r="AD46" s="318" t="str">
        <f aca="false">IF($A46="N/A"," ",IF(VLOOKUP(MONTH(A46),ManualTable,5)=1,(IF(U46&lt;&gt;0,IF(Pricetype=1,(xSPRDOPT(L46,$E46,$CI46,0,($CD46+IF(Smile=TRUE(),VLOOKUP(MAX(-5,$H46-L46),Volsmile,2),0)),$CG46,$CH46,($A46-DateToday)+15,1,1))*(8*$HE46),8*$HE46),0)),0))</f>
        <v> </v>
      </c>
      <c r="AE46" s="318" t="str">
        <f aca="false">IF($A46="N/A"," ",IF(VLOOKUP(MONTH(A46),ManualTable,6)=1,(IF(V46&lt;&gt;0,IF(Pricetype=1,(xSPRDOPT(M46,$E46,$CI46,0,($CD46+IF(Smile=TRUE(),VLOOKUP(MAX(-5,$H46-M46),Volsmile,2),0)),$CG46,$CH46,($A46-DateToday)+15,1,1))*(8*$HE46),8*$HE46),0)),0))</f>
        <v> </v>
      </c>
      <c r="AF46" s="318" t="str">
        <f aca="false">IF($A46="N/A"," ",IF(VLOOKUP(MONTH(A46),ManualTable,7)=1,(IF(W46&lt;&gt;0,(8*$HE46),0)),0))</f>
        <v> </v>
      </c>
      <c r="AG46" s="318" t="str">
        <f aca="false">IF($A46="N/A"," ",IF(VLOOKUP(MONTH(A46),ManualTable,8)=1,(IF(X46&lt;&gt;0,IF(Pricetype=1,(xSPRDOPT(O46,$E46,$CI46,0,($CD46+IF(Smile=TRUE(),VLOOKUP(MAX(-5,$H46-O46),Volsmile,2),0)),$CG46,$CH46,($A46-DateToday)+15,1,1))*(8*$HF46),8*$HF46),0)),0))</f>
        <v> </v>
      </c>
      <c r="AH46" s="318" t="str">
        <f aca="false">IF($A46="N/A"," ",IF(VLOOKUP(MONTH(A46),ManualTable,9)=1,(IF(Y46&lt;&gt;0,IF(Pricetype=1,(xSPRDOPT(P46,$E46,$CI46,0,($CD46+IF(Smile=TRUE(),VLOOKUP(MAX(-5,$H46-P46),Volsmile,2),0)),$CG46,$CH46,($A46-DateToday)+15,1,1))*(8*$HF46),8*$HF46),0)),0))</f>
        <v> </v>
      </c>
      <c r="AI46" s="318" t="str">
        <f aca="false">IF($A46="N/A"," ",IF(VLOOKUP(MONTH(A46),ManualTable,10)=1,(IF(Z46&lt;&gt;0,(8*($HF46)),0)),0))</f>
        <v> </v>
      </c>
      <c r="AJ46" s="344" t="str">
        <f aca="false">IF($A46="N/A"," ",RANK(R46,$R$40:$Z$51))</f>
        <v> </v>
      </c>
      <c r="AK46" s="321" t="str">
        <f aca="false">IF($A46="N/A"," ",RANK(S46,$R$40:$Z$51))</f>
        <v> </v>
      </c>
      <c r="AL46" s="321" t="str">
        <f aca="false">IF($A46="N/A"," ",RANK(T46,$R$40:$Z$51))</f>
        <v> </v>
      </c>
      <c r="AM46" s="321" t="str">
        <f aca="false">IF($A46="N/A"," ",RANK(U46,$R$40:$Z$51))</f>
        <v> </v>
      </c>
      <c r="AN46" s="321" t="str">
        <f aca="false">IF($A46="N/A"," ",RANK(V46,$R$40:$Z$51))</f>
        <v> </v>
      </c>
      <c r="AO46" s="321" t="str">
        <f aca="false">IF($A46="N/A"," ",RANK(W46,$R$40:$Z$51))</f>
        <v> </v>
      </c>
      <c r="AP46" s="321" t="str">
        <f aca="false">IF($A46="N/A"," ",RANK(X46,$R$40:$Z$51))</f>
        <v> </v>
      </c>
      <c r="AQ46" s="321" t="str">
        <f aca="false">IF($A46="N/A"," ",RANK(Y46,$R$40:$Z$51))</f>
        <v> </v>
      </c>
      <c r="AR46" s="345" t="str">
        <f aca="false">IF($A46="N/A"," ",RANK(Z46,$R$40:$Z$51))</f>
        <v> </v>
      </c>
      <c r="AS46" s="323" t="str">
        <f aca="false">IF($A46="N/A"," ",IF(AJ46&lt;=$AR$2,AA46,0))</f>
        <v> </v>
      </c>
      <c r="AT46" s="325" t="str">
        <f aca="false">IF($A46="N/A"," ",IF(AK46&lt;=$AR$2,AB46,0))</f>
        <v> </v>
      </c>
      <c r="AU46" s="325" t="str">
        <f aca="false">IF($A46="N/A"," ",IF(AL46&lt;=$AR$2,AC46,0))</f>
        <v> </v>
      </c>
      <c r="AV46" s="325" t="str">
        <f aca="false">IF($A46="N/A"," ",IF(AM46&lt;=$AR$2,AD46,0))</f>
        <v> </v>
      </c>
      <c r="AW46" s="325" t="str">
        <f aca="false">IF($A46="N/A"," ",IF(AN46&lt;=$AR$2,AE46,0))</f>
        <v> </v>
      </c>
      <c r="AX46" s="325" t="str">
        <f aca="false">IF($A46="N/A"," ",IF(AO46&lt;=$AR$2,AF46,0))</f>
        <v> </v>
      </c>
      <c r="AY46" s="325" t="str">
        <f aca="false">IF($A46="N/A"," ",IF(AP46&lt;=$AR$2,AG46,0))</f>
        <v> </v>
      </c>
      <c r="AZ46" s="325" t="str">
        <f aca="false">IF($A46="N/A"," ",IF(AQ46&lt;=$AR$2,AH46,0))</f>
        <v> </v>
      </c>
      <c r="BA46" s="325" t="str">
        <f aca="false">IF($A46="N/A"," ",IF(AR46&lt;=$AR$2,AI46,0))</f>
        <v> </v>
      </c>
      <c r="BB46" s="345"/>
      <c r="BC46" s="326" t="str">
        <f aca="false">IF($A46="N/A"," ",IF(AND(AJ46=$AR$2+1,AS46=0),MIN($BB$51,AA46),0))</f>
        <v> </v>
      </c>
      <c r="BD46" s="346" t="str">
        <f aca="false">IF($A46="N/A"," ",IF(AND(AK46=$AR$2+1,AT46=0),MIN($BB$51,AB46),0))</f>
        <v> </v>
      </c>
      <c r="BE46" s="346" t="str">
        <f aca="false">IF($A46="N/A"," ",IF(AND(AL46=$AR$2+1,AU46=0),MIN($BB$51,AC46),0))</f>
        <v> </v>
      </c>
      <c r="BF46" s="346" t="str">
        <f aca="false">IF($A46="N/A"," ",IF(AND(AM46=$AR$2+1,AV46=0),MIN($BB$51,AD46),0))</f>
        <v> </v>
      </c>
      <c r="BG46" s="346" t="str">
        <f aca="false">IF($A46="N/A"," ",IF(AND(AN46=$AR$2+1,AW46=0),MIN($BB$51,AE46),0))</f>
        <v> </v>
      </c>
      <c r="BH46" s="346" t="str">
        <f aca="false">IF($A46="N/A"," ",IF(AND(AO46=$AR$2+1,AX46=0),MIN($BB$51,AF46),0))</f>
        <v> </v>
      </c>
      <c r="BI46" s="346" t="str">
        <f aca="false">IF($A46="N/A"," ",IF(AND(AP46=$AR$2+1,AY46=0),MIN($BB$51,AG46),0))</f>
        <v> </v>
      </c>
      <c r="BJ46" s="346" t="str">
        <f aca="false">IF($A46="N/A"," ",IF(AND(AQ46=$AR$2+1,AZ46=0),MIN($BB$51,AH46),0))</f>
        <v> </v>
      </c>
      <c r="BK46" s="346" t="str">
        <f aca="false">IF($A46="N/A"," ",IF(AND(AR46=$AR$2+1,BA46=0),MIN($BB$51,AI46),0))</f>
        <v> </v>
      </c>
      <c r="BL46" s="345"/>
      <c r="BM46" s="329" t="str">
        <f aca="false">IF($A46="N/A"," ",(IF(MONTH(A46)&gt;=4,IF(MONTH(A46)&lt;=10,Inputs!$F$13-Inputs!$G$13,Inputs!$F$14-Inputs!$G$14),Inputs!$F$14-Inputs!$G$14))*$CK46*Availability)</f>
        <v> </v>
      </c>
      <c r="BN46" s="330" t="str">
        <f aca="false">IF($A46="N/A"," ",(IF(AS46&gt;0,($BM46*(8*($HD46))*R46),0)+IF(BC46&gt;0,($BM46*((BC46/AA46)*8*$HD46)*R46),0)))</f>
        <v> </v>
      </c>
      <c r="BO46" s="330" t="str">
        <f aca="false">IF($A46="N/A"," ",(IF(AT46&gt;0,($BM46*(8*($HD46))*S46),0)+IF(BD46&gt;0,($BM46*((BD46/AB46)*8*$HD46)*S46),0)))</f>
        <v> </v>
      </c>
      <c r="BP46" s="330" t="str">
        <f aca="false">IF($A46="N/A"," ",(IF(AU46&gt;0,($BM46*(8*($HD46))*T46),0)+IF(BE46&gt;0,($BM46*((BE46))*T46),0)))</f>
        <v> </v>
      </c>
      <c r="BQ46" s="330" t="str">
        <f aca="false">IF($A46="N/A"," ",(IF(AV46&gt;0,($BM46*(8*($HE46))*U46),0)+IF(BF46&gt;0,($BM46*((BF46/AD46)*8*$HE46)*U46),0)))</f>
        <v> </v>
      </c>
      <c r="BR46" s="330" t="str">
        <f aca="false">IF($A46="N/A"," ",(IF(AW46&gt;0,($BM46*(8*($HE46))*V46),0)+IF(BG46&gt;0,($BM46*((BG46/AE46)*8*$HE46)*V46),0)))</f>
        <v> </v>
      </c>
      <c r="BS46" s="330" t="str">
        <f aca="false">IF($A46="N/A"," ",(IF(AX46&gt;0,($BM46*(8*($HE46))*W46),0)+IF(BH46&gt;0,($BM46*((BH46))*W46),0)))</f>
        <v> </v>
      </c>
      <c r="BT46" s="330" t="str">
        <f aca="false">IF($A46="N/A"," ",(IF(AY46&gt;0,($BM46*(8*($HF46))*X46),0)+IF(BI46&gt;0,($BM46*((BI46/AG46)*8*$HF46)*X46),0)))</f>
        <v> </v>
      </c>
      <c r="BU46" s="330" t="str">
        <f aca="false">IF($A46="N/A"," ",(IF(AZ46&gt;0,($BM46*(8*($HF46))*Y46),0)+IF(BJ46&gt;0,($BM46*((BJ46/AH46)*8*$HF46)*Y46),0)))</f>
        <v> </v>
      </c>
      <c r="BV46" s="330" t="str">
        <f aca="false">IF($A46="N/A"," ",(IF(BA46&gt;0,($BM46*(8*($HF46))*Z46),0)+IF(BK46&gt;0,($BM46*((BK46))*Z46),0)))</f>
        <v> </v>
      </c>
      <c r="BW46" s="330" t="str">
        <f aca="false">IF($A46="N/A"," ",SUM(BN46:BV46))</f>
        <v> </v>
      </c>
      <c r="BX46" s="331" t="str">
        <f aca="false">IF($A46="N/A"," ",(H46*(SUM(AS46:BA46)+SUM(BC46:BK46))*BM46))</f>
        <v> </v>
      </c>
      <c r="BY46" s="332" t="str">
        <f aca="false">IF($A46="N/A"," ",((C46*D46)*(SUM($AS46:$BA46)+SUM($BC46:$BK46))*$BM46))</f>
        <v> </v>
      </c>
      <c r="BZ46" s="332" t="str">
        <f aca="false">IF($A46="N/A"," ",(F46*(SUM($AS46:$BA46)+SUM($BC46:$BK46))*$BM46))</f>
        <v> </v>
      </c>
      <c r="CA46" s="333" t="str">
        <f aca="false">IF($A46="N/A"," ",(G46*(SUM($AS46:$BA46)+SUM($BC46:$BK46))*$BM46))</f>
        <v> </v>
      </c>
      <c r="CB46" s="334" t="str">
        <f aca="false">IF(A46="N/A"," ",(VLOOKUP(A46,PowerVolTable,(IF(BMO=2,7,IF(BMO=1,6,8))),FALSE())))</f>
        <v> </v>
      </c>
      <c r="CC46" s="334" t="str">
        <f aca="false">IF(A46="N/A"," ",(VLOOKUP(A46,IntraPowerVol,(IF(BMO=2,3,IF(BMO=1,2,4))),FALSE())*VLOOKUP(MONTH($A46),Volscale,2)))</f>
        <v> </v>
      </c>
      <c r="CD46" s="335" t="str">
        <f aca="false">IF($A46="N/A"," ",(IF(DateToday&gt;$A46,$CC46,((($CB46^2)*((($A46-1)-DateToday)/((EOMONTH($A46,0)+1)-DateToday-15)))+((($CC46)^2)*((15)/((EOMONTH($A46,0)+1)-DateToday-15))))^0.5)))</f>
        <v> </v>
      </c>
      <c r="CE46" s="334" t="str">
        <f aca="false">IF($A46="N/A"," ",(VLOOKUP($A46,GasVolTable,(IF(BMO=2,6,IF(BMO=1,7,5))),FALSE())))</f>
        <v> </v>
      </c>
      <c r="CF46" s="334" t="str">
        <f aca="false">IF($A46="N/A"," ",(VLOOKUP($A46,OmicronVol,(IF(BMO=2,3,IF(BMO=1,4,2))),FALSE())))</f>
        <v> </v>
      </c>
      <c r="CG46" s="335" t="str">
        <f aca="false">IF($A46="N/A"," ",(IF(DateToday&gt;$A46,$CF46,((($CE46^2)*((($A46-1)-DateToday)/((EOMONTH($A46,0)+1)-DateToday-15)))+((($CF46)^2)*((15)/((EOMONTH($A46,0)+1)-DateToday-15))))^0.5)))</f>
        <v> </v>
      </c>
      <c r="CH46" s="334" t="str">
        <f aca="false">IF($A46="N/A"," ",VLOOKUP($A46,CorrelationTable,2,FALSE()))</f>
        <v> </v>
      </c>
      <c r="CI46" s="336" t="str">
        <f aca="false">IF($A46="N/A"," ",F46+G46+(D46*('Pricing Inputs'!T79)))</f>
        <v> </v>
      </c>
      <c r="CJ46" s="334" t="str">
        <f aca="false">IF($A46="N/A"," ",IF(PV=1,0,'Pricing Inputs'!U79))</f>
        <v> </v>
      </c>
      <c r="CK46" s="337" t="str">
        <f aca="false">IF($A46="N/A"," ",(1+CJ46/2)^(-2*((EOMONTH(A46,0)+20)-DateToday)/365.25))</f>
        <v> </v>
      </c>
      <c r="CL46" s="338" t="str">
        <f aca="false">IF(A46="N/A"," ",IF(CC=2,(VLOOKUP(MONTH($A46),Hrtable,3))/1000,0))</f>
        <v> </v>
      </c>
      <c r="CM46" s="339" t="str">
        <f aca="false">IF(A46="N/A"," ",IF(CC=2,(CL46*C46)+F46,0))</f>
        <v> </v>
      </c>
      <c r="CN46" s="340" t="str">
        <f aca="false">IF($A46="N/A"," ",IF(CC=2,(VLOOKUP(A46,ScaledPrice,(IF(AND(Dayrun&gt;=1,Dayrun&lt;=6),2,4)))-((IF(R46&lt;&gt;0,$D46,$CL46)*$C46)+$F46+$G46)),0))</f>
        <v> </v>
      </c>
      <c r="CO46" s="340" t="str">
        <f aca="false">IF($A46="N/A"," ",IF(CC=2,(IF(AND(Dayrun&gt;=1,Dayrun&lt;=6),I46,(VLOOKUP(A46,ScaledPrice,2))*(2-(VLOOKUP(A46,ScaledPrice,3))))-((IF(S46&lt;&gt;0,$D46,$CL46)*$C46)+$F46+$G46)),0))</f>
        <v> </v>
      </c>
      <c r="CP46" s="340" t="str">
        <f aca="false">IF(A46="N/A"," ",IF(CC=2,(VLOOKUP(A46,ScaledPrice,9)-((IF(T46&lt;&gt;0,$D46,$CL46)*$C46)+$F46+$G46)),0))</f>
        <v> </v>
      </c>
      <c r="CQ46" s="340" t="str">
        <f aca="false">IF(A46="N/A"," ",IF(CC=2,(IF(OR(Dayrun=2,Dayrun=3,Dayrun=5,Dayrun=6,Dayrun=8,Dayrun=9),VLOOKUP(A46,ScaledPrice,IF(AND(Dayrun&gt;=2,Dayrun&lt;=6),5,6)),0)-((IF(U46&lt;&gt;0,$D46,$CL46)*$C46)+$F46+$G46)),0))</f>
        <v> </v>
      </c>
      <c r="CR46" s="340" t="str">
        <f aca="false">IF(A46="N/A"," ",IF(CC=2,(IF(OR(Dayrun=2,Dayrun=3,Dayrun=5,Dayrun=6,Dayrun=8,Dayrun=9),IF(AND(Dayrun&gt;=2,Dayrun&lt;=6),L46,(VLOOKUP(A46,ScaledPrice,5))*(2-(VLOOKUP(A46,ScaledPrice,3)))),0)-((IF(V46&lt;&gt;0,$D46,$CL46)*$C46)+$F46+$G46)),0))</f>
        <v> </v>
      </c>
      <c r="CS46" s="340" t="str">
        <f aca="false">IF(A46="N/A"," ",IF(CC=2,(VLOOKUP(A46,ScaledPrice,9)-((IF(W46&lt;&gt;0,$D46,$CL46)*$C46)+$F46+$G46)),0))</f>
        <v> </v>
      </c>
      <c r="CT46" s="340" t="str">
        <f aca="false">IF(A46="N/A"," ",IF(CC=2,(IF(OR(Dayrun=3,Dayrun=6,Dayrun=9),(VLOOKUP(A46,ScaledPrice,IF(AND(Dayrun&gt;=3,Dayrun&lt;=6),7,8))),0)-((IF(X46&lt;&gt;0,$D46,$CL46)*$C46)+$F46+$G46)),0))</f>
        <v> </v>
      </c>
      <c r="CU46" s="340" t="str">
        <f aca="false">IF(A46="N/A"," ",IF(CC=2,(IF(OR(Dayrun=3,Dayrun=6,Dayrun=9),IF(AND(Dayrun&gt;=3,Dayrun&lt;=6),O46,(VLOOKUP(A46,ScaledPrice,7))*(2-(VLOOKUP(A46,ScaledPrice,3)))),0)-((IF(Y46&lt;&gt;0,$D46,$CL46)*$C46)+$F46+$G46)),0))</f>
        <v> </v>
      </c>
      <c r="CV46" s="340" t="str">
        <f aca="false">IF(A46="N/A"," ",IF(CC=2,(VLOOKUP(A46,ScaledPrice,9)-((IF(Z46&lt;&gt;0,$D46,$CL46)*$C46)+$F46+$G46)),0))</f>
        <v> </v>
      </c>
      <c r="CW46" s="318" t="str">
        <f aca="false">IF($A46="N/A"," ",IF(0&lt;&gt;CN46,IF(CC=2,8*$HD46,0),0))</f>
        <v> </v>
      </c>
      <c r="CX46" s="318" t="str">
        <f aca="false">IF($A46="N/A"," ",IF(0&lt;&gt;CO46,IF(CC=2,8*$HD46,0),0))</f>
        <v> </v>
      </c>
      <c r="CY46" s="318" t="str">
        <f aca="false">IF($A46="N/A"," ",IF(0&lt;&gt;CP46,IF(CC=2,8*$HD46,0),0))</f>
        <v> </v>
      </c>
      <c r="CZ46" s="318" t="str">
        <f aca="false">IF($A46="N/A"," ",IF(0&lt;&gt;CQ46,IF(CC=2,8*$HE46,0),0))</f>
        <v> </v>
      </c>
      <c r="DA46" s="318" t="str">
        <f aca="false">IF($A46="N/A"," ",IF(0&lt;&gt;CR46,IF(CC=2,8*$HE46,0),0))</f>
        <v> </v>
      </c>
      <c r="DB46" s="318" t="str">
        <f aca="false">IF($A46="N/A"," ",IF(0&lt;&gt;CS46,IF(CC=2,8*$HE46,0),0))</f>
        <v> </v>
      </c>
      <c r="DC46" s="318" t="str">
        <f aca="false">IF($A46="N/A"," ",IF(0&lt;&gt;CT46,IF(CC=2,8*$HF46,0),0))</f>
        <v> </v>
      </c>
      <c r="DD46" s="318" t="str">
        <f aca="false">IF($A46="N/A"," ",IF(0&lt;&gt;CU46,IF(CC=2,8*$HF46,0),0))</f>
        <v> </v>
      </c>
      <c r="DE46" s="318" t="str">
        <f aca="false">IF($A46="N/A"," ",IF(0&lt;&gt;CV46,IF(CC=2,8*$HF46,0),0))</f>
        <v> </v>
      </c>
      <c r="DF46" s="341" t="str">
        <f aca="false">IF($A46="N/A"," ",IF(CC=2,(IF(MONTH(A46)&gt;=4,IF(MONTH(A46)&lt;=10,Inputs!$G$13,Inputs!$G$14),Inputs!$G$14))*$CK46,0))</f>
        <v> </v>
      </c>
      <c r="DG46" s="342" t="str">
        <f aca="false">IF($A46="N/A"," ",IF(CC=2,$DF46*CW46*CN46,0))</f>
        <v> </v>
      </c>
      <c r="DH46" s="342" t="str">
        <f aca="false">IF($A46="N/A"," ",IF(CC=2,$DF46*CX46*CO46,0))</f>
        <v> </v>
      </c>
      <c r="DI46" s="342" t="str">
        <f aca="false">IF($A46="N/A"," ",IF(CC=2,$DF46*CY46*CP46,0))</f>
        <v> </v>
      </c>
      <c r="DJ46" s="342" t="str">
        <f aca="false">IF($A46="N/A"," ",IF(CC=2,$DF46*CZ46*CQ46,0))</f>
        <v> </v>
      </c>
      <c r="DK46" s="342" t="str">
        <f aca="false">IF($A46="N/A"," ",IF(CC=2,$DF46*DA46*CR46,0))</f>
        <v> </v>
      </c>
      <c r="DL46" s="342" t="str">
        <f aca="false">IF($A46="N/A"," ",IF(CC=2,$DF46*DB46*CS46,0))</f>
        <v> </v>
      </c>
      <c r="DM46" s="342" t="str">
        <f aca="false">IF($A46="N/A"," ",IF(CC=2,$DF46*DC46*CT46,0))</f>
        <v> </v>
      </c>
      <c r="DN46" s="342" t="str">
        <f aca="false">IF($A46="N/A"," ",IF(CC=2,$DF46*DD46*CU46,0))</f>
        <v> </v>
      </c>
      <c r="DO46" s="342" t="str">
        <f aca="false">IF($A46="N/A"," ",IF(CC=2,$DF46*DE46*CV46,0))</f>
        <v> </v>
      </c>
      <c r="DP46" s="343" t="str">
        <f aca="false">IF($A46="N/A"," ",IF(CC=2,SUM(DG46:DO46),0))</f>
        <v> </v>
      </c>
      <c r="DQ46" s="0" t="str">
        <f aca="false">IF(A46="N/A"," ",Perstart)</f>
        <v> </v>
      </c>
      <c r="HD46" s="0" t="str">
        <f aca="false">IF($A46="N/A"," ",VLOOKUP($A46,NumberofDaysTable,2))</f>
        <v> </v>
      </c>
      <c r="HE46" s="0" t="str">
        <f aca="false">IF($A46="N/A"," ",VLOOKUP($A46,NumberofDaysTable,3))</f>
        <v> </v>
      </c>
      <c r="HF46" s="0" t="str">
        <f aca="false">IF($A46="N/A"," ",VLOOKUP($A46,NumberofDaysTable,4))</f>
        <v> </v>
      </c>
    </row>
    <row r="47" customFormat="false" ht="12.75" hidden="false" customHeight="false" outlineLevel="0" collapsed="false">
      <c r="A47" s="308" t="str">
        <f aca="false">IF(A46="N/A","N/A",IF(EDATE(A46,1)&gt;Inputs!$K$3,"N/A",EDATE(A46,1)))</f>
        <v>N/A</v>
      </c>
      <c r="B47" s="309" t="str">
        <f aca="false">IF(A47="N/A"," ",YEAR(A47))</f>
        <v> </v>
      </c>
      <c r="C47" s="310" t="str">
        <f aca="false">IF(A47="N/A"," ",VLOOKUP(A47,ScaledPrice,10))</f>
        <v> </v>
      </c>
      <c r="D47" s="311" t="str">
        <f aca="false">IF(A47="N/A"," ",(VLOOKUP(MONTH($A47),Hrtable,2))/1000)</f>
        <v> </v>
      </c>
      <c r="E47" s="312" t="str">
        <f aca="false">IF($A47="N/A"," ",(C47-'Pricing Inputs'!T80)*D47)</f>
        <v> </v>
      </c>
      <c r="F47" s="313" t="str">
        <f aca="false">IF(A47="N/A"," ",$F35*(1+VOMesc))</f>
        <v> </v>
      </c>
      <c r="G47" s="313" t="str">
        <f aca="false">IF(A47="N/A"," ",Perstart/IF(AND(Dayrun&gt;=4,Dayrun&lt;=6),16,IF(AND(Dayrun&gt;=7,Dayrun&lt;=9),8,24))/(BM47/CK47))</f>
        <v> </v>
      </c>
      <c r="H47" s="314" t="str">
        <f aca="false">IF(A47="N/A"," ",(C47*D47)+F47+G47)</f>
        <v> </v>
      </c>
      <c r="I47" s="315" t="str">
        <f aca="false">VLOOKUP(A47,ScaledPrice,(IF(AND(Dayrun&gt;=1,Dayrun&lt;=6),2,4)))</f>
        <v> </v>
      </c>
      <c r="J47" s="315" t="str">
        <f aca="false">IF(A47="N/A"," ",IF(AND(Dayrun&gt;=1,Dayrun&lt;=6),I47,(VLOOKUP(A47,ScaledPrice,2))*(2-(VLOOKUP(A47,ScaledPrice,3)))))</f>
        <v> </v>
      </c>
      <c r="K47" s="315" t="str">
        <f aca="false">IF(A47="N/A"," ",IF(AND(Dayrun&gt;=1,Dayrun&lt;=3),VLOOKUP(A47,ScaledPrice,9),0))</f>
        <v> </v>
      </c>
      <c r="L47" s="315" t="str">
        <f aca="false">IF(A47="N/A"," ",IF(OR(Dayrun=2,Dayrun=3,Dayrun=5,Dayrun=6,Dayrun=8,Dayrun=9),VLOOKUP(A47,ScaledPrice,IF(AND(Dayrun&gt;=2,Dayrun&lt;=6),5,6)),0))</f>
        <v> </v>
      </c>
      <c r="M47" s="315" t="str">
        <f aca="false">IF(A47="N/A"," ",IF(OR(Dayrun=2,Dayrun=3,Dayrun=5,Dayrun=6,Dayrun=8,Dayrun=9),IF(AND(Dayrun&gt;=2,Dayrun&lt;=6),L47,(VLOOKUP(A47,ScaledPrice,5))*(2-(VLOOKUP(A47,ScaledPrice,3)))),0))</f>
        <v> </v>
      </c>
      <c r="N47" s="315" t="str">
        <f aca="false">IF(A47="N/A"," ",IF(AND(Dayrun&gt;1,Dayrun&lt;=3),VLOOKUP(A47,ScaledPrice,9),0))</f>
        <v> </v>
      </c>
      <c r="O47" s="315" t="str">
        <f aca="false">IF(A47="N/A"," ",IF(OR(Dayrun=3,Dayrun=6,Dayrun=9),(VLOOKUP(A47,ScaledPrice,IF(AND(Dayrun&gt;=3,Dayrun&lt;=6),7,8))),0))</f>
        <v> </v>
      </c>
      <c r="P47" s="315" t="str">
        <f aca="false">IF(A47="N/A"," ",IF(OR(Dayrun=3,Dayrun=6,Dayrun=9),IF(AND(Dayrun&gt;=3,Dayrun&lt;=6),O47,(VLOOKUP(A47,ScaledPrice,7))*(2-(VLOOKUP(A47,ScaledPrice,3)))),0))</f>
        <v> </v>
      </c>
      <c r="Q47" s="315" t="str">
        <f aca="false">IF(A47="N/A"," ",IF(AND(Dayrun&gt;2,Dayrun&lt;=3),VLOOKUP(A47,ScaledPrice,9),0))</f>
        <v> </v>
      </c>
      <c r="R47" s="316" t="str">
        <f aca="false">IF($A47="N/A"," ",IF(Pricetype=2,MAX(I47-$H47,0),IF(Pricetype=1,(xSPRDOPT(I47,$E47,$CI47,0,($CD47+IF(Smile=TRUE(),VLOOKUP(MAX(-5,$H47-I47),Volsmile,2),0)),$CG47,$CH47,($A47-DateToday)+15,1,0)),I47-$H47)))</f>
        <v> </v>
      </c>
      <c r="S47" s="316" t="str">
        <f aca="false">IF($A47="N/A"," ",IF(Pricetype=2,MAX(J47-$H47,0),IF(Pricetype=1,(xSPRDOPT(J47,$E47,$CI47,0,($CD47+IF(Smile=TRUE(),VLOOKUP(MAX(-5,$H47-J47),Volsmile,2),0)),$CG47,$CH47,($A47-DateToday)+15,1,0)),J47-$H47)))</f>
        <v> </v>
      </c>
      <c r="T47" s="317" t="str">
        <f aca="false">IF($A47="N/A"," ",(IF(Pricetype=2,IF((K47-$H47)&lt;=0,0,(K47-$H47)),IF(K47&lt;&gt;0,(K47-$H47),0))))</f>
        <v> </v>
      </c>
      <c r="U47" s="316" t="str">
        <f aca="false">IF($A47="N/A"," ",IF(Pricetype=2,MAX(L47-$H47,0),IF(L47&lt;&gt;0,IF(Pricetype=1,(xSPRDOPT(L47,$E47,$CI47,0,($CD47+IF(Smile=TRUE(),VLOOKUP(MAX(-5,$H47-L47),Volsmile,2),0)),$CG47,$CH47,($A47-DateToday)+15,1,0)),L47-$H47),0)))</f>
        <v> </v>
      </c>
      <c r="V47" s="316" t="str">
        <f aca="false">IF($A47="N/A"," ",IF(Pricetype=2,MAX(M47-$H47,0),IF(M47&lt;&gt;0,IF(Pricetype=1,(xSPRDOPT(M47,$E47,$CI47,0,($CD47+IF(Smile=TRUE(),VLOOKUP(MAX(-5,$H47-M47),Volsmile,2),0)),$CG47,$CH47,($A47-DateToday)+15,1,0)),M47-$H47),0)))</f>
        <v> </v>
      </c>
      <c r="W47" s="317" t="str">
        <f aca="false">IF($A47="N/A"," ",(IF(Pricetype=2,IF((N47-$H47)&lt;=0,0,(N47-$H47)),IF(N47&lt;&gt;0,(N47-$H47),0))))</f>
        <v> </v>
      </c>
      <c r="X47" s="316" t="str">
        <f aca="false">IF($A47="N/A"," ",IF(Pricetype=2,MAX(O47-$H47,0),IF(O47&lt;&gt;0,IF(Pricetype=1,(xSPRDOPT(O47,$E47,$CI47,0,($CD47+IF(Smile=TRUE(),VLOOKUP(MAX(-5,$H47-O47),Volsmile,2),0)),$CG47,$CH47,($A47-DateToday)+15,1,0)),O47-$H47),0)))</f>
        <v> </v>
      </c>
      <c r="Y47" s="316" t="str">
        <f aca="false">IF($A47="N/A"," ",IF(Pricetype=2,MAX(P47-$H47,0),IF(P47&lt;&gt;0,IF(Pricetype=1,(xSPRDOPT(P47,$E47,$CI47,0,($CD47+IF(Smile=TRUE(),VLOOKUP(MAX(-5,$H47-P47),Volsmile,2),0)),$CG47,$CH47,($A47-DateToday)+15,1,0)),P47-$H47),0)))</f>
        <v> </v>
      </c>
      <c r="Z47" s="317" t="str">
        <f aca="false">IF($A47="N/A"," ",(IF(Pricetype=2,IF((Q47-$H47)&lt;=0,0,(Q47-$H47)),IF(Q47&lt;&gt;0,(Q47-$H47),0))))</f>
        <v> </v>
      </c>
      <c r="AA47" s="318" t="str">
        <f aca="false">IF($A47="N/A"," ",IF(VLOOKUP(MONTH(A47),ManualTable,2)=1,(IF(0&lt;&gt;R47,IF(Pricetype=1,(xSPRDOPT(I47,$E47,$CI47,0,($CD47+IF(Smile=TRUE(),VLOOKUP(MAX(-5,$H47-I47),Volsmile,2),0)),$CG47,$CH47,($A47-DateToday)+15,1,1))*(8*$HD47),8*$HD47),0)),0))</f>
        <v> </v>
      </c>
      <c r="AB47" s="318" t="str">
        <f aca="false">IF($A47="N/A"," ",IF(VLOOKUP(MONTH(A47),ManualTable,3)=1,(IF(S47&lt;&gt;0,IF(Pricetype=1,(xSPRDOPT(J47,$E47,$CI47,0,($CD47+IF(Smile=TRUE(),VLOOKUP(MAX(-5,$H47-J47),Volsmile,2),0)),$CG47,$CH47,($A47-DateToday)+15,1,1))*(8*$HD47),8*$HD47),0)),0))</f>
        <v> </v>
      </c>
      <c r="AC47" s="318" t="str">
        <f aca="false">IF($A47="N/A"," ",IF(VLOOKUP(MONTH(A47),ManualTable,4)=1,(IF(T47&lt;&gt;0,(8*$HD47),0)),0))</f>
        <v> </v>
      </c>
      <c r="AD47" s="318" t="str">
        <f aca="false">IF($A47="N/A"," ",IF(VLOOKUP(MONTH(A47),ManualTable,5)=1,(IF(U47&lt;&gt;0,IF(Pricetype=1,(xSPRDOPT(L47,$E47,$CI47,0,($CD47+IF(Smile=TRUE(),VLOOKUP(MAX(-5,$H47-L47),Volsmile,2),0)),$CG47,$CH47,($A47-DateToday)+15,1,1))*(8*$HE47),8*$HE47),0)),0))</f>
        <v> </v>
      </c>
      <c r="AE47" s="318" t="str">
        <f aca="false">IF($A47="N/A"," ",IF(VLOOKUP(MONTH(A47),ManualTable,6)=1,(IF(V47&lt;&gt;0,IF(Pricetype=1,(xSPRDOPT(M47,$E47,$CI47,0,($CD47+IF(Smile=TRUE(),VLOOKUP(MAX(-5,$H47-M47),Volsmile,2),0)),$CG47,$CH47,($A47-DateToday)+15,1,1))*(8*$HE47),8*$HE47),0)),0))</f>
        <v> </v>
      </c>
      <c r="AF47" s="318" t="str">
        <f aca="false">IF($A47="N/A"," ",IF(VLOOKUP(MONTH(A47),ManualTable,7)=1,(IF(W47&lt;&gt;0,(8*$HE47),0)),0))</f>
        <v> </v>
      </c>
      <c r="AG47" s="318" t="str">
        <f aca="false">IF($A47="N/A"," ",IF(VLOOKUP(MONTH(A47),ManualTable,8)=1,(IF(X47&lt;&gt;0,IF(Pricetype=1,(xSPRDOPT(O47,$E47,$CI47,0,($CD47+IF(Smile=TRUE(),VLOOKUP(MAX(-5,$H47-O47),Volsmile,2),0)),$CG47,$CH47,($A47-DateToday)+15,1,1))*(8*$HF47),8*$HF47),0)),0))</f>
        <v> </v>
      </c>
      <c r="AH47" s="318" t="str">
        <f aca="false">IF($A47="N/A"," ",IF(VLOOKUP(MONTH(A47),ManualTable,9)=1,(IF(Y47&lt;&gt;0,IF(Pricetype=1,(xSPRDOPT(P47,$E47,$CI47,0,($CD47+IF(Smile=TRUE(),VLOOKUP(MAX(-5,$H47-P47),Volsmile,2),0)),$CG47,$CH47,($A47-DateToday)+15,1,1))*(8*$HF47),8*$HF47),0)),0))</f>
        <v> </v>
      </c>
      <c r="AI47" s="318" t="str">
        <f aca="false">IF($A47="N/A"," ",IF(VLOOKUP(MONTH(A47),ManualTable,10)=1,(IF(Z47&lt;&gt;0,(8*($HF47)),0)),0))</f>
        <v> </v>
      </c>
      <c r="AJ47" s="344" t="str">
        <f aca="false">IF($A47="N/A"," ",RANK(R47,$R$40:$Z$51))</f>
        <v> </v>
      </c>
      <c r="AK47" s="321" t="str">
        <f aca="false">IF($A47="N/A"," ",RANK(S47,$R$40:$Z$51))</f>
        <v> </v>
      </c>
      <c r="AL47" s="321" t="str">
        <f aca="false">IF($A47="N/A"," ",RANK(T47,$R$40:$Z$51))</f>
        <v> </v>
      </c>
      <c r="AM47" s="321" t="str">
        <f aca="false">IF($A47="N/A"," ",RANK(U47,$R$40:$Z$51))</f>
        <v> </v>
      </c>
      <c r="AN47" s="321" t="str">
        <f aca="false">IF($A47="N/A"," ",RANK(V47,$R$40:$Z$51))</f>
        <v> </v>
      </c>
      <c r="AO47" s="321" t="str">
        <f aca="false">IF($A47="N/A"," ",RANK(W47,$R$40:$Z$51))</f>
        <v> </v>
      </c>
      <c r="AP47" s="321" t="str">
        <f aca="false">IF($A47="N/A"," ",RANK(X47,$R$40:$Z$51))</f>
        <v> </v>
      </c>
      <c r="AQ47" s="321" t="str">
        <f aca="false">IF($A47="N/A"," ",RANK(Y47,$R$40:$Z$51))</f>
        <v> </v>
      </c>
      <c r="AR47" s="345" t="str">
        <f aca="false">IF($A47="N/A"," ",RANK(Z47,$R$40:$Z$51))</f>
        <v> </v>
      </c>
      <c r="AS47" s="323" t="str">
        <f aca="false">IF($A47="N/A"," ",IF(AJ47&lt;=$AR$2,AA47,0))</f>
        <v> </v>
      </c>
      <c r="AT47" s="325" t="str">
        <f aca="false">IF($A47="N/A"," ",IF(AK47&lt;=$AR$2,AB47,0))</f>
        <v> </v>
      </c>
      <c r="AU47" s="325" t="str">
        <f aca="false">IF($A47="N/A"," ",IF(AL47&lt;=$AR$2,AC47,0))</f>
        <v> </v>
      </c>
      <c r="AV47" s="325" t="str">
        <f aca="false">IF($A47="N/A"," ",IF(AM47&lt;=$AR$2,AD47,0))</f>
        <v> </v>
      </c>
      <c r="AW47" s="325" t="str">
        <f aca="false">IF($A47="N/A"," ",IF(AN47&lt;=$AR$2,AE47,0))</f>
        <v> </v>
      </c>
      <c r="AX47" s="325" t="str">
        <f aca="false">IF($A47="N/A"," ",IF(AO47&lt;=$AR$2,AF47,0))</f>
        <v> </v>
      </c>
      <c r="AY47" s="325" t="str">
        <f aca="false">IF($A47="N/A"," ",IF(AP47&lt;=$AR$2,AG47,0))</f>
        <v> </v>
      </c>
      <c r="AZ47" s="325" t="str">
        <f aca="false">IF($A47="N/A"," ",IF(AQ47&lt;=$AR$2,AH47,0))</f>
        <v> </v>
      </c>
      <c r="BA47" s="325" t="str">
        <f aca="false">IF($A47="N/A"," ",IF(AR47&lt;=$AR$2,AI47,0))</f>
        <v> </v>
      </c>
      <c r="BB47" s="345"/>
      <c r="BC47" s="326" t="str">
        <f aca="false">IF($A47="N/A"," ",IF(AND(AJ47=$AR$2+1,AS47=0),MIN($BB$51,AA47),0))</f>
        <v> </v>
      </c>
      <c r="BD47" s="346" t="str">
        <f aca="false">IF($A47="N/A"," ",IF(AND(AK47=$AR$2+1,AT47=0),MIN($BB$51,AB47),0))</f>
        <v> </v>
      </c>
      <c r="BE47" s="346" t="str">
        <f aca="false">IF($A47="N/A"," ",IF(AND(AL47=$AR$2+1,AU47=0),MIN($BB$51,AC47),0))</f>
        <v> </v>
      </c>
      <c r="BF47" s="346" t="str">
        <f aca="false">IF($A47="N/A"," ",IF(AND(AM47=$AR$2+1,AV47=0),MIN($BB$51,AD47),0))</f>
        <v> </v>
      </c>
      <c r="BG47" s="346" t="str">
        <f aca="false">IF($A47="N/A"," ",IF(AND(AN47=$AR$2+1,AW47=0),MIN($BB$51,AE47),0))</f>
        <v> </v>
      </c>
      <c r="BH47" s="346" t="str">
        <f aca="false">IF($A47="N/A"," ",IF(AND(AO47=$AR$2+1,AX47=0),MIN($BB$51,AF47),0))</f>
        <v> </v>
      </c>
      <c r="BI47" s="346" t="str">
        <f aca="false">IF($A47="N/A"," ",IF(AND(AP47=$AR$2+1,AY47=0),MIN($BB$51,AG47),0))</f>
        <v> </v>
      </c>
      <c r="BJ47" s="346" t="str">
        <f aca="false">IF($A47="N/A"," ",IF(AND(AQ47=$AR$2+1,AZ47=0),MIN($BB$51,AH47),0))</f>
        <v> </v>
      </c>
      <c r="BK47" s="346" t="str">
        <f aca="false">IF($A47="N/A"," ",IF(AND(AR47=$AR$2+1,BA47=0),MIN($BB$51,AI47),0))</f>
        <v> </v>
      </c>
      <c r="BL47" s="345"/>
      <c r="BM47" s="329" t="str">
        <f aca="false">IF($A47="N/A"," ",(IF(MONTH(A47)&gt;=4,IF(MONTH(A47)&lt;=10,Inputs!$F$13-Inputs!$G$13,Inputs!$F$14-Inputs!$G$14),Inputs!$F$14-Inputs!$G$14))*$CK47*Availability)</f>
        <v> </v>
      </c>
      <c r="BN47" s="330" t="str">
        <f aca="false">IF($A47="N/A"," ",(IF(AS47&gt;0,($BM47*(8*($HD47))*R47),0)+IF(BC47&gt;0,($BM47*((BC47/AA47)*8*$HD47)*R47),0)))</f>
        <v> </v>
      </c>
      <c r="BO47" s="330" t="str">
        <f aca="false">IF($A47="N/A"," ",(IF(AT47&gt;0,($BM47*(8*($HD47))*S47),0)+IF(BD47&gt;0,($BM47*((BD47/AB47)*8*$HD47)*S47),0)))</f>
        <v> </v>
      </c>
      <c r="BP47" s="330" t="str">
        <f aca="false">IF($A47="N/A"," ",(IF(AU47&gt;0,($BM47*(8*($HD47))*T47),0)+IF(BE47&gt;0,($BM47*((BE47))*T47),0)))</f>
        <v> </v>
      </c>
      <c r="BQ47" s="330" t="str">
        <f aca="false">IF($A47="N/A"," ",(IF(AV47&gt;0,($BM47*(8*($HE47))*U47),0)+IF(BF47&gt;0,($BM47*((BF47/AD47)*8*$HE47)*U47),0)))</f>
        <v> </v>
      </c>
      <c r="BR47" s="330" t="str">
        <f aca="false">IF($A47="N/A"," ",(IF(AW47&gt;0,($BM47*(8*($HE47))*V47),0)+IF(BG47&gt;0,($BM47*((BG47/AE47)*8*$HE47)*V47),0)))</f>
        <v> </v>
      </c>
      <c r="BS47" s="330" t="str">
        <f aca="false">IF($A47="N/A"," ",(IF(AX47&gt;0,($BM47*(8*($HE47))*W47),0)+IF(BH47&gt;0,($BM47*((BH47))*W47),0)))</f>
        <v> </v>
      </c>
      <c r="BT47" s="330" t="str">
        <f aca="false">IF($A47="N/A"," ",(IF(AY47&gt;0,($BM47*(8*($HF47))*X47),0)+IF(BI47&gt;0,($BM47*((BI47/AG47)*8*$HF47)*X47),0)))</f>
        <v> </v>
      </c>
      <c r="BU47" s="330" t="str">
        <f aca="false">IF($A47="N/A"," ",(IF(AZ47&gt;0,($BM47*(8*($HF47))*Y47),0)+IF(BJ47&gt;0,($BM47*((BJ47/AH47)*8*$HF47)*Y47),0)))</f>
        <v> </v>
      </c>
      <c r="BV47" s="330" t="str">
        <f aca="false">IF($A47="N/A"," ",(IF(BA47&gt;0,($BM47*(8*($HF47))*Z47),0)+IF(BK47&gt;0,($BM47*((BK47))*Z47),0)))</f>
        <v> </v>
      </c>
      <c r="BW47" s="330" t="str">
        <f aca="false">IF($A47="N/A"," ",SUM(BN47:BV47))</f>
        <v> </v>
      </c>
      <c r="BX47" s="331" t="str">
        <f aca="false">IF($A47="N/A"," ",(H47*(SUM(AS47:BA47)+SUM(BC47:BK47))*BM47))</f>
        <v> </v>
      </c>
      <c r="BY47" s="332" t="str">
        <f aca="false">IF($A47="N/A"," ",((C47*D47)*(SUM($AS47:$BA47)+SUM($BC47:$BK47))*$BM47))</f>
        <v> </v>
      </c>
      <c r="BZ47" s="332" t="str">
        <f aca="false">IF($A47="N/A"," ",(F47*(SUM($AS47:$BA47)+SUM($BC47:$BK47))*$BM47))</f>
        <v> </v>
      </c>
      <c r="CA47" s="333" t="str">
        <f aca="false">IF($A47="N/A"," ",(G47*(SUM($AS47:$BA47)+SUM($BC47:$BK47))*$BM47))</f>
        <v> </v>
      </c>
      <c r="CB47" s="334" t="str">
        <f aca="false">IF(A47="N/A"," ",(VLOOKUP(A47,PowerVolTable,(IF(BMO=2,7,IF(BMO=1,6,8))),FALSE())))</f>
        <v> </v>
      </c>
      <c r="CC47" s="334" t="str">
        <f aca="false">IF(A47="N/A"," ",(VLOOKUP(A47,IntraPowerVol,(IF(BMO=2,3,IF(BMO=1,2,4))),FALSE())*VLOOKUP(MONTH($A47),Volscale,2)))</f>
        <v> </v>
      </c>
      <c r="CD47" s="335" t="str">
        <f aca="false">IF($A47="N/A"," ",(IF(DateToday&gt;$A47,$CC47,((($CB47^2)*((($A47-1)-DateToday)/((EOMONTH($A47,0)+1)-DateToday-15)))+((($CC47)^2)*((15)/((EOMONTH($A47,0)+1)-DateToday-15))))^0.5)))</f>
        <v> </v>
      </c>
      <c r="CE47" s="334" t="str">
        <f aca="false">IF($A47="N/A"," ",(VLOOKUP($A47,GasVolTable,(IF(BMO=2,6,IF(BMO=1,7,5))),FALSE())))</f>
        <v> </v>
      </c>
      <c r="CF47" s="334" t="str">
        <f aca="false">IF($A47="N/A"," ",(VLOOKUP($A47,OmicronVol,(IF(BMO=2,3,IF(BMO=1,4,2))),FALSE())))</f>
        <v> </v>
      </c>
      <c r="CG47" s="335" t="str">
        <f aca="false">IF($A47="N/A"," ",(IF(DateToday&gt;$A47,$CF47,((($CE47^2)*((($A47-1)-DateToday)/((EOMONTH($A47,0)+1)-DateToday-15)))+((($CF47)^2)*((15)/((EOMONTH($A47,0)+1)-DateToday-15))))^0.5)))</f>
        <v> </v>
      </c>
      <c r="CH47" s="334" t="str">
        <f aca="false">IF($A47="N/A"," ",VLOOKUP($A47,CorrelationTable,2,FALSE()))</f>
        <v> </v>
      </c>
      <c r="CI47" s="336" t="str">
        <f aca="false">IF($A47="N/A"," ",F47+G47+(D47*('Pricing Inputs'!T80)))</f>
        <v> </v>
      </c>
      <c r="CJ47" s="334" t="str">
        <f aca="false">IF($A47="N/A"," ",IF(PV=1,0,'Pricing Inputs'!U80))</f>
        <v> </v>
      </c>
      <c r="CK47" s="337" t="str">
        <f aca="false">IF($A47="N/A"," ",(1+CJ47/2)^(-2*((EOMONTH(A47,0)+20)-DateToday)/365.25))</f>
        <v> </v>
      </c>
      <c r="CL47" s="338" t="str">
        <f aca="false">IF(A47="N/A"," ",IF(CC=2,(VLOOKUP(MONTH($A47),Hrtable,3))/1000,0))</f>
        <v> </v>
      </c>
      <c r="CM47" s="339" t="str">
        <f aca="false">IF(A47="N/A"," ",IF(CC=2,(CL47*C47)+F47,0))</f>
        <v> </v>
      </c>
      <c r="CN47" s="340" t="str">
        <f aca="false">IF($A47="N/A"," ",IF(CC=2,(VLOOKUP(A47,ScaledPrice,(IF(AND(Dayrun&gt;=1,Dayrun&lt;=6),2,4)))-((IF(R47&lt;&gt;0,$D47,$CL47)*$C47)+$F47+$G47)),0))</f>
        <v> </v>
      </c>
      <c r="CO47" s="340" t="str">
        <f aca="false">IF($A47="N/A"," ",IF(CC=2,(IF(AND(Dayrun&gt;=1,Dayrun&lt;=6),I47,(VLOOKUP(A47,ScaledPrice,2))*(2-(VLOOKUP(A47,ScaledPrice,3))))-((IF(S47&lt;&gt;0,$D47,$CL47)*$C47)+$F47+$G47)),0))</f>
        <v> </v>
      </c>
      <c r="CP47" s="340" t="str">
        <f aca="false">IF(A47="N/A"," ",IF(CC=2,(VLOOKUP(A47,ScaledPrice,9)-((IF(T47&lt;&gt;0,$D47,$CL47)*$C47)+$F47+$G47)),0))</f>
        <v> </v>
      </c>
      <c r="CQ47" s="340" t="str">
        <f aca="false">IF(A47="N/A"," ",IF(CC=2,(IF(OR(Dayrun=2,Dayrun=3,Dayrun=5,Dayrun=6,Dayrun=8,Dayrun=9),VLOOKUP(A47,ScaledPrice,IF(AND(Dayrun&gt;=2,Dayrun&lt;=6),5,6)),0)-((IF(U47&lt;&gt;0,$D47,$CL47)*$C47)+$F47+$G47)),0))</f>
        <v> </v>
      </c>
      <c r="CR47" s="340" t="str">
        <f aca="false">IF(A47="N/A"," ",IF(CC=2,(IF(OR(Dayrun=2,Dayrun=3,Dayrun=5,Dayrun=6,Dayrun=8,Dayrun=9),IF(AND(Dayrun&gt;=2,Dayrun&lt;=6),L47,(VLOOKUP(A47,ScaledPrice,5))*(2-(VLOOKUP(A47,ScaledPrice,3)))),0)-((IF(V47&lt;&gt;0,$D47,$CL47)*$C47)+$F47+$G47)),0))</f>
        <v> </v>
      </c>
      <c r="CS47" s="340" t="str">
        <f aca="false">IF(A47="N/A"," ",IF(CC=2,(VLOOKUP(A47,ScaledPrice,9)-((IF(W47&lt;&gt;0,$D47,$CL47)*$C47)+$F47+$G47)),0))</f>
        <v> </v>
      </c>
      <c r="CT47" s="340" t="str">
        <f aca="false">IF(A47="N/A"," ",IF(CC=2,(IF(OR(Dayrun=3,Dayrun=6,Dayrun=9),(VLOOKUP(A47,ScaledPrice,IF(AND(Dayrun&gt;=3,Dayrun&lt;=6),7,8))),0)-((IF(X47&lt;&gt;0,$D47,$CL47)*$C47)+$F47+$G47)),0))</f>
        <v> </v>
      </c>
      <c r="CU47" s="340" t="str">
        <f aca="false">IF(A47="N/A"," ",IF(CC=2,(IF(OR(Dayrun=3,Dayrun=6,Dayrun=9),IF(AND(Dayrun&gt;=3,Dayrun&lt;=6),O47,(VLOOKUP(A47,ScaledPrice,7))*(2-(VLOOKUP(A47,ScaledPrice,3)))),0)-((IF(Y47&lt;&gt;0,$D47,$CL47)*$C47)+$F47+$G47)),0))</f>
        <v> </v>
      </c>
      <c r="CV47" s="340" t="str">
        <f aca="false">IF(A47="N/A"," ",IF(CC=2,(VLOOKUP(A47,ScaledPrice,9)-((IF(Z47&lt;&gt;0,$D47,$CL47)*$C47)+$F47+$G47)),0))</f>
        <v> </v>
      </c>
      <c r="CW47" s="318" t="str">
        <f aca="false">IF($A47="N/A"," ",IF(0&lt;&gt;CN47,IF(CC=2,8*$HD47,0),0))</f>
        <v> </v>
      </c>
      <c r="CX47" s="318" t="str">
        <f aca="false">IF($A47="N/A"," ",IF(0&lt;&gt;CO47,IF(CC=2,8*$HD47,0),0))</f>
        <v> </v>
      </c>
      <c r="CY47" s="318" t="str">
        <f aca="false">IF($A47="N/A"," ",IF(0&lt;&gt;CP47,IF(CC=2,8*$HD47,0),0))</f>
        <v> </v>
      </c>
      <c r="CZ47" s="318" t="str">
        <f aca="false">IF($A47="N/A"," ",IF(0&lt;&gt;CQ47,IF(CC=2,8*$HE47,0),0))</f>
        <v> </v>
      </c>
      <c r="DA47" s="318" t="str">
        <f aca="false">IF($A47="N/A"," ",IF(0&lt;&gt;CR47,IF(CC=2,8*$HE47,0),0))</f>
        <v> </v>
      </c>
      <c r="DB47" s="318" t="str">
        <f aca="false">IF($A47="N/A"," ",IF(0&lt;&gt;CS47,IF(CC=2,8*$HE47,0),0))</f>
        <v> </v>
      </c>
      <c r="DC47" s="318" t="str">
        <f aca="false">IF($A47="N/A"," ",IF(0&lt;&gt;CT47,IF(CC=2,8*$HF47,0),0))</f>
        <v> </v>
      </c>
      <c r="DD47" s="318" t="str">
        <f aca="false">IF($A47="N/A"," ",IF(0&lt;&gt;CU47,IF(CC=2,8*$HF47,0),0))</f>
        <v> </v>
      </c>
      <c r="DE47" s="318" t="str">
        <f aca="false">IF($A47="N/A"," ",IF(0&lt;&gt;CV47,IF(CC=2,8*$HF47,0),0))</f>
        <v> </v>
      </c>
      <c r="DF47" s="341" t="str">
        <f aca="false">IF($A47="N/A"," ",IF(CC=2,(IF(MONTH(A47)&gt;=4,IF(MONTH(A47)&lt;=10,Inputs!$G$13,Inputs!$G$14),Inputs!$G$14))*$CK47,0))</f>
        <v> </v>
      </c>
      <c r="DG47" s="342" t="str">
        <f aca="false">IF($A47="N/A"," ",IF(CC=2,$DF47*CW47*CN47,0))</f>
        <v> </v>
      </c>
      <c r="DH47" s="342" t="str">
        <f aca="false">IF($A47="N/A"," ",IF(CC=2,$DF47*CX47*CO47,0))</f>
        <v> </v>
      </c>
      <c r="DI47" s="342" t="str">
        <f aca="false">IF($A47="N/A"," ",IF(CC=2,$DF47*CY47*CP47,0))</f>
        <v> </v>
      </c>
      <c r="DJ47" s="342" t="str">
        <f aca="false">IF($A47="N/A"," ",IF(CC=2,$DF47*CZ47*CQ47,0))</f>
        <v> </v>
      </c>
      <c r="DK47" s="342" t="str">
        <f aca="false">IF($A47="N/A"," ",IF(CC=2,$DF47*DA47*CR47,0))</f>
        <v> </v>
      </c>
      <c r="DL47" s="342" t="str">
        <f aca="false">IF($A47="N/A"," ",IF(CC=2,$DF47*DB47*CS47,0))</f>
        <v> </v>
      </c>
      <c r="DM47" s="342" t="str">
        <f aca="false">IF($A47="N/A"," ",IF(CC=2,$DF47*DC47*CT47,0))</f>
        <v> </v>
      </c>
      <c r="DN47" s="342" t="str">
        <f aca="false">IF($A47="N/A"," ",IF(CC=2,$DF47*DD47*CU47,0))</f>
        <v> </v>
      </c>
      <c r="DO47" s="342" t="str">
        <f aca="false">IF($A47="N/A"," ",IF(CC=2,$DF47*DE47*CV47,0))</f>
        <v> </v>
      </c>
      <c r="DP47" s="343" t="str">
        <f aca="false">IF($A47="N/A"," ",IF(CC=2,SUM(DG47:DO47),0))</f>
        <v> </v>
      </c>
      <c r="DQ47" s="0" t="str">
        <f aca="false">IF(A47="N/A"," ",Perstart)</f>
        <v> </v>
      </c>
      <c r="HD47" s="0" t="str">
        <f aca="false">IF($A47="N/A"," ",VLOOKUP($A47,NumberofDaysTable,2))</f>
        <v> </v>
      </c>
      <c r="HE47" s="0" t="str">
        <f aca="false">IF($A47="N/A"," ",VLOOKUP($A47,NumberofDaysTable,3))</f>
        <v> </v>
      </c>
      <c r="HF47" s="0" t="str">
        <f aca="false">IF($A47="N/A"," ",VLOOKUP($A47,NumberofDaysTable,4))</f>
        <v> </v>
      </c>
    </row>
    <row r="48" customFormat="false" ht="12.75" hidden="false" customHeight="false" outlineLevel="0" collapsed="false">
      <c r="A48" s="308" t="str">
        <f aca="false">IF(A47="N/A","N/A",IF(EDATE(A47,1)&gt;Inputs!$K$3,"N/A",EDATE(A47,1)))</f>
        <v>N/A</v>
      </c>
      <c r="B48" s="309" t="str">
        <f aca="false">IF(A48="N/A"," ",YEAR(A48))</f>
        <v> </v>
      </c>
      <c r="C48" s="310" t="str">
        <f aca="false">IF(A48="N/A"," ",VLOOKUP(A48,ScaledPrice,10))</f>
        <v> </v>
      </c>
      <c r="D48" s="311" t="str">
        <f aca="false">IF(A48="N/A"," ",(VLOOKUP(MONTH($A48),Hrtable,2))/1000)</f>
        <v> </v>
      </c>
      <c r="E48" s="312" t="str">
        <f aca="false">IF($A48="N/A"," ",(C48-'Pricing Inputs'!T81)*D48)</f>
        <v> </v>
      </c>
      <c r="F48" s="313" t="str">
        <f aca="false">IF(A48="N/A"," ",$F36*(1+VOMesc))</f>
        <v> </v>
      </c>
      <c r="G48" s="313" t="str">
        <f aca="false">IF(A48="N/A"," ",Perstart/IF(AND(Dayrun&gt;=4,Dayrun&lt;=6),16,IF(AND(Dayrun&gt;=7,Dayrun&lt;=9),8,24))/(BM48/CK48))</f>
        <v> </v>
      </c>
      <c r="H48" s="314" t="str">
        <f aca="false">IF(A48="N/A"," ",(C48*D48)+F48+G48)</f>
        <v> </v>
      </c>
      <c r="I48" s="315" t="str">
        <f aca="false">VLOOKUP(A48,ScaledPrice,(IF(AND(Dayrun&gt;=1,Dayrun&lt;=6),2,4)))</f>
        <v> </v>
      </c>
      <c r="J48" s="315" t="str">
        <f aca="false">IF(A48="N/A"," ",IF(AND(Dayrun&gt;=1,Dayrun&lt;=6),I48,(VLOOKUP(A48,ScaledPrice,2))*(2-(VLOOKUP(A48,ScaledPrice,3)))))</f>
        <v> </v>
      </c>
      <c r="K48" s="315" t="str">
        <f aca="false">IF(A48="N/A"," ",IF(AND(Dayrun&gt;=1,Dayrun&lt;=3),VLOOKUP(A48,ScaledPrice,9),0))</f>
        <v> </v>
      </c>
      <c r="L48" s="315" t="str">
        <f aca="false">IF(A48="N/A"," ",IF(OR(Dayrun=2,Dayrun=3,Dayrun=5,Dayrun=6,Dayrun=8,Dayrun=9),VLOOKUP(A48,ScaledPrice,IF(AND(Dayrun&gt;=2,Dayrun&lt;=6),5,6)),0))</f>
        <v> </v>
      </c>
      <c r="M48" s="315" t="str">
        <f aca="false">IF(A48="N/A"," ",IF(OR(Dayrun=2,Dayrun=3,Dayrun=5,Dayrun=6,Dayrun=8,Dayrun=9),IF(AND(Dayrun&gt;=2,Dayrun&lt;=6),L48,(VLOOKUP(A48,ScaledPrice,5))*(2-(VLOOKUP(A48,ScaledPrice,3)))),0))</f>
        <v> </v>
      </c>
      <c r="N48" s="315" t="str">
        <f aca="false">IF(A48="N/A"," ",IF(AND(Dayrun&gt;1,Dayrun&lt;=3),VLOOKUP(A48,ScaledPrice,9),0))</f>
        <v> </v>
      </c>
      <c r="O48" s="315" t="str">
        <f aca="false">IF(A48="N/A"," ",IF(OR(Dayrun=3,Dayrun=6,Dayrun=9),(VLOOKUP(A48,ScaledPrice,IF(AND(Dayrun&gt;=3,Dayrun&lt;=6),7,8))),0))</f>
        <v> </v>
      </c>
      <c r="P48" s="315" t="str">
        <f aca="false">IF(A48="N/A"," ",IF(OR(Dayrun=3,Dayrun=6,Dayrun=9),IF(AND(Dayrun&gt;=3,Dayrun&lt;=6),O48,(VLOOKUP(A48,ScaledPrice,7))*(2-(VLOOKUP(A48,ScaledPrice,3)))),0))</f>
        <v> </v>
      </c>
      <c r="Q48" s="315" t="str">
        <f aca="false">IF(A48="N/A"," ",IF(AND(Dayrun&gt;2,Dayrun&lt;=3),VLOOKUP(A48,ScaledPrice,9),0))</f>
        <v> </v>
      </c>
      <c r="R48" s="316" t="str">
        <f aca="false">IF($A48="N/A"," ",IF(Pricetype=2,MAX(I48-$H48,0),IF(Pricetype=1,(xSPRDOPT(I48,$E48,$CI48,0,($CD48+IF(Smile=TRUE(),VLOOKUP(MAX(-5,$H48-I48),Volsmile,2),0)),$CG48,$CH48,($A48-DateToday)+15,1,0)),I48-$H48)))</f>
        <v> </v>
      </c>
      <c r="S48" s="316" t="str">
        <f aca="false">IF($A48="N/A"," ",IF(Pricetype=2,MAX(J48-$H48,0),IF(Pricetype=1,(xSPRDOPT(J48,$E48,$CI48,0,($CD48+IF(Smile=TRUE(),VLOOKUP(MAX(-5,$H48-J48),Volsmile,2),0)),$CG48,$CH48,($A48-DateToday)+15,1,0)),J48-$H48)))</f>
        <v> </v>
      </c>
      <c r="T48" s="317" t="str">
        <f aca="false">IF($A48="N/A"," ",(IF(Pricetype=2,IF((K48-$H48)&lt;=0,0,(K48-$H48)),IF(K48&lt;&gt;0,(K48-$H48),0))))</f>
        <v> </v>
      </c>
      <c r="U48" s="316" t="str">
        <f aca="false">IF($A48="N/A"," ",IF(Pricetype=2,MAX(L48-$H48,0),IF(L48&lt;&gt;0,IF(Pricetype=1,(xSPRDOPT(L48,$E48,$CI48,0,($CD48+IF(Smile=TRUE(),VLOOKUP(MAX(-5,$H48-L48),Volsmile,2),0)),$CG48,$CH48,($A48-DateToday)+15,1,0)),L48-$H48),0)))</f>
        <v> </v>
      </c>
      <c r="V48" s="316" t="str">
        <f aca="false">IF($A48="N/A"," ",IF(Pricetype=2,MAX(M48-$H48,0),IF(M48&lt;&gt;0,IF(Pricetype=1,(xSPRDOPT(M48,$E48,$CI48,0,($CD48+IF(Smile=TRUE(),VLOOKUP(MAX(-5,$H48-M48),Volsmile,2),0)),$CG48,$CH48,($A48-DateToday)+15,1,0)),M48-$H48),0)))</f>
        <v> </v>
      </c>
      <c r="W48" s="317" t="str">
        <f aca="false">IF($A48="N/A"," ",(IF(Pricetype=2,IF((N48-$H48)&lt;=0,0,(N48-$H48)),IF(N48&lt;&gt;0,(N48-$H48),0))))</f>
        <v> </v>
      </c>
      <c r="X48" s="316" t="str">
        <f aca="false">IF($A48="N/A"," ",IF(Pricetype=2,MAX(O48-$H48,0),IF(O48&lt;&gt;0,IF(Pricetype=1,(xSPRDOPT(O48,$E48,$CI48,0,($CD48+IF(Smile=TRUE(),VLOOKUP(MAX(-5,$H48-O48),Volsmile,2),0)),$CG48,$CH48,($A48-DateToday)+15,1,0)),O48-$H48),0)))</f>
        <v> </v>
      </c>
      <c r="Y48" s="316" t="str">
        <f aca="false">IF($A48="N/A"," ",IF(Pricetype=2,MAX(P48-$H48,0),IF(P48&lt;&gt;0,IF(Pricetype=1,(xSPRDOPT(P48,$E48,$CI48,0,($CD48+IF(Smile=TRUE(),VLOOKUP(MAX(-5,$H48-P48),Volsmile,2),0)),$CG48,$CH48,($A48-DateToday)+15,1,0)),P48-$H48),0)))</f>
        <v> </v>
      </c>
      <c r="Z48" s="317" t="str">
        <f aca="false">IF($A48="N/A"," ",(IF(Pricetype=2,IF((Q48-$H48)&lt;=0,0,(Q48-$H48)),IF(Q48&lt;&gt;0,(Q48-$H48),0))))</f>
        <v> </v>
      </c>
      <c r="AA48" s="318" t="str">
        <f aca="false">IF($A48="N/A"," ",IF(VLOOKUP(MONTH(A48),ManualTable,2)=1,(IF(0&lt;&gt;R48,IF(Pricetype=1,(xSPRDOPT(I48,$E48,$CI48,0,($CD48+IF(Smile=TRUE(),VLOOKUP(MAX(-5,$H48-I48),Volsmile,2),0)),$CG48,$CH48,($A48-DateToday)+15,1,1))*(8*$HD48),8*$HD48),0)),0))</f>
        <v> </v>
      </c>
      <c r="AB48" s="318" t="str">
        <f aca="false">IF($A48="N/A"," ",IF(VLOOKUP(MONTH(A48),ManualTable,3)=1,(IF(S48&lt;&gt;0,IF(Pricetype=1,(xSPRDOPT(J48,$E48,$CI48,0,($CD48+IF(Smile=TRUE(),VLOOKUP(MAX(-5,$H48-J48),Volsmile,2),0)),$CG48,$CH48,($A48-DateToday)+15,1,1))*(8*$HD48),8*$HD48),0)),0))</f>
        <v> </v>
      </c>
      <c r="AC48" s="318" t="str">
        <f aca="false">IF($A48="N/A"," ",IF(VLOOKUP(MONTH(A48),ManualTable,4)=1,(IF(T48&lt;&gt;0,(8*$HD48),0)),0))</f>
        <v> </v>
      </c>
      <c r="AD48" s="318" t="str">
        <f aca="false">IF($A48="N/A"," ",IF(VLOOKUP(MONTH(A48),ManualTable,5)=1,(IF(U48&lt;&gt;0,IF(Pricetype=1,(xSPRDOPT(L48,$E48,$CI48,0,($CD48+IF(Smile=TRUE(),VLOOKUP(MAX(-5,$H48-L48),Volsmile,2),0)),$CG48,$CH48,($A48-DateToday)+15,1,1))*(8*$HE48),8*$HE48),0)),0))</f>
        <v> </v>
      </c>
      <c r="AE48" s="318" t="str">
        <f aca="false">IF($A48="N/A"," ",IF(VLOOKUP(MONTH(A48),ManualTable,6)=1,(IF(V48&lt;&gt;0,IF(Pricetype=1,(xSPRDOPT(M48,$E48,$CI48,0,($CD48+IF(Smile=TRUE(),VLOOKUP(MAX(-5,$H48-M48),Volsmile,2),0)),$CG48,$CH48,($A48-DateToday)+15,1,1))*(8*$HE48),8*$HE48),0)),0))</f>
        <v> </v>
      </c>
      <c r="AF48" s="318" t="str">
        <f aca="false">IF($A48="N/A"," ",IF(VLOOKUP(MONTH(A48),ManualTable,7)=1,(IF(W48&lt;&gt;0,(8*$HE48),0)),0))</f>
        <v> </v>
      </c>
      <c r="AG48" s="318" t="str">
        <f aca="false">IF($A48="N/A"," ",IF(VLOOKUP(MONTH(A48),ManualTable,8)=1,(IF(X48&lt;&gt;0,IF(Pricetype=1,(xSPRDOPT(O48,$E48,$CI48,0,($CD48+IF(Smile=TRUE(),VLOOKUP(MAX(-5,$H48-O48),Volsmile,2),0)),$CG48,$CH48,($A48-DateToday)+15,1,1))*(8*$HF48),8*$HF48),0)),0))</f>
        <v> </v>
      </c>
      <c r="AH48" s="318" t="str">
        <f aca="false">IF($A48="N/A"," ",IF(VLOOKUP(MONTH(A48),ManualTable,9)=1,(IF(Y48&lt;&gt;0,IF(Pricetype=1,(xSPRDOPT(P48,$E48,$CI48,0,($CD48+IF(Smile=TRUE(),VLOOKUP(MAX(-5,$H48-P48),Volsmile,2),0)),$CG48,$CH48,($A48-DateToday)+15,1,1))*(8*$HF48),8*$HF48),0)),0))</f>
        <v> </v>
      </c>
      <c r="AI48" s="318" t="str">
        <f aca="false">IF($A48="N/A"," ",IF(VLOOKUP(MONTH(A48),ManualTable,10)=1,(IF(Z48&lt;&gt;0,(8*($HF48)),0)),0))</f>
        <v> </v>
      </c>
      <c r="AJ48" s="344" t="str">
        <f aca="false">IF($A48="N/A"," ",RANK(R48,$R$40:$Z$51))</f>
        <v> </v>
      </c>
      <c r="AK48" s="321" t="str">
        <f aca="false">IF($A48="N/A"," ",RANK(S48,$R$40:$Z$51))</f>
        <v> </v>
      </c>
      <c r="AL48" s="321" t="str">
        <f aca="false">IF($A48="N/A"," ",RANK(T48,$R$40:$Z$51))</f>
        <v> </v>
      </c>
      <c r="AM48" s="321" t="str">
        <f aca="false">IF($A48="N/A"," ",RANK(U48,$R$40:$Z$51))</f>
        <v> </v>
      </c>
      <c r="AN48" s="321" t="str">
        <f aca="false">IF($A48="N/A"," ",RANK(V48,$R$40:$Z$51))</f>
        <v> </v>
      </c>
      <c r="AO48" s="321" t="str">
        <f aca="false">IF($A48="N/A"," ",RANK(W48,$R$40:$Z$51))</f>
        <v> </v>
      </c>
      <c r="AP48" s="321" t="str">
        <f aca="false">IF($A48="N/A"," ",RANK(X48,$R$40:$Z$51))</f>
        <v> </v>
      </c>
      <c r="AQ48" s="321" t="str">
        <f aca="false">IF($A48="N/A"," ",RANK(Y48,$R$40:$Z$51))</f>
        <v> </v>
      </c>
      <c r="AR48" s="345" t="str">
        <f aca="false">IF($A48="N/A"," ",RANK(Z48,$R$40:$Z$51))</f>
        <v> </v>
      </c>
      <c r="AS48" s="323" t="str">
        <f aca="false">IF($A48="N/A"," ",IF(AJ48&lt;=$AR$2,AA48,0))</f>
        <v> </v>
      </c>
      <c r="AT48" s="325" t="str">
        <f aca="false">IF($A48="N/A"," ",IF(AK48&lt;=$AR$2,AB48,0))</f>
        <v> </v>
      </c>
      <c r="AU48" s="325" t="str">
        <f aca="false">IF($A48="N/A"," ",IF(AL48&lt;=$AR$2,AC48,0))</f>
        <v> </v>
      </c>
      <c r="AV48" s="325" t="str">
        <f aca="false">IF($A48="N/A"," ",IF(AM48&lt;=$AR$2,AD48,0))</f>
        <v> </v>
      </c>
      <c r="AW48" s="325" t="str">
        <f aca="false">IF($A48="N/A"," ",IF(AN48&lt;=$AR$2,AE48,0))</f>
        <v> </v>
      </c>
      <c r="AX48" s="325" t="str">
        <f aca="false">IF($A48="N/A"," ",IF(AO48&lt;=$AR$2,AF48,0))</f>
        <v> </v>
      </c>
      <c r="AY48" s="325" t="str">
        <f aca="false">IF($A48="N/A"," ",IF(AP48&lt;=$AR$2,AG48,0))</f>
        <v> </v>
      </c>
      <c r="AZ48" s="325" t="str">
        <f aca="false">IF($A48="N/A"," ",IF(AQ48&lt;=$AR$2,AH48,0))</f>
        <v> </v>
      </c>
      <c r="BA48" s="325" t="str">
        <f aca="false">IF($A48="N/A"," ",IF(AR48&lt;=$AR$2,AI48,0))</f>
        <v> </v>
      </c>
      <c r="BB48" s="345"/>
      <c r="BC48" s="326" t="str">
        <f aca="false">IF($A48="N/A"," ",IF(AND(AJ48=$AR$2+1,AS48=0),MIN($BB$51,AA48),0))</f>
        <v> </v>
      </c>
      <c r="BD48" s="346" t="str">
        <f aca="false">IF($A48="N/A"," ",IF(AND(AK48=$AR$2+1,AT48=0),MIN($BB$51,AB48),0))</f>
        <v> </v>
      </c>
      <c r="BE48" s="346" t="str">
        <f aca="false">IF($A48="N/A"," ",IF(AND(AL48=$AR$2+1,AU48=0),MIN($BB$51,AC48),0))</f>
        <v> </v>
      </c>
      <c r="BF48" s="346" t="str">
        <f aca="false">IF($A48="N/A"," ",IF(AND(AM48=$AR$2+1,AV48=0),MIN($BB$51,AD48),0))</f>
        <v> </v>
      </c>
      <c r="BG48" s="346" t="str">
        <f aca="false">IF($A48="N/A"," ",IF(AND(AN48=$AR$2+1,AW48=0),MIN($BB$51,AE48),0))</f>
        <v> </v>
      </c>
      <c r="BH48" s="346" t="str">
        <f aca="false">IF($A48="N/A"," ",IF(AND(AO48=$AR$2+1,AX48=0),MIN($BB$51,AF48),0))</f>
        <v> </v>
      </c>
      <c r="BI48" s="346" t="str">
        <f aca="false">IF($A48="N/A"," ",IF(AND(AP48=$AR$2+1,AY48=0),MIN($BB$51,AG48),0))</f>
        <v> </v>
      </c>
      <c r="BJ48" s="346" t="str">
        <f aca="false">IF($A48="N/A"," ",IF(AND(AQ48=$AR$2+1,AZ48=0),MIN($BB$51,AH48),0))</f>
        <v> </v>
      </c>
      <c r="BK48" s="346" t="str">
        <f aca="false">IF($A48="N/A"," ",IF(AND(AR48=$AR$2+1,BA48=0),MIN($BB$51,AI48),0))</f>
        <v> </v>
      </c>
      <c r="BL48" s="345"/>
      <c r="BM48" s="329" t="str">
        <f aca="false">IF($A48="N/A"," ",(IF(MONTH(A48)&gt;=4,IF(MONTH(A48)&lt;=10,Inputs!$F$13-Inputs!$G$13,Inputs!$F$14-Inputs!$G$14),Inputs!$F$14-Inputs!$G$14))*$CK48*Availability)</f>
        <v> </v>
      </c>
      <c r="BN48" s="330" t="str">
        <f aca="false">IF($A48="N/A"," ",(IF(AS48&gt;0,($BM48*(8*($HD48))*R48),0)+IF(BC48&gt;0,($BM48*((BC48/AA48)*8*$HD48)*R48),0)))</f>
        <v> </v>
      </c>
      <c r="BO48" s="330" t="str">
        <f aca="false">IF($A48="N/A"," ",(IF(AT48&gt;0,($BM48*(8*($HD48))*S48),0)+IF(BD48&gt;0,($BM48*((BD48/AB48)*8*$HD48)*S48),0)))</f>
        <v> </v>
      </c>
      <c r="BP48" s="330" t="str">
        <f aca="false">IF($A48="N/A"," ",(IF(AU48&gt;0,($BM48*(8*($HD48))*T48),0)+IF(BE48&gt;0,($BM48*((BE48))*T48),0)))</f>
        <v> </v>
      </c>
      <c r="BQ48" s="330" t="str">
        <f aca="false">IF($A48="N/A"," ",(IF(AV48&gt;0,($BM48*(8*($HE48))*U48),0)+IF(BF48&gt;0,($BM48*((BF48/AD48)*8*$HE48)*U48),0)))</f>
        <v> </v>
      </c>
      <c r="BR48" s="330" t="str">
        <f aca="false">IF($A48="N/A"," ",(IF(AW48&gt;0,($BM48*(8*($HE48))*V48),0)+IF(BG48&gt;0,($BM48*((BG48/AE48)*8*$HE48)*V48),0)))</f>
        <v> </v>
      </c>
      <c r="BS48" s="330" t="str">
        <f aca="false">IF($A48="N/A"," ",(IF(AX48&gt;0,($BM48*(8*($HE48))*W48),0)+IF(BH48&gt;0,($BM48*((BH48))*W48),0)))</f>
        <v> </v>
      </c>
      <c r="BT48" s="330" t="str">
        <f aca="false">IF($A48="N/A"," ",(IF(AY48&gt;0,($BM48*(8*($HF48))*X48),0)+IF(BI48&gt;0,($BM48*((BI48/AG48)*8*$HF48)*X48),0)))</f>
        <v> </v>
      </c>
      <c r="BU48" s="330" t="str">
        <f aca="false">IF($A48="N/A"," ",(IF(AZ48&gt;0,($BM48*(8*($HF48))*Y48),0)+IF(BJ48&gt;0,($BM48*((BJ48/AH48)*8*$HF48)*Y48),0)))</f>
        <v> </v>
      </c>
      <c r="BV48" s="330" t="str">
        <f aca="false">IF($A48="N/A"," ",(IF(BA48&gt;0,($BM48*(8*($HF48))*Z48),0)+IF(BK48&gt;0,($BM48*((BK48))*Z48),0)))</f>
        <v> </v>
      </c>
      <c r="BW48" s="330" t="str">
        <f aca="false">IF($A48="N/A"," ",SUM(BN48:BV48))</f>
        <v> </v>
      </c>
      <c r="BX48" s="331" t="str">
        <f aca="false">IF($A48="N/A"," ",(H48*(SUM(AS48:BA48)+SUM(BC48:BK48))*BM48))</f>
        <v> </v>
      </c>
      <c r="BY48" s="332" t="str">
        <f aca="false">IF($A48="N/A"," ",((C48*D48)*(SUM($AS48:$BA48)+SUM($BC48:$BK48))*$BM48))</f>
        <v> </v>
      </c>
      <c r="BZ48" s="332" t="str">
        <f aca="false">IF($A48="N/A"," ",(F48*(SUM($AS48:$BA48)+SUM($BC48:$BK48))*$BM48))</f>
        <v> </v>
      </c>
      <c r="CA48" s="333" t="str">
        <f aca="false">IF($A48="N/A"," ",(G48*(SUM($AS48:$BA48)+SUM($BC48:$BK48))*$BM48))</f>
        <v> </v>
      </c>
      <c r="CB48" s="334" t="str">
        <f aca="false">IF(A48="N/A"," ",(VLOOKUP(A48,PowerVolTable,(IF(BMO=2,7,IF(BMO=1,6,8))),FALSE())))</f>
        <v> </v>
      </c>
      <c r="CC48" s="334" t="str">
        <f aca="false">IF(A48="N/A"," ",(VLOOKUP(A48,IntraPowerVol,(IF(BMO=2,3,IF(BMO=1,2,4))),FALSE())*VLOOKUP(MONTH($A48),Volscale,2)))</f>
        <v> </v>
      </c>
      <c r="CD48" s="335" t="str">
        <f aca="false">IF($A48="N/A"," ",(IF(DateToday&gt;$A48,$CC48,((($CB48^2)*((($A48-1)-DateToday)/((EOMONTH($A48,0)+1)-DateToday-15)))+((($CC48)^2)*((15)/((EOMONTH($A48,0)+1)-DateToday-15))))^0.5)))</f>
        <v> </v>
      </c>
      <c r="CE48" s="334" t="str">
        <f aca="false">IF($A48="N/A"," ",(VLOOKUP($A48,GasVolTable,(IF(BMO=2,6,IF(BMO=1,7,5))),FALSE())))</f>
        <v> </v>
      </c>
      <c r="CF48" s="334" t="str">
        <f aca="false">IF($A48="N/A"," ",(VLOOKUP($A48,OmicronVol,(IF(BMO=2,3,IF(BMO=1,4,2))),FALSE())))</f>
        <v> </v>
      </c>
      <c r="CG48" s="335" t="str">
        <f aca="false">IF($A48="N/A"," ",(IF(DateToday&gt;$A48,$CF48,((($CE48^2)*((($A48-1)-DateToday)/((EOMONTH($A48,0)+1)-DateToday-15)))+((($CF48)^2)*((15)/((EOMONTH($A48,0)+1)-DateToday-15))))^0.5)))</f>
        <v> </v>
      </c>
      <c r="CH48" s="334" t="str">
        <f aca="false">IF($A48="N/A"," ",VLOOKUP($A48,CorrelationTable,2,FALSE()))</f>
        <v> </v>
      </c>
      <c r="CI48" s="336" t="str">
        <f aca="false">IF($A48="N/A"," ",F48+G48+(D48*('Pricing Inputs'!T81)))</f>
        <v> </v>
      </c>
      <c r="CJ48" s="334" t="str">
        <f aca="false">IF($A48="N/A"," ",IF(PV=1,0,'Pricing Inputs'!U81))</f>
        <v> </v>
      </c>
      <c r="CK48" s="337" t="str">
        <f aca="false">IF($A48="N/A"," ",(1+CJ48/2)^(-2*((EOMONTH(A48,0)+20)-DateToday)/365.25))</f>
        <v> </v>
      </c>
      <c r="CL48" s="338" t="str">
        <f aca="false">IF(A48="N/A"," ",IF(CC=2,(VLOOKUP(MONTH($A48),Hrtable,3))/1000,0))</f>
        <v> </v>
      </c>
      <c r="CM48" s="339" t="str">
        <f aca="false">IF(A48="N/A"," ",IF(CC=2,(CL48*C48)+F48,0))</f>
        <v> </v>
      </c>
      <c r="CN48" s="340" t="str">
        <f aca="false">IF($A48="N/A"," ",IF(CC=2,(VLOOKUP(A48,ScaledPrice,(IF(AND(Dayrun&gt;=1,Dayrun&lt;=6),2,4)))-((IF(R48&lt;&gt;0,$D48,$CL48)*$C48)+$F48+$G48)),0))</f>
        <v> </v>
      </c>
      <c r="CO48" s="340" t="str">
        <f aca="false">IF($A48="N/A"," ",IF(CC=2,(IF(AND(Dayrun&gt;=1,Dayrun&lt;=6),I48,(VLOOKUP(A48,ScaledPrice,2))*(2-(VLOOKUP(A48,ScaledPrice,3))))-((IF(S48&lt;&gt;0,$D48,$CL48)*$C48)+$F48+$G48)),0))</f>
        <v> </v>
      </c>
      <c r="CP48" s="340" t="str">
        <f aca="false">IF(A48="N/A"," ",IF(CC=2,(VLOOKUP(A48,ScaledPrice,9)-((IF(T48&lt;&gt;0,$D48,$CL48)*$C48)+$F48+$G48)),0))</f>
        <v> </v>
      </c>
      <c r="CQ48" s="340" t="str">
        <f aca="false">IF(A48="N/A"," ",IF(CC=2,(IF(OR(Dayrun=2,Dayrun=3,Dayrun=5,Dayrun=6,Dayrun=8,Dayrun=9),VLOOKUP(A48,ScaledPrice,IF(AND(Dayrun&gt;=2,Dayrun&lt;=6),5,6)),0)-((IF(U48&lt;&gt;0,$D48,$CL48)*$C48)+$F48+$G48)),0))</f>
        <v> </v>
      </c>
      <c r="CR48" s="340" t="str">
        <f aca="false">IF(A48="N/A"," ",IF(CC=2,(IF(OR(Dayrun=2,Dayrun=3,Dayrun=5,Dayrun=6,Dayrun=8,Dayrun=9),IF(AND(Dayrun&gt;=2,Dayrun&lt;=6),L48,(VLOOKUP(A48,ScaledPrice,5))*(2-(VLOOKUP(A48,ScaledPrice,3)))),0)-((IF(V48&lt;&gt;0,$D48,$CL48)*$C48)+$F48+$G48)),0))</f>
        <v> </v>
      </c>
      <c r="CS48" s="340" t="str">
        <f aca="false">IF(A48="N/A"," ",IF(CC=2,(VLOOKUP(A48,ScaledPrice,9)-((IF(W48&lt;&gt;0,$D48,$CL48)*$C48)+$F48+$G48)),0))</f>
        <v> </v>
      </c>
      <c r="CT48" s="340" t="str">
        <f aca="false">IF(A48="N/A"," ",IF(CC=2,(IF(OR(Dayrun=3,Dayrun=6,Dayrun=9),(VLOOKUP(A48,ScaledPrice,IF(AND(Dayrun&gt;=3,Dayrun&lt;=6),7,8))),0)-((IF(X48&lt;&gt;0,$D48,$CL48)*$C48)+$F48+$G48)),0))</f>
        <v> </v>
      </c>
      <c r="CU48" s="340" t="str">
        <f aca="false">IF(A48="N/A"," ",IF(CC=2,(IF(OR(Dayrun=3,Dayrun=6,Dayrun=9),IF(AND(Dayrun&gt;=3,Dayrun&lt;=6),O48,(VLOOKUP(A48,ScaledPrice,7))*(2-(VLOOKUP(A48,ScaledPrice,3)))),0)-((IF(Y48&lt;&gt;0,$D48,$CL48)*$C48)+$F48+$G48)),0))</f>
        <v> </v>
      </c>
      <c r="CV48" s="340" t="str">
        <f aca="false">IF(A48="N/A"," ",IF(CC=2,(VLOOKUP(A48,ScaledPrice,9)-((IF(Z48&lt;&gt;0,$D48,$CL48)*$C48)+$F48+$G48)),0))</f>
        <v> </v>
      </c>
      <c r="CW48" s="318" t="str">
        <f aca="false">IF($A48="N/A"," ",IF(0&lt;&gt;CN48,IF(CC=2,8*$HD48,0),0))</f>
        <v> </v>
      </c>
      <c r="CX48" s="318" t="str">
        <f aca="false">IF($A48="N/A"," ",IF(0&lt;&gt;CO48,IF(CC=2,8*$HD48,0),0))</f>
        <v> </v>
      </c>
      <c r="CY48" s="318" t="str">
        <f aca="false">IF($A48="N/A"," ",IF(0&lt;&gt;CP48,IF(CC=2,8*$HD48,0),0))</f>
        <v> </v>
      </c>
      <c r="CZ48" s="318" t="str">
        <f aca="false">IF($A48="N/A"," ",IF(0&lt;&gt;CQ48,IF(CC=2,8*$HE48,0),0))</f>
        <v> </v>
      </c>
      <c r="DA48" s="318" t="str">
        <f aca="false">IF($A48="N/A"," ",IF(0&lt;&gt;CR48,IF(CC=2,8*$HE48,0),0))</f>
        <v> </v>
      </c>
      <c r="DB48" s="318" t="str">
        <f aca="false">IF($A48="N/A"," ",IF(0&lt;&gt;CS48,IF(CC=2,8*$HE48,0),0))</f>
        <v> </v>
      </c>
      <c r="DC48" s="318" t="str">
        <f aca="false">IF($A48="N/A"," ",IF(0&lt;&gt;CT48,IF(CC=2,8*$HF48,0),0))</f>
        <v> </v>
      </c>
      <c r="DD48" s="318" t="str">
        <f aca="false">IF($A48="N/A"," ",IF(0&lt;&gt;CU48,IF(CC=2,8*$HF48,0),0))</f>
        <v> </v>
      </c>
      <c r="DE48" s="318" t="str">
        <f aca="false">IF($A48="N/A"," ",IF(0&lt;&gt;CV48,IF(CC=2,8*$HF48,0),0))</f>
        <v> </v>
      </c>
      <c r="DF48" s="341" t="str">
        <f aca="false">IF($A48="N/A"," ",IF(CC=2,(IF(MONTH(A48)&gt;=4,IF(MONTH(A48)&lt;=10,Inputs!$G$13,Inputs!$G$14),Inputs!$G$14))*$CK48,0))</f>
        <v> </v>
      </c>
      <c r="DG48" s="342" t="str">
        <f aca="false">IF($A48="N/A"," ",IF(CC=2,$DF48*CW48*CN48,0))</f>
        <v> </v>
      </c>
      <c r="DH48" s="342" t="str">
        <f aca="false">IF($A48="N/A"," ",IF(CC=2,$DF48*CX48*CO48,0))</f>
        <v> </v>
      </c>
      <c r="DI48" s="342" t="str">
        <f aca="false">IF($A48="N/A"," ",IF(CC=2,$DF48*CY48*CP48,0))</f>
        <v> </v>
      </c>
      <c r="DJ48" s="342" t="str">
        <f aca="false">IF($A48="N/A"," ",IF(CC=2,$DF48*CZ48*CQ48,0))</f>
        <v> </v>
      </c>
      <c r="DK48" s="342" t="str">
        <f aca="false">IF($A48="N/A"," ",IF(CC=2,$DF48*DA48*CR48,0))</f>
        <v> </v>
      </c>
      <c r="DL48" s="342" t="str">
        <f aca="false">IF($A48="N/A"," ",IF(CC=2,$DF48*DB48*CS48,0))</f>
        <v> </v>
      </c>
      <c r="DM48" s="342" t="str">
        <f aca="false">IF($A48="N/A"," ",IF(CC=2,$DF48*DC48*CT48,0))</f>
        <v> </v>
      </c>
      <c r="DN48" s="342" t="str">
        <f aca="false">IF($A48="N/A"," ",IF(CC=2,$DF48*DD48*CU48,0))</f>
        <v> </v>
      </c>
      <c r="DO48" s="342" t="str">
        <f aca="false">IF($A48="N/A"," ",IF(CC=2,$DF48*DE48*CV48,0))</f>
        <v> </v>
      </c>
      <c r="DP48" s="343" t="str">
        <f aca="false">IF($A48="N/A"," ",IF(CC=2,SUM(DG48:DO48),0))</f>
        <v> </v>
      </c>
      <c r="DQ48" s="0" t="str">
        <f aca="false">IF(A48="N/A"," ",Perstart)</f>
        <v> </v>
      </c>
      <c r="HD48" s="0" t="str">
        <f aca="false">IF($A48="N/A"," ",VLOOKUP($A48,NumberofDaysTable,2))</f>
        <v> </v>
      </c>
      <c r="HE48" s="0" t="str">
        <f aca="false">IF($A48="N/A"," ",VLOOKUP($A48,NumberofDaysTable,3))</f>
        <v> </v>
      </c>
      <c r="HF48" s="0" t="str">
        <f aca="false">IF($A48="N/A"," ",VLOOKUP($A48,NumberofDaysTable,4))</f>
        <v> </v>
      </c>
    </row>
    <row r="49" customFormat="false" ht="12.75" hidden="false" customHeight="false" outlineLevel="0" collapsed="false">
      <c r="A49" s="308" t="str">
        <f aca="false">IF(A48="N/A","N/A",IF(EDATE(A48,1)&gt;Inputs!$K$3,"N/A",EDATE(A48,1)))</f>
        <v>N/A</v>
      </c>
      <c r="B49" s="309" t="str">
        <f aca="false">IF(A49="N/A"," ",YEAR(A49))</f>
        <v> </v>
      </c>
      <c r="C49" s="310" t="str">
        <f aca="false">IF(A49="N/A"," ",VLOOKUP(A49,ScaledPrice,10))</f>
        <v> </v>
      </c>
      <c r="D49" s="311" t="str">
        <f aca="false">IF(A49="N/A"," ",(VLOOKUP(MONTH($A49),Hrtable,2))/1000)</f>
        <v> </v>
      </c>
      <c r="E49" s="312" t="str">
        <f aca="false">IF($A49="N/A"," ",(C49-'Pricing Inputs'!T82)*D49)</f>
        <v> </v>
      </c>
      <c r="F49" s="313" t="str">
        <f aca="false">IF(A49="N/A"," ",$F37*(1+VOMesc))</f>
        <v> </v>
      </c>
      <c r="G49" s="313" t="str">
        <f aca="false">IF(A49="N/A"," ",Perstart/IF(AND(Dayrun&gt;=4,Dayrun&lt;=6),16,IF(AND(Dayrun&gt;=7,Dayrun&lt;=9),8,24))/(BM49/CK49))</f>
        <v> </v>
      </c>
      <c r="H49" s="314" t="str">
        <f aca="false">IF(A49="N/A"," ",(C49*D49)+F49+G49)</f>
        <v> </v>
      </c>
      <c r="I49" s="315" t="str">
        <f aca="false">VLOOKUP(A49,ScaledPrice,(IF(AND(Dayrun&gt;=1,Dayrun&lt;=6),2,4)))</f>
        <v> </v>
      </c>
      <c r="J49" s="315" t="str">
        <f aca="false">IF(A49="N/A"," ",IF(AND(Dayrun&gt;=1,Dayrun&lt;=6),I49,(VLOOKUP(A49,ScaledPrice,2))*(2-(VLOOKUP(A49,ScaledPrice,3)))))</f>
        <v> </v>
      </c>
      <c r="K49" s="315" t="str">
        <f aca="false">IF(A49="N/A"," ",IF(AND(Dayrun&gt;=1,Dayrun&lt;=3),VLOOKUP(A49,ScaledPrice,9),0))</f>
        <v> </v>
      </c>
      <c r="L49" s="315" t="str">
        <f aca="false">IF(A49="N/A"," ",IF(OR(Dayrun=2,Dayrun=3,Dayrun=5,Dayrun=6,Dayrun=8,Dayrun=9),VLOOKUP(A49,ScaledPrice,IF(AND(Dayrun&gt;=2,Dayrun&lt;=6),5,6)),0))</f>
        <v> </v>
      </c>
      <c r="M49" s="315" t="str">
        <f aca="false">IF(A49="N/A"," ",IF(OR(Dayrun=2,Dayrun=3,Dayrun=5,Dayrun=6,Dayrun=8,Dayrun=9),IF(AND(Dayrun&gt;=2,Dayrun&lt;=6),L49,(VLOOKUP(A49,ScaledPrice,5))*(2-(VLOOKUP(A49,ScaledPrice,3)))),0))</f>
        <v> </v>
      </c>
      <c r="N49" s="315" t="str">
        <f aca="false">IF(A49="N/A"," ",IF(AND(Dayrun&gt;1,Dayrun&lt;=3),VLOOKUP(A49,ScaledPrice,9),0))</f>
        <v> </v>
      </c>
      <c r="O49" s="315" t="str">
        <f aca="false">IF(A49="N/A"," ",IF(OR(Dayrun=3,Dayrun=6,Dayrun=9),(VLOOKUP(A49,ScaledPrice,IF(AND(Dayrun&gt;=3,Dayrun&lt;=6),7,8))),0))</f>
        <v> </v>
      </c>
      <c r="P49" s="315" t="str">
        <f aca="false">IF(A49="N/A"," ",IF(OR(Dayrun=3,Dayrun=6,Dayrun=9),IF(AND(Dayrun&gt;=3,Dayrun&lt;=6),O49,(VLOOKUP(A49,ScaledPrice,7))*(2-(VLOOKUP(A49,ScaledPrice,3)))),0))</f>
        <v> </v>
      </c>
      <c r="Q49" s="315" t="str">
        <f aca="false">IF(A49="N/A"," ",IF(AND(Dayrun&gt;2,Dayrun&lt;=3),VLOOKUP(A49,ScaledPrice,9),0))</f>
        <v> </v>
      </c>
      <c r="R49" s="316" t="str">
        <f aca="false">IF($A49="N/A"," ",IF(Pricetype=2,MAX(I49-$H49,0),IF(Pricetype=1,(xSPRDOPT(I49,$E49,$CI49,0,($CD49+IF(Smile=TRUE(),VLOOKUP(MAX(-5,$H49-I49),Volsmile,2),0)),$CG49,$CH49,($A49-DateToday)+15,1,0)),I49-$H49)))</f>
        <v> </v>
      </c>
      <c r="S49" s="316" t="str">
        <f aca="false">IF($A49="N/A"," ",IF(Pricetype=2,MAX(J49-$H49,0),IF(Pricetype=1,(xSPRDOPT(J49,$E49,$CI49,0,($CD49+IF(Smile=TRUE(),VLOOKUP(MAX(-5,$H49-J49),Volsmile,2),0)),$CG49,$CH49,($A49-DateToday)+15,1,0)),J49-$H49)))</f>
        <v> </v>
      </c>
      <c r="T49" s="317" t="str">
        <f aca="false">IF($A49="N/A"," ",(IF(Pricetype=2,IF((K49-$H49)&lt;=0,0,(K49-$H49)),IF(K49&lt;&gt;0,(K49-$H49),0))))</f>
        <v> </v>
      </c>
      <c r="U49" s="316" t="str">
        <f aca="false">IF($A49="N/A"," ",IF(Pricetype=2,MAX(L49-$H49,0),IF(L49&lt;&gt;0,IF(Pricetype=1,(xSPRDOPT(L49,$E49,$CI49,0,($CD49+IF(Smile=TRUE(),VLOOKUP(MAX(-5,$H49-L49),Volsmile,2),0)),$CG49,$CH49,($A49-DateToday)+15,1,0)),L49-$H49),0)))</f>
        <v> </v>
      </c>
      <c r="V49" s="316" t="str">
        <f aca="false">IF($A49="N/A"," ",IF(Pricetype=2,MAX(M49-$H49,0),IF(M49&lt;&gt;0,IF(Pricetype=1,(xSPRDOPT(M49,$E49,$CI49,0,($CD49+IF(Smile=TRUE(),VLOOKUP(MAX(-5,$H49-M49),Volsmile,2),0)),$CG49,$CH49,($A49-DateToday)+15,1,0)),M49-$H49),0)))</f>
        <v> </v>
      </c>
      <c r="W49" s="317" t="str">
        <f aca="false">IF($A49="N/A"," ",(IF(Pricetype=2,IF((N49-$H49)&lt;=0,0,(N49-$H49)),IF(N49&lt;&gt;0,(N49-$H49),0))))</f>
        <v> </v>
      </c>
      <c r="X49" s="316" t="str">
        <f aca="false">IF($A49="N/A"," ",IF(Pricetype=2,MAX(O49-$H49,0),IF(O49&lt;&gt;0,IF(Pricetype=1,(xSPRDOPT(O49,$E49,$CI49,0,($CD49+IF(Smile=TRUE(),VLOOKUP(MAX(-5,$H49-O49),Volsmile,2),0)),$CG49,$CH49,($A49-DateToday)+15,1,0)),O49-$H49),0)))</f>
        <v> </v>
      </c>
      <c r="Y49" s="316" t="str">
        <f aca="false">IF($A49="N/A"," ",IF(Pricetype=2,MAX(P49-$H49,0),IF(P49&lt;&gt;0,IF(Pricetype=1,(xSPRDOPT(P49,$E49,$CI49,0,($CD49+IF(Smile=TRUE(),VLOOKUP(MAX(-5,$H49-P49),Volsmile,2),0)),$CG49,$CH49,($A49-DateToday)+15,1,0)),P49-$H49),0)))</f>
        <v> </v>
      </c>
      <c r="Z49" s="317" t="str">
        <f aca="false">IF($A49="N/A"," ",(IF(Pricetype=2,IF((Q49-$H49)&lt;=0,0,(Q49-$H49)),IF(Q49&lt;&gt;0,(Q49-$H49),0))))</f>
        <v> </v>
      </c>
      <c r="AA49" s="318" t="str">
        <f aca="false">IF($A49="N/A"," ",IF(VLOOKUP(MONTH(A49),ManualTable,2)=1,(IF(0&lt;&gt;R49,IF(Pricetype=1,(xSPRDOPT(I49,$E49,$CI49,0,($CD49+IF(Smile=TRUE(),VLOOKUP(MAX(-5,$H49-I49),Volsmile,2),0)),$CG49,$CH49,($A49-DateToday)+15,1,1))*(8*$HD49),8*$HD49),0)),0))</f>
        <v> </v>
      </c>
      <c r="AB49" s="318" t="str">
        <f aca="false">IF($A49="N/A"," ",IF(VLOOKUP(MONTH(A49),ManualTable,3)=1,(IF(S49&lt;&gt;0,IF(Pricetype=1,(xSPRDOPT(J49,$E49,$CI49,0,($CD49+IF(Smile=TRUE(),VLOOKUP(MAX(-5,$H49-J49),Volsmile,2),0)),$CG49,$CH49,($A49-DateToday)+15,1,1))*(8*$HD49),8*$HD49),0)),0))</f>
        <v> </v>
      </c>
      <c r="AC49" s="318" t="str">
        <f aca="false">IF($A49="N/A"," ",IF(VLOOKUP(MONTH(A49),ManualTable,4)=1,(IF(T49&lt;&gt;0,(8*$HD49),0)),0))</f>
        <v> </v>
      </c>
      <c r="AD49" s="318" t="str">
        <f aca="false">IF($A49="N/A"," ",IF(VLOOKUP(MONTH(A49),ManualTable,5)=1,(IF(U49&lt;&gt;0,IF(Pricetype=1,(xSPRDOPT(L49,$E49,$CI49,0,($CD49+IF(Smile=TRUE(),VLOOKUP(MAX(-5,$H49-L49),Volsmile,2),0)),$CG49,$CH49,($A49-DateToday)+15,1,1))*(8*$HE49),8*$HE49),0)),0))</f>
        <v> </v>
      </c>
      <c r="AE49" s="318" t="str">
        <f aca="false">IF($A49="N/A"," ",IF(VLOOKUP(MONTH(A49),ManualTable,6)=1,(IF(V49&lt;&gt;0,IF(Pricetype=1,(xSPRDOPT(M49,$E49,$CI49,0,($CD49+IF(Smile=TRUE(),VLOOKUP(MAX(-5,$H49-M49),Volsmile,2),0)),$CG49,$CH49,($A49-DateToday)+15,1,1))*(8*$HE49),8*$HE49),0)),0))</f>
        <v> </v>
      </c>
      <c r="AF49" s="318" t="str">
        <f aca="false">IF($A49="N/A"," ",IF(VLOOKUP(MONTH(A49),ManualTable,7)=1,(IF(W49&lt;&gt;0,(8*$HE49),0)),0))</f>
        <v> </v>
      </c>
      <c r="AG49" s="318" t="str">
        <f aca="false">IF($A49="N/A"," ",IF(VLOOKUP(MONTH(A49),ManualTable,8)=1,(IF(X49&lt;&gt;0,IF(Pricetype=1,(xSPRDOPT(O49,$E49,$CI49,0,($CD49+IF(Smile=TRUE(),VLOOKUP(MAX(-5,$H49-O49),Volsmile,2),0)),$CG49,$CH49,($A49-DateToday)+15,1,1))*(8*$HF49),8*$HF49),0)),0))</f>
        <v> </v>
      </c>
      <c r="AH49" s="318" t="str">
        <f aca="false">IF($A49="N/A"," ",IF(VLOOKUP(MONTH(A49),ManualTable,9)=1,(IF(Y49&lt;&gt;0,IF(Pricetype=1,(xSPRDOPT(P49,$E49,$CI49,0,($CD49+IF(Smile=TRUE(),VLOOKUP(MAX(-5,$H49-P49),Volsmile,2),0)),$CG49,$CH49,($A49-DateToday)+15,1,1))*(8*$HF49),8*$HF49),0)),0))</f>
        <v> </v>
      </c>
      <c r="AI49" s="318" t="str">
        <f aca="false">IF($A49="N/A"," ",IF(VLOOKUP(MONTH(A49),ManualTable,10)=1,(IF(Z49&lt;&gt;0,(8*($HF49)),0)),0))</f>
        <v> </v>
      </c>
      <c r="AJ49" s="344" t="str">
        <f aca="false">IF($A49="N/A"," ",RANK(R49,$R$40:$Z$51))</f>
        <v> </v>
      </c>
      <c r="AK49" s="321" t="str">
        <f aca="false">IF($A49="N/A"," ",RANK(S49,$R$40:$Z$51))</f>
        <v> </v>
      </c>
      <c r="AL49" s="321" t="str">
        <f aca="false">IF($A49="N/A"," ",RANK(T49,$R$40:$Z$51))</f>
        <v> </v>
      </c>
      <c r="AM49" s="321" t="str">
        <f aca="false">IF($A49="N/A"," ",RANK(U49,$R$40:$Z$51))</f>
        <v> </v>
      </c>
      <c r="AN49" s="321" t="str">
        <f aca="false">IF($A49="N/A"," ",RANK(V49,$R$40:$Z$51))</f>
        <v> </v>
      </c>
      <c r="AO49" s="321" t="str">
        <f aca="false">IF($A49="N/A"," ",RANK(W49,$R$40:$Z$51))</f>
        <v> </v>
      </c>
      <c r="AP49" s="321" t="str">
        <f aca="false">IF($A49="N/A"," ",RANK(X49,$R$40:$Z$51))</f>
        <v> </v>
      </c>
      <c r="AQ49" s="321" t="str">
        <f aca="false">IF($A49="N/A"," ",RANK(Y49,$R$40:$Z$51))</f>
        <v> </v>
      </c>
      <c r="AR49" s="345" t="str">
        <f aca="false">IF($A49="N/A"," ",RANK(Z49,$R$40:$Z$51))</f>
        <v> </v>
      </c>
      <c r="AS49" s="323" t="str">
        <f aca="false">IF($A49="N/A"," ",IF(AJ49&lt;=$AR$2,AA49,0))</f>
        <v> </v>
      </c>
      <c r="AT49" s="325" t="str">
        <f aca="false">IF($A49="N/A"," ",IF(AK49&lt;=$AR$2,AB49,0))</f>
        <v> </v>
      </c>
      <c r="AU49" s="325" t="str">
        <f aca="false">IF($A49="N/A"," ",IF(AL49&lt;=$AR$2,AC49,0))</f>
        <v> </v>
      </c>
      <c r="AV49" s="325" t="str">
        <f aca="false">IF($A49="N/A"," ",IF(AM49&lt;=$AR$2,AD49,0))</f>
        <v> </v>
      </c>
      <c r="AW49" s="325" t="str">
        <f aca="false">IF($A49="N/A"," ",IF(AN49&lt;=$AR$2,AE49,0))</f>
        <v> </v>
      </c>
      <c r="AX49" s="325" t="str">
        <f aca="false">IF($A49="N/A"," ",IF(AO49&lt;=$AR$2,AF49,0))</f>
        <v> </v>
      </c>
      <c r="AY49" s="325" t="str">
        <f aca="false">IF($A49="N/A"," ",IF(AP49&lt;=$AR$2,AG49,0))</f>
        <v> </v>
      </c>
      <c r="AZ49" s="325" t="str">
        <f aca="false">IF($A49="N/A"," ",IF(AQ49&lt;=$AR$2,AH49,0))</f>
        <v> </v>
      </c>
      <c r="BA49" s="325" t="str">
        <f aca="false">IF($A49="N/A"," ",IF(AR49&lt;=$AR$2,AI49,0))</f>
        <v> </v>
      </c>
      <c r="BB49" s="348" t="s">
        <v>1319</v>
      </c>
      <c r="BC49" s="326" t="str">
        <f aca="false">IF($A49="N/A"," ",IF(AND(AJ49=$AR$2+1,AS49=0),MIN($BB$51,AA49),0))</f>
        <v> </v>
      </c>
      <c r="BD49" s="346" t="str">
        <f aca="false">IF($A49="N/A"," ",IF(AND(AK49=$AR$2+1,AT49=0),MIN($BB$51,AB49),0))</f>
        <v> </v>
      </c>
      <c r="BE49" s="346" t="str">
        <f aca="false">IF($A49="N/A"," ",IF(AND(AL49=$AR$2+1,AU49=0),MIN($BB$51,AC49),0))</f>
        <v> </v>
      </c>
      <c r="BF49" s="346" t="str">
        <f aca="false">IF($A49="N/A"," ",IF(AND(AM49=$AR$2+1,AV49=0),MIN($BB$51,AD49),0))</f>
        <v> </v>
      </c>
      <c r="BG49" s="346" t="str">
        <f aca="false">IF($A49="N/A"," ",IF(AND(AN49=$AR$2+1,AW49=0),MIN($BB$51,AE49),0))</f>
        <v> </v>
      </c>
      <c r="BH49" s="346" t="str">
        <f aca="false">IF($A49="N/A"," ",IF(AND(AO49=$AR$2+1,AX49=0),MIN($BB$51,AF49),0))</f>
        <v> </v>
      </c>
      <c r="BI49" s="346" t="str">
        <f aca="false">IF($A49="N/A"," ",IF(AND(AP49=$AR$2+1,AY49=0),MIN($BB$51,AG49),0))</f>
        <v> </v>
      </c>
      <c r="BJ49" s="346" t="str">
        <f aca="false">IF($A49="N/A"," ",IF(AND(AQ49=$AR$2+1,AZ49=0),MIN($BB$51,AH49),0))</f>
        <v> </v>
      </c>
      <c r="BK49" s="346" t="str">
        <f aca="false">IF($A49="N/A"," ",IF(AND(AR49=$AR$2+1,BA49=0),MIN($BB$51,AI49),0))</f>
        <v> </v>
      </c>
      <c r="BL49" s="347" t="s">
        <v>1359</v>
      </c>
      <c r="BM49" s="329" t="str">
        <f aca="false">IF($A49="N/A"," ",(IF(MONTH(A49)&gt;=4,IF(MONTH(A49)&lt;=10,Inputs!$F$13-Inputs!$G$13,Inputs!$F$14-Inputs!$G$14),Inputs!$F$14-Inputs!$G$14))*$CK49*Availability)</f>
        <v> </v>
      </c>
      <c r="BN49" s="330" t="str">
        <f aca="false">IF($A49="N/A"," ",(IF(AS49&gt;0,($BM49*(8*($HD49))*R49),0)+IF(BC49&gt;0,($BM49*((BC49/AA49)*8*$HD49)*R49),0)))</f>
        <v> </v>
      </c>
      <c r="BO49" s="330" t="str">
        <f aca="false">IF($A49="N/A"," ",(IF(AT49&gt;0,($BM49*(8*($HD49))*S49),0)+IF(BD49&gt;0,($BM49*((BD49/AB49)*8*$HD49)*S49),0)))</f>
        <v> </v>
      </c>
      <c r="BP49" s="330" t="str">
        <f aca="false">IF($A49="N/A"," ",(IF(AU49&gt;0,($BM49*(8*($HD49))*T49),0)+IF(BE49&gt;0,($BM49*((BE49))*T49),0)))</f>
        <v> </v>
      </c>
      <c r="BQ49" s="330" t="str">
        <f aca="false">IF($A49="N/A"," ",(IF(AV49&gt;0,($BM49*(8*($HE49))*U49),0)+IF(BF49&gt;0,($BM49*((BF49/AD49)*8*$HE49)*U49),0)))</f>
        <v> </v>
      </c>
      <c r="BR49" s="330" t="str">
        <f aca="false">IF($A49="N/A"," ",(IF(AW49&gt;0,($BM49*(8*($HE49))*V49),0)+IF(BG49&gt;0,($BM49*((BG49/AE49)*8*$HE49)*V49),0)))</f>
        <v> </v>
      </c>
      <c r="BS49" s="330" t="str">
        <f aca="false">IF($A49="N/A"," ",(IF(AX49&gt;0,($BM49*(8*($HE49))*W49),0)+IF(BH49&gt;0,($BM49*((BH49))*W49),0)))</f>
        <v> </v>
      </c>
      <c r="BT49" s="330" t="str">
        <f aca="false">IF($A49="N/A"," ",(IF(AY49&gt;0,($BM49*(8*($HF49))*X49),0)+IF(BI49&gt;0,($BM49*((BI49/AG49)*8*$HF49)*X49),0)))</f>
        <v> </v>
      </c>
      <c r="BU49" s="330" t="str">
        <f aca="false">IF($A49="N/A"," ",(IF(AZ49&gt;0,($BM49*(8*($HF49))*Y49),0)+IF(BJ49&gt;0,($BM49*((BJ49/AH49)*8*$HF49)*Y49),0)))</f>
        <v> </v>
      </c>
      <c r="BV49" s="330" t="str">
        <f aca="false">IF($A49="N/A"," ",(IF(BA49&gt;0,($BM49*(8*($HF49))*Z49),0)+IF(BK49&gt;0,($BM49*((BK49))*Z49),0)))</f>
        <v> </v>
      </c>
      <c r="BW49" s="330" t="str">
        <f aca="false">IF($A49="N/A"," ",SUM(BN49:BV49))</f>
        <v> </v>
      </c>
      <c r="BX49" s="331" t="str">
        <f aca="false">IF($A49="N/A"," ",(H49*(SUM(AS49:BA49)+SUM(BC49:BK49))*BM49))</f>
        <v> </v>
      </c>
      <c r="BY49" s="332" t="str">
        <f aca="false">IF($A49="N/A"," ",((C49*D49)*(SUM($AS49:$BA49)+SUM($BC49:$BK49))*$BM49))</f>
        <v> </v>
      </c>
      <c r="BZ49" s="332" t="str">
        <f aca="false">IF($A49="N/A"," ",(F49*(SUM($AS49:$BA49)+SUM($BC49:$BK49))*$BM49))</f>
        <v> </v>
      </c>
      <c r="CA49" s="333" t="str">
        <f aca="false">IF($A49="N/A"," ",(G49*(SUM($AS49:$BA49)+SUM($BC49:$BK49))*$BM49))</f>
        <v> </v>
      </c>
      <c r="CB49" s="334" t="str">
        <f aca="false">IF(A49="N/A"," ",(VLOOKUP(A49,PowerVolTable,(IF(BMO=2,7,IF(BMO=1,6,8))),FALSE())))</f>
        <v> </v>
      </c>
      <c r="CC49" s="334" t="str">
        <f aca="false">IF(A49="N/A"," ",(VLOOKUP(A49,IntraPowerVol,(IF(BMO=2,3,IF(BMO=1,2,4))),FALSE())*VLOOKUP(MONTH($A49),Volscale,2)))</f>
        <v> </v>
      </c>
      <c r="CD49" s="335" t="str">
        <f aca="false">IF($A49="N/A"," ",(IF(DateToday&gt;$A49,$CC49,((($CB49^2)*((($A49-1)-DateToday)/((EOMONTH($A49,0)+1)-DateToday-15)))+((($CC49)^2)*((15)/((EOMONTH($A49,0)+1)-DateToday-15))))^0.5)))</f>
        <v> </v>
      </c>
      <c r="CE49" s="334" t="str">
        <f aca="false">IF($A49="N/A"," ",(VLOOKUP($A49,GasVolTable,(IF(BMO=2,6,IF(BMO=1,7,5))),FALSE())))</f>
        <v> </v>
      </c>
      <c r="CF49" s="334" t="str">
        <f aca="false">IF($A49="N/A"," ",(VLOOKUP($A49,OmicronVol,(IF(BMO=2,3,IF(BMO=1,4,2))),FALSE())))</f>
        <v> </v>
      </c>
      <c r="CG49" s="335" t="str">
        <f aca="false">IF($A49="N/A"," ",(IF(DateToday&gt;$A49,$CF49,((($CE49^2)*((($A49-1)-DateToday)/((EOMONTH($A49,0)+1)-DateToday-15)))+((($CF49)^2)*((15)/((EOMONTH($A49,0)+1)-DateToday-15))))^0.5)))</f>
        <v> </v>
      </c>
      <c r="CH49" s="334" t="str">
        <f aca="false">IF($A49="N/A"," ",VLOOKUP($A49,CorrelationTable,2,FALSE()))</f>
        <v> </v>
      </c>
      <c r="CI49" s="336" t="str">
        <f aca="false">IF($A49="N/A"," ",F49+G49+(D49*('Pricing Inputs'!T82)))</f>
        <v> </v>
      </c>
      <c r="CJ49" s="334" t="str">
        <f aca="false">IF($A49="N/A"," ",IF(PV=1,0,'Pricing Inputs'!U82))</f>
        <v> </v>
      </c>
      <c r="CK49" s="337" t="str">
        <f aca="false">IF($A49="N/A"," ",(1+CJ49/2)^(-2*((EOMONTH(A49,0)+20)-DateToday)/365.25))</f>
        <v> </v>
      </c>
      <c r="CL49" s="338" t="str">
        <f aca="false">IF(A49="N/A"," ",IF(CC=2,(VLOOKUP(MONTH($A49),Hrtable,3))/1000,0))</f>
        <v> </v>
      </c>
      <c r="CM49" s="339" t="str">
        <f aca="false">IF(A49="N/A"," ",IF(CC=2,(CL49*C49)+F49,0))</f>
        <v> </v>
      </c>
      <c r="CN49" s="340" t="str">
        <f aca="false">IF($A49="N/A"," ",IF(CC=2,(VLOOKUP(A49,ScaledPrice,(IF(AND(Dayrun&gt;=1,Dayrun&lt;=6),2,4)))-((IF(R49&lt;&gt;0,$D49,$CL49)*$C49)+$F49+$G49)),0))</f>
        <v> </v>
      </c>
      <c r="CO49" s="340" t="str">
        <f aca="false">IF($A49="N/A"," ",IF(CC=2,(IF(AND(Dayrun&gt;=1,Dayrun&lt;=6),I49,(VLOOKUP(A49,ScaledPrice,2))*(2-(VLOOKUP(A49,ScaledPrice,3))))-((IF(S49&lt;&gt;0,$D49,$CL49)*$C49)+$F49+$G49)),0))</f>
        <v> </v>
      </c>
      <c r="CP49" s="340" t="str">
        <f aca="false">IF(A49="N/A"," ",IF(CC=2,(VLOOKUP(A49,ScaledPrice,9)-((IF(T49&lt;&gt;0,$D49,$CL49)*$C49)+$F49+$G49)),0))</f>
        <v> </v>
      </c>
      <c r="CQ49" s="340" t="str">
        <f aca="false">IF(A49="N/A"," ",IF(CC=2,(IF(OR(Dayrun=2,Dayrun=3,Dayrun=5,Dayrun=6,Dayrun=8,Dayrun=9),VLOOKUP(A49,ScaledPrice,IF(AND(Dayrun&gt;=2,Dayrun&lt;=6),5,6)),0)-((IF(U49&lt;&gt;0,$D49,$CL49)*$C49)+$F49+$G49)),0))</f>
        <v> </v>
      </c>
      <c r="CR49" s="340" t="str">
        <f aca="false">IF(A49="N/A"," ",IF(CC=2,(IF(OR(Dayrun=2,Dayrun=3,Dayrun=5,Dayrun=6,Dayrun=8,Dayrun=9),IF(AND(Dayrun&gt;=2,Dayrun&lt;=6),L49,(VLOOKUP(A49,ScaledPrice,5))*(2-(VLOOKUP(A49,ScaledPrice,3)))),0)-((IF(V49&lt;&gt;0,$D49,$CL49)*$C49)+$F49+$G49)),0))</f>
        <v> </v>
      </c>
      <c r="CS49" s="340" t="str">
        <f aca="false">IF(A49="N/A"," ",IF(CC=2,(VLOOKUP(A49,ScaledPrice,9)-((IF(W49&lt;&gt;0,$D49,$CL49)*$C49)+$F49+$G49)),0))</f>
        <v> </v>
      </c>
      <c r="CT49" s="340" t="str">
        <f aca="false">IF(A49="N/A"," ",IF(CC=2,(IF(OR(Dayrun=3,Dayrun=6,Dayrun=9),(VLOOKUP(A49,ScaledPrice,IF(AND(Dayrun&gt;=3,Dayrun&lt;=6),7,8))),0)-((IF(X49&lt;&gt;0,$D49,$CL49)*$C49)+$F49+$G49)),0))</f>
        <v> </v>
      </c>
      <c r="CU49" s="340" t="str">
        <f aca="false">IF(A49="N/A"," ",IF(CC=2,(IF(OR(Dayrun=3,Dayrun=6,Dayrun=9),IF(AND(Dayrun&gt;=3,Dayrun&lt;=6),O49,(VLOOKUP(A49,ScaledPrice,7))*(2-(VLOOKUP(A49,ScaledPrice,3)))),0)-((IF(Y49&lt;&gt;0,$D49,$CL49)*$C49)+$F49+$G49)),0))</f>
        <v> </v>
      </c>
      <c r="CV49" s="340" t="str">
        <f aca="false">IF(A49="N/A"," ",IF(CC=2,(VLOOKUP(A49,ScaledPrice,9)-((IF(Z49&lt;&gt;0,$D49,$CL49)*$C49)+$F49+$G49)),0))</f>
        <v> </v>
      </c>
      <c r="CW49" s="318" t="str">
        <f aca="false">IF($A49="N/A"," ",IF(0&lt;&gt;CN49,IF(CC=2,8*$HD49,0),0))</f>
        <v> </v>
      </c>
      <c r="CX49" s="318" t="str">
        <f aca="false">IF($A49="N/A"," ",IF(0&lt;&gt;CO49,IF(CC=2,8*$HD49,0),0))</f>
        <v> </v>
      </c>
      <c r="CY49" s="318" t="str">
        <f aca="false">IF($A49="N/A"," ",IF(0&lt;&gt;CP49,IF(CC=2,8*$HD49,0),0))</f>
        <v> </v>
      </c>
      <c r="CZ49" s="318" t="str">
        <f aca="false">IF($A49="N/A"," ",IF(0&lt;&gt;CQ49,IF(CC=2,8*$HE49,0),0))</f>
        <v> </v>
      </c>
      <c r="DA49" s="318" t="str">
        <f aca="false">IF($A49="N/A"," ",IF(0&lt;&gt;CR49,IF(CC=2,8*$HE49,0),0))</f>
        <v> </v>
      </c>
      <c r="DB49" s="318" t="str">
        <f aca="false">IF($A49="N/A"," ",IF(0&lt;&gt;CS49,IF(CC=2,8*$HE49,0),0))</f>
        <v> </v>
      </c>
      <c r="DC49" s="318" t="str">
        <f aca="false">IF($A49="N/A"," ",IF(0&lt;&gt;CT49,IF(CC=2,8*$HF49,0),0))</f>
        <v> </v>
      </c>
      <c r="DD49" s="318" t="str">
        <f aca="false">IF($A49="N/A"," ",IF(0&lt;&gt;CU49,IF(CC=2,8*$HF49,0),0))</f>
        <v> </v>
      </c>
      <c r="DE49" s="318" t="str">
        <f aca="false">IF($A49="N/A"," ",IF(0&lt;&gt;CV49,IF(CC=2,8*$HF49,0),0))</f>
        <v> </v>
      </c>
      <c r="DF49" s="341" t="str">
        <f aca="false">IF($A49="N/A"," ",IF(CC=2,(IF(MONTH(A49)&gt;=4,IF(MONTH(A49)&lt;=10,Inputs!$G$13,Inputs!$G$14),Inputs!$G$14))*$CK49,0))</f>
        <v> </v>
      </c>
      <c r="DG49" s="342" t="str">
        <f aca="false">IF($A49="N/A"," ",IF(CC=2,$DF49*CW49*CN49,0))</f>
        <v> </v>
      </c>
      <c r="DH49" s="342" t="str">
        <f aca="false">IF($A49="N/A"," ",IF(CC=2,$DF49*CX49*CO49,0))</f>
        <v> </v>
      </c>
      <c r="DI49" s="342" t="str">
        <f aca="false">IF($A49="N/A"," ",IF(CC=2,$DF49*CY49*CP49,0))</f>
        <v> </v>
      </c>
      <c r="DJ49" s="342" t="str">
        <f aca="false">IF($A49="N/A"," ",IF(CC=2,$DF49*CZ49*CQ49,0))</f>
        <v> </v>
      </c>
      <c r="DK49" s="342" t="str">
        <f aca="false">IF($A49="N/A"," ",IF(CC=2,$DF49*DA49*CR49,0))</f>
        <v> </v>
      </c>
      <c r="DL49" s="342" t="str">
        <f aca="false">IF($A49="N/A"," ",IF(CC=2,$DF49*DB49*CS49,0))</f>
        <v> </v>
      </c>
      <c r="DM49" s="342" t="str">
        <f aca="false">IF($A49="N/A"," ",IF(CC=2,$DF49*DC49*CT49,0))</f>
        <v> </v>
      </c>
      <c r="DN49" s="342" t="str">
        <f aca="false">IF($A49="N/A"," ",IF(CC=2,$DF49*DD49*CU49,0))</f>
        <v> </v>
      </c>
      <c r="DO49" s="342" t="str">
        <f aca="false">IF($A49="N/A"," ",IF(CC=2,$DF49*DE49*CV49,0))</f>
        <v> </v>
      </c>
      <c r="DP49" s="343" t="str">
        <f aca="false">IF($A49="N/A"," ",IF(CC=2,SUM(DG49:DO49),0))</f>
        <v> </v>
      </c>
      <c r="DQ49" s="0" t="str">
        <f aca="false">IF(A49="N/A"," ",Perstart)</f>
        <v> </v>
      </c>
      <c r="HD49" s="0" t="str">
        <f aca="false">IF($A49="N/A"," ",VLOOKUP($A49,NumberofDaysTable,2))</f>
        <v> </v>
      </c>
      <c r="HE49" s="0" t="str">
        <f aca="false">IF($A49="N/A"," ",VLOOKUP($A49,NumberofDaysTable,3))</f>
        <v> </v>
      </c>
      <c r="HF49" s="0" t="str">
        <f aca="false">IF($A49="N/A"," ",VLOOKUP($A49,NumberofDaysTable,4))</f>
        <v> </v>
      </c>
    </row>
    <row r="50" customFormat="false" ht="12.75" hidden="false" customHeight="false" outlineLevel="0" collapsed="false">
      <c r="A50" s="308" t="str">
        <f aca="false">IF(A49="N/A","N/A",IF(EDATE(A49,1)&gt;Inputs!$K$3,"N/A",EDATE(A49,1)))</f>
        <v>N/A</v>
      </c>
      <c r="B50" s="309" t="str">
        <f aca="false">IF(A50="N/A"," ",YEAR(A50))</f>
        <v> </v>
      </c>
      <c r="C50" s="310" t="str">
        <f aca="false">IF(A50="N/A"," ",VLOOKUP(A50,ScaledPrice,10))</f>
        <v> </v>
      </c>
      <c r="D50" s="311" t="str">
        <f aca="false">IF(A50="N/A"," ",(VLOOKUP(MONTH($A50),Hrtable,2))/1000)</f>
        <v> </v>
      </c>
      <c r="E50" s="312" t="str">
        <f aca="false">IF($A50="N/A"," ",(C50-'Pricing Inputs'!T83)*D50)</f>
        <v> </v>
      </c>
      <c r="F50" s="313" t="str">
        <f aca="false">IF(A50="N/A"," ",$F38*(1+VOMesc))</f>
        <v> </v>
      </c>
      <c r="G50" s="313" t="str">
        <f aca="false">IF(A50="N/A"," ",Perstart/IF(AND(Dayrun&gt;=4,Dayrun&lt;=6),16,IF(AND(Dayrun&gt;=7,Dayrun&lt;=9),8,24))/(BM50/CK50))</f>
        <v> </v>
      </c>
      <c r="H50" s="314" t="str">
        <f aca="false">IF(A50="N/A"," ",(C50*D50)+F50+G50)</f>
        <v> </v>
      </c>
      <c r="I50" s="315" t="str">
        <f aca="false">VLOOKUP(A50,ScaledPrice,(IF(AND(Dayrun&gt;=1,Dayrun&lt;=6),2,4)))</f>
        <v> </v>
      </c>
      <c r="J50" s="315" t="str">
        <f aca="false">IF(A50="N/A"," ",IF(AND(Dayrun&gt;=1,Dayrun&lt;=6),I50,(VLOOKUP(A50,ScaledPrice,2))*(2-(VLOOKUP(A50,ScaledPrice,3)))))</f>
        <v> </v>
      </c>
      <c r="K50" s="315" t="str">
        <f aca="false">IF(A50="N/A"," ",IF(AND(Dayrun&gt;=1,Dayrun&lt;=3),VLOOKUP(A50,ScaledPrice,9),0))</f>
        <v> </v>
      </c>
      <c r="L50" s="315" t="str">
        <f aca="false">IF(A50="N/A"," ",IF(OR(Dayrun=2,Dayrun=3,Dayrun=5,Dayrun=6,Dayrun=8,Dayrun=9),VLOOKUP(A50,ScaledPrice,IF(AND(Dayrun&gt;=2,Dayrun&lt;=6),5,6)),0))</f>
        <v> </v>
      </c>
      <c r="M50" s="315" t="str">
        <f aca="false">IF(A50="N/A"," ",IF(OR(Dayrun=2,Dayrun=3,Dayrun=5,Dayrun=6,Dayrun=8,Dayrun=9),IF(AND(Dayrun&gt;=2,Dayrun&lt;=6),L50,(VLOOKUP(A50,ScaledPrice,5))*(2-(VLOOKUP(A50,ScaledPrice,3)))),0))</f>
        <v> </v>
      </c>
      <c r="N50" s="315" t="str">
        <f aca="false">IF(A50="N/A"," ",IF(AND(Dayrun&gt;1,Dayrun&lt;=3),VLOOKUP(A50,ScaledPrice,9),0))</f>
        <v> </v>
      </c>
      <c r="O50" s="315" t="str">
        <f aca="false">IF(A50="N/A"," ",IF(OR(Dayrun=3,Dayrun=6,Dayrun=9),(VLOOKUP(A50,ScaledPrice,IF(AND(Dayrun&gt;=3,Dayrun&lt;=6),7,8))),0))</f>
        <v> </v>
      </c>
      <c r="P50" s="315" t="str">
        <f aca="false">IF(A50="N/A"," ",IF(OR(Dayrun=3,Dayrun=6,Dayrun=9),IF(AND(Dayrun&gt;=3,Dayrun&lt;=6),O50,(VLOOKUP(A50,ScaledPrice,7))*(2-(VLOOKUP(A50,ScaledPrice,3)))),0))</f>
        <v> </v>
      </c>
      <c r="Q50" s="315" t="str">
        <f aca="false">IF(A50="N/A"," ",IF(AND(Dayrun&gt;2,Dayrun&lt;=3),VLOOKUP(A50,ScaledPrice,9),0))</f>
        <v> </v>
      </c>
      <c r="R50" s="316" t="str">
        <f aca="false">IF($A50="N/A"," ",IF(Pricetype=2,MAX(I50-$H50,0),IF(Pricetype=1,(xSPRDOPT(I50,$E50,$CI50,0,($CD50+IF(Smile=TRUE(),VLOOKUP(MAX(-5,$H50-I50),Volsmile,2),0)),$CG50,$CH50,($A50-DateToday)+15,1,0)),I50-$H50)))</f>
        <v> </v>
      </c>
      <c r="S50" s="316" t="str">
        <f aca="false">IF($A50="N/A"," ",IF(Pricetype=2,MAX(J50-$H50,0),IF(Pricetype=1,(xSPRDOPT(J50,$E50,$CI50,0,($CD50+IF(Smile=TRUE(),VLOOKUP(MAX(-5,$H50-J50),Volsmile,2),0)),$CG50,$CH50,($A50-DateToday)+15,1,0)),J50-$H50)))</f>
        <v> </v>
      </c>
      <c r="T50" s="317" t="str">
        <f aca="false">IF($A50="N/A"," ",(IF(Pricetype=2,IF((K50-$H50)&lt;=0,0,(K50-$H50)),IF(K50&lt;&gt;0,(K50-$H50),0))))</f>
        <v> </v>
      </c>
      <c r="U50" s="316" t="str">
        <f aca="false">IF($A50="N/A"," ",IF(Pricetype=2,MAX(L50-$H50,0),IF(L50&lt;&gt;0,IF(Pricetype=1,(xSPRDOPT(L50,$E50,$CI50,0,($CD50+IF(Smile=TRUE(),VLOOKUP(MAX(-5,$H50-L50),Volsmile,2),0)),$CG50,$CH50,($A50-DateToday)+15,1,0)),L50-$H50),0)))</f>
        <v> </v>
      </c>
      <c r="V50" s="316" t="str">
        <f aca="false">IF($A50="N/A"," ",IF(Pricetype=2,MAX(M50-$H50,0),IF(M50&lt;&gt;0,IF(Pricetype=1,(xSPRDOPT(M50,$E50,$CI50,0,($CD50+IF(Smile=TRUE(),VLOOKUP(MAX(-5,$H50-M50),Volsmile,2),0)),$CG50,$CH50,($A50-DateToday)+15,1,0)),M50-$H50),0)))</f>
        <v> </v>
      </c>
      <c r="W50" s="317" t="str">
        <f aca="false">IF($A50="N/A"," ",(IF(Pricetype=2,IF((N50-$H50)&lt;=0,0,(N50-$H50)),IF(N50&lt;&gt;0,(N50-$H50),0))))</f>
        <v> </v>
      </c>
      <c r="X50" s="316" t="str">
        <f aca="false">IF($A50="N/A"," ",IF(Pricetype=2,MAX(O50-$H50,0),IF(O50&lt;&gt;0,IF(Pricetype=1,(xSPRDOPT(O50,$E50,$CI50,0,($CD50+IF(Smile=TRUE(),VLOOKUP(MAX(-5,$H50-O50),Volsmile,2),0)),$CG50,$CH50,($A50-DateToday)+15,1,0)),O50-$H50),0)))</f>
        <v> </v>
      </c>
      <c r="Y50" s="316" t="str">
        <f aca="false">IF($A50="N/A"," ",IF(Pricetype=2,MAX(P50-$H50,0),IF(P50&lt;&gt;0,IF(Pricetype=1,(xSPRDOPT(P50,$E50,$CI50,0,($CD50+IF(Smile=TRUE(),VLOOKUP(MAX(-5,$H50-P50),Volsmile,2),0)),$CG50,$CH50,($A50-DateToday)+15,1,0)),P50-$H50),0)))</f>
        <v> </v>
      </c>
      <c r="Z50" s="317" t="str">
        <f aca="false">IF($A50="N/A"," ",(IF(Pricetype=2,IF((Q50-$H50)&lt;=0,0,(Q50-$H50)),IF(Q50&lt;&gt;0,(Q50-$H50),0))))</f>
        <v> </v>
      </c>
      <c r="AA50" s="318" t="str">
        <f aca="false">IF($A50="N/A"," ",IF(VLOOKUP(MONTH(A50),ManualTable,2)=1,(IF(0&lt;&gt;R50,IF(Pricetype=1,(xSPRDOPT(I50,$E50,$CI50,0,($CD50+IF(Smile=TRUE(),VLOOKUP(MAX(-5,$H50-I50),Volsmile,2),0)),$CG50,$CH50,($A50-DateToday)+15,1,1))*(8*$HD50),8*$HD50),0)),0))</f>
        <v> </v>
      </c>
      <c r="AB50" s="318" t="str">
        <f aca="false">IF($A50="N/A"," ",IF(VLOOKUP(MONTH(A50),ManualTable,3)=1,(IF(S50&lt;&gt;0,IF(Pricetype=1,(xSPRDOPT(J50,$E50,$CI50,0,($CD50+IF(Smile=TRUE(),VLOOKUP(MAX(-5,$H50-J50),Volsmile,2),0)),$CG50,$CH50,($A50-DateToday)+15,1,1))*(8*$HD50),8*$HD50),0)),0))</f>
        <v> </v>
      </c>
      <c r="AC50" s="318" t="str">
        <f aca="false">IF($A50="N/A"," ",IF(VLOOKUP(MONTH(A50),ManualTable,4)=1,(IF(T50&lt;&gt;0,(8*$HD50),0)),0))</f>
        <v> </v>
      </c>
      <c r="AD50" s="318" t="str">
        <f aca="false">IF($A50="N/A"," ",IF(VLOOKUP(MONTH(A50),ManualTable,5)=1,(IF(U50&lt;&gt;0,IF(Pricetype=1,(xSPRDOPT(L50,$E50,$CI50,0,($CD50+IF(Smile=TRUE(),VLOOKUP(MAX(-5,$H50-L50),Volsmile,2),0)),$CG50,$CH50,($A50-DateToday)+15,1,1))*(8*$HE50),8*$HE50),0)),0))</f>
        <v> </v>
      </c>
      <c r="AE50" s="318" t="str">
        <f aca="false">IF($A50="N/A"," ",IF(VLOOKUP(MONTH(A50),ManualTable,6)=1,(IF(V50&lt;&gt;0,IF(Pricetype=1,(xSPRDOPT(M50,$E50,$CI50,0,($CD50+IF(Smile=TRUE(),VLOOKUP(MAX(-5,$H50-M50),Volsmile,2),0)),$CG50,$CH50,($A50-DateToday)+15,1,1))*(8*$HE50),8*$HE50),0)),0))</f>
        <v> </v>
      </c>
      <c r="AF50" s="318" t="str">
        <f aca="false">IF($A50="N/A"," ",IF(VLOOKUP(MONTH(A50),ManualTable,7)=1,(IF(W50&lt;&gt;0,(8*$HE50),0)),0))</f>
        <v> </v>
      </c>
      <c r="AG50" s="318" t="str">
        <f aca="false">IF($A50="N/A"," ",IF(VLOOKUP(MONTH(A50),ManualTable,8)=1,(IF(X50&lt;&gt;0,IF(Pricetype=1,(xSPRDOPT(O50,$E50,$CI50,0,($CD50+IF(Smile=TRUE(),VLOOKUP(MAX(-5,$H50-O50),Volsmile,2),0)),$CG50,$CH50,($A50-DateToday)+15,1,1))*(8*$HF50),8*$HF50),0)),0))</f>
        <v> </v>
      </c>
      <c r="AH50" s="318" t="str">
        <f aca="false">IF($A50="N/A"," ",IF(VLOOKUP(MONTH(A50),ManualTable,9)=1,(IF(Y50&lt;&gt;0,IF(Pricetype=1,(xSPRDOPT(P50,$E50,$CI50,0,($CD50+IF(Smile=TRUE(),VLOOKUP(MAX(-5,$H50-P50),Volsmile,2),0)),$CG50,$CH50,($A50-DateToday)+15,1,1))*(8*$HF50),8*$HF50),0)),0))</f>
        <v> </v>
      </c>
      <c r="AI50" s="318" t="str">
        <f aca="false">IF($A50="N/A"," ",IF(VLOOKUP(MONTH(A50),ManualTable,10)=1,(IF(Z50&lt;&gt;0,(8*($HF50)),0)),0))</f>
        <v> </v>
      </c>
      <c r="AJ50" s="344" t="str">
        <f aca="false">IF($A50="N/A"," ",RANK(R50,$R$40:$Z$51))</f>
        <v> </v>
      </c>
      <c r="AK50" s="321" t="str">
        <f aca="false">IF($A50="N/A"," ",RANK(S50,$R$40:$Z$51))</f>
        <v> </v>
      </c>
      <c r="AL50" s="321" t="str">
        <f aca="false">IF($A50="N/A"," ",RANK(T50,$R$40:$Z$51))</f>
        <v> </v>
      </c>
      <c r="AM50" s="321" t="str">
        <f aca="false">IF($A50="N/A"," ",RANK(U50,$R$40:$Z$51))</f>
        <v> </v>
      </c>
      <c r="AN50" s="321" t="str">
        <f aca="false">IF($A50="N/A"," ",RANK(V50,$R$40:$Z$51))</f>
        <v> </v>
      </c>
      <c r="AO50" s="321" t="str">
        <f aca="false">IF($A50="N/A"," ",RANK(W50,$R$40:$Z$51))</f>
        <v> </v>
      </c>
      <c r="AP50" s="321" t="str">
        <f aca="false">IF($A50="N/A"," ",RANK(X50,$R$40:$Z$51))</f>
        <v> </v>
      </c>
      <c r="AQ50" s="321" t="str">
        <f aca="false">IF($A50="N/A"," ",RANK(Y50,$R$40:$Z$51))</f>
        <v> </v>
      </c>
      <c r="AR50" s="345" t="str">
        <f aca="false">IF($A50="N/A"," ",RANK(Z50,$R$40:$Z$51))</f>
        <v> </v>
      </c>
      <c r="AS50" s="323" t="str">
        <f aca="false">IF($A50="N/A"," ",IF(AJ50&lt;=$AR$2,AA50,0))</f>
        <v> </v>
      </c>
      <c r="AT50" s="325" t="str">
        <f aca="false">IF($A50="N/A"," ",IF(AK50&lt;=$AR$2,AB50,0))</f>
        <v> </v>
      </c>
      <c r="AU50" s="325" t="str">
        <f aca="false">IF($A50="N/A"," ",IF(AL50&lt;=$AR$2,AC50,0))</f>
        <v> </v>
      </c>
      <c r="AV50" s="325" t="str">
        <f aca="false">IF($A50="N/A"," ",IF(AM50&lt;=$AR$2,AD50,0))</f>
        <v> </v>
      </c>
      <c r="AW50" s="325" t="str">
        <f aca="false">IF($A50="N/A"," ",IF(AN50&lt;=$AR$2,AE50,0))</f>
        <v> </v>
      </c>
      <c r="AX50" s="325" t="str">
        <f aca="false">IF($A50="N/A"," ",IF(AO50&lt;=$AR$2,AF50,0))</f>
        <v> </v>
      </c>
      <c r="AY50" s="325" t="str">
        <f aca="false">IF($A50="N/A"," ",IF(AP50&lt;=$AR$2,AG50,0))</f>
        <v> </v>
      </c>
      <c r="AZ50" s="325" t="str">
        <f aca="false">IF($A50="N/A"," ",IF(AQ50&lt;=$AR$2,AH50,0))</f>
        <v> </v>
      </c>
      <c r="BA50" s="325" t="str">
        <f aca="false">IF($A50="N/A"," ",IF(AR50&lt;=$AR$2,AI50,0))</f>
        <v> </v>
      </c>
      <c r="BB50" s="345" t="n">
        <f aca="false">SUM(AS40:BA51)</f>
        <v>0</v>
      </c>
      <c r="BC50" s="326" t="str">
        <f aca="false">IF($A50="N/A"," ",IF(AND(AJ50=$AR$2+1,AS50=0),MIN($BB$51,AA50),0))</f>
        <v> </v>
      </c>
      <c r="BD50" s="346" t="str">
        <f aca="false">IF($A50="N/A"," ",IF(AND(AK50=$AR$2+1,AT50=0),MIN($BB$51,AB50),0))</f>
        <v> </v>
      </c>
      <c r="BE50" s="346" t="str">
        <f aca="false">IF($A50="N/A"," ",IF(AND(AL50=$AR$2+1,AU50=0),MIN($BB$51,AC50),0))</f>
        <v> </v>
      </c>
      <c r="BF50" s="346" t="str">
        <f aca="false">IF($A50="N/A"," ",IF(AND(AM50=$AR$2+1,AV50=0),MIN($BB$51,AD50),0))</f>
        <v> </v>
      </c>
      <c r="BG50" s="346" t="str">
        <f aca="false">IF($A50="N/A"," ",IF(AND(AN50=$AR$2+1,AW50=0),MIN($BB$51,AE50),0))</f>
        <v> </v>
      </c>
      <c r="BH50" s="346" t="str">
        <f aca="false">IF($A50="N/A"," ",IF(AND(AO50=$AR$2+1,AX50=0),MIN($BB$51,AF50),0))</f>
        <v> </v>
      </c>
      <c r="BI50" s="346" t="str">
        <f aca="false">IF($A50="N/A"," ",IF(AND(AP50=$AR$2+1,AY50=0),MIN($BB$51,AG50),0))</f>
        <v> </v>
      </c>
      <c r="BJ50" s="346" t="str">
        <f aca="false">IF($A50="N/A"," ",IF(AND(AQ50=$AR$2+1,AZ50=0),MIN($BB$51,AH50),0))</f>
        <v> </v>
      </c>
      <c r="BK50" s="346" t="str">
        <f aca="false">IF($A50="N/A"," ",IF(AND(AR50=$AR$2+1,BA50=0),MIN($BB$51,AI50),0))</f>
        <v> </v>
      </c>
      <c r="BL50" s="345" t="n">
        <f aca="false">SUM(BC40:BK51)</f>
        <v>0</v>
      </c>
      <c r="BM50" s="329" t="str">
        <f aca="false">IF($A50="N/A"," ",(IF(MONTH(A50)&gt;=4,IF(MONTH(A50)&lt;=10,Inputs!$F$13-Inputs!$G$13,Inputs!$F$14-Inputs!$G$14),Inputs!$F$14-Inputs!$G$14))*$CK50*Availability)</f>
        <v> </v>
      </c>
      <c r="BN50" s="330" t="str">
        <f aca="false">IF($A50="N/A"," ",(IF(AS50&gt;0,($BM50*(8*($HD50))*R50),0)+IF(BC50&gt;0,($BM50*((BC50/AA50)*8*$HD50)*R50),0)))</f>
        <v> </v>
      </c>
      <c r="BO50" s="330" t="str">
        <f aca="false">IF($A50="N/A"," ",(IF(AT50&gt;0,($BM50*(8*($HD50))*S50),0)+IF(BD50&gt;0,($BM50*((BD50/AB50)*8*$HD50)*S50),0)))</f>
        <v> </v>
      </c>
      <c r="BP50" s="330" t="str">
        <f aca="false">IF($A50="N/A"," ",(IF(AU50&gt;0,($BM50*(8*($HD50))*T50),0)+IF(BE50&gt;0,($BM50*((BE50))*T50),0)))</f>
        <v> </v>
      </c>
      <c r="BQ50" s="330" t="str">
        <f aca="false">IF($A50="N/A"," ",(IF(AV50&gt;0,($BM50*(8*($HE50))*U50),0)+IF(BF50&gt;0,($BM50*((BF50/AD50)*8*$HE50)*U50),0)))</f>
        <v> </v>
      </c>
      <c r="BR50" s="330" t="str">
        <f aca="false">IF($A50="N/A"," ",(IF(AW50&gt;0,($BM50*(8*($HE50))*V50),0)+IF(BG50&gt;0,($BM50*((BG50/AE50)*8*$HE50)*V50),0)))</f>
        <v> </v>
      </c>
      <c r="BS50" s="330" t="str">
        <f aca="false">IF($A50="N/A"," ",(IF(AX50&gt;0,($BM50*(8*($HE50))*W50),0)+IF(BH50&gt;0,($BM50*((BH50))*W50),0)))</f>
        <v> </v>
      </c>
      <c r="BT50" s="330" t="str">
        <f aca="false">IF($A50="N/A"," ",(IF(AY50&gt;0,($BM50*(8*($HF50))*X50),0)+IF(BI50&gt;0,($BM50*((BI50/AG50)*8*$HF50)*X50),0)))</f>
        <v> </v>
      </c>
      <c r="BU50" s="330" t="str">
        <f aca="false">IF($A50="N/A"," ",(IF(AZ50&gt;0,($BM50*(8*($HF50))*Y50),0)+IF(BJ50&gt;0,($BM50*((BJ50/AH50)*8*$HF50)*Y50),0)))</f>
        <v> </v>
      </c>
      <c r="BV50" s="330" t="str">
        <f aca="false">IF($A50="N/A"," ",(IF(BA50&gt;0,($BM50*(8*($HF50))*Z50),0)+IF(BK50&gt;0,($BM50*((BK50))*Z50),0)))</f>
        <v> </v>
      </c>
      <c r="BW50" s="330" t="str">
        <f aca="false">IF($A50="N/A"," ",SUM(BN50:BV50))</f>
        <v> </v>
      </c>
      <c r="BX50" s="331" t="str">
        <f aca="false">IF($A50="N/A"," ",(H50*(SUM(AS50:BA50)+SUM(BC50:BK50))*BM50))</f>
        <v> </v>
      </c>
      <c r="BY50" s="332" t="str">
        <f aca="false">IF($A50="N/A"," ",((C50*D50)*(SUM($AS50:$BA50)+SUM($BC50:$BK50))*$BM50))</f>
        <v> </v>
      </c>
      <c r="BZ50" s="332" t="str">
        <f aca="false">IF($A50="N/A"," ",(F50*(SUM($AS50:$BA50)+SUM($BC50:$BK50))*$BM50))</f>
        <v> </v>
      </c>
      <c r="CA50" s="333" t="str">
        <f aca="false">IF($A50="N/A"," ",(G50*(SUM($AS50:$BA50)+SUM($BC50:$BK50))*$BM50))</f>
        <v> </v>
      </c>
      <c r="CB50" s="334" t="str">
        <f aca="false">IF(A50="N/A"," ",(VLOOKUP(A50,PowerVolTable,(IF(BMO=2,7,IF(BMO=1,6,8))),FALSE())))</f>
        <v> </v>
      </c>
      <c r="CC50" s="334" t="str">
        <f aca="false">IF(A50="N/A"," ",(VLOOKUP(A50,IntraPowerVol,(IF(BMO=2,3,IF(BMO=1,2,4))),FALSE())*VLOOKUP(MONTH($A50),Volscale,2)))</f>
        <v> </v>
      </c>
      <c r="CD50" s="335" t="str">
        <f aca="false">IF($A50="N/A"," ",(IF(DateToday&gt;$A50,$CC50,((($CB50^2)*((($A50-1)-DateToday)/((EOMONTH($A50,0)+1)-DateToday-15)))+((($CC50)^2)*((15)/((EOMONTH($A50,0)+1)-DateToday-15))))^0.5)))</f>
        <v> </v>
      </c>
      <c r="CE50" s="334" t="str">
        <f aca="false">IF($A50="N/A"," ",(VLOOKUP($A50,GasVolTable,(IF(BMO=2,6,IF(BMO=1,7,5))),FALSE())))</f>
        <v> </v>
      </c>
      <c r="CF50" s="334" t="str">
        <f aca="false">IF($A50="N/A"," ",(VLOOKUP($A50,OmicronVol,(IF(BMO=2,3,IF(BMO=1,4,2))),FALSE())))</f>
        <v> </v>
      </c>
      <c r="CG50" s="335" t="str">
        <f aca="false">IF($A50="N/A"," ",(IF(DateToday&gt;$A50,$CF50,((($CE50^2)*((($A50-1)-DateToday)/((EOMONTH($A50,0)+1)-DateToday-15)))+((($CF50)^2)*((15)/((EOMONTH($A50,0)+1)-DateToday-15))))^0.5)))</f>
        <v> </v>
      </c>
      <c r="CH50" s="334" t="str">
        <f aca="false">IF($A50="N/A"," ",VLOOKUP($A50,CorrelationTable,2,FALSE()))</f>
        <v> </v>
      </c>
      <c r="CI50" s="336" t="str">
        <f aca="false">IF($A50="N/A"," ",F50+G50+(D50*('Pricing Inputs'!T83)))</f>
        <v> </v>
      </c>
      <c r="CJ50" s="334" t="str">
        <f aca="false">IF($A50="N/A"," ",IF(PV=1,0,'Pricing Inputs'!U83))</f>
        <v> </v>
      </c>
      <c r="CK50" s="337" t="str">
        <f aca="false">IF($A50="N/A"," ",(1+CJ50/2)^(-2*((EOMONTH(A50,0)+20)-DateToday)/365.25))</f>
        <v> </v>
      </c>
      <c r="CL50" s="338" t="str">
        <f aca="false">IF(A50="N/A"," ",IF(CC=2,(VLOOKUP(MONTH($A50),Hrtable,3))/1000,0))</f>
        <v> </v>
      </c>
      <c r="CM50" s="339" t="str">
        <f aca="false">IF(A50="N/A"," ",IF(CC=2,(CL50*C50)+F50,0))</f>
        <v> </v>
      </c>
      <c r="CN50" s="340" t="str">
        <f aca="false">IF($A50="N/A"," ",IF(CC=2,(VLOOKUP(A50,ScaledPrice,(IF(AND(Dayrun&gt;=1,Dayrun&lt;=6),2,4)))-((IF(R50&lt;&gt;0,$D50,$CL50)*$C50)+$F50+$G50)),0))</f>
        <v> </v>
      </c>
      <c r="CO50" s="340" t="str">
        <f aca="false">IF($A50="N/A"," ",IF(CC=2,(IF(AND(Dayrun&gt;=1,Dayrun&lt;=6),I50,(VLOOKUP(A50,ScaledPrice,2))*(2-(VLOOKUP(A50,ScaledPrice,3))))-((IF(S50&lt;&gt;0,$D50,$CL50)*$C50)+$F50+$G50)),0))</f>
        <v> </v>
      </c>
      <c r="CP50" s="340" t="str">
        <f aca="false">IF(A50="N/A"," ",IF(CC=2,(VLOOKUP(A50,ScaledPrice,9)-((IF(T50&lt;&gt;0,$D50,$CL50)*$C50)+$F50+$G50)),0))</f>
        <v> </v>
      </c>
      <c r="CQ50" s="340" t="str">
        <f aca="false">IF(A50="N/A"," ",IF(CC=2,(IF(OR(Dayrun=2,Dayrun=3,Dayrun=5,Dayrun=6,Dayrun=8,Dayrun=9),VLOOKUP(A50,ScaledPrice,IF(AND(Dayrun&gt;=2,Dayrun&lt;=6),5,6)),0)-((IF(U50&lt;&gt;0,$D50,$CL50)*$C50)+$F50+$G50)),0))</f>
        <v> </v>
      </c>
      <c r="CR50" s="340" t="str">
        <f aca="false">IF(A50="N/A"," ",IF(CC=2,(IF(OR(Dayrun=2,Dayrun=3,Dayrun=5,Dayrun=6,Dayrun=8,Dayrun=9),IF(AND(Dayrun&gt;=2,Dayrun&lt;=6),L50,(VLOOKUP(A50,ScaledPrice,5))*(2-(VLOOKUP(A50,ScaledPrice,3)))),0)-((IF(V50&lt;&gt;0,$D50,$CL50)*$C50)+$F50+$G50)),0))</f>
        <v> </v>
      </c>
      <c r="CS50" s="340" t="str">
        <f aca="false">IF(A50="N/A"," ",IF(CC=2,(VLOOKUP(A50,ScaledPrice,9)-((IF(W50&lt;&gt;0,$D50,$CL50)*$C50)+$F50+$G50)),0))</f>
        <v> </v>
      </c>
      <c r="CT50" s="340" t="str">
        <f aca="false">IF(A50="N/A"," ",IF(CC=2,(IF(OR(Dayrun=3,Dayrun=6,Dayrun=9),(VLOOKUP(A50,ScaledPrice,IF(AND(Dayrun&gt;=3,Dayrun&lt;=6),7,8))),0)-((IF(X50&lt;&gt;0,$D50,$CL50)*$C50)+$F50+$G50)),0))</f>
        <v> </v>
      </c>
      <c r="CU50" s="340" t="str">
        <f aca="false">IF(A50="N/A"," ",IF(CC=2,(IF(OR(Dayrun=3,Dayrun=6,Dayrun=9),IF(AND(Dayrun&gt;=3,Dayrun&lt;=6),O50,(VLOOKUP(A50,ScaledPrice,7))*(2-(VLOOKUP(A50,ScaledPrice,3)))),0)-((IF(Y50&lt;&gt;0,$D50,$CL50)*$C50)+$F50+$G50)),0))</f>
        <v> </v>
      </c>
      <c r="CV50" s="340" t="str">
        <f aca="false">IF(A50="N/A"," ",IF(CC=2,(VLOOKUP(A50,ScaledPrice,9)-((IF(Z50&lt;&gt;0,$D50,$CL50)*$C50)+$F50+$G50)),0))</f>
        <v> </v>
      </c>
      <c r="CW50" s="318" t="str">
        <f aca="false">IF($A50="N/A"," ",IF(0&lt;&gt;CN50,IF(CC=2,8*$HD50,0),0))</f>
        <v> </v>
      </c>
      <c r="CX50" s="318" t="str">
        <f aca="false">IF($A50="N/A"," ",IF(0&lt;&gt;CO50,IF(CC=2,8*$HD50,0),0))</f>
        <v> </v>
      </c>
      <c r="CY50" s="318" t="str">
        <f aca="false">IF($A50="N/A"," ",IF(0&lt;&gt;CP50,IF(CC=2,8*$HD50,0),0))</f>
        <v> </v>
      </c>
      <c r="CZ50" s="318" t="str">
        <f aca="false">IF($A50="N/A"," ",IF(0&lt;&gt;CQ50,IF(CC=2,8*$HE50,0),0))</f>
        <v> </v>
      </c>
      <c r="DA50" s="318" t="str">
        <f aca="false">IF($A50="N/A"," ",IF(0&lt;&gt;CR50,IF(CC=2,8*$HE50,0),0))</f>
        <v> </v>
      </c>
      <c r="DB50" s="318" t="str">
        <f aca="false">IF($A50="N/A"," ",IF(0&lt;&gt;CS50,IF(CC=2,8*$HE50,0),0))</f>
        <v> </v>
      </c>
      <c r="DC50" s="318" t="str">
        <f aca="false">IF($A50="N/A"," ",IF(0&lt;&gt;CT50,IF(CC=2,8*$HF50,0),0))</f>
        <v> </v>
      </c>
      <c r="DD50" s="318" t="str">
        <f aca="false">IF($A50="N/A"," ",IF(0&lt;&gt;CU50,IF(CC=2,8*$HF50,0),0))</f>
        <v> </v>
      </c>
      <c r="DE50" s="318" t="str">
        <f aca="false">IF($A50="N/A"," ",IF(0&lt;&gt;CV50,IF(CC=2,8*$HF50,0),0))</f>
        <v> </v>
      </c>
      <c r="DF50" s="341" t="str">
        <f aca="false">IF($A50="N/A"," ",IF(CC=2,(IF(MONTH(A50)&gt;=4,IF(MONTH(A50)&lt;=10,Inputs!$G$13,Inputs!$G$14),Inputs!$G$14))*$CK50,0))</f>
        <v> </v>
      </c>
      <c r="DG50" s="342" t="str">
        <f aca="false">IF($A50="N/A"," ",IF(CC=2,$DF50*CW50*CN50,0))</f>
        <v> </v>
      </c>
      <c r="DH50" s="342" t="str">
        <f aca="false">IF($A50="N/A"," ",IF(CC=2,$DF50*CX50*CO50,0))</f>
        <v> </v>
      </c>
      <c r="DI50" s="342" t="str">
        <f aca="false">IF($A50="N/A"," ",IF(CC=2,$DF50*CY50*CP50,0))</f>
        <v> </v>
      </c>
      <c r="DJ50" s="342" t="str">
        <f aca="false">IF($A50="N/A"," ",IF(CC=2,$DF50*CZ50*CQ50,0))</f>
        <v> </v>
      </c>
      <c r="DK50" s="342" t="str">
        <f aca="false">IF($A50="N/A"," ",IF(CC=2,$DF50*DA50*CR50,0))</f>
        <v> </v>
      </c>
      <c r="DL50" s="342" t="str">
        <f aca="false">IF($A50="N/A"," ",IF(CC=2,$DF50*DB50*CS50,0))</f>
        <v> </v>
      </c>
      <c r="DM50" s="342" t="str">
        <f aca="false">IF($A50="N/A"," ",IF(CC=2,$DF50*DC50*CT50,0))</f>
        <v> </v>
      </c>
      <c r="DN50" s="342" t="str">
        <f aca="false">IF($A50="N/A"," ",IF(CC=2,$DF50*DD50*CU50,0))</f>
        <v> </v>
      </c>
      <c r="DO50" s="342" t="str">
        <f aca="false">IF($A50="N/A"," ",IF(CC=2,$DF50*DE50*CV50,0))</f>
        <v> </v>
      </c>
      <c r="DP50" s="343" t="str">
        <f aca="false">IF($A50="N/A"," ",IF(CC=2,SUM(DG50:DO50),0))</f>
        <v> </v>
      </c>
      <c r="DQ50" s="0" t="str">
        <f aca="false">IF(A50="N/A"," ",Perstart)</f>
        <v> </v>
      </c>
      <c r="HD50" s="0" t="str">
        <f aca="false">IF($A50="N/A"," ",VLOOKUP($A50,NumberofDaysTable,2))</f>
        <v> </v>
      </c>
      <c r="HE50" s="0" t="str">
        <f aca="false">IF($A50="N/A"," ",VLOOKUP($A50,NumberofDaysTable,3))</f>
        <v> </v>
      </c>
      <c r="HF50" s="0" t="str">
        <f aca="false">IF($A50="N/A"," ",VLOOKUP($A50,NumberofDaysTable,4))</f>
        <v> </v>
      </c>
    </row>
    <row r="51" customFormat="false" ht="12.75" hidden="false" customHeight="false" outlineLevel="0" collapsed="false">
      <c r="A51" s="308" t="str">
        <f aca="false">IF(A50="N/A","N/A",IF(EDATE(A50,1)&gt;Inputs!$K$3,"N/A",EDATE(A50,1)))</f>
        <v>N/A</v>
      </c>
      <c r="B51" s="309" t="str">
        <f aca="false">IF(A51="N/A"," ",YEAR(A51))</f>
        <v> </v>
      </c>
      <c r="C51" s="310" t="str">
        <f aca="false">IF(A51="N/A"," ",VLOOKUP(A51,ScaledPrice,10))</f>
        <v> </v>
      </c>
      <c r="D51" s="311" t="str">
        <f aca="false">IF(A51="N/A"," ",(VLOOKUP(MONTH($A51),Hrtable,2))/1000)</f>
        <v> </v>
      </c>
      <c r="E51" s="312" t="str">
        <f aca="false">IF($A51="N/A"," ",(C51-'Pricing Inputs'!T84)*D51)</f>
        <v> </v>
      </c>
      <c r="F51" s="313" t="str">
        <f aca="false">IF(A51="N/A"," ",$F39*(1+VOMesc))</f>
        <v> </v>
      </c>
      <c r="G51" s="313" t="str">
        <f aca="false">IF(A51="N/A"," ",Perstart/IF(AND(Dayrun&gt;=4,Dayrun&lt;=6),16,IF(AND(Dayrun&gt;=7,Dayrun&lt;=9),8,24))/(BM51/CK51))</f>
        <v> </v>
      </c>
      <c r="H51" s="314" t="str">
        <f aca="false">IF(A51="N/A"," ",(C51*D51)+F51+G51)</f>
        <v> </v>
      </c>
      <c r="I51" s="315" t="str">
        <f aca="false">VLOOKUP(A51,ScaledPrice,(IF(AND(Dayrun&gt;=1,Dayrun&lt;=6),2,4)))</f>
        <v> </v>
      </c>
      <c r="J51" s="315" t="str">
        <f aca="false">IF(A51="N/A"," ",IF(AND(Dayrun&gt;=1,Dayrun&lt;=6),I51,(VLOOKUP(A51,ScaledPrice,2))*(2-(VLOOKUP(A51,ScaledPrice,3)))))</f>
        <v> </v>
      </c>
      <c r="K51" s="315" t="str">
        <f aca="false">IF(A51="N/A"," ",IF(AND(Dayrun&gt;=1,Dayrun&lt;=3),VLOOKUP(A51,ScaledPrice,9),0))</f>
        <v> </v>
      </c>
      <c r="L51" s="315" t="str">
        <f aca="false">IF(A51="N/A"," ",IF(OR(Dayrun=2,Dayrun=3,Dayrun=5,Dayrun=6,Dayrun=8,Dayrun=9),VLOOKUP(A51,ScaledPrice,IF(AND(Dayrun&gt;=2,Dayrun&lt;=6),5,6)),0))</f>
        <v> </v>
      </c>
      <c r="M51" s="315" t="str">
        <f aca="false">IF(A51="N/A"," ",IF(OR(Dayrun=2,Dayrun=3,Dayrun=5,Dayrun=6,Dayrun=8,Dayrun=9),IF(AND(Dayrun&gt;=2,Dayrun&lt;=6),L51,(VLOOKUP(A51,ScaledPrice,5))*(2-(VLOOKUP(A51,ScaledPrice,3)))),0))</f>
        <v> </v>
      </c>
      <c r="N51" s="315" t="str">
        <f aca="false">IF(A51="N/A"," ",IF(AND(Dayrun&gt;1,Dayrun&lt;=3),VLOOKUP(A51,ScaledPrice,9),0))</f>
        <v> </v>
      </c>
      <c r="O51" s="315" t="str">
        <f aca="false">IF(A51="N/A"," ",IF(OR(Dayrun=3,Dayrun=6,Dayrun=9),(VLOOKUP(A51,ScaledPrice,IF(AND(Dayrun&gt;=3,Dayrun&lt;=6),7,8))),0))</f>
        <v> </v>
      </c>
      <c r="P51" s="315" t="str">
        <f aca="false">IF(A51="N/A"," ",IF(OR(Dayrun=3,Dayrun=6,Dayrun=9),IF(AND(Dayrun&gt;=3,Dayrun&lt;=6),O51,(VLOOKUP(A51,ScaledPrice,7))*(2-(VLOOKUP(A51,ScaledPrice,3)))),0))</f>
        <v> </v>
      </c>
      <c r="Q51" s="315" t="str">
        <f aca="false">IF(A51="N/A"," ",IF(AND(Dayrun&gt;2,Dayrun&lt;=3),VLOOKUP(A51,ScaledPrice,9),0))</f>
        <v> </v>
      </c>
      <c r="R51" s="316" t="str">
        <f aca="false">IF($A51="N/A"," ",IF(Pricetype=2,MAX(I51-$H51,0),IF(Pricetype=1,(xSPRDOPT(I51,$E51,$CI51,0,($CD51+IF(Smile=TRUE(),VLOOKUP(MAX(-5,$H51-I51),Volsmile,2),0)),$CG51,$CH51,($A51-DateToday)+15,1,0)),I51-$H51)))</f>
        <v> </v>
      </c>
      <c r="S51" s="316" t="str">
        <f aca="false">IF($A51="N/A"," ",IF(Pricetype=2,MAX(J51-$H51,0),IF(Pricetype=1,(xSPRDOPT(J51,$E51,$CI51,0,($CD51+IF(Smile=TRUE(),VLOOKUP(MAX(-5,$H51-J51),Volsmile,2),0)),$CG51,$CH51,($A51-DateToday)+15,1,0)),J51-$H51)))</f>
        <v> </v>
      </c>
      <c r="T51" s="317" t="str">
        <f aca="false">IF($A51="N/A"," ",(IF(Pricetype=2,IF((K51-$H51)&lt;=0,0,(K51-$H51)),IF(K51&lt;&gt;0,(K51-$H51),0))))</f>
        <v> </v>
      </c>
      <c r="U51" s="316" t="str">
        <f aca="false">IF($A51="N/A"," ",IF(Pricetype=2,MAX(L51-$H51,0),IF(L51&lt;&gt;0,IF(Pricetype=1,(xSPRDOPT(L51,$E51,$CI51,0,($CD51+IF(Smile=TRUE(),VLOOKUP(MAX(-5,$H51-L51),Volsmile,2),0)),$CG51,$CH51,($A51-DateToday)+15,1,0)),L51-$H51),0)))</f>
        <v> </v>
      </c>
      <c r="V51" s="316" t="str">
        <f aca="false">IF($A51="N/A"," ",IF(Pricetype=2,MAX(M51-$H51,0),IF(M51&lt;&gt;0,IF(Pricetype=1,(xSPRDOPT(M51,$E51,$CI51,0,($CD51+IF(Smile=TRUE(),VLOOKUP(MAX(-5,$H51-M51),Volsmile,2),0)),$CG51,$CH51,($A51-DateToday)+15,1,0)),M51-$H51),0)))</f>
        <v> </v>
      </c>
      <c r="W51" s="317" t="str">
        <f aca="false">IF($A51="N/A"," ",(IF(Pricetype=2,IF((N51-$H51)&lt;=0,0,(N51-$H51)),IF(N51&lt;&gt;0,(N51-$H51),0))))</f>
        <v> </v>
      </c>
      <c r="X51" s="316" t="str">
        <f aca="false">IF($A51="N/A"," ",IF(Pricetype=2,MAX(O51-$H51,0),IF(O51&lt;&gt;0,IF(Pricetype=1,(xSPRDOPT(O51,$E51,$CI51,0,($CD51+IF(Smile=TRUE(),VLOOKUP(MAX(-5,$H51-O51),Volsmile,2),0)),$CG51,$CH51,($A51-DateToday)+15,1,0)),O51-$H51),0)))</f>
        <v> </v>
      </c>
      <c r="Y51" s="316" t="str">
        <f aca="false">IF($A51="N/A"," ",IF(Pricetype=2,MAX(P51-$H51,0),IF(P51&lt;&gt;0,IF(Pricetype=1,(xSPRDOPT(P51,$E51,$CI51,0,($CD51+IF(Smile=TRUE(),VLOOKUP(MAX(-5,$H51-P51),Volsmile,2),0)),$CG51,$CH51,($A51-DateToday)+15,1,0)),P51-$H51),0)))</f>
        <v> </v>
      </c>
      <c r="Z51" s="317" t="str">
        <f aca="false">IF($A51="N/A"," ",(IF(Pricetype=2,IF((Q51-$H51)&lt;=0,0,(Q51-$H51)),IF(Q51&lt;&gt;0,(Q51-$H51),0))))</f>
        <v> </v>
      </c>
      <c r="AA51" s="318" t="str">
        <f aca="false">IF($A51="N/A"," ",IF(VLOOKUP(MONTH(A51),ManualTable,2)=1,(IF(0&lt;&gt;R51,IF(Pricetype=1,(xSPRDOPT(I51,$E51,$CI51,0,($CD51+IF(Smile=TRUE(),VLOOKUP(MAX(-5,$H51-I51),Volsmile,2),0)),$CG51,$CH51,($A51-DateToday)+15,1,1))*(8*$HD51),8*$HD51),0)),0))</f>
        <v> </v>
      </c>
      <c r="AB51" s="318" t="str">
        <f aca="false">IF($A51="N/A"," ",IF(VLOOKUP(MONTH(A51),ManualTable,3)=1,(IF(S51&lt;&gt;0,IF(Pricetype=1,(xSPRDOPT(J51,$E51,$CI51,0,($CD51+IF(Smile=TRUE(),VLOOKUP(MAX(-5,$H51-J51),Volsmile,2),0)),$CG51,$CH51,($A51-DateToday)+15,1,1))*(8*$HD51),8*$HD51),0)),0))</f>
        <v> </v>
      </c>
      <c r="AC51" s="318" t="str">
        <f aca="false">IF($A51="N/A"," ",IF(VLOOKUP(MONTH(A51),ManualTable,4)=1,(IF(T51&lt;&gt;0,(8*$HD51),0)),0))</f>
        <v> </v>
      </c>
      <c r="AD51" s="318" t="str">
        <f aca="false">IF($A51="N/A"," ",IF(VLOOKUP(MONTH(A51),ManualTable,5)=1,(IF(U51&lt;&gt;0,IF(Pricetype=1,(xSPRDOPT(L51,$E51,$CI51,0,($CD51+IF(Smile=TRUE(),VLOOKUP(MAX(-5,$H51-L51),Volsmile,2),0)),$CG51,$CH51,($A51-DateToday)+15,1,1))*(8*$HE51),8*$HE51),0)),0))</f>
        <v> </v>
      </c>
      <c r="AE51" s="318" t="str">
        <f aca="false">IF($A51="N/A"," ",IF(VLOOKUP(MONTH(A51),ManualTable,6)=1,(IF(V51&lt;&gt;0,IF(Pricetype=1,(xSPRDOPT(M51,$E51,$CI51,0,($CD51+IF(Smile=TRUE(),VLOOKUP(MAX(-5,$H51-M51),Volsmile,2),0)),$CG51,$CH51,($A51-DateToday)+15,1,1))*(8*$HE51),8*$HE51),0)),0))</f>
        <v> </v>
      </c>
      <c r="AF51" s="318" t="str">
        <f aca="false">IF($A51="N/A"," ",IF(VLOOKUP(MONTH(A51),ManualTable,7)=1,(IF(W51&lt;&gt;0,(8*$HE51),0)),0))</f>
        <v> </v>
      </c>
      <c r="AG51" s="318" t="str">
        <f aca="false">IF($A51="N/A"," ",IF(VLOOKUP(MONTH(A51),ManualTable,8)=1,(IF(X51&lt;&gt;0,IF(Pricetype=1,(xSPRDOPT(O51,$E51,$CI51,0,($CD51+IF(Smile=TRUE(),VLOOKUP(MAX(-5,$H51-O51),Volsmile,2),0)),$CG51,$CH51,($A51-DateToday)+15,1,1))*(8*$HF51),8*$HF51),0)),0))</f>
        <v> </v>
      </c>
      <c r="AH51" s="318" t="str">
        <f aca="false">IF($A51="N/A"," ",IF(VLOOKUP(MONTH(A51),ManualTable,9)=1,(IF(Y51&lt;&gt;0,IF(Pricetype=1,(xSPRDOPT(P51,$E51,$CI51,0,($CD51+IF(Smile=TRUE(),VLOOKUP(MAX(-5,$H51-P51),Volsmile,2),0)),$CG51,$CH51,($A51-DateToday)+15,1,1))*(8*$HF51),8*$HF51),0)),0))</f>
        <v> </v>
      </c>
      <c r="AI51" s="318" t="str">
        <f aca="false">IF($A51="N/A"," ",IF(VLOOKUP(MONTH(A51),ManualTable,10)=1,(IF(Z51&lt;&gt;0,(8*($HF51)),0)),0))</f>
        <v> </v>
      </c>
      <c r="AJ51" s="349" t="str">
        <f aca="false">IF($A51="N/A"," ",RANK(R51,$R$40:$Z$51))</f>
        <v> </v>
      </c>
      <c r="AK51" s="350" t="str">
        <f aca="false">IF($A51="N/A"," ",RANK(S51,$R$40:$Z$51))</f>
        <v> </v>
      </c>
      <c r="AL51" s="350" t="str">
        <f aca="false">IF($A51="N/A"," ",RANK(T51,$R$40:$Z$51))</f>
        <v> </v>
      </c>
      <c r="AM51" s="350" t="str">
        <f aca="false">IF($A51="N/A"," ",RANK(U51,$R$40:$Z$51))</f>
        <v> </v>
      </c>
      <c r="AN51" s="350" t="str">
        <f aca="false">IF($A51="N/A"," ",RANK(V51,$R$40:$Z$51))</f>
        <v> </v>
      </c>
      <c r="AO51" s="350" t="str">
        <f aca="false">IF($A51="N/A"," ",RANK(W51,$R$40:$Z$51))</f>
        <v> </v>
      </c>
      <c r="AP51" s="350" t="str">
        <f aca="false">IF($A51="N/A"," ",RANK(X51,$R$40:$Z$51))</f>
        <v> </v>
      </c>
      <c r="AQ51" s="350" t="str">
        <f aca="false">IF($A51="N/A"," ",RANK(Y51,$R$40:$Z$51))</f>
        <v> </v>
      </c>
      <c r="AR51" s="351" t="str">
        <f aca="false">IF($A51="N/A"," ",RANK(Z51,$R$40:$Z$51))</f>
        <v> </v>
      </c>
      <c r="AS51" s="352" t="str">
        <f aca="false">IF($A51="N/A"," ",IF(AJ51&lt;=$AR$2,AA51,0))</f>
        <v> </v>
      </c>
      <c r="AT51" s="353" t="str">
        <f aca="false">IF($A51="N/A"," ",IF(AK51&lt;=$AR$2,AB51,0))</f>
        <v> </v>
      </c>
      <c r="AU51" s="353" t="str">
        <f aca="false">IF($A51="N/A"," ",IF(AL51&lt;=$AR$2,AC51,0))</f>
        <v> </v>
      </c>
      <c r="AV51" s="353" t="str">
        <f aca="false">IF($A51="N/A"," ",IF(AM51&lt;=$AR$2,AD51,0))</f>
        <v> </v>
      </c>
      <c r="AW51" s="353" t="str">
        <f aca="false">IF($A51="N/A"," ",IF(AN51&lt;=$AR$2,AE51,0))</f>
        <v> </v>
      </c>
      <c r="AX51" s="353" t="str">
        <f aca="false">IF($A51="N/A"," ",IF(AO51&lt;=$AR$2,AF51,0))</f>
        <v> </v>
      </c>
      <c r="AY51" s="353" t="str">
        <f aca="false">IF($A51="N/A"," ",IF(AP51&lt;=$AR$2,AG51,0))</f>
        <v> </v>
      </c>
      <c r="AZ51" s="353" t="str">
        <f aca="false">IF($A51="N/A"," ",IF(AQ51&lt;=$AR$2,AH51,0))</f>
        <v> </v>
      </c>
      <c r="BA51" s="353" t="str">
        <f aca="false">IF($A51="N/A"," ",IF(AR51&lt;=$AR$2,AI51,0))</f>
        <v> </v>
      </c>
      <c r="BB51" s="351" t="n">
        <f aca="false">IF(($AZ$2-BB50)&gt;=0,$AZ$2-BB50,0)</f>
        <v>980</v>
      </c>
      <c r="BC51" s="354" t="str">
        <f aca="false">IF($A51="N/A"," ",IF(AND(AJ51=$AR$2+1,AS51=0),MIN($BB$51,AA51),0))</f>
        <v> </v>
      </c>
      <c r="BD51" s="355" t="str">
        <f aca="false">IF($A51="N/A"," ",IF(AND(AK51=$AR$2+1,AT51=0),MIN($BB$51,AB51),0))</f>
        <v> </v>
      </c>
      <c r="BE51" s="346" t="str">
        <f aca="false">IF($A51="N/A"," ",IF(AND(AL51=$AR$2+1,AU51=0),MIN($BB$51,AC51),0))</f>
        <v> </v>
      </c>
      <c r="BF51" s="355" t="str">
        <f aca="false">IF($A51="N/A"," ",IF(AND(AM51=$AR$2+1,AV51=0),MIN($BB$51,AD51),0))</f>
        <v> </v>
      </c>
      <c r="BG51" s="355" t="str">
        <f aca="false">IF($A51="N/A"," ",IF(AND(AN51=$AR$2+1,AW51=0),MIN($BB$51,AE51),0))</f>
        <v> </v>
      </c>
      <c r="BH51" s="346" t="str">
        <f aca="false">IF($A51="N/A"," ",IF(AND(AO51=$AR$2+1,AX51=0),MIN($BB$51,AF51),0))</f>
        <v> </v>
      </c>
      <c r="BI51" s="355" t="str">
        <f aca="false">IF($A51="N/A"," ",IF(AND(AP51=$AR$2+1,AY51=0),MIN($BB$51,AG51),0))</f>
        <v> </v>
      </c>
      <c r="BJ51" s="355" t="str">
        <f aca="false">IF($A51="N/A"," ",IF(AND(AQ51=$AR$2+1,AZ51=0),MIN($BB$51,AH51),0))</f>
        <v> </v>
      </c>
      <c r="BK51" s="355" t="str">
        <f aca="false">IF($A51="N/A"," ",IF(AND(AR51=$AR$2+1,BA51=0),MIN($BB$51,AI51),0))</f>
        <v> </v>
      </c>
      <c r="BL51" s="356" t="n">
        <f aca="false">BB50+BL50</f>
        <v>0</v>
      </c>
      <c r="BM51" s="329" t="str">
        <f aca="false">IF($A51="N/A"," ",(IF(MONTH(A51)&gt;=4,IF(MONTH(A51)&lt;=10,Inputs!$F$13-Inputs!$G$13,Inputs!$F$14-Inputs!$G$14),Inputs!$F$14-Inputs!$G$14))*$CK51*Availability)</f>
        <v> </v>
      </c>
      <c r="BN51" s="330" t="str">
        <f aca="false">IF($A51="N/A"," ",(IF(AS51&gt;0,($BM51*(8*($HD51))*R51),0)+IF(BC51&gt;0,($BM51*((BC51/AA51)*8*$HD51)*R51),0)))</f>
        <v> </v>
      </c>
      <c r="BO51" s="330" t="str">
        <f aca="false">IF($A51="N/A"," ",(IF(AT51&gt;0,($BM51*(8*($HD51))*S51),0)+IF(BD51&gt;0,($BM51*((BD51/AB51)*8*$HD51)*S51),0)))</f>
        <v> </v>
      </c>
      <c r="BP51" s="330" t="str">
        <f aca="false">IF($A51="N/A"," ",(IF(AU51&gt;0,($BM51*(8*($HD51))*T51),0)+IF(BE51&gt;0,($BM51*((BE51))*T51),0)))</f>
        <v> </v>
      </c>
      <c r="BQ51" s="330" t="str">
        <f aca="false">IF($A51="N/A"," ",(IF(AV51&gt;0,($BM51*(8*($HE51))*U51),0)+IF(BF51&gt;0,($BM51*((BF51/AD51)*8*$HE51)*U51),0)))</f>
        <v> </v>
      </c>
      <c r="BR51" s="330" t="str">
        <f aca="false">IF($A51="N/A"," ",(IF(AW51&gt;0,($BM51*(8*($HE51))*V51),0)+IF(BG51&gt;0,($BM51*((BG51/AE51)*8*$HE51)*V51),0)))</f>
        <v> </v>
      </c>
      <c r="BS51" s="330" t="str">
        <f aca="false">IF($A51="N/A"," ",(IF(AX51&gt;0,($BM51*(8*($HE51))*W51),0)+IF(BH51&gt;0,($BM51*((BH51))*W51),0)))</f>
        <v> </v>
      </c>
      <c r="BT51" s="330" t="str">
        <f aca="false">IF($A51="N/A"," ",(IF(AY51&gt;0,($BM51*(8*($HF51))*X51),0)+IF(BI51&gt;0,($BM51*((BI51/AG51)*8*$HF51)*X51),0)))</f>
        <v> </v>
      </c>
      <c r="BU51" s="330" t="str">
        <f aca="false">IF($A51="N/A"," ",(IF(AZ51&gt;0,($BM51*(8*($HF51))*Y51),0)+IF(BJ51&gt;0,($BM51*((BJ51/AH51)*8*$HF51)*Y51),0)))</f>
        <v> </v>
      </c>
      <c r="BV51" s="330" t="str">
        <f aca="false">IF($A51="N/A"," ",(IF(BA51&gt;0,($BM51*(8*($HF51))*Z51),0)+IF(BK51&gt;0,($BM51*((BK51))*Z51),0)))</f>
        <v> </v>
      </c>
      <c r="BW51" s="330" t="str">
        <f aca="false">IF($A51="N/A"," ",SUM(BN51:BV51))</f>
        <v> </v>
      </c>
      <c r="BX51" s="331" t="str">
        <f aca="false">IF($A51="N/A"," ",(H51*(SUM(AS51:BA51)+SUM(BC51:BK51))*BM51))</f>
        <v> </v>
      </c>
      <c r="BY51" s="332" t="str">
        <f aca="false">IF($A51="N/A"," ",((C51*D51)*(SUM($AS51:$BA51)+SUM($BC51:$BK51))*$BM51))</f>
        <v> </v>
      </c>
      <c r="BZ51" s="332" t="str">
        <f aca="false">IF($A51="N/A"," ",(F51*(SUM($AS51:$BA51)+SUM($BC51:$BK51))*$BM51))</f>
        <v> </v>
      </c>
      <c r="CA51" s="333" t="str">
        <f aca="false">IF($A51="N/A"," ",(G51*(SUM($AS51:$BA51)+SUM($BC51:$BK51))*$BM51))</f>
        <v> </v>
      </c>
      <c r="CB51" s="334" t="str">
        <f aca="false">IF(A51="N/A"," ",(VLOOKUP(A51,PowerVolTable,(IF(BMO=2,7,IF(BMO=1,6,8))),FALSE())))</f>
        <v> </v>
      </c>
      <c r="CC51" s="334" t="str">
        <f aca="false">IF(A51="N/A"," ",(VLOOKUP(A51,IntraPowerVol,(IF(BMO=2,3,IF(BMO=1,2,4))),FALSE())*VLOOKUP(MONTH($A51),Volscale,2)))</f>
        <v> </v>
      </c>
      <c r="CD51" s="335" t="str">
        <f aca="false">IF($A51="N/A"," ",(IF(DateToday&gt;$A51,$CC51,((($CB51^2)*((($A51-1)-DateToday)/((EOMONTH($A51,0)+1)-DateToday-15)))+((($CC51)^2)*((15)/((EOMONTH($A51,0)+1)-DateToday-15))))^0.5)))</f>
        <v> </v>
      </c>
      <c r="CE51" s="334" t="str">
        <f aca="false">IF($A51="N/A"," ",(VLOOKUP($A51,GasVolTable,(IF(BMO=2,6,IF(BMO=1,7,5))),FALSE())))</f>
        <v> </v>
      </c>
      <c r="CF51" s="334" t="str">
        <f aca="false">IF($A51="N/A"," ",(VLOOKUP($A51,OmicronVol,(IF(BMO=2,3,IF(BMO=1,4,2))),FALSE())))</f>
        <v> </v>
      </c>
      <c r="CG51" s="335" t="str">
        <f aca="false">IF($A51="N/A"," ",(IF(DateToday&gt;$A51,$CF51,((($CE51^2)*((($A51-1)-DateToday)/((EOMONTH($A51,0)+1)-DateToday-15)))+((($CF51)^2)*((15)/((EOMONTH($A51,0)+1)-DateToday-15))))^0.5)))</f>
        <v> </v>
      </c>
      <c r="CH51" s="334" t="str">
        <f aca="false">IF($A51="N/A"," ",VLOOKUP($A51,CorrelationTable,2,FALSE()))</f>
        <v> </v>
      </c>
      <c r="CI51" s="336" t="str">
        <f aca="false">IF($A51="N/A"," ",F51+G51+(D51*('Pricing Inputs'!T84)))</f>
        <v> </v>
      </c>
      <c r="CJ51" s="334" t="str">
        <f aca="false">IF($A51="N/A"," ",IF(PV=1,0,'Pricing Inputs'!U84))</f>
        <v> </v>
      </c>
      <c r="CK51" s="337" t="str">
        <f aca="false">IF($A51="N/A"," ",(1+CJ51/2)^(-2*((EOMONTH(A51,0)+20)-DateToday)/365.25))</f>
        <v> </v>
      </c>
      <c r="CL51" s="338" t="str">
        <f aca="false">IF(A51="N/A"," ",IF(CC=2,(VLOOKUP(MONTH($A51),Hrtable,3))/1000,0))</f>
        <v> </v>
      </c>
      <c r="CM51" s="339" t="str">
        <f aca="false">IF(A51="N/A"," ",IF(CC=2,(CL51*C51)+F51,0))</f>
        <v> </v>
      </c>
      <c r="CN51" s="340" t="str">
        <f aca="false">IF($A51="N/A"," ",IF(CC=2,(VLOOKUP(A51,ScaledPrice,(IF(AND(Dayrun&gt;=1,Dayrun&lt;=6),2,4)))-((IF(R51&lt;&gt;0,$D51,$CL51)*$C51)+$F51+$G51)),0))</f>
        <v> </v>
      </c>
      <c r="CO51" s="340" t="str">
        <f aca="false">IF($A51="N/A"," ",IF(CC=2,(IF(AND(Dayrun&gt;=1,Dayrun&lt;=6),I51,(VLOOKUP(A51,ScaledPrice,2))*(2-(VLOOKUP(A51,ScaledPrice,3))))-((IF(S51&lt;&gt;0,$D51,$CL51)*$C51)+$F51+$G51)),0))</f>
        <v> </v>
      </c>
      <c r="CP51" s="340" t="str">
        <f aca="false">IF(A51="N/A"," ",IF(CC=2,(VLOOKUP(A51,ScaledPrice,9)-((IF(T51&lt;&gt;0,$D51,$CL51)*$C51)+$F51+$G51)),0))</f>
        <v> </v>
      </c>
      <c r="CQ51" s="340" t="str">
        <f aca="false">IF(A51="N/A"," ",IF(CC=2,(IF(OR(Dayrun=2,Dayrun=3,Dayrun=5,Dayrun=6,Dayrun=8,Dayrun=9),VLOOKUP(A51,ScaledPrice,IF(AND(Dayrun&gt;=2,Dayrun&lt;=6),5,6)),0)-((IF(U51&lt;&gt;0,$D51,$CL51)*$C51)+$F51+$G51)),0))</f>
        <v> </v>
      </c>
      <c r="CR51" s="340" t="str">
        <f aca="false">IF(A51="N/A"," ",IF(CC=2,(IF(OR(Dayrun=2,Dayrun=3,Dayrun=5,Dayrun=6,Dayrun=8,Dayrun=9),IF(AND(Dayrun&gt;=2,Dayrun&lt;=6),L51,(VLOOKUP(A51,ScaledPrice,5))*(2-(VLOOKUP(A51,ScaledPrice,3)))),0)-((IF(V51&lt;&gt;0,$D51,$CL51)*$C51)+$F51+$G51)),0))</f>
        <v> </v>
      </c>
      <c r="CS51" s="340" t="str">
        <f aca="false">IF(A51="N/A"," ",IF(CC=2,(VLOOKUP(A51,ScaledPrice,9)-((IF(W51&lt;&gt;0,$D51,$CL51)*$C51)+$F51+$G51)),0))</f>
        <v> </v>
      </c>
      <c r="CT51" s="340" t="str">
        <f aca="false">IF(A51="N/A"," ",IF(CC=2,(IF(OR(Dayrun=3,Dayrun=6,Dayrun=9),(VLOOKUP(A51,ScaledPrice,IF(AND(Dayrun&gt;=3,Dayrun&lt;=6),7,8))),0)-((IF(X51&lt;&gt;0,$D51,$CL51)*$C51)+$F51+$G51)),0))</f>
        <v> </v>
      </c>
      <c r="CU51" s="340" t="str">
        <f aca="false">IF(A51="N/A"," ",IF(CC=2,(IF(OR(Dayrun=3,Dayrun=6,Dayrun=9),IF(AND(Dayrun&gt;=3,Dayrun&lt;=6),O51,(VLOOKUP(A51,ScaledPrice,7))*(2-(VLOOKUP(A51,ScaledPrice,3)))),0)-((IF(Y51&lt;&gt;0,$D51,$CL51)*$C51)+$F51+$G51)),0))</f>
        <v> </v>
      </c>
      <c r="CV51" s="340" t="str">
        <f aca="false">IF(A51="N/A"," ",IF(CC=2,(VLOOKUP(A51,ScaledPrice,9)-((IF(Z51&lt;&gt;0,$D51,$CL51)*$C51)+$F51+$G51)),0))</f>
        <v> </v>
      </c>
      <c r="CW51" s="318" t="str">
        <f aca="false">IF($A51="N/A"," ",IF(0&lt;&gt;CN51,IF(CC=2,8*$HD51,0),0))</f>
        <v> </v>
      </c>
      <c r="CX51" s="318" t="str">
        <f aca="false">IF($A51="N/A"," ",IF(0&lt;&gt;CO51,IF(CC=2,8*$HD51,0),0))</f>
        <v> </v>
      </c>
      <c r="CY51" s="318" t="str">
        <f aca="false">IF($A51="N/A"," ",IF(0&lt;&gt;CP51,IF(CC=2,8*$HD51,0),0))</f>
        <v> </v>
      </c>
      <c r="CZ51" s="318" t="str">
        <f aca="false">IF($A51="N/A"," ",IF(0&lt;&gt;CQ51,IF(CC=2,8*$HE51,0),0))</f>
        <v> </v>
      </c>
      <c r="DA51" s="318" t="str">
        <f aca="false">IF($A51="N/A"," ",IF(0&lt;&gt;CR51,IF(CC=2,8*$HE51,0),0))</f>
        <v> </v>
      </c>
      <c r="DB51" s="318" t="str">
        <f aca="false">IF($A51="N/A"," ",IF(0&lt;&gt;CS51,IF(CC=2,8*$HE51,0),0))</f>
        <v> </v>
      </c>
      <c r="DC51" s="318" t="str">
        <f aca="false">IF($A51="N/A"," ",IF(0&lt;&gt;CT51,IF(CC=2,8*$HF51,0),0))</f>
        <v> </v>
      </c>
      <c r="DD51" s="318" t="str">
        <f aca="false">IF($A51="N/A"," ",IF(0&lt;&gt;CU51,IF(CC=2,8*$HF51,0),0))</f>
        <v> </v>
      </c>
      <c r="DE51" s="318" t="str">
        <f aca="false">IF($A51="N/A"," ",IF(0&lt;&gt;CV51,IF(CC=2,8*$HF51,0),0))</f>
        <v> </v>
      </c>
      <c r="DF51" s="341" t="str">
        <f aca="false">IF($A51="N/A"," ",IF(CC=2,(IF(MONTH(A51)&gt;=4,IF(MONTH(A51)&lt;=10,Inputs!$G$13,Inputs!$G$14),Inputs!$G$14))*$CK51,0))</f>
        <v> </v>
      </c>
      <c r="DG51" s="342" t="str">
        <f aca="false">IF($A51="N/A"," ",IF(CC=2,$DF51*CW51*CN51,0))</f>
        <v> </v>
      </c>
      <c r="DH51" s="342" t="str">
        <f aca="false">IF($A51="N/A"," ",IF(CC=2,$DF51*CX51*CO51,0))</f>
        <v> </v>
      </c>
      <c r="DI51" s="342" t="str">
        <f aca="false">IF($A51="N/A"," ",IF(CC=2,$DF51*CY51*CP51,0))</f>
        <v> </v>
      </c>
      <c r="DJ51" s="342" t="str">
        <f aca="false">IF($A51="N/A"," ",IF(CC=2,$DF51*CZ51*CQ51,0))</f>
        <v> </v>
      </c>
      <c r="DK51" s="342" t="str">
        <f aca="false">IF($A51="N/A"," ",IF(CC=2,$DF51*DA51*CR51,0))</f>
        <v> </v>
      </c>
      <c r="DL51" s="342" t="str">
        <f aca="false">IF($A51="N/A"," ",IF(CC=2,$DF51*DB51*CS51,0))</f>
        <v> </v>
      </c>
      <c r="DM51" s="342" t="str">
        <f aca="false">IF($A51="N/A"," ",IF(CC=2,$DF51*DC51*CT51,0))</f>
        <v> </v>
      </c>
      <c r="DN51" s="342" t="str">
        <f aca="false">IF($A51="N/A"," ",IF(CC=2,$DF51*DD51*CU51,0))</f>
        <v> </v>
      </c>
      <c r="DO51" s="342" t="str">
        <f aca="false">IF($A51="N/A"," ",IF(CC=2,$DF51*DE51*CV51,0))</f>
        <v> </v>
      </c>
      <c r="DP51" s="343" t="str">
        <f aca="false">IF($A51="N/A"," ",IF(CC=2,SUM(DG51:DO51),0))</f>
        <v> </v>
      </c>
      <c r="DQ51" s="0" t="str">
        <f aca="false">IF(A51="N/A"," ",Perstart)</f>
        <v> </v>
      </c>
      <c r="HD51" s="0" t="str">
        <f aca="false">IF($A51="N/A"," ",VLOOKUP($A51,NumberofDaysTable,2))</f>
        <v> </v>
      </c>
      <c r="HE51" s="0" t="str">
        <f aca="false">IF($A51="N/A"," ",VLOOKUP($A51,NumberofDaysTable,3))</f>
        <v> </v>
      </c>
      <c r="HF51" s="0" t="str">
        <f aca="false">IF($A51="N/A"," ",VLOOKUP($A51,NumberofDaysTable,4))</f>
        <v> </v>
      </c>
    </row>
    <row r="52" customFormat="false" ht="12.75" hidden="false" customHeight="false" outlineLevel="0" collapsed="false">
      <c r="A52" s="308" t="str">
        <f aca="false">IF(A51="N/A","N/A",IF(EDATE(A51,1)&gt;Inputs!$K$3,"N/A",EDATE(A51,1)))</f>
        <v>N/A</v>
      </c>
      <c r="B52" s="309" t="str">
        <f aca="false">IF(A52="N/A"," ",YEAR(A52))</f>
        <v> </v>
      </c>
      <c r="C52" s="310" t="str">
        <f aca="false">IF(A52="N/A"," ",VLOOKUP(A52,ScaledPrice,10))</f>
        <v> </v>
      </c>
      <c r="D52" s="311" t="str">
        <f aca="false">IF(A52="N/A"," ",(VLOOKUP(MONTH($A52),Hrtable,2))/1000)</f>
        <v> </v>
      </c>
      <c r="E52" s="312" t="str">
        <f aca="false">IF($A52="N/A"," ",(C52-'Pricing Inputs'!T85)*D52)</f>
        <v> </v>
      </c>
      <c r="F52" s="313" t="str">
        <f aca="false">IF(A52="N/A"," ",$F40*(1+VOMesc))</f>
        <v> </v>
      </c>
      <c r="G52" s="313" t="str">
        <f aca="false">IF(A52="N/A"," ",Perstart/IF(AND(Dayrun&gt;=4,Dayrun&lt;=6),16,IF(AND(Dayrun&gt;=7,Dayrun&lt;=9),8,24))/(BM52/CK52))</f>
        <v> </v>
      </c>
      <c r="H52" s="314" t="str">
        <f aca="false">IF(A52="N/A"," ",(C52*D52)+F52+G52)</f>
        <v> </v>
      </c>
      <c r="I52" s="315" t="str">
        <f aca="false">VLOOKUP(A52,ScaledPrice,(IF(AND(Dayrun&gt;=1,Dayrun&lt;=6),2,4)))</f>
        <v> </v>
      </c>
      <c r="J52" s="315" t="str">
        <f aca="false">IF(A52="N/A"," ",IF(AND(Dayrun&gt;=1,Dayrun&lt;=6),I52,(VLOOKUP(A52,ScaledPrice,2))*(2-(VLOOKUP(A52,ScaledPrice,3)))))</f>
        <v> </v>
      </c>
      <c r="K52" s="315" t="str">
        <f aca="false">IF(A52="N/A"," ",IF(AND(Dayrun&gt;=1,Dayrun&lt;=3),VLOOKUP(A52,ScaledPrice,9),0))</f>
        <v> </v>
      </c>
      <c r="L52" s="315" t="str">
        <f aca="false">IF(A52="N/A"," ",IF(OR(Dayrun=2,Dayrun=3,Dayrun=5,Dayrun=6,Dayrun=8,Dayrun=9),VLOOKUP(A52,ScaledPrice,IF(AND(Dayrun&gt;=2,Dayrun&lt;=6),5,6)),0))</f>
        <v> </v>
      </c>
      <c r="M52" s="315" t="str">
        <f aca="false">IF(A52="N/A"," ",IF(OR(Dayrun=2,Dayrun=3,Dayrun=5,Dayrun=6,Dayrun=8,Dayrun=9),IF(AND(Dayrun&gt;=2,Dayrun&lt;=6),L52,(VLOOKUP(A52,ScaledPrice,5))*(2-(VLOOKUP(A52,ScaledPrice,3)))),0))</f>
        <v> </v>
      </c>
      <c r="N52" s="315" t="str">
        <f aca="false">IF(A52="N/A"," ",IF(AND(Dayrun&gt;1,Dayrun&lt;=3),VLOOKUP(A52,ScaledPrice,9),0))</f>
        <v> </v>
      </c>
      <c r="O52" s="315" t="str">
        <f aca="false">IF(A52="N/A"," ",IF(OR(Dayrun=3,Dayrun=6,Dayrun=9),(VLOOKUP(A52,ScaledPrice,IF(AND(Dayrun&gt;=3,Dayrun&lt;=6),7,8))),0))</f>
        <v> </v>
      </c>
      <c r="P52" s="315" t="str">
        <f aca="false">IF(A52="N/A"," ",IF(OR(Dayrun=3,Dayrun=6,Dayrun=9),IF(AND(Dayrun&gt;=3,Dayrun&lt;=6),O52,(VLOOKUP(A52,ScaledPrice,7))*(2-(VLOOKUP(A52,ScaledPrice,3)))),0))</f>
        <v> </v>
      </c>
      <c r="Q52" s="315" t="str">
        <f aca="false">IF(A52="N/A"," ",IF(AND(Dayrun&gt;2,Dayrun&lt;=3),VLOOKUP(A52,ScaledPrice,9),0))</f>
        <v> </v>
      </c>
      <c r="R52" s="316" t="str">
        <f aca="false">IF($A52="N/A"," ",IF(Pricetype=2,MAX(I52-$H52,0),IF(Pricetype=1,(xSPRDOPT(I52,$E52,$CI52,0,($CD52+IF(Smile=TRUE(),VLOOKUP(MAX(-5,$H52-I52),Volsmile,2),0)),$CG52,$CH52,($A52-DateToday)+15,1,0)),I52-$H52)))</f>
        <v> </v>
      </c>
      <c r="S52" s="316" t="str">
        <f aca="false">IF($A52="N/A"," ",IF(Pricetype=2,MAX(J52-$H52,0),IF(Pricetype=1,(xSPRDOPT(J52,$E52,$CI52,0,($CD52+IF(Smile=TRUE(),VLOOKUP(MAX(-5,$H52-J52),Volsmile,2),0)),$CG52,$CH52,($A52-DateToday)+15,1,0)),J52-$H52)))</f>
        <v> </v>
      </c>
      <c r="T52" s="317" t="str">
        <f aca="false">IF($A52="N/A"," ",(IF(Pricetype=2,IF((K52-$H52)&lt;=0,0,(K52-$H52)),IF(K52&lt;&gt;0,(K52-$H52),0))))</f>
        <v> </v>
      </c>
      <c r="U52" s="316" t="str">
        <f aca="false">IF($A52="N/A"," ",IF(Pricetype=2,MAX(L52-$H52,0),IF(L52&lt;&gt;0,IF(Pricetype=1,(xSPRDOPT(L52,$E52,$CI52,0,($CD52+IF(Smile=TRUE(),VLOOKUP(MAX(-5,$H52-L52),Volsmile,2),0)),$CG52,$CH52,($A52-DateToday)+15,1,0)),L52-$H52),0)))</f>
        <v> </v>
      </c>
      <c r="V52" s="316" t="str">
        <f aca="false">IF($A52="N/A"," ",IF(Pricetype=2,MAX(M52-$H52,0),IF(M52&lt;&gt;0,IF(Pricetype=1,(xSPRDOPT(M52,$E52,$CI52,0,($CD52+IF(Smile=TRUE(),VLOOKUP(MAX(-5,$H52-M52),Volsmile,2),0)),$CG52,$CH52,($A52-DateToday)+15,1,0)),M52-$H52),0)))</f>
        <v> </v>
      </c>
      <c r="W52" s="317" t="str">
        <f aca="false">IF($A52="N/A"," ",(IF(Pricetype=2,IF((N52-$H52)&lt;=0,0,(N52-$H52)),IF(N52&lt;&gt;0,(N52-$H52),0))))</f>
        <v> </v>
      </c>
      <c r="X52" s="316" t="str">
        <f aca="false">IF($A52="N/A"," ",IF(Pricetype=2,MAX(O52-$H52,0),IF(O52&lt;&gt;0,IF(Pricetype=1,(xSPRDOPT(O52,$E52,$CI52,0,($CD52+IF(Smile=TRUE(),VLOOKUP(MAX(-5,$H52-O52),Volsmile,2),0)),$CG52,$CH52,($A52-DateToday)+15,1,0)),O52-$H52),0)))</f>
        <v> </v>
      </c>
      <c r="Y52" s="316" t="str">
        <f aca="false">IF($A52="N/A"," ",IF(Pricetype=2,MAX(P52-$H52,0),IF(P52&lt;&gt;0,IF(Pricetype=1,(xSPRDOPT(P52,$E52,$CI52,0,($CD52+IF(Smile=TRUE(),VLOOKUP(MAX(-5,$H52-P52),Volsmile,2),0)),$CG52,$CH52,($A52-DateToday)+15,1,0)),P52-$H52),0)))</f>
        <v> </v>
      </c>
      <c r="Z52" s="317" t="str">
        <f aca="false">IF($A52="N/A"," ",(IF(Pricetype=2,IF((Q52-$H52)&lt;=0,0,(Q52-$H52)),IF(Q52&lt;&gt;0,(Q52-$H52),0))))</f>
        <v> </v>
      </c>
      <c r="AA52" s="318" t="str">
        <f aca="false">IF($A52="N/A"," ",IF(VLOOKUP(MONTH(A52),ManualTable,2)=1,(IF(0&lt;&gt;R52,IF(Pricetype=1,(xSPRDOPT(I52,$E52,$CI52,0,($CD52+IF(Smile=TRUE(),VLOOKUP(MAX(-5,$H52-I52),Volsmile,2),0)),$CG52,$CH52,($A52-DateToday)+15,1,1))*(8*$HD52),8*$HD52),0)),0))</f>
        <v> </v>
      </c>
      <c r="AB52" s="318" t="str">
        <f aca="false">IF($A52="N/A"," ",IF(VLOOKUP(MONTH(A52),ManualTable,3)=1,(IF(S52&lt;&gt;0,IF(Pricetype=1,(xSPRDOPT(J52,$E52,$CI52,0,($CD52+IF(Smile=TRUE(),VLOOKUP(MAX(-5,$H52-J52),Volsmile,2),0)),$CG52,$CH52,($A52-DateToday)+15,1,1))*(8*$HD52),8*$HD52),0)),0))</f>
        <v> </v>
      </c>
      <c r="AC52" s="318" t="str">
        <f aca="false">IF($A52="N/A"," ",IF(VLOOKUP(MONTH(A52),ManualTable,4)=1,(IF(T52&lt;&gt;0,(8*$HD52),0)),0))</f>
        <v> </v>
      </c>
      <c r="AD52" s="318" t="str">
        <f aca="false">IF($A52="N/A"," ",IF(VLOOKUP(MONTH(A52),ManualTable,5)=1,(IF(U52&lt;&gt;0,IF(Pricetype=1,(xSPRDOPT(L52,$E52,$CI52,0,($CD52+IF(Smile=TRUE(),VLOOKUP(MAX(-5,$H52-L52),Volsmile,2),0)),$CG52,$CH52,($A52-DateToday)+15,1,1))*(8*$HE52),8*$HE52),0)),0))</f>
        <v> </v>
      </c>
      <c r="AE52" s="318" t="str">
        <f aca="false">IF($A52="N/A"," ",IF(VLOOKUP(MONTH(A52),ManualTable,6)=1,(IF(V52&lt;&gt;0,IF(Pricetype=1,(xSPRDOPT(M52,$E52,$CI52,0,($CD52+IF(Smile=TRUE(),VLOOKUP(MAX(-5,$H52-M52),Volsmile,2),0)),$CG52,$CH52,($A52-DateToday)+15,1,1))*(8*$HE52),8*$HE52),0)),0))</f>
        <v> </v>
      </c>
      <c r="AF52" s="318" t="str">
        <f aca="false">IF($A52="N/A"," ",IF(VLOOKUP(MONTH(A52),ManualTable,7)=1,(IF(W52&lt;&gt;0,(8*$HE52),0)),0))</f>
        <v> </v>
      </c>
      <c r="AG52" s="318" t="str">
        <f aca="false">IF($A52="N/A"," ",IF(VLOOKUP(MONTH(A52),ManualTable,8)=1,(IF(X52&lt;&gt;0,IF(Pricetype=1,(xSPRDOPT(O52,$E52,$CI52,0,($CD52+IF(Smile=TRUE(),VLOOKUP(MAX(-5,$H52-O52),Volsmile,2),0)),$CG52,$CH52,($A52-DateToday)+15,1,1))*(8*$HF52),8*$HF52),0)),0))</f>
        <v> </v>
      </c>
      <c r="AH52" s="318" t="str">
        <f aca="false">IF($A52="N/A"," ",IF(VLOOKUP(MONTH(A52),ManualTable,9)=1,(IF(Y52&lt;&gt;0,IF(Pricetype=1,(xSPRDOPT(P52,$E52,$CI52,0,($CD52+IF(Smile=TRUE(),VLOOKUP(MAX(-5,$H52-P52),Volsmile,2),0)),$CG52,$CH52,($A52-DateToday)+15,1,1))*(8*$HF52),8*$HF52),0)),0))</f>
        <v> </v>
      </c>
      <c r="AI52" s="318" t="str">
        <f aca="false">IF($A52="N/A"," ",IF(VLOOKUP(MONTH(A52),ManualTable,10)=1,(IF(Z52&lt;&gt;0,(8*($HF52)),0)),0))</f>
        <v> </v>
      </c>
      <c r="AJ52" s="319" t="str">
        <f aca="false">IF($A52="N/A"," ",RANK(R52,$R$52:$Z$63))</f>
        <v> </v>
      </c>
      <c r="AK52" s="320" t="str">
        <f aca="false">IF($A52="N/A"," ",RANK(S52,$R$52:$Z$63))</f>
        <v> </v>
      </c>
      <c r="AL52" s="320" t="str">
        <f aca="false">IF($A52="N/A"," ",RANK(T52,$R$52:$Z$63))</f>
        <v> </v>
      </c>
      <c r="AM52" s="320" t="str">
        <f aca="false">IF($A52="N/A"," ",RANK(U52,$R$52:$Z$63))</f>
        <v> </v>
      </c>
      <c r="AN52" s="320" t="str">
        <f aca="false">IF($A52="N/A"," ",RANK(V52,$R$52:$Z$63))</f>
        <v> </v>
      </c>
      <c r="AO52" s="320" t="str">
        <f aca="false">IF($A52="N/A"," ",RANK(W52,$R$52:$Z$63))</f>
        <v> </v>
      </c>
      <c r="AP52" s="320" t="str">
        <f aca="false">IF($A52="N/A"," ",RANK(X52,$R$52:$Z$63))</f>
        <v> </v>
      </c>
      <c r="AQ52" s="320" t="str">
        <f aca="false">IF($A52="N/A"," ",RANK(Y52,$R$52:$Z$63))</f>
        <v> </v>
      </c>
      <c r="AR52" s="322" t="str">
        <f aca="false">IF($A52="N/A"," ",RANK(Z52,$R$52:$Z$63))</f>
        <v> </v>
      </c>
      <c r="AS52" s="357" t="str">
        <f aca="false">IF($A52="N/A"," ",IF(AJ52&lt;=$AR$2,AA52,0))</f>
        <v> </v>
      </c>
      <c r="AT52" s="324" t="str">
        <f aca="false">IF($A52="N/A"," ",IF(AK52&lt;=$AR$2,AB52,0))</f>
        <v> </v>
      </c>
      <c r="AU52" s="325" t="str">
        <f aca="false">IF($A52="N/A"," ",IF(AL52&lt;=$AR$2,AC52,0))</f>
        <v> </v>
      </c>
      <c r="AV52" s="325" t="str">
        <f aca="false">IF($A52="N/A"," ",IF(AM52&lt;=$AR$2,AD52,0))</f>
        <v> </v>
      </c>
      <c r="AW52" s="325" t="str">
        <f aca="false">IF($A52="N/A"," ",IF(AN52&lt;=$AR$2,AE52,0))</f>
        <v> </v>
      </c>
      <c r="AX52" s="325" t="str">
        <f aca="false">IF($A52="N/A"," ",IF(AO52&lt;=$AR$2,AF52,0))</f>
        <v> </v>
      </c>
      <c r="AY52" s="324" t="str">
        <f aca="false">IF($A52="N/A"," ",IF(AP52&lt;=$AR$2,AG52,0))</f>
        <v> </v>
      </c>
      <c r="AZ52" s="324" t="str">
        <f aca="false">IF($A52="N/A"," ",IF(AQ52&lt;=$AR$2,AH52,0))</f>
        <v> </v>
      </c>
      <c r="BA52" s="324" t="str">
        <f aca="false">IF($A52="N/A"," ",IF(AR52&lt;=$AR$2,AI52,0))</f>
        <v> </v>
      </c>
      <c r="BB52" s="322"/>
      <c r="BC52" s="358" t="str">
        <f aca="false">IF($A52="N/A"," ",IF(AND(AJ52=$AR$2+1,AS52=0),MIN($BB$63,AA52),0))</f>
        <v> </v>
      </c>
      <c r="BD52" s="327" t="str">
        <f aca="false">IF($A52="N/A"," ",IF(AND(AK52=$AR$2+1,AT52=0),MIN($BB$63,AB52),0))</f>
        <v> </v>
      </c>
      <c r="BE52" s="327" t="str">
        <f aca="false">IF($A52="N/A"," ",IF(AND(AL52=$AR$2+1,AU52=0),MIN($BB$63,AC52),0))</f>
        <v> </v>
      </c>
      <c r="BF52" s="327" t="str">
        <f aca="false">IF($A52="N/A"," ",IF(AND(AM52=$AR$2+1,AV52=0),MIN($BB$63,AD52),0))</f>
        <v> </v>
      </c>
      <c r="BG52" s="327" t="str">
        <f aca="false">IF($A52="N/A"," ",IF(AND(AN52=$AR$2+1,AW52=0),MIN($BB$63,AE52),0))</f>
        <v> </v>
      </c>
      <c r="BH52" s="327" t="str">
        <f aca="false">IF($A52="N/A"," ",IF(AND(AO52=$AR$2+1,AX52=0),MIN($BB$63,AF52),0))</f>
        <v> </v>
      </c>
      <c r="BI52" s="327" t="str">
        <f aca="false">IF($A52="N/A"," ",IF(AND(AP52=$AR$2+1,AY52=0),MIN($BB$63,AG52),0))</f>
        <v> </v>
      </c>
      <c r="BJ52" s="327" t="str">
        <f aca="false">IF($A52="N/A"," ",IF(AND(AQ52=$AR$2+1,AZ52=0),MIN($BB$63,AH52),0))</f>
        <v> </v>
      </c>
      <c r="BK52" s="327" t="str">
        <f aca="false">IF($A52="N/A"," ",IF(AND(AR52=$AR$2+1,BA52=0),MIN($BB$63,AI52),0))</f>
        <v> </v>
      </c>
      <c r="BL52" s="322"/>
      <c r="BM52" s="329" t="str">
        <f aca="false">IF($A52="N/A"," ",(IF(MONTH(A52)&gt;=4,IF(MONTH(A52)&lt;=10,Inputs!$F$13-Inputs!$G$13,Inputs!$F$14-Inputs!$G$14),Inputs!$F$14-Inputs!$G$14))*$CK52*Availability)</f>
        <v> </v>
      </c>
      <c r="BN52" s="330" t="str">
        <f aca="false">IF($A52="N/A"," ",(IF(AS52&gt;0,($BM52*(8*($HD52))*R52),0)+IF(BC52&gt;0,($BM52*((BC52/AA52)*8*$HD52)*R52),0)))</f>
        <v> </v>
      </c>
      <c r="BO52" s="330" t="str">
        <f aca="false">IF($A52="N/A"," ",(IF(AT52&gt;0,($BM52*(8*($HD52))*S52),0)+IF(BD52&gt;0,($BM52*((BD52/AB52)*8*$HD52)*S52),0)))</f>
        <v> </v>
      </c>
      <c r="BP52" s="330" t="str">
        <f aca="false">IF($A52="N/A"," ",(IF(AU52&gt;0,($BM52*(8*($HD52))*T52),0)+IF(BE52&gt;0,($BM52*((BE52))*T52),0)))</f>
        <v> </v>
      </c>
      <c r="BQ52" s="330" t="str">
        <f aca="false">IF($A52="N/A"," ",(IF(AV52&gt;0,($BM52*(8*($HE52))*U52),0)+IF(BF52&gt;0,($BM52*((BF52/AD52)*8*$HE52)*U52),0)))</f>
        <v> </v>
      </c>
      <c r="BR52" s="330" t="str">
        <f aca="false">IF($A52="N/A"," ",(IF(AW52&gt;0,($BM52*(8*($HE52))*V52),0)+IF(BG52&gt;0,($BM52*((BG52/AE52)*8*$HE52)*V52),0)))</f>
        <v> </v>
      </c>
      <c r="BS52" s="330" t="str">
        <f aca="false">IF($A52="N/A"," ",(IF(AX52&gt;0,($BM52*(8*($HE52))*W52),0)+IF(BH52&gt;0,($BM52*((BH52))*W52),0)))</f>
        <v> </v>
      </c>
      <c r="BT52" s="330" t="str">
        <f aca="false">IF($A52="N/A"," ",(IF(AY52&gt;0,($BM52*(8*($HF52))*X52),0)+IF(BI52&gt;0,($BM52*((BI52/AG52)*8*$HF52)*X52),0)))</f>
        <v> </v>
      </c>
      <c r="BU52" s="330" t="str">
        <f aca="false">IF($A52="N/A"," ",(IF(AZ52&gt;0,($BM52*(8*($HF52))*Y52),0)+IF(BJ52&gt;0,($BM52*((BJ52/AH52)*8*$HF52)*Y52),0)))</f>
        <v> </v>
      </c>
      <c r="BV52" s="330" t="str">
        <f aca="false">IF($A52="N/A"," ",(IF(BA52&gt;0,($BM52*(8*($HF52))*Z52),0)+IF(BK52&gt;0,($BM52*((BK52))*Z52),0)))</f>
        <v> </v>
      </c>
      <c r="BW52" s="330" t="str">
        <f aca="false">IF($A52="N/A"," ",SUM(BN52:BV52))</f>
        <v> </v>
      </c>
      <c r="BX52" s="331" t="str">
        <f aca="false">IF($A52="N/A"," ",(H52*(SUM(AS52:BA52)+SUM(BC52:BK52))*BM52))</f>
        <v> </v>
      </c>
      <c r="BY52" s="332" t="str">
        <f aca="false">IF($A52="N/A"," ",((C52*D52)*(SUM($AS52:$BA52)+SUM($BC52:$BK52))*$BM52))</f>
        <v> </v>
      </c>
      <c r="BZ52" s="332" t="str">
        <f aca="false">IF($A52="N/A"," ",(F52*(SUM($AS52:$BA52)+SUM($BC52:$BK52))*$BM52))</f>
        <v> </v>
      </c>
      <c r="CA52" s="333" t="str">
        <f aca="false">IF($A52="N/A"," ",(G52*(SUM($AS52:$BA52)+SUM($BC52:$BK52))*$BM52))</f>
        <v> </v>
      </c>
      <c r="CB52" s="334" t="str">
        <f aca="false">IF(A52="N/A"," ",(VLOOKUP(A52,PowerVolTable,(IF(BMO=2,7,IF(BMO=1,6,8))),FALSE())))</f>
        <v> </v>
      </c>
      <c r="CC52" s="334" t="str">
        <f aca="false">IF(A52="N/A"," ",(VLOOKUP(A52,IntraPowerVol,(IF(BMO=2,3,IF(BMO=1,2,4))),FALSE())*VLOOKUP(MONTH($A52),Volscale,2)))</f>
        <v> </v>
      </c>
      <c r="CD52" s="335" t="str">
        <f aca="false">IF($A52="N/A"," ",(IF(DateToday&gt;$A52,$CC52,((($CB52^2)*((($A52-1)-DateToday)/((EOMONTH($A52,0)+1)-DateToday-15)))+((($CC52)^2)*((15)/((EOMONTH($A52,0)+1)-DateToday-15))))^0.5)))</f>
        <v> </v>
      </c>
      <c r="CE52" s="334" t="str">
        <f aca="false">IF($A52="N/A"," ",(VLOOKUP($A52,GasVolTable,(IF(BMO=2,6,IF(BMO=1,7,5))),FALSE())))</f>
        <v> </v>
      </c>
      <c r="CF52" s="334" t="str">
        <f aca="false">IF($A52="N/A"," ",(VLOOKUP($A52,OmicronVol,(IF(BMO=2,3,IF(BMO=1,4,2))),FALSE())))</f>
        <v> </v>
      </c>
      <c r="CG52" s="335" t="str">
        <f aca="false">IF($A52="N/A"," ",(IF(DateToday&gt;$A52,$CF52,((($CE52^2)*((($A52-1)-DateToday)/((EOMONTH($A52,0)+1)-DateToday-15)))+((($CF52)^2)*((15)/((EOMONTH($A52,0)+1)-DateToday-15))))^0.5)))</f>
        <v> </v>
      </c>
      <c r="CH52" s="334" t="str">
        <f aca="false">IF($A52="N/A"," ",VLOOKUP($A52,CorrelationTable,2,FALSE()))</f>
        <v> </v>
      </c>
      <c r="CI52" s="336" t="str">
        <f aca="false">IF($A52="N/A"," ",F52+G52+(D52*('Pricing Inputs'!T85)))</f>
        <v> </v>
      </c>
      <c r="CJ52" s="334" t="str">
        <f aca="false">IF($A52="N/A"," ",IF(PV=1,0,'Pricing Inputs'!U85))</f>
        <v> </v>
      </c>
      <c r="CK52" s="337" t="str">
        <f aca="false">IF($A52="N/A"," ",(1+CJ52/2)^(-2*((EOMONTH(A52,0)+20)-DateToday)/365.25))</f>
        <v> </v>
      </c>
      <c r="CL52" s="338" t="str">
        <f aca="false">IF(A52="N/A"," ",IF(CC=2,(VLOOKUP(MONTH($A52),Hrtable,3))/1000,0))</f>
        <v> </v>
      </c>
      <c r="CM52" s="339" t="str">
        <f aca="false">IF(A52="N/A"," ",IF(CC=2,(CL52*C52)+F52,0))</f>
        <v> </v>
      </c>
      <c r="CN52" s="340" t="str">
        <f aca="false">IF($A52="N/A"," ",IF(CC=2,(VLOOKUP(A52,ScaledPrice,(IF(AND(Dayrun&gt;=1,Dayrun&lt;=6),2,4)))-((IF(R52&lt;&gt;0,$D52,$CL52)*$C52)+$F52+$G52)),0))</f>
        <v> </v>
      </c>
      <c r="CO52" s="340" t="str">
        <f aca="false">IF($A52="N/A"," ",IF(CC=2,(IF(AND(Dayrun&gt;=1,Dayrun&lt;=6),I52,(VLOOKUP(A52,ScaledPrice,2))*(2-(VLOOKUP(A52,ScaledPrice,3))))-((IF(S52&lt;&gt;0,$D52,$CL52)*$C52)+$F52+$G52)),0))</f>
        <v> </v>
      </c>
      <c r="CP52" s="340" t="str">
        <f aca="false">IF(A52="N/A"," ",IF(CC=2,(VLOOKUP(A52,ScaledPrice,9)-((IF(T52&lt;&gt;0,$D52,$CL52)*$C52)+$F52+$G52)),0))</f>
        <v> </v>
      </c>
      <c r="CQ52" s="340" t="str">
        <f aca="false">IF(A52="N/A"," ",IF(CC=2,(IF(OR(Dayrun=2,Dayrun=3,Dayrun=5,Dayrun=6,Dayrun=8,Dayrun=9),VLOOKUP(A52,ScaledPrice,IF(AND(Dayrun&gt;=2,Dayrun&lt;=6),5,6)),0)-((IF(U52&lt;&gt;0,$D52,$CL52)*$C52)+$F52+$G52)),0))</f>
        <v> </v>
      </c>
      <c r="CR52" s="340" t="str">
        <f aca="false">IF(A52="N/A"," ",IF(CC=2,(IF(OR(Dayrun=2,Dayrun=3,Dayrun=5,Dayrun=6,Dayrun=8,Dayrun=9),IF(AND(Dayrun&gt;=2,Dayrun&lt;=6),L52,(VLOOKUP(A52,ScaledPrice,5))*(2-(VLOOKUP(A52,ScaledPrice,3)))),0)-((IF(V52&lt;&gt;0,$D52,$CL52)*$C52)+$F52+$G52)),0))</f>
        <v> </v>
      </c>
      <c r="CS52" s="340" t="str">
        <f aca="false">IF(A52="N/A"," ",IF(CC=2,(VLOOKUP(A52,ScaledPrice,9)-((IF(W52&lt;&gt;0,$D52,$CL52)*$C52)+$F52+$G52)),0))</f>
        <v> </v>
      </c>
      <c r="CT52" s="340" t="str">
        <f aca="false">IF(A52="N/A"," ",IF(CC=2,(IF(OR(Dayrun=3,Dayrun=6,Dayrun=9),(VLOOKUP(A52,ScaledPrice,IF(AND(Dayrun&gt;=3,Dayrun&lt;=6),7,8))),0)-((IF(X52&lt;&gt;0,$D52,$CL52)*$C52)+$F52+$G52)),0))</f>
        <v> </v>
      </c>
      <c r="CU52" s="340" t="str">
        <f aca="false">IF(A52="N/A"," ",IF(CC=2,(IF(OR(Dayrun=3,Dayrun=6,Dayrun=9),IF(AND(Dayrun&gt;=3,Dayrun&lt;=6),O52,(VLOOKUP(A52,ScaledPrice,7))*(2-(VLOOKUP(A52,ScaledPrice,3)))),0)-((IF(Y52&lt;&gt;0,$D52,$CL52)*$C52)+$F52+$G52)),0))</f>
        <v> </v>
      </c>
      <c r="CV52" s="340" t="str">
        <f aca="false">IF(A52="N/A"," ",IF(CC=2,(VLOOKUP(A52,ScaledPrice,9)-((IF(Z52&lt;&gt;0,$D52,$CL52)*$C52)+$F52+$G52)),0))</f>
        <v> </v>
      </c>
      <c r="CW52" s="318" t="str">
        <f aca="false">IF($A52="N/A"," ",IF(0&lt;&gt;CN52,IF(CC=2,8*$HD52,0),0))</f>
        <v> </v>
      </c>
      <c r="CX52" s="318" t="str">
        <f aca="false">IF($A52="N/A"," ",IF(0&lt;&gt;CO52,IF(CC=2,8*$HD52,0),0))</f>
        <v> </v>
      </c>
      <c r="CY52" s="318" t="str">
        <f aca="false">IF($A52="N/A"," ",IF(0&lt;&gt;CP52,IF(CC=2,8*$HD52,0),0))</f>
        <v> </v>
      </c>
      <c r="CZ52" s="318" t="str">
        <f aca="false">IF($A52="N/A"," ",IF(0&lt;&gt;CQ52,IF(CC=2,8*$HE52,0),0))</f>
        <v> </v>
      </c>
      <c r="DA52" s="318" t="str">
        <f aca="false">IF($A52="N/A"," ",IF(0&lt;&gt;CR52,IF(CC=2,8*$HE52,0),0))</f>
        <v> </v>
      </c>
      <c r="DB52" s="318" t="str">
        <f aca="false">IF($A52="N/A"," ",IF(0&lt;&gt;CS52,IF(CC=2,8*$HE52,0),0))</f>
        <v> </v>
      </c>
      <c r="DC52" s="318" t="str">
        <f aca="false">IF($A52="N/A"," ",IF(0&lt;&gt;CT52,IF(CC=2,8*$HF52,0),0))</f>
        <v> </v>
      </c>
      <c r="DD52" s="318" t="str">
        <f aca="false">IF($A52="N/A"," ",IF(0&lt;&gt;CU52,IF(CC=2,8*$HF52,0),0))</f>
        <v> </v>
      </c>
      <c r="DE52" s="318" t="str">
        <f aca="false">IF($A52="N/A"," ",IF(0&lt;&gt;CV52,IF(CC=2,8*$HF52,0),0))</f>
        <v> </v>
      </c>
      <c r="DF52" s="341" t="str">
        <f aca="false">IF($A52="N/A"," ",IF(CC=2,(IF(MONTH(A52)&gt;=4,IF(MONTH(A52)&lt;=10,Inputs!$G$13,Inputs!$G$14),Inputs!$G$14))*$CK52,0))</f>
        <v> </v>
      </c>
      <c r="DG52" s="342" t="str">
        <f aca="false">IF($A52="N/A"," ",IF(CC=2,$DF52*CW52*CN52,0))</f>
        <v> </v>
      </c>
      <c r="DH52" s="342" t="str">
        <f aca="false">IF($A52="N/A"," ",IF(CC=2,$DF52*CX52*CO52,0))</f>
        <v> </v>
      </c>
      <c r="DI52" s="342" t="str">
        <f aca="false">IF($A52="N/A"," ",IF(CC=2,$DF52*CY52*CP52,0))</f>
        <v> </v>
      </c>
      <c r="DJ52" s="342" t="str">
        <f aca="false">IF($A52="N/A"," ",IF(CC=2,$DF52*CZ52*CQ52,0))</f>
        <v> </v>
      </c>
      <c r="DK52" s="342" t="str">
        <f aca="false">IF($A52="N/A"," ",IF(CC=2,$DF52*DA52*CR52,0))</f>
        <v> </v>
      </c>
      <c r="DL52" s="342" t="str">
        <f aca="false">IF($A52="N/A"," ",IF(CC=2,$DF52*DB52*CS52,0))</f>
        <v> </v>
      </c>
      <c r="DM52" s="342" t="str">
        <f aca="false">IF($A52="N/A"," ",IF(CC=2,$DF52*DC52*CT52,0))</f>
        <v> </v>
      </c>
      <c r="DN52" s="342" t="str">
        <f aca="false">IF($A52="N/A"," ",IF(CC=2,$DF52*DD52*CU52,0))</f>
        <v> </v>
      </c>
      <c r="DO52" s="342" t="str">
        <f aca="false">IF($A52="N/A"," ",IF(CC=2,$DF52*DE52*CV52,0))</f>
        <v> </v>
      </c>
      <c r="DP52" s="343" t="str">
        <f aca="false">IF($A52="N/A"," ",IF(CC=2,SUM(DG52:DO52),0))</f>
        <v> </v>
      </c>
      <c r="DQ52" s="0" t="str">
        <f aca="false">IF(A52="N/A"," ",Perstart)</f>
        <v> </v>
      </c>
      <c r="HD52" s="0" t="str">
        <f aca="false">IF($A52="N/A"," ",VLOOKUP($A52,NumberofDaysTable,2))</f>
        <v> </v>
      </c>
      <c r="HE52" s="0" t="str">
        <f aca="false">IF($A52="N/A"," ",VLOOKUP($A52,NumberofDaysTable,3))</f>
        <v> </v>
      </c>
      <c r="HF52" s="0" t="str">
        <f aca="false">IF($A52="N/A"," ",VLOOKUP($A52,NumberofDaysTable,4))</f>
        <v> </v>
      </c>
    </row>
    <row r="53" customFormat="false" ht="12.75" hidden="false" customHeight="false" outlineLevel="0" collapsed="false">
      <c r="A53" s="308" t="str">
        <f aca="false">IF(A52="N/A","N/A",IF(EDATE(A52,1)&gt;Inputs!$K$3,"N/A",EDATE(A52,1)))</f>
        <v>N/A</v>
      </c>
      <c r="B53" s="309" t="str">
        <f aca="false">IF(A53="N/A"," ",YEAR(A53))</f>
        <v> </v>
      </c>
      <c r="C53" s="310" t="str">
        <f aca="false">IF(A53="N/A"," ",VLOOKUP(A53,ScaledPrice,10))</f>
        <v> </v>
      </c>
      <c r="D53" s="311" t="str">
        <f aca="false">IF(A53="N/A"," ",(VLOOKUP(MONTH($A53),Hrtable,2))/1000)</f>
        <v> </v>
      </c>
      <c r="E53" s="312" t="str">
        <f aca="false">IF($A53="N/A"," ",(C53-'Pricing Inputs'!T86)*D53)</f>
        <v> </v>
      </c>
      <c r="F53" s="313" t="str">
        <f aca="false">IF(A53="N/A"," ",$F41*(1+VOMesc))</f>
        <v> </v>
      </c>
      <c r="G53" s="313" t="str">
        <f aca="false">IF(A53="N/A"," ",Perstart/IF(AND(Dayrun&gt;=4,Dayrun&lt;=6),16,IF(AND(Dayrun&gt;=7,Dayrun&lt;=9),8,24))/(BM53/CK53))</f>
        <v> </v>
      </c>
      <c r="H53" s="314" t="str">
        <f aca="false">IF(A53="N/A"," ",(C53*D53)+F53+G53)</f>
        <v> </v>
      </c>
      <c r="I53" s="315" t="str">
        <f aca="false">VLOOKUP(A53,ScaledPrice,(IF(AND(Dayrun&gt;=1,Dayrun&lt;=6),2,4)))</f>
        <v> </v>
      </c>
      <c r="J53" s="315" t="str">
        <f aca="false">IF(A53="N/A"," ",IF(AND(Dayrun&gt;=1,Dayrun&lt;=6),I53,(VLOOKUP(A53,ScaledPrice,2))*(2-(VLOOKUP(A53,ScaledPrice,3)))))</f>
        <v> </v>
      </c>
      <c r="K53" s="315" t="str">
        <f aca="false">IF(A53="N/A"," ",IF(AND(Dayrun&gt;=1,Dayrun&lt;=3),VLOOKUP(A53,ScaledPrice,9),0))</f>
        <v> </v>
      </c>
      <c r="L53" s="315" t="str">
        <f aca="false">IF(A53="N/A"," ",IF(OR(Dayrun=2,Dayrun=3,Dayrun=5,Dayrun=6,Dayrun=8,Dayrun=9),VLOOKUP(A53,ScaledPrice,IF(AND(Dayrun&gt;=2,Dayrun&lt;=6),5,6)),0))</f>
        <v> </v>
      </c>
      <c r="M53" s="315" t="str">
        <f aca="false">IF(A53="N/A"," ",IF(OR(Dayrun=2,Dayrun=3,Dayrun=5,Dayrun=6,Dayrun=8,Dayrun=9),IF(AND(Dayrun&gt;=2,Dayrun&lt;=6),L53,(VLOOKUP(A53,ScaledPrice,5))*(2-(VLOOKUP(A53,ScaledPrice,3)))),0))</f>
        <v> </v>
      </c>
      <c r="N53" s="315" t="str">
        <f aca="false">IF(A53="N/A"," ",IF(AND(Dayrun&gt;1,Dayrun&lt;=3),VLOOKUP(A53,ScaledPrice,9),0))</f>
        <v> </v>
      </c>
      <c r="O53" s="315" t="str">
        <f aca="false">IF(A53="N/A"," ",IF(OR(Dayrun=3,Dayrun=6,Dayrun=9),(VLOOKUP(A53,ScaledPrice,IF(AND(Dayrun&gt;=3,Dayrun&lt;=6),7,8))),0))</f>
        <v> </v>
      </c>
      <c r="P53" s="315" t="str">
        <f aca="false">IF(A53="N/A"," ",IF(OR(Dayrun=3,Dayrun=6,Dayrun=9),IF(AND(Dayrun&gt;=3,Dayrun&lt;=6),O53,(VLOOKUP(A53,ScaledPrice,7))*(2-(VLOOKUP(A53,ScaledPrice,3)))),0))</f>
        <v> </v>
      </c>
      <c r="Q53" s="315" t="str">
        <f aca="false">IF(A53="N/A"," ",IF(AND(Dayrun&gt;2,Dayrun&lt;=3),VLOOKUP(A53,ScaledPrice,9),0))</f>
        <v> </v>
      </c>
      <c r="R53" s="316" t="str">
        <f aca="false">IF($A53="N/A"," ",IF(Pricetype=2,MAX(I53-$H53,0),IF(Pricetype=1,(xSPRDOPT(I53,$E53,$CI53,0,($CD53+IF(Smile=TRUE(),VLOOKUP(MAX(-5,$H53-I53),Volsmile,2),0)),$CG53,$CH53,($A53-DateToday)+15,1,0)),I53-$H53)))</f>
        <v> </v>
      </c>
      <c r="S53" s="316" t="str">
        <f aca="false">IF($A53="N/A"," ",IF(Pricetype=2,MAX(J53-$H53,0),IF(Pricetype=1,(xSPRDOPT(J53,$E53,$CI53,0,($CD53+IF(Smile=TRUE(),VLOOKUP(MAX(-5,$H53-J53),Volsmile,2),0)),$CG53,$CH53,($A53-DateToday)+15,1,0)),J53-$H53)))</f>
        <v> </v>
      </c>
      <c r="T53" s="317" t="str">
        <f aca="false">IF($A53="N/A"," ",(IF(Pricetype=2,IF((K53-$H53)&lt;=0,0,(K53-$H53)),IF(K53&lt;&gt;0,(K53-$H53),0))))</f>
        <v> </v>
      </c>
      <c r="U53" s="316" t="str">
        <f aca="false">IF($A53="N/A"," ",IF(Pricetype=2,MAX(L53-$H53,0),IF(L53&lt;&gt;0,IF(Pricetype=1,(xSPRDOPT(L53,$E53,$CI53,0,($CD53+IF(Smile=TRUE(),VLOOKUP(MAX(-5,$H53-L53),Volsmile,2),0)),$CG53,$CH53,($A53-DateToday)+15,1,0)),L53-$H53),0)))</f>
        <v> </v>
      </c>
      <c r="V53" s="316" t="str">
        <f aca="false">IF($A53="N/A"," ",IF(Pricetype=2,MAX(M53-$H53,0),IF(M53&lt;&gt;0,IF(Pricetype=1,(xSPRDOPT(M53,$E53,$CI53,0,($CD53+IF(Smile=TRUE(),VLOOKUP(MAX(-5,$H53-M53),Volsmile,2),0)),$CG53,$CH53,($A53-DateToday)+15,1,0)),M53-$H53),0)))</f>
        <v> </v>
      </c>
      <c r="W53" s="317" t="str">
        <f aca="false">IF($A53="N/A"," ",(IF(Pricetype=2,IF((N53-$H53)&lt;=0,0,(N53-$H53)),IF(N53&lt;&gt;0,(N53-$H53),0))))</f>
        <v> </v>
      </c>
      <c r="X53" s="316" t="str">
        <f aca="false">IF($A53="N/A"," ",IF(Pricetype=2,MAX(O53-$H53,0),IF(O53&lt;&gt;0,IF(Pricetype=1,(xSPRDOPT(O53,$E53,$CI53,0,($CD53+IF(Smile=TRUE(),VLOOKUP(MAX(-5,$H53-O53),Volsmile,2),0)),$CG53,$CH53,($A53-DateToday)+15,1,0)),O53-$H53),0)))</f>
        <v> </v>
      </c>
      <c r="Y53" s="316" t="str">
        <f aca="false">IF($A53="N/A"," ",IF(Pricetype=2,MAX(P53-$H53,0),IF(P53&lt;&gt;0,IF(Pricetype=1,(xSPRDOPT(P53,$E53,$CI53,0,($CD53+IF(Smile=TRUE(),VLOOKUP(MAX(-5,$H53-P53),Volsmile,2),0)),$CG53,$CH53,($A53-DateToday)+15,1,0)),P53-$H53),0)))</f>
        <v> </v>
      </c>
      <c r="Z53" s="317" t="str">
        <f aca="false">IF($A53="N/A"," ",(IF(Pricetype=2,IF((Q53-$H53)&lt;=0,0,(Q53-$H53)),IF(Q53&lt;&gt;0,(Q53-$H53),0))))</f>
        <v> </v>
      </c>
      <c r="AA53" s="318" t="str">
        <f aca="false">IF($A53="N/A"," ",IF(VLOOKUP(MONTH(A53),ManualTable,2)=1,(IF(0&lt;&gt;R53,IF(Pricetype=1,(xSPRDOPT(I53,$E53,$CI53,0,($CD53+IF(Smile=TRUE(),VLOOKUP(MAX(-5,$H53-I53),Volsmile,2),0)),$CG53,$CH53,($A53-DateToday)+15,1,1))*(8*$HD53),8*$HD53),0)),0))</f>
        <v> </v>
      </c>
      <c r="AB53" s="318" t="str">
        <f aca="false">IF($A53="N/A"," ",IF(VLOOKUP(MONTH(A53),ManualTable,3)=1,(IF(S53&lt;&gt;0,IF(Pricetype=1,(xSPRDOPT(J53,$E53,$CI53,0,($CD53+IF(Smile=TRUE(),VLOOKUP(MAX(-5,$H53-J53),Volsmile,2),0)),$CG53,$CH53,($A53-DateToday)+15,1,1))*(8*$HD53),8*$HD53),0)),0))</f>
        <v> </v>
      </c>
      <c r="AC53" s="318" t="str">
        <f aca="false">IF($A53="N/A"," ",IF(VLOOKUP(MONTH(A53),ManualTable,4)=1,(IF(T53&lt;&gt;0,(8*$HD53),0)),0))</f>
        <v> </v>
      </c>
      <c r="AD53" s="318" t="str">
        <f aca="false">IF($A53="N/A"," ",IF(VLOOKUP(MONTH(A53),ManualTable,5)=1,(IF(U53&lt;&gt;0,IF(Pricetype=1,(xSPRDOPT(L53,$E53,$CI53,0,($CD53+IF(Smile=TRUE(),VLOOKUP(MAX(-5,$H53-L53),Volsmile,2),0)),$CG53,$CH53,($A53-DateToday)+15,1,1))*(8*$HE53),8*$HE53),0)),0))</f>
        <v> </v>
      </c>
      <c r="AE53" s="318" t="str">
        <f aca="false">IF($A53="N/A"," ",IF(VLOOKUP(MONTH(A53),ManualTable,6)=1,(IF(V53&lt;&gt;0,IF(Pricetype=1,(xSPRDOPT(M53,$E53,$CI53,0,($CD53+IF(Smile=TRUE(),VLOOKUP(MAX(-5,$H53-M53),Volsmile,2),0)),$CG53,$CH53,($A53-DateToday)+15,1,1))*(8*$HE53),8*$HE53),0)),0))</f>
        <v> </v>
      </c>
      <c r="AF53" s="318" t="str">
        <f aca="false">IF($A53="N/A"," ",IF(VLOOKUP(MONTH(A53),ManualTable,7)=1,(IF(W53&lt;&gt;0,(8*$HE53),0)),0))</f>
        <v> </v>
      </c>
      <c r="AG53" s="318" t="str">
        <f aca="false">IF($A53="N/A"," ",IF(VLOOKUP(MONTH(A53),ManualTable,8)=1,(IF(X53&lt;&gt;0,IF(Pricetype=1,(xSPRDOPT(O53,$E53,$CI53,0,($CD53+IF(Smile=TRUE(),VLOOKUP(MAX(-5,$H53-O53),Volsmile,2),0)),$CG53,$CH53,($A53-DateToday)+15,1,1))*(8*$HF53),8*$HF53),0)),0))</f>
        <v> </v>
      </c>
      <c r="AH53" s="318" t="str">
        <f aca="false">IF($A53="N/A"," ",IF(VLOOKUP(MONTH(A53),ManualTable,9)=1,(IF(Y53&lt;&gt;0,IF(Pricetype=1,(xSPRDOPT(P53,$E53,$CI53,0,($CD53+IF(Smile=TRUE(),VLOOKUP(MAX(-5,$H53-P53),Volsmile,2),0)),$CG53,$CH53,($A53-DateToday)+15,1,1))*(8*$HF53),8*$HF53),0)),0))</f>
        <v> </v>
      </c>
      <c r="AI53" s="318" t="str">
        <f aca="false">IF($A53="N/A"," ",IF(VLOOKUP(MONTH(A53),ManualTable,10)=1,(IF(Z53&lt;&gt;0,(8*($HF53)),0)),0))</f>
        <v> </v>
      </c>
      <c r="AJ53" s="344" t="str">
        <f aca="false">IF($A53="N/A"," ",RANK(R53,$R$52:$Z$63))</f>
        <v> </v>
      </c>
      <c r="AK53" s="321" t="str">
        <f aca="false">IF($A53="N/A"," ",RANK(S53,$R$52:$Z$63))</f>
        <v> </v>
      </c>
      <c r="AL53" s="321" t="str">
        <f aca="false">IF($A53="N/A"," ",RANK(T53,$R$52:$Z$63))</f>
        <v> </v>
      </c>
      <c r="AM53" s="321" t="str">
        <f aca="false">IF($A53="N/A"," ",RANK(U53,$R$52:$Z$63))</f>
        <v> </v>
      </c>
      <c r="AN53" s="321" t="str">
        <f aca="false">IF($A53="N/A"," ",RANK(V53,$R$52:$Z$63))</f>
        <v> </v>
      </c>
      <c r="AO53" s="321" t="str">
        <f aca="false">IF($A53="N/A"," ",RANK(W53,$R$52:$Z$63))</f>
        <v> </v>
      </c>
      <c r="AP53" s="321" t="str">
        <f aca="false">IF($A53="N/A"," ",RANK(X53,$R$52:$Z$63))</f>
        <v> </v>
      </c>
      <c r="AQ53" s="321" t="str">
        <f aca="false">IF($A53="N/A"," ",RANK(Y53,$R$52:$Z$63))</f>
        <v> </v>
      </c>
      <c r="AR53" s="345" t="str">
        <f aca="false">IF($A53="N/A"," ",RANK(Z53,$R$52:$Z$63))</f>
        <v> </v>
      </c>
      <c r="AS53" s="323" t="str">
        <f aca="false">IF($A53="N/A"," ",IF(AJ53&lt;=$AR$2,AA53,0))</f>
        <v> </v>
      </c>
      <c r="AT53" s="325" t="str">
        <f aca="false">IF($A53="N/A"," ",IF(AK53&lt;=$AR$2,AB53,0))</f>
        <v> </v>
      </c>
      <c r="AU53" s="325" t="str">
        <f aca="false">IF($A53="N/A"," ",IF(AL53&lt;=$AR$2,AC53,0))</f>
        <v> </v>
      </c>
      <c r="AV53" s="325" t="str">
        <f aca="false">IF($A53="N/A"," ",IF(AM53&lt;=$AR$2,AD53,0))</f>
        <v> </v>
      </c>
      <c r="AW53" s="325" t="str">
        <f aca="false">IF($A53="N/A"," ",IF(AN53&lt;=$AR$2,AE53,0))</f>
        <v> </v>
      </c>
      <c r="AX53" s="325" t="str">
        <f aca="false">IF($A53="N/A"," ",IF(AO53&lt;=$AR$2,AF53,0))</f>
        <v> </v>
      </c>
      <c r="AY53" s="325" t="str">
        <f aca="false">IF($A53="N/A"," ",IF(AP53&lt;=$AR$2,AG53,0))</f>
        <v> </v>
      </c>
      <c r="AZ53" s="325" t="str">
        <f aca="false">IF($A53="N/A"," ",IF(AQ53&lt;=$AR$2,AH53,0))</f>
        <v> </v>
      </c>
      <c r="BA53" s="325" t="str">
        <f aca="false">IF($A53="N/A"," ",IF(AR53&lt;=$AR$2,AI53,0))</f>
        <v> </v>
      </c>
      <c r="BB53" s="345"/>
      <c r="BC53" s="326" t="str">
        <f aca="false">IF($A53="N/A"," ",IF(AND(AJ53=$AR$2+1,AS53=0),MIN($BB$63,AA53),0))</f>
        <v> </v>
      </c>
      <c r="BD53" s="346" t="str">
        <f aca="false">IF($A53="N/A"," ",IF(AND(AK53=$AR$2+1,AT53=0),MIN($BB$63,AB53),0))</f>
        <v> </v>
      </c>
      <c r="BE53" s="346" t="str">
        <f aca="false">IF($A53="N/A"," ",IF(AND(AL53=$AR$2+1,AU53=0),MIN($BB$63,AC53),0))</f>
        <v> </v>
      </c>
      <c r="BF53" s="346" t="str">
        <f aca="false">IF($A53="N/A"," ",IF(AND(AM53=$AR$2+1,AV53=0),MIN($BB$63,AD53),0))</f>
        <v> </v>
      </c>
      <c r="BG53" s="346" t="str">
        <f aca="false">IF($A53="N/A"," ",IF(AND(AN53=$AR$2+1,AW53=0),MIN($BB$63,AE53),0))</f>
        <v> </v>
      </c>
      <c r="BH53" s="346" t="str">
        <f aca="false">IF($A53="N/A"," ",IF(AND(AO53=$AR$2+1,AX53=0),MIN($BB$63,AF53),0))</f>
        <v> </v>
      </c>
      <c r="BI53" s="346" t="str">
        <f aca="false">IF($A53="N/A"," ",IF(AND(AP53=$AR$2+1,AY53=0),MIN($BB$63,AG53),0))</f>
        <v> </v>
      </c>
      <c r="BJ53" s="346" t="str">
        <f aca="false">IF($A53="N/A"," ",IF(AND(AQ53=$AR$2+1,AZ53=0),MIN($BB$63,AH53),0))</f>
        <v> </v>
      </c>
      <c r="BK53" s="346" t="str">
        <f aca="false">IF($A53="N/A"," ",IF(AND(AR53=$AR$2+1,BA53=0),MIN($BB$63,AI53),0))</f>
        <v> </v>
      </c>
      <c r="BL53" s="345"/>
      <c r="BM53" s="329" t="str">
        <f aca="false">IF($A53="N/A"," ",(IF(MONTH(A53)&gt;=4,IF(MONTH(A53)&lt;=10,Inputs!$F$13-Inputs!$G$13,Inputs!$F$14-Inputs!$G$14),Inputs!$F$14-Inputs!$G$14))*$CK53*Availability)</f>
        <v> </v>
      </c>
      <c r="BN53" s="330" t="str">
        <f aca="false">IF($A53="N/A"," ",(IF(AS53&gt;0,($BM53*(8*($HD53))*R53),0)+IF(BC53&gt;0,($BM53*((BC53/AA53)*8*$HD53)*R53),0)))</f>
        <v> </v>
      </c>
      <c r="BO53" s="330" t="str">
        <f aca="false">IF($A53="N/A"," ",(IF(AT53&gt;0,($BM53*(8*($HD53))*S53),0)+IF(BD53&gt;0,($BM53*((BD53/AB53)*8*$HD53)*S53),0)))</f>
        <v> </v>
      </c>
      <c r="BP53" s="330" t="str">
        <f aca="false">IF($A53="N/A"," ",(IF(AU53&gt;0,($BM53*(8*($HD53))*T53),0)+IF(BE53&gt;0,($BM53*((BE53))*T53),0)))</f>
        <v> </v>
      </c>
      <c r="BQ53" s="330" t="str">
        <f aca="false">IF($A53="N/A"," ",(IF(AV53&gt;0,($BM53*(8*($HE53))*U53),0)+IF(BF53&gt;0,($BM53*((BF53/AD53)*8*$HE53)*U53),0)))</f>
        <v> </v>
      </c>
      <c r="BR53" s="330" t="str">
        <f aca="false">IF($A53="N/A"," ",(IF(AW53&gt;0,($BM53*(8*($HE53))*V53),0)+IF(BG53&gt;0,($BM53*((BG53/AE53)*8*$HE53)*V53),0)))</f>
        <v> </v>
      </c>
      <c r="BS53" s="330" t="str">
        <f aca="false">IF($A53="N/A"," ",(IF(AX53&gt;0,($BM53*(8*($HE53))*W53),0)+IF(BH53&gt;0,($BM53*((BH53))*W53),0)))</f>
        <v> </v>
      </c>
      <c r="BT53" s="330" t="str">
        <f aca="false">IF($A53="N/A"," ",(IF(AY53&gt;0,($BM53*(8*($HF53))*X53),0)+IF(BI53&gt;0,($BM53*((BI53/AG53)*8*$HF53)*X53),0)))</f>
        <v> </v>
      </c>
      <c r="BU53" s="330" t="str">
        <f aca="false">IF($A53="N/A"," ",(IF(AZ53&gt;0,($BM53*(8*($HF53))*Y53),0)+IF(BJ53&gt;0,($BM53*((BJ53/AH53)*8*$HF53)*Y53),0)))</f>
        <v> </v>
      </c>
      <c r="BV53" s="330" t="str">
        <f aca="false">IF($A53="N/A"," ",(IF(BA53&gt;0,($BM53*(8*($HF53))*Z53),0)+IF(BK53&gt;0,($BM53*((BK53))*Z53),0)))</f>
        <v> </v>
      </c>
      <c r="BW53" s="330" t="str">
        <f aca="false">IF($A53="N/A"," ",SUM(BN53:BV53))</f>
        <v> </v>
      </c>
      <c r="BX53" s="331" t="str">
        <f aca="false">IF($A53="N/A"," ",(H53*(SUM(AS53:BA53)+SUM(BC53:BK53))*BM53))</f>
        <v> </v>
      </c>
      <c r="BY53" s="332" t="str">
        <f aca="false">IF($A53="N/A"," ",((C53*D53)*(SUM($AS53:$BA53)+SUM($BC53:$BK53))*$BM53))</f>
        <v> </v>
      </c>
      <c r="BZ53" s="332" t="str">
        <f aca="false">IF($A53="N/A"," ",(F53*(SUM($AS53:$BA53)+SUM($BC53:$BK53))*$BM53))</f>
        <v> </v>
      </c>
      <c r="CA53" s="333" t="str">
        <f aca="false">IF($A53="N/A"," ",(G53*(SUM($AS53:$BA53)+SUM($BC53:$BK53))*$BM53))</f>
        <v> </v>
      </c>
      <c r="CB53" s="334" t="str">
        <f aca="false">IF(A53="N/A"," ",(VLOOKUP(A53,PowerVolTable,(IF(BMO=2,7,IF(BMO=1,6,8))),FALSE())))</f>
        <v> </v>
      </c>
      <c r="CC53" s="334" t="str">
        <f aca="false">IF(A53="N/A"," ",(VLOOKUP(A53,IntraPowerVol,(IF(BMO=2,3,IF(BMO=1,2,4))),FALSE())*VLOOKUP(MONTH($A53),Volscale,2)))</f>
        <v> </v>
      </c>
      <c r="CD53" s="335" t="str">
        <f aca="false">IF($A53="N/A"," ",(IF(DateToday&gt;$A53,$CC53,((($CB53^2)*((($A53-1)-DateToday)/((EOMONTH($A53,0)+1)-DateToday-15)))+((($CC53)^2)*((15)/((EOMONTH($A53,0)+1)-DateToday-15))))^0.5)))</f>
        <v> </v>
      </c>
      <c r="CE53" s="334" t="str">
        <f aca="false">IF($A53="N/A"," ",(VLOOKUP($A53,GasVolTable,(IF(BMO=2,6,IF(BMO=1,7,5))),FALSE())))</f>
        <v> </v>
      </c>
      <c r="CF53" s="334" t="str">
        <f aca="false">IF($A53="N/A"," ",(VLOOKUP($A53,OmicronVol,(IF(BMO=2,3,IF(BMO=1,4,2))),FALSE())))</f>
        <v> </v>
      </c>
      <c r="CG53" s="335" t="str">
        <f aca="false">IF($A53="N/A"," ",(IF(DateToday&gt;$A53,$CF53,((($CE53^2)*((($A53-1)-DateToday)/((EOMONTH($A53,0)+1)-DateToday-15)))+((($CF53)^2)*((15)/((EOMONTH($A53,0)+1)-DateToday-15))))^0.5)))</f>
        <v> </v>
      </c>
      <c r="CH53" s="334" t="str">
        <f aca="false">IF($A53="N/A"," ",VLOOKUP($A53,CorrelationTable,2,FALSE()))</f>
        <v> </v>
      </c>
      <c r="CI53" s="336" t="str">
        <f aca="false">IF($A53="N/A"," ",F53+G53+(D53*('Pricing Inputs'!T86)))</f>
        <v> </v>
      </c>
      <c r="CJ53" s="334" t="str">
        <f aca="false">IF($A53="N/A"," ",IF(PV=1,0,'Pricing Inputs'!U86))</f>
        <v> </v>
      </c>
      <c r="CK53" s="337" t="str">
        <f aca="false">IF($A53="N/A"," ",(1+CJ53/2)^(-2*((EOMONTH(A53,0)+20)-DateToday)/365.25))</f>
        <v> </v>
      </c>
      <c r="CL53" s="338" t="str">
        <f aca="false">IF(A53="N/A"," ",IF(CC=2,(VLOOKUP(MONTH($A53),Hrtable,3))/1000,0))</f>
        <v> </v>
      </c>
      <c r="CM53" s="339" t="str">
        <f aca="false">IF(A53="N/A"," ",IF(CC=2,(CL53*C53)+F53,0))</f>
        <v> </v>
      </c>
      <c r="CN53" s="340" t="str">
        <f aca="false">IF($A53="N/A"," ",IF(CC=2,(VLOOKUP(A53,ScaledPrice,(IF(AND(Dayrun&gt;=1,Dayrun&lt;=6),2,4)))-((IF(R53&lt;&gt;0,$D53,$CL53)*$C53)+$F53+$G53)),0))</f>
        <v> </v>
      </c>
      <c r="CO53" s="340" t="str">
        <f aca="false">IF($A53="N/A"," ",IF(CC=2,(IF(AND(Dayrun&gt;=1,Dayrun&lt;=6),I53,(VLOOKUP(A53,ScaledPrice,2))*(2-(VLOOKUP(A53,ScaledPrice,3))))-((IF(S53&lt;&gt;0,$D53,$CL53)*$C53)+$F53+$G53)),0))</f>
        <v> </v>
      </c>
      <c r="CP53" s="340" t="str">
        <f aca="false">IF(A53="N/A"," ",IF(CC=2,(VLOOKUP(A53,ScaledPrice,9)-((IF(T53&lt;&gt;0,$D53,$CL53)*$C53)+$F53+$G53)),0))</f>
        <v> </v>
      </c>
      <c r="CQ53" s="340" t="str">
        <f aca="false">IF(A53="N/A"," ",IF(CC=2,(IF(OR(Dayrun=2,Dayrun=3,Dayrun=5,Dayrun=6,Dayrun=8,Dayrun=9),VLOOKUP(A53,ScaledPrice,IF(AND(Dayrun&gt;=2,Dayrun&lt;=6),5,6)),0)-((IF(U53&lt;&gt;0,$D53,$CL53)*$C53)+$F53+$G53)),0))</f>
        <v> </v>
      </c>
      <c r="CR53" s="340" t="str">
        <f aca="false">IF(A53="N/A"," ",IF(CC=2,(IF(OR(Dayrun=2,Dayrun=3,Dayrun=5,Dayrun=6,Dayrun=8,Dayrun=9),IF(AND(Dayrun&gt;=2,Dayrun&lt;=6),L53,(VLOOKUP(A53,ScaledPrice,5))*(2-(VLOOKUP(A53,ScaledPrice,3)))),0)-((IF(V53&lt;&gt;0,$D53,$CL53)*$C53)+$F53+$G53)),0))</f>
        <v> </v>
      </c>
      <c r="CS53" s="340" t="str">
        <f aca="false">IF(A53="N/A"," ",IF(CC=2,(VLOOKUP(A53,ScaledPrice,9)-((IF(W53&lt;&gt;0,$D53,$CL53)*$C53)+$F53+$G53)),0))</f>
        <v> </v>
      </c>
      <c r="CT53" s="340" t="str">
        <f aca="false">IF(A53="N/A"," ",IF(CC=2,(IF(OR(Dayrun=3,Dayrun=6,Dayrun=9),(VLOOKUP(A53,ScaledPrice,IF(AND(Dayrun&gt;=3,Dayrun&lt;=6),7,8))),0)-((IF(X53&lt;&gt;0,$D53,$CL53)*$C53)+$F53+$G53)),0))</f>
        <v> </v>
      </c>
      <c r="CU53" s="340" t="str">
        <f aca="false">IF(A53="N/A"," ",IF(CC=2,(IF(OR(Dayrun=3,Dayrun=6,Dayrun=9),IF(AND(Dayrun&gt;=3,Dayrun&lt;=6),O53,(VLOOKUP(A53,ScaledPrice,7))*(2-(VLOOKUP(A53,ScaledPrice,3)))),0)-((IF(Y53&lt;&gt;0,$D53,$CL53)*$C53)+$F53+$G53)),0))</f>
        <v> </v>
      </c>
      <c r="CV53" s="340" t="str">
        <f aca="false">IF(A53="N/A"," ",IF(CC=2,(VLOOKUP(A53,ScaledPrice,9)-((IF(Z53&lt;&gt;0,$D53,$CL53)*$C53)+$F53+$G53)),0))</f>
        <v> </v>
      </c>
      <c r="CW53" s="318" t="str">
        <f aca="false">IF($A53="N/A"," ",IF(0&lt;&gt;CN53,IF(CC=2,8*$HD53,0),0))</f>
        <v> </v>
      </c>
      <c r="CX53" s="318" t="str">
        <f aca="false">IF($A53="N/A"," ",IF(0&lt;&gt;CO53,IF(CC=2,8*$HD53,0),0))</f>
        <v> </v>
      </c>
      <c r="CY53" s="318" t="str">
        <f aca="false">IF($A53="N/A"," ",IF(0&lt;&gt;CP53,IF(CC=2,8*$HD53,0),0))</f>
        <v> </v>
      </c>
      <c r="CZ53" s="318" t="str">
        <f aca="false">IF($A53="N/A"," ",IF(0&lt;&gt;CQ53,IF(CC=2,8*$HE53,0),0))</f>
        <v> </v>
      </c>
      <c r="DA53" s="318" t="str">
        <f aca="false">IF($A53="N/A"," ",IF(0&lt;&gt;CR53,IF(CC=2,8*$HE53,0),0))</f>
        <v> </v>
      </c>
      <c r="DB53" s="318" t="str">
        <f aca="false">IF($A53="N/A"," ",IF(0&lt;&gt;CS53,IF(CC=2,8*$HE53,0),0))</f>
        <v> </v>
      </c>
      <c r="DC53" s="318" t="str">
        <f aca="false">IF($A53="N/A"," ",IF(0&lt;&gt;CT53,IF(CC=2,8*$HF53,0),0))</f>
        <v> </v>
      </c>
      <c r="DD53" s="318" t="str">
        <f aca="false">IF($A53="N/A"," ",IF(0&lt;&gt;CU53,IF(CC=2,8*$HF53,0),0))</f>
        <v> </v>
      </c>
      <c r="DE53" s="318" t="str">
        <f aca="false">IF($A53="N/A"," ",IF(0&lt;&gt;CV53,IF(CC=2,8*$HF53,0),0))</f>
        <v> </v>
      </c>
      <c r="DF53" s="341" t="str">
        <f aca="false">IF($A53="N/A"," ",IF(CC=2,(IF(MONTH(A53)&gt;=4,IF(MONTH(A53)&lt;=10,Inputs!$G$13,Inputs!$G$14),Inputs!$G$14))*$CK53,0))</f>
        <v> </v>
      </c>
      <c r="DG53" s="342" t="str">
        <f aca="false">IF($A53="N/A"," ",IF(CC=2,$DF53*CW53*CN53,0))</f>
        <v> </v>
      </c>
      <c r="DH53" s="342" t="str">
        <f aca="false">IF($A53="N/A"," ",IF(CC=2,$DF53*CX53*CO53,0))</f>
        <v> </v>
      </c>
      <c r="DI53" s="342" t="str">
        <f aca="false">IF($A53="N/A"," ",IF(CC=2,$DF53*CY53*CP53,0))</f>
        <v> </v>
      </c>
      <c r="DJ53" s="342" t="str">
        <f aca="false">IF($A53="N/A"," ",IF(CC=2,$DF53*CZ53*CQ53,0))</f>
        <v> </v>
      </c>
      <c r="DK53" s="342" t="str">
        <f aca="false">IF($A53="N/A"," ",IF(CC=2,$DF53*DA53*CR53,0))</f>
        <v> </v>
      </c>
      <c r="DL53" s="342" t="str">
        <f aca="false">IF($A53="N/A"," ",IF(CC=2,$DF53*DB53*CS53,0))</f>
        <v> </v>
      </c>
      <c r="DM53" s="342" t="str">
        <f aca="false">IF($A53="N/A"," ",IF(CC=2,$DF53*DC53*CT53,0))</f>
        <v> </v>
      </c>
      <c r="DN53" s="342" t="str">
        <f aca="false">IF($A53="N/A"," ",IF(CC=2,$DF53*DD53*CU53,0))</f>
        <v> </v>
      </c>
      <c r="DO53" s="342" t="str">
        <f aca="false">IF($A53="N/A"," ",IF(CC=2,$DF53*DE53*CV53,0))</f>
        <v> </v>
      </c>
      <c r="DP53" s="343" t="str">
        <f aca="false">IF($A53="N/A"," ",IF(CC=2,SUM(DG53:DO53),0))</f>
        <v> </v>
      </c>
      <c r="DQ53" s="0" t="str">
        <f aca="false">IF(A53="N/A"," ",Perstart)</f>
        <v> </v>
      </c>
      <c r="HD53" s="0" t="str">
        <f aca="false">IF($A53="N/A"," ",VLOOKUP($A53,NumberofDaysTable,2))</f>
        <v> </v>
      </c>
      <c r="HE53" s="0" t="str">
        <f aca="false">IF($A53="N/A"," ",VLOOKUP($A53,NumberofDaysTable,3))</f>
        <v> </v>
      </c>
      <c r="HF53" s="0" t="str">
        <f aca="false">IF($A53="N/A"," ",VLOOKUP($A53,NumberofDaysTable,4))</f>
        <v> </v>
      </c>
    </row>
    <row r="54" customFormat="false" ht="12.75" hidden="false" customHeight="false" outlineLevel="0" collapsed="false">
      <c r="A54" s="308" t="str">
        <f aca="false">IF(A53="N/A","N/A",IF(EDATE(A53,1)&gt;Inputs!$K$3,"N/A",EDATE(A53,1)))</f>
        <v>N/A</v>
      </c>
      <c r="B54" s="309" t="str">
        <f aca="false">IF(A54="N/A"," ",YEAR(A54))</f>
        <v> </v>
      </c>
      <c r="C54" s="310" t="str">
        <f aca="false">IF(A54="N/A"," ",VLOOKUP(A54,ScaledPrice,10))</f>
        <v> </v>
      </c>
      <c r="D54" s="311" t="str">
        <f aca="false">IF(A54="N/A"," ",(VLOOKUP(MONTH($A54),Hrtable,2))/1000)</f>
        <v> </v>
      </c>
      <c r="E54" s="312" t="str">
        <f aca="false">IF($A54="N/A"," ",(C54-'Pricing Inputs'!T87)*D54)</f>
        <v> </v>
      </c>
      <c r="F54" s="313" t="str">
        <f aca="false">IF(A54="N/A"," ",$F42*(1+VOMesc))</f>
        <v> </v>
      </c>
      <c r="G54" s="313" t="str">
        <f aca="false">IF(A54="N/A"," ",Perstart/IF(AND(Dayrun&gt;=4,Dayrun&lt;=6),16,IF(AND(Dayrun&gt;=7,Dayrun&lt;=9),8,24))/(BM54/CK54))</f>
        <v> </v>
      </c>
      <c r="H54" s="314" t="str">
        <f aca="false">IF(A54="N/A"," ",(C54*D54)+F54+G54)</f>
        <v> </v>
      </c>
      <c r="I54" s="315" t="str">
        <f aca="false">VLOOKUP(A54,ScaledPrice,(IF(AND(Dayrun&gt;=1,Dayrun&lt;=6),2,4)))</f>
        <v> </v>
      </c>
      <c r="J54" s="315" t="str">
        <f aca="false">IF(A54="N/A"," ",IF(AND(Dayrun&gt;=1,Dayrun&lt;=6),I54,(VLOOKUP(A54,ScaledPrice,2))*(2-(VLOOKUP(A54,ScaledPrice,3)))))</f>
        <v> </v>
      </c>
      <c r="K54" s="315" t="str">
        <f aca="false">IF(A54="N/A"," ",IF(AND(Dayrun&gt;=1,Dayrun&lt;=3),VLOOKUP(A54,ScaledPrice,9),0))</f>
        <v> </v>
      </c>
      <c r="L54" s="315" t="str">
        <f aca="false">IF(A54="N/A"," ",IF(OR(Dayrun=2,Dayrun=3,Dayrun=5,Dayrun=6,Dayrun=8,Dayrun=9),VLOOKUP(A54,ScaledPrice,IF(AND(Dayrun&gt;=2,Dayrun&lt;=6),5,6)),0))</f>
        <v> </v>
      </c>
      <c r="M54" s="315" t="str">
        <f aca="false">IF(A54="N/A"," ",IF(OR(Dayrun=2,Dayrun=3,Dayrun=5,Dayrun=6,Dayrun=8,Dayrun=9),IF(AND(Dayrun&gt;=2,Dayrun&lt;=6),L54,(VLOOKUP(A54,ScaledPrice,5))*(2-(VLOOKUP(A54,ScaledPrice,3)))),0))</f>
        <v> </v>
      </c>
      <c r="N54" s="315" t="str">
        <f aca="false">IF(A54="N/A"," ",IF(AND(Dayrun&gt;1,Dayrun&lt;=3),VLOOKUP(A54,ScaledPrice,9),0))</f>
        <v> </v>
      </c>
      <c r="O54" s="315" t="str">
        <f aca="false">IF(A54="N/A"," ",IF(OR(Dayrun=3,Dayrun=6,Dayrun=9),(VLOOKUP(A54,ScaledPrice,IF(AND(Dayrun&gt;=3,Dayrun&lt;=6),7,8))),0))</f>
        <v> </v>
      </c>
      <c r="P54" s="315" t="str">
        <f aca="false">IF(A54="N/A"," ",IF(OR(Dayrun=3,Dayrun=6,Dayrun=9),IF(AND(Dayrun&gt;=3,Dayrun&lt;=6),O54,(VLOOKUP(A54,ScaledPrice,7))*(2-(VLOOKUP(A54,ScaledPrice,3)))),0))</f>
        <v> </v>
      </c>
      <c r="Q54" s="315" t="str">
        <f aca="false">IF(A54="N/A"," ",IF(AND(Dayrun&gt;2,Dayrun&lt;=3),VLOOKUP(A54,ScaledPrice,9),0))</f>
        <v> </v>
      </c>
      <c r="R54" s="316" t="str">
        <f aca="false">IF($A54="N/A"," ",IF(Pricetype=2,MAX(I54-$H54,0),IF(Pricetype=1,(xSPRDOPT(I54,$E54,$CI54,0,($CD54+IF(Smile=TRUE(),VLOOKUP(MAX(-5,$H54-I54),Volsmile,2),0)),$CG54,$CH54,($A54-DateToday)+15,1,0)),I54-$H54)))</f>
        <v> </v>
      </c>
      <c r="S54" s="316" t="str">
        <f aca="false">IF($A54="N/A"," ",IF(Pricetype=2,MAX(J54-$H54,0),IF(Pricetype=1,(xSPRDOPT(J54,$E54,$CI54,0,($CD54+IF(Smile=TRUE(),VLOOKUP(MAX(-5,$H54-J54),Volsmile,2),0)),$CG54,$CH54,($A54-DateToday)+15,1,0)),J54-$H54)))</f>
        <v> </v>
      </c>
      <c r="T54" s="317" t="str">
        <f aca="false">IF($A54="N/A"," ",(IF(Pricetype=2,IF((K54-$H54)&lt;=0,0,(K54-$H54)),IF(K54&lt;&gt;0,(K54-$H54),0))))</f>
        <v> </v>
      </c>
      <c r="U54" s="316" t="str">
        <f aca="false">IF($A54="N/A"," ",IF(Pricetype=2,MAX(L54-$H54,0),IF(L54&lt;&gt;0,IF(Pricetype=1,(xSPRDOPT(L54,$E54,$CI54,0,($CD54+IF(Smile=TRUE(),VLOOKUP(MAX(-5,$H54-L54),Volsmile,2),0)),$CG54,$CH54,($A54-DateToday)+15,1,0)),L54-$H54),0)))</f>
        <v> </v>
      </c>
      <c r="V54" s="316" t="str">
        <f aca="false">IF($A54="N/A"," ",IF(Pricetype=2,MAX(M54-$H54,0),IF(M54&lt;&gt;0,IF(Pricetype=1,(xSPRDOPT(M54,$E54,$CI54,0,($CD54+IF(Smile=TRUE(),VLOOKUP(MAX(-5,$H54-M54),Volsmile,2),0)),$CG54,$CH54,($A54-DateToday)+15,1,0)),M54-$H54),0)))</f>
        <v> </v>
      </c>
      <c r="W54" s="317" t="str">
        <f aca="false">IF($A54="N/A"," ",(IF(Pricetype=2,IF((N54-$H54)&lt;=0,0,(N54-$H54)),IF(N54&lt;&gt;0,(N54-$H54),0))))</f>
        <v> </v>
      </c>
      <c r="X54" s="316" t="str">
        <f aca="false">IF($A54="N/A"," ",IF(Pricetype=2,MAX(O54-$H54,0),IF(O54&lt;&gt;0,IF(Pricetype=1,(xSPRDOPT(O54,$E54,$CI54,0,($CD54+IF(Smile=TRUE(),VLOOKUP(MAX(-5,$H54-O54),Volsmile,2),0)),$CG54,$CH54,($A54-DateToday)+15,1,0)),O54-$H54),0)))</f>
        <v> </v>
      </c>
      <c r="Y54" s="316" t="str">
        <f aca="false">IF($A54="N/A"," ",IF(Pricetype=2,MAX(P54-$H54,0),IF(P54&lt;&gt;0,IF(Pricetype=1,(xSPRDOPT(P54,$E54,$CI54,0,($CD54+IF(Smile=TRUE(),VLOOKUP(MAX(-5,$H54-P54),Volsmile,2),0)),$CG54,$CH54,($A54-DateToday)+15,1,0)),P54-$H54),0)))</f>
        <v> </v>
      </c>
      <c r="Z54" s="317" t="str">
        <f aca="false">IF($A54="N/A"," ",(IF(Pricetype=2,IF((Q54-$H54)&lt;=0,0,(Q54-$H54)),IF(Q54&lt;&gt;0,(Q54-$H54),0))))</f>
        <v> </v>
      </c>
      <c r="AA54" s="318" t="str">
        <f aca="false">IF($A54="N/A"," ",IF(VLOOKUP(MONTH(A54),ManualTable,2)=1,(IF(0&lt;&gt;R54,IF(Pricetype=1,(xSPRDOPT(I54,$E54,$CI54,0,($CD54+IF(Smile=TRUE(),VLOOKUP(MAX(-5,$H54-I54),Volsmile,2),0)),$CG54,$CH54,($A54-DateToday)+15,1,1))*(8*$HD54),8*$HD54),0)),0))</f>
        <v> </v>
      </c>
      <c r="AB54" s="318" t="str">
        <f aca="false">IF($A54="N/A"," ",IF(VLOOKUP(MONTH(A54),ManualTable,3)=1,(IF(S54&lt;&gt;0,IF(Pricetype=1,(xSPRDOPT(J54,$E54,$CI54,0,($CD54+IF(Smile=TRUE(),VLOOKUP(MAX(-5,$H54-J54),Volsmile,2),0)),$CG54,$CH54,($A54-DateToday)+15,1,1))*(8*$HD54),8*$HD54),0)),0))</f>
        <v> </v>
      </c>
      <c r="AC54" s="318" t="str">
        <f aca="false">IF($A54="N/A"," ",IF(VLOOKUP(MONTH(A54),ManualTable,4)=1,(IF(T54&lt;&gt;0,(8*$HD54),0)),0))</f>
        <v> </v>
      </c>
      <c r="AD54" s="318" t="str">
        <f aca="false">IF($A54="N/A"," ",IF(VLOOKUP(MONTH(A54),ManualTable,5)=1,(IF(U54&lt;&gt;0,IF(Pricetype=1,(xSPRDOPT(L54,$E54,$CI54,0,($CD54+IF(Smile=TRUE(),VLOOKUP(MAX(-5,$H54-L54),Volsmile,2),0)),$CG54,$CH54,($A54-DateToday)+15,1,1))*(8*$HE54),8*$HE54),0)),0))</f>
        <v> </v>
      </c>
      <c r="AE54" s="318" t="str">
        <f aca="false">IF($A54="N/A"," ",IF(VLOOKUP(MONTH(A54),ManualTable,6)=1,(IF(V54&lt;&gt;0,IF(Pricetype=1,(xSPRDOPT(M54,$E54,$CI54,0,($CD54+IF(Smile=TRUE(),VLOOKUP(MAX(-5,$H54-M54),Volsmile,2),0)),$CG54,$CH54,($A54-DateToday)+15,1,1))*(8*$HE54),8*$HE54),0)),0))</f>
        <v> </v>
      </c>
      <c r="AF54" s="318" t="str">
        <f aca="false">IF($A54="N/A"," ",IF(VLOOKUP(MONTH(A54),ManualTable,7)=1,(IF(W54&lt;&gt;0,(8*$HE54),0)),0))</f>
        <v> </v>
      </c>
      <c r="AG54" s="318" t="str">
        <f aca="false">IF($A54="N/A"," ",IF(VLOOKUP(MONTH(A54),ManualTable,8)=1,(IF(X54&lt;&gt;0,IF(Pricetype=1,(xSPRDOPT(O54,$E54,$CI54,0,($CD54+IF(Smile=TRUE(),VLOOKUP(MAX(-5,$H54-O54),Volsmile,2),0)),$CG54,$CH54,($A54-DateToday)+15,1,1))*(8*$HF54),8*$HF54),0)),0))</f>
        <v> </v>
      </c>
      <c r="AH54" s="318" t="str">
        <f aca="false">IF($A54="N/A"," ",IF(VLOOKUP(MONTH(A54),ManualTable,9)=1,(IF(Y54&lt;&gt;0,IF(Pricetype=1,(xSPRDOPT(P54,$E54,$CI54,0,($CD54+IF(Smile=TRUE(),VLOOKUP(MAX(-5,$H54-P54),Volsmile,2),0)),$CG54,$CH54,($A54-DateToday)+15,1,1))*(8*$HF54),8*$HF54),0)),0))</f>
        <v> </v>
      </c>
      <c r="AI54" s="318" t="str">
        <f aca="false">IF($A54="N/A"," ",IF(VLOOKUP(MONTH(A54),ManualTable,10)=1,(IF(Z54&lt;&gt;0,(8*($HF54)),0)),0))</f>
        <v> </v>
      </c>
      <c r="AJ54" s="344" t="str">
        <f aca="false">IF($A54="N/A"," ",RANK(R54,$R$52:$Z$63))</f>
        <v> </v>
      </c>
      <c r="AK54" s="321" t="str">
        <f aca="false">IF($A54="N/A"," ",RANK(S54,$R$52:$Z$63))</f>
        <v> </v>
      </c>
      <c r="AL54" s="321" t="str">
        <f aca="false">IF($A54="N/A"," ",RANK(T54,$R$52:$Z$63))</f>
        <v> </v>
      </c>
      <c r="AM54" s="321" t="str">
        <f aca="false">IF($A54="N/A"," ",RANK(U54,$R$52:$Z$63))</f>
        <v> </v>
      </c>
      <c r="AN54" s="321" t="str">
        <f aca="false">IF($A54="N/A"," ",RANK(V54,$R$52:$Z$63))</f>
        <v> </v>
      </c>
      <c r="AO54" s="321" t="str">
        <f aca="false">IF($A54="N/A"," ",RANK(W54,$R$52:$Z$63))</f>
        <v> </v>
      </c>
      <c r="AP54" s="321" t="str">
        <f aca="false">IF($A54="N/A"," ",RANK(X54,$R$52:$Z$63))</f>
        <v> </v>
      </c>
      <c r="AQ54" s="321" t="str">
        <f aca="false">IF($A54="N/A"," ",RANK(Y54,$R$52:$Z$63))</f>
        <v> </v>
      </c>
      <c r="AR54" s="345" t="str">
        <f aca="false">IF($A54="N/A"," ",RANK(Z54,$R$52:$Z$63))</f>
        <v> </v>
      </c>
      <c r="AS54" s="323" t="str">
        <f aca="false">IF($A54="N/A"," ",IF(AJ54&lt;=$AR$2,AA54,0))</f>
        <v> </v>
      </c>
      <c r="AT54" s="325" t="str">
        <f aca="false">IF($A54="N/A"," ",IF(AK54&lt;=$AR$2,AB54,0))</f>
        <v> </v>
      </c>
      <c r="AU54" s="325" t="str">
        <f aca="false">IF($A54="N/A"," ",IF(AL54&lt;=$AR$2,AC54,0))</f>
        <v> </v>
      </c>
      <c r="AV54" s="325" t="str">
        <f aca="false">IF($A54="N/A"," ",IF(AM54&lt;=$AR$2,AD54,0))</f>
        <v> </v>
      </c>
      <c r="AW54" s="325" t="str">
        <f aca="false">IF($A54="N/A"," ",IF(AN54&lt;=$AR$2,AE54,0))</f>
        <v> </v>
      </c>
      <c r="AX54" s="325" t="str">
        <f aca="false">IF($A54="N/A"," ",IF(AO54&lt;=$AR$2,AF54,0))</f>
        <v> </v>
      </c>
      <c r="AY54" s="325" t="str">
        <f aca="false">IF($A54="N/A"," ",IF(AP54&lt;=$AR$2,AG54,0))</f>
        <v> </v>
      </c>
      <c r="AZ54" s="325" t="str">
        <f aca="false">IF($A54="N/A"," ",IF(AQ54&lt;=$AR$2,AH54,0))</f>
        <v> </v>
      </c>
      <c r="BA54" s="325" t="str">
        <f aca="false">IF($A54="N/A"," ",IF(AR54&lt;=$AR$2,AI54,0))</f>
        <v> </v>
      </c>
      <c r="BB54" s="345"/>
      <c r="BC54" s="326" t="str">
        <f aca="false">IF($A54="N/A"," ",IF(AND(AJ54=$AR$2+1,AS54=0),MIN($BB$63,AA54),0))</f>
        <v> </v>
      </c>
      <c r="BD54" s="346" t="str">
        <f aca="false">IF($A54="N/A"," ",IF(AND(AK54=$AR$2+1,AT54=0),MIN($BB$63,AB54),0))</f>
        <v> </v>
      </c>
      <c r="BE54" s="346" t="str">
        <f aca="false">IF($A54="N/A"," ",IF(AND(AL54=$AR$2+1,AU54=0),MIN($BB$63,AC54),0))</f>
        <v> </v>
      </c>
      <c r="BF54" s="346" t="str">
        <f aca="false">IF($A54="N/A"," ",IF(AND(AM54=$AR$2+1,AV54=0),MIN($BB$63,AD54),0))</f>
        <v> </v>
      </c>
      <c r="BG54" s="346" t="str">
        <f aca="false">IF($A54="N/A"," ",IF(AND(AN54=$AR$2+1,AW54=0),MIN($BB$63,AE54),0))</f>
        <v> </v>
      </c>
      <c r="BH54" s="346" t="str">
        <f aca="false">IF($A54="N/A"," ",IF(AND(AO54=$AR$2+1,AX54=0),MIN($BB$63,AF54),0))</f>
        <v> </v>
      </c>
      <c r="BI54" s="346" t="str">
        <f aca="false">IF($A54="N/A"," ",IF(AND(AP54=$AR$2+1,AY54=0),MIN($BB$63,AG54),0))</f>
        <v> </v>
      </c>
      <c r="BJ54" s="346" t="str">
        <f aca="false">IF($A54="N/A"," ",IF(AND(AQ54=$AR$2+1,AZ54=0),MIN($BB$63,AH54),0))</f>
        <v> </v>
      </c>
      <c r="BK54" s="346" t="str">
        <f aca="false">IF($A54="N/A"," ",IF(AND(AR54=$AR$2+1,BA54=0),MIN($BB$63,AI54),0))</f>
        <v> </v>
      </c>
      <c r="BL54" s="345"/>
      <c r="BM54" s="329" t="str">
        <f aca="false">IF($A54="N/A"," ",(IF(MONTH(A54)&gt;=4,IF(MONTH(A54)&lt;=10,Inputs!$F$13-Inputs!$G$13,Inputs!$F$14-Inputs!$G$14),Inputs!$F$14-Inputs!$G$14))*$CK54*Availability)</f>
        <v> </v>
      </c>
      <c r="BN54" s="330" t="str">
        <f aca="false">IF($A54="N/A"," ",(IF(AS54&gt;0,($BM54*(8*($HD54))*R54),0)+IF(BC54&gt;0,($BM54*((BC54/AA54)*8*$HD54)*R54),0)))</f>
        <v> </v>
      </c>
      <c r="BO54" s="330" t="str">
        <f aca="false">IF($A54="N/A"," ",(IF(AT54&gt;0,($BM54*(8*($HD54))*S54),0)+IF(BD54&gt;0,($BM54*((BD54/AB54)*8*$HD54)*S54),0)))</f>
        <v> </v>
      </c>
      <c r="BP54" s="330" t="str">
        <f aca="false">IF($A54="N/A"," ",(IF(AU54&gt;0,($BM54*(8*($HD54))*T54),0)+IF(BE54&gt;0,($BM54*((BE54))*T54),0)))</f>
        <v> </v>
      </c>
      <c r="BQ54" s="330" t="str">
        <f aca="false">IF($A54="N/A"," ",(IF(AV54&gt;0,($BM54*(8*($HE54))*U54),0)+IF(BF54&gt;0,($BM54*((BF54/AD54)*8*$HE54)*U54),0)))</f>
        <v> </v>
      </c>
      <c r="BR54" s="330" t="str">
        <f aca="false">IF($A54="N/A"," ",(IF(AW54&gt;0,($BM54*(8*($HE54))*V54),0)+IF(BG54&gt;0,($BM54*((BG54/AE54)*8*$HE54)*V54),0)))</f>
        <v> </v>
      </c>
      <c r="BS54" s="330" t="str">
        <f aca="false">IF($A54="N/A"," ",(IF(AX54&gt;0,($BM54*(8*($HE54))*W54),0)+IF(BH54&gt;0,($BM54*((BH54))*W54),0)))</f>
        <v> </v>
      </c>
      <c r="BT54" s="330" t="str">
        <f aca="false">IF($A54="N/A"," ",(IF(AY54&gt;0,($BM54*(8*($HF54))*X54),0)+IF(BI54&gt;0,($BM54*((BI54/AG54)*8*$HF54)*X54),0)))</f>
        <v> </v>
      </c>
      <c r="BU54" s="330" t="str">
        <f aca="false">IF($A54="N/A"," ",(IF(AZ54&gt;0,($BM54*(8*($HF54))*Y54),0)+IF(BJ54&gt;0,($BM54*((BJ54/AH54)*8*$HF54)*Y54),0)))</f>
        <v> </v>
      </c>
      <c r="BV54" s="330" t="str">
        <f aca="false">IF($A54="N/A"," ",(IF(BA54&gt;0,($BM54*(8*($HF54))*Z54),0)+IF(BK54&gt;0,($BM54*((BK54))*Z54),0)))</f>
        <v> </v>
      </c>
      <c r="BW54" s="330" t="str">
        <f aca="false">IF($A54="N/A"," ",SUM(BN54:BV54))</f>
        <v> </v>
      </c>
      <c r="BX54" s="331" t="str">
        <f aca="false">IF($A54="N/A"," ",(H54*(SUM(AS54:BA54)+SUM(BC54:BK54))*BM54))</f>
        <v> </v>
      </c>
      <c r="BY54" s="332" t="str">
        <f aca="false">IF($A54="N/A"," ",((C54*D54)*(SUM($AS54:$BA54)+SUM($BC54:$BK54))*$BM54))</f>
        <v> </v>
      </c>
      <c r="BZ54" s="332" t="str">
        <f aca="false">IF($A54="N/A"," ",(F54*(SUM($AS54:$BA54)+SUM($BC54:$BK54))*$BM54))</f>
        <v> </v>
      </c>
      <c r="CA54" s="333" t="str">
        <f aca="false">IF($A54="N/A"," ",(G54*(SUM($AS54:$BA54)+SUM($BC54:$BK54))*$BM54))</f>
        <v> </v>
      </c>
      <c r="CB54" s="334" t="str">
        <f aca="false">IF(A54="N/A"," ",(VLOOKUP(A54,PowerVolTable,(IF(BMO=2,7,IF(BMO=1,6,8))),FALSE())))</f>
        <v> </v>
      </c>
      <c r="CC54" s="334" t="str">
        <f aca="false">IF(A54="N/A"," ",(VLOOKUP(A54,IntraPowerVol,(IF(BMO=2,3,IF(BMO=1,2,4))),FALSE())*VLOOKUP(MONTH($A54),Volscale,2)))</f>
        <v> </v>
      </c>
      <c r="CD54" s="335" t="str">
        <f aca="false">IF($A54="N/A"," ",(IF(DateToday&gt;$A54,$CC54,((($CB54^2)*((($A54-1)-DateToday)/((EOMONTH($A54,0)+1)-DateToday-15)))+((($CC54)^2)*((15)/((EOMONTH($A54,0)+1)-DateToday-15))))^0.5)))</f>
        <v> </v>
      </c>
      <c r="CE54" s="334" t="str">
        <f aca="false">IF($A54="N/A"," ",(VLOOKUP($A54,GasVolTable,(IF(BMO=2,6,IF(BMO=1,7,5))),FALSE())))</f>
        <v> </v>
      </c>
      <c r="CF54" s="334" t="str">
        <f aca="false">IF($A54="N/A"," ",(VLOOKUP($A54,OmicronVol,(IF(BMO=2,3,IF(BMO=1,4,2))),FALSE())))</f>
        <v> </v>
      </c>
      <c r="CG54" s="335" t="str">
        <f aca="false">IF($A54="N/A"," ",(IF(DateToday&gt;$A54,$CF54,((($CE54^2)*((($A54-1)-DateToday)/((EOMONTH($A54,0)+1)-DateToday-15)))+((($CF54)^2)*((15)/((EOMONTH($A54,0)+1)-DateToday-15))))^0.5)))</f>
        <v> </v>
      </c>
      <c r="CH54" s="334" t="str">
        <f aca="false">IF($A54="N/A"," ",VLOOKUP($A54,CorrelationTable,2,FALSE()))</f>
        <v> </v>
      </c>
      <c r="CI54" s="336" t="str">
        <f aca="false">IF($A54="N/A"," ",F54+G54+(D54*('Pricing Inputs'!T87)))</f>
        <v> </v>
      </c>
      <c r="CJ54" s="334" t="str">
        <f aca="false">IF($A54="N/A"," ",IF(PV=1,0,'Pricing Inputs'!U87))</f>
        <v> </v>
      </c>
      <c r="CK54" s="337" t="str">
        <f aca="false">IF($A54="N/A"," ",(1+CJ54/2)^(-2*((EOMONTH(A54,0)+20)-DateToday)/365.25))</f>
        <v> </v>
      </c>
      <c r="CL54" s="338" t="str">
        <f aca="false">IF(A54="N/A"," ",IF(CC=2,(VLOOKUP(MONTH($A54),Hrtable,3))/1000,0))</f>
        <v> </v>
      </c>
      <c r="CM54" s="339" t="str">
        <f aca="false">IF(A54="N/A"," ",IF(CC=2,(CL54*C54)+F54,0))</f>
        <v> </v>
      </c>
      <c r="CN54" s="340" t="str">
        <f aca="false">IF($A54="N/A"," ",IF(CC=2,(VLOOKUP(A54,ScaledPrice,(IF(AND(Dayrun&gt;=1,Dayrun&lt;=6),2,4)))-((IF(R54&lt;&gt;0,$D54,$CL54)*$C54)+$F54+$G54)),0))</f>
        <v> </v>
      </c>
      <c r="CO54" s="340" t="str">
        <f aca="false">IF($A54="N/A"," ",IF(CC=2,(IF(AND(Dayrun&gt;=1,Dayrun&lt;=6),I54,(VLOOKUP(A54,ScaledPrice,2))*(2-(VLOOKUP(A54,ScaledPrice,3))))-((IF(S54&lt;&gt;0,$D54,$CL54)*$C54)+$F54+$G54)),0))</f>
        <v> </v>
      </c>
      <c r="CP54" s="340" t="str">
        <f aca="false">IF(A54="N/A"," ",IF(CC=2,(VLOOKUP(A54,ScaledPrice,9)-((IF(T54&lt;&gt;0,$D54,$CL54)*$C54)+$F54+$G54)),0))</f>
        <v> </v>
      </c>
      <c r="CQ54" s="340" t="str">
        <f aca="false">IF(A54="N/A"," ",IF(CC=2,(IF(OR(Dayrun=2,Dayrun=3,Dayrun=5,Dayrun=6,Dayrun=8,Dayrun=9),VLOOKUP(A54,ScaledPrice,IF(AND(Dayrun&gt;=2,Dayrun&lt;=6),5,6)),0)-((IF(U54&lt;&gt;0,$D54,$CL54)*$C54)+$F54+$G54)),0))</f>
        <v> </v>
      </c>
      <c r="CR54" s="340" t="str">
        <f aca="false">IF(A54="N/A"," ",IF(CC=2,(IF(OR(Dayrun=2,Dayrun=3,Dayrun=5,Dayrun=6,Dayrun=8,Dayrun=9),IF(AND(Dayrun&gt;=2,Dayrun&lt;=6),L54,(VLOOKUP(A54,ScaledPrice,5))*(2-(VLOOKUP(A54,ScaledPrice,3)))),0)-((IF(V54&lt;&gt;0,$D54,$CL54)*$C54)+$F54+$G54)),0))</f>
        <v> </v>
      </c>
      <c r="CS54" s="340" t="str">
        <f aca="false">IF(A54="N/A"," ",IF(CC=2,(VLOOKUP(A54,ScaledPrice,9)-((IF(W54&lt;&gt;0,$D54,$CL54)*$C54)+$F54+$G54)),0))</f>
        <v> </v>
      </c>
      <c r="CT54" s="340" t="str">
        <f aca="false">IF(A54="N/A"," ",IF(CC=2,(IF(OR(Dayrun=3,Dayrun=6,Dayrun=9),(VLOOKUP(A54,ScaledPrice,IF(AND(Dayrun&gt;=3,Dayrun&lt;=6),7,8))),0)-((IF(X54&lt;&gt;0,$D54,$CL54)*$C54)+$F54+$G54)),0))</f>
        <v> </v>
      </c>
      <c r="CU54" s="340" t="str">
        <f aca="false">IF(A54="N/A"," ",IF(CC=2,(IF(OR(Dayrun=3,Dayrun=6,Dayrun=9),IF(AND(Dayrun&gt;=3,Dayrun&lt;=6),O54,(VLOOKUP(A54,ScaledPrice,7))*(2-(VLOOKUP(A54,ScaledPrice,3)))),0)-((IF(Y54&lt;&gt;0,$D54,$CL54)*$C54)+$F54+$G54)),0))</f>
        <v> </v>
      </c>
      <c r="CV54" s="340" t="str">
        <f aca="false">IF(A54="N/A"," ",IF(CC=2,(VLOOKUP(A54,ScaledPrice,9)-((IF(Z54&lt;&gt;0,$D54,$CL54)*$C54)+$F54+$G54)),0))</f>
        <v> </v>
      </c>
      <c r="CW54" s="318" t="str">
        <f aca="false">IF($A54="N/A"," ",IF(0&lt;&gt;CN54,IF(CC=2,8*$HD54,0),0))</f>
        <v> </v>
      </c>
      <c r="CX54" s="318" t="str">
        <f aca="false">IF($A54="N/A"," ",IF(0&lt;&gt;CO54,IF(CC=2,8*$HD54,0),0))</f>
        <v> </v>
      </c>
      <c r="CY54" s="318" t="str">
        <f aca="false">IF($A54="N/A"," ",IF(0&lt;&gt;CP54,IF(CC=2,8*$HD54,0),0))</f>
        <v> </v>
      </c>
      <c r="CZ54" s="318" t="str">
        <f aca="false">IF($A54="N/A"," ",IF(0&lt;&gt;CQ54,IF(CC=2,8*$HE54,0),0))</f>
        <v> </v>
      </c>
      <c r="DA54" s="318" t="str">
        <f aca="false">IF($A54="N/A"," ",IF(0&lt;&gt;CR54,IF(CC=2,8*$HE54,0),0))</f>
        <v> </v>
      </c>
      <c r="DB54" s="318" t="str">
        <f aca="false">IF($A54="N/A"," ",IF(0&lt;&gt;CS54,IF(CC=2,8*$HE54,0),0))</f>
        <v> </v>
      </c>
      <c r="DC54" s="318" t="str">
        <f aca="false">IF($A54="N/A"," ",IF(0&lt;&gt;CT54,IF(CC=2,8*$HF54,0),0))</f>
        <v> </v>
      </c>
      <c r="DD54" s="318" t="str">
        <f aca="false">IF($A54="N/A"," ",IF(0&lt;&gt;CU54,IF(CC=2,8*$HF54,0),0))</f>
        <v> </v>
      </c>
      <c r="DE54" s="318" t="str">
        <f aca="false">IF($A54="N/A"," ",IF(0&lt;&gt;CV54,IF(CC=2,8*$HF54,0),0))</f>
        <v> </v>
      </c>
      <c r="DF54" s="341" t="str">
        <f aca="false">IF($A54="N/A"," ",IF(CC=2,(IF(MONTH(A54)&gt;=4,IF(MONTH(A54)&lt;=10,Inputs!$G$13,Inputs!$G$14),Inputs!$G$14))*$CK54,0))</f>
        <v> </v>
      </c>
      <c r="DG54" s="342" t="str">
        <f aca="false">IF($A54="N/A"," ",IF(CC=2,$DF54*CW54*CN54,0))</f>
        <v> </v>
      </c>
      <c r="DH54" s="342" t="str">
        <f aca="false">IF($A54="N/A"," ",IF(CC=2,$DF54*CX54*CO54,0))</f>
        <v> </v>
      </c>
      <c r="DI54" s="342" t="str">
        <f aca="false">IF($A54="N/A"," ",IF(CC=2,$DF54*CY54*CP54,0))</f>
        <v> </v>
      </c>
      <c r="DJ54" s="342" t="str">
        <f aca="false">IF($A54="N/A"," ",IF(CC=2,$DF54*CZ54*CQ54,0))</f>
        <v> </v>
      </c>
      <c r="DK54" s="342" t="str">
        <f aca="false">IF($A54="N/A"," ",IF(CC=2,$DF54*DA54*CR54,0))</f>
        <v> </v>
      </c>
      <c r="DL54" s="342" t="str">
        <f aca="false">IF($A54="N/A"," ",IF(CC=2,$DF54*DB54*CS54,0))</f>
        <v> </v>
      </c>
      <c r="DM54" s="342" t="str">
        <f aca="false">IF($A54="N/A"," ",IF(CC=2,$DF54*DC54*CT54,0))</f>
        <v> </v>
      </c>
      <c r="DN54" s="342" t="str">
        <f aca="false">IF($A54="N/A"," ",IF(CC=2,$DF54*DD54*CU54,0))</f>
        <v> </v>
      </c>
      <c r="DO54" s="342" t="str">
        <f aca="false">IF($A54="N/A"," ",IF(CC=2,$DF54*DE54*CV54,0))</f>
        <v> </v>
      </c>
      <c r="DP54" s="343" t="str">
        <f aca="false">IF($A54="N/A"," ",IF(CC=2,SUM(DG54:DO54),0))</f>
        <v> </v>
      </c>
      <c r="DQ54" s="0" t="str">
        <f aca="false">IF(A54="N/A"," ",Perstart)</f>
        <v> </v>
      </c>
      <c r="HD54" s="0" t="str">
        <f aca="false">IF($A54="N/A"," ",VLOOKUP($A54,NumberofDaysTable,2))</f>
        <v> </v>
      </c>
      <c r="HE54" s="0" t="str">
        <f aca="false">IF($A54="N/A"," ",VLOOKUP($A54,NumberofDaysTable,3))</f>
        <v> </v>
      </c>
      <c r="HF54" s="0" t="str">
        <f aca="false">IF($A54="N/A"," ",VLOOKUP($A54,NumberofDaysTable,4))</f>
        <v> </v>
      </c>
    </row>
    <row r="55" customFormat="false" ht="12.75" hidden="false" customHeight="false" outlineLevel="0" collapsed="false">
      <c r="A55" s="308" t="str">
        <f aca="false">IF(A54="N/A","N/A",IF(EDATE(A54,1)&gt;Inputs!$K$3,"N/A",EDATE(A54,1)))</f>
        <v>N/A</v>
      </c>
      <c r="B55" s="309" t="str">
        <f aca="false">IF(A55="N/A"," ",YEAR(A55))</f>
        <v> </v>
      </c>
      <c r="C55" s="310" t="str">
        <f aca="false">IF(A55="N/A"," ",VLOOKUP(A55,ScaledPrice,10))</f>
        <v> </v>
      </c>
      <c r="D55" s="311" t="str">
        <f aca="false">IF(A55="N/A"," ",(VLOOKUP(MONTH($A55),Hrtable,2))/1000)</f>
        <v> </v>
      </c>
      <c r="E55" s="312" t="str">
        <f aca="false">IF($A55="N/A"," ",(C55-'Pricing Inputs'!T88)*D55)</f>
        <v> </v>
      </c>
      <c r="F55" s="313" t="str">
        <f aca="false">IF(A55="N/A"," ",$F43*(1+VOMesc))</f>
        <v> </v>
      </c>
      <c r="G55" s="313" t="str">
        <f aca="false">IF(A55="N/A"," ",Perstart/IF(AND(Dayrun&gt;=4,Dayrun&lt;=6),16,IF(AND(Dayrun&gt;=7,Dayrun&lt;=9),8,24))/(BM55/CK55))</f>
        <v> </v>
      </c>
      <c r="H55" s="314" t="str">
        <f aca="false">IF(A55="N/A"," ",(C55*D55)+F55+G55)</f>
        <v> </v>
      </c>
      <c r="I55" s="315" t="str">
        <f aca="false">VLOOKUP(A55,ScaledPrice,(IF(AND(Dayrun&gt;=1,Dayrun&lt;=6),2,4)))</f>
        <v> </v>
      </c>
      <c r="J55" s="315" t="str">
        <f aca="false">IF(A55="N/A"," ",IF(AND(Dayrun&gt;=1,Dayrun&lt;=6),I55,(VLOOKUP(A55,ScaledPrice,2))*(2-(VLOOKUP(A55,ScaledPrice,3)))))</f>
        <v> </v>
      </c>
      <c r="K55" s="315" t="str">
        <f aca="false">IF(A55="N/A"," ",IF(AND(Dayrun&gt;=1,Dayrun&lt;=3),VLOOKUP(A55,ScaledPrice,9),0))</f>
        <v> </v>
      </c>
      <c r="L55" s="315" t="str">
        <f aca="false">IF(A55="N/A"," ",IF(OR(Dayrun=2,Dayrun=3,Dayrun=5,Dayrun=6,Dayrun=8,Dayrun=9),VLOOKUP(A55,ScaledPrice,IF(AND(Dayrun&gt;=2,Dayrun&lt;=6),5,6)),0))</f>
        <v> </v>
      </c>
      <c r="M55" s="315" t="str">
        <f aca="false">IF(A55="N/A"," ",IF(OR(Dayrun=2,Dayrun=3,Dayrun=5,Dayrun=6,Dayrun=8,Dayrun=9),IF(AND(Dayrun&gt;=2,Dayrun&lt;=6),L55,(VLOOKUP(A55,ScaledPrice,5))*(2-(VLOOKUP(A55,ScaledPrice,3)))),0))</f>
        <v> </v>
      </c>
      <c r="N55" s="315" t="str">
        <f aca="false">IF(A55="N/A"," ",IF(AND(Dayrun&gt;1,Dayrun&lt;=3),VLOOKUP(A55,ScaledPrice,9),0))</f>
        <v> </v>
      </c>
      <c r="O55" s="315" t="str">
        <f aca="false">IF(A55="N/A"," ",IF(OR(Dayrun=3,Dayrun=6,Dayrun=9),(VLOOKUP(A55,ScaledPrice,IF(AND(Dayrun&gt;=3,Dayrun&lt;=6),7,8))),0))</f>
        <v> </v>
      </c>
      <c r="P55" s="315" t="str">
        <f aca="false">IF(A55="N/A"," ",IF(OR(Dayrun=3,Dayrun=6,Dayrun=9),IF(AND(Dayrun&gt;=3,Dayrun&lt;=6),O55,(VLOOKUP(A55,ScaledPrice,7))*(2-(VLOOKUP(A55,ScaledPrice,3)))),0))</f>
        <v> </v>
      </c>
      <c r="Q55" s="315" t="str">
        <f aca="false">IF(A55="N/A"," ",IF(AND(Dayrun&gt;2,Dayrun&lt;=3),VLOOKUP(A55,ScaledPrice,9),0))</f>
        <v> </v>
      </c>
      <c r="R55" s="316" t="str">
        <f aca="false">IF($A55="N/A"," ",IF(Pricetype=2,MAX(I55-$H55,0),IF(Pricetype=1,(xSPRDOPT(I55,$E55,$CI55,0,($CD55+IF(Smile=TRUE(),VLOOKUP(MAX(-5,$H55-I55),Volsmile,2),0)),$CG55,$CH55,($A55-DateToday)+15,1,0)),I55-$H55)))</f>
        <v> </v>
      </c>
      <c r="S55" s="316" t="str">
        <f aca="false">IF($A55="N/A"," ",IF(Pricetype=2,MAX(J55-$H55,0),IF(Pricetype=1,(xSPRDOPT(J55,$E55,$CI55,0,($CD55+IF(Smile=TRUE(),VLOOKUP(MAX(-5,$H55-J55),Volsmile,2),0)),$CG55,$CH55,($A55-DateToday)+15,1,0)),J55-$H55)))</f>
        <v> </v>
      </c>
      <c r="T55" s="317" t="str">
        <f aca="false">IF($A55="N/A"," ",(IF(Pricetype=2,IF((K55-$H55)&lt;=0,0,(K55-$H55)),IF(K55&lt;&gt;0,(K55-$H55),0))))</f>
        <v> </v>
      </c>
      <c r="U55" s="316" t="str">
        <f aca="false">IF($A55="N/A"," ",IF(Pricetype=2,MAX(L55-$H55,0),IF(L55&lt;&gt;0,IF(Pricetype=1,(xSPRDOPT(L55,$E55,$CI55,0,($CD55+IF(Smile=TRUE(),VLOOKUP(MAX(-5,$H55-L55),Volsmile,2),0)),$CG55,$CH55,($A55-DateToday)+15,1,0)),L55-$H55),0)))</f>
        <v> </v>
      </c>
      <c r="V55" s="316" t="str">
        <f aca="false">IF($A55="N/A"," ",IF(Pricetype=2,MAX(M55-$H55,0),IF(M55&lt;&gt;0,IF(Pricetype=1,(xSPRDOPT(M55,$E55,$CI55,0,($CD55+IF(Smile=TRUE(),VLOOKUP(MAX(-5,$H55-M55),Volsmile,2),0)),$CG55,$CH55,($A55-DateToday)+15,1,0)),M55-$H55),0)))</f>
        <v> </v>
      </c>
      <c r="W55" s="317" t="str">
        <f aca="false">IF($A55="N/A"," ",(IF(Pricetype=2,IF((N55-$H55)&lt;=0,0,(N55-$H55)),IF(N55&lt;&gt;0,(N55-$H55),0))))</f>
        <v> </v>
      </c>
      <c r="X55" s="316" t="str">
        <f aca="false">IF($A55="N/A"," ",IF(Pricetype=2,MAX(O55-$H55,0),IF(O55&lt;&gt;0,IF(Pricetype=1,(xSPRDOPT(O55,$E55,$CI55,0,($CD55+IF(Smile=TRUE(),VLOOKUP(MAX(-5,$H55-O55),Volsmile,2),0)),$CG55,$CH55,($A55-DateToday)+15,1,0)),O55-$H55),0)))</f>
        <v> </v>
      </c>
      <c r="Y55" s="316" t="str">
        <f aca="false">IF($A55="N/A"," ",IF(Pricetype=2,MAX(P55-$H55,0),IF(P55&lt;&gt;0,IF(Pricetype=1,(xSPRDOPT(P55,$E55,$CI55,0,($CD55+IF(Smile=TRUE(),VLOOKUP(MAX(-5,$H55-P55),Volsmile,2),0)),$CG55,$CH55,($A55-DateToday)+15,1,0)),P55-$H55),0)))</f>
        <v> </v>
      </c>
      <c r="Z55" s="317" t="str">
        <f aca="false">IF($A55="N/A"," ",(IF(Pricetype=2,IF((Q55-$H55)&lt;=0,0,(Q55-$H55)),IF(Q55&lt;&gt;0,(Q55-$H55),0))))</f>
        <v> </v>
      </c>
      <c r="AA55" s="318" t="str">
        <f aca="false">IF($A55="N/A"," ",IF(VLOOKUP(MONTH(A55),ManualTable,2)=1,(IF(0&lt;&gt;R55,IF(Pricetype=1,(xSPRDOPT(I55,$E55,$CI55,0,($CD55+IF(Smile=TRUE(),VLOOKUP(MAX(-5,$H55-I55),Volsmile,2),0)),$CG55,$CH55,($A55-DateToday)+15,1,1))*(8*$HD55),8*$HD55),0)),0))</f>
        <v> </v>
      </c>
      <c r="AB55" s="318" t="str">
        <f aca="false">IF($A55="N/A"," ",IF(VLOOKUP(MONTH(A55),ManualTable,3)=1,(IF(S55&lt;&gt;0,IF(Pricetype=1,(xSPRDOPT(J55,$E55,$CI55,0,($CD55+IF(Smile=TRUE(),VLOOKUP(MAX(-5,$H55-J55),Volsmile,2),0)),$CG55,$CH55,($A55-DateToday)+15,1,1))*(8*$HD55),8*$HD55),0)),0))</f>
        <v> </v>
      </c>
      <c r="AC55" s="318" t="str">
        <f aca="false">IF($A55="N/A"," ",IF(VLOOKUP(MONTH(A55),ManualTable,4)=1,(IF(T55&lt;&gt;0,(8*$HD55),0)),0))</f>
        <v> </v>
      </c>
      <c r="AD55" s="318" t="str">
        <f aca="false">IF($A55="N/A"," ",IF(VLOOKUP(MONTH(A55),ManualTable,5)=1,(IF(U55&lt;&gt;0,IF(Pricetype=1,(xSPRDOPT(L55,$E55,$CI55,0,($CD55+IF(Smile=TRUE(),VLOOKUP(MAX(-5,$H55-L55),Volsmile,2),0)),$CG55,$CH55,($A55-DateToday)+15,1,1))*(8*$HE55),8*$HE55),0)),0))</f>
        <v> </v>
      </c>
      <c r="AE55" s="318" t="str">
        <f aca="false">IF($A55="N/A"," ",IF(VLOOKUP(MONTH(A55),ManualTable,6)=1,(IF(V55&lt;&gt;0,IF(Pricetype=1,(xSPRDOPT(M55,$E55,$CI55,0,($CD55+IF(Smile=TRUE(),VLOOKUP(MAX(-5,$H55-M55),Volsmile,2),0)),$CG55,$CH55,($A55-DateToday)+15,1,1))*(8*$HE55),8*$HE55),0)),0))</f>
        <v> </v>
      </c>
      <c r="AF55" s="318" t="str">
        <f aca="false">IF($A55="N/A"," ",IF(VLOOKUP(MONTH(A55),ManualTable,7)=1,(IF(W55&lt;&gt;0,(8*$HE55),0)),0))</f>
        <v> </v>
      </c>
      <c r="AG55" s="318" t="str">
        <f aca="false">IF($A55="N/A"," ",IF(VLOOKUP(MONTH(A55),ManualTable,8)=1,(IF(X55&lt;&gt;0,IF(Pricetype=1,(xSPRDOPT(O55,$E55,$CI55,0,($CD55+IF(Smile=TRUE(),VLOOKUP(MAX(-5,$H55-O55),Volsmile,2),0)),$CG55,$CH55,($A55-DateToday)+15,1,1))*(8*$HF55),8*$HF55),0)),0))</f>
        <v> </v>
      </c>
      <c r="AH55" s="318" t="str">
        <f aca="false">IF($A55="N/A"," ",IF(VLOOKUP(MONTH(A55),ManualTable,9)=1,(IF(Y55&lt;&gt;0,IF(Pricetype=1,(xSPRDOPT(P55,$E55,$CI55,0,($CD55+IF(Smile=TRUE(),VLOOKUP(MAX(-5,$H55-P55),Volsmile,2),0)),$CG55,$CH55,($A55-DateToday)+15,1,1))*(8*$HF55),8*$HF55),0)),0))</f>
        <v> </v>
      </c>
      <c r="AI55" s="318" t="str">
        <f aca="false">IF($A55="N/A"," ",IF(VLOOKUP(MONTH(A55),ManualTable,10)=1,(IF(Z55&lt;&gt;0,(8*($HF55)),0)),0))</f>
        <v> </v>
      </c>
      <c r="AJ55" s="344" t="str">
        <f aca="false">IF($A55="N/A"," ",RANK(R55,$R$52:$Z$63))</f>
        <v> </v>
      </c>
      <c r="AK55" s="321" t="str">
        <f aca="false">IF($A55="N/A"," ",RANK(S55,$R$52:$Z$63))</f>
        <v> </v>
      </c>
      <c r="AL55" s="321" t="str">
        <f aca="false">IF($A55="N/A"," ",RANK(T55,$R$52:$Z$63))</f>
        <v> </v>
      </c>
      <c r="AM55" s="321" t="str">
        <f aca="false">IF($A55="N/A"," ",RANK(U55,$R$52:$Z$63))</f>
        <v> </v>
      </c>
      <c r="AN55" s="321" t="str">
        <f aca="false">IF($A55="N/A"," ",RANK(V55,$R$52:$Z$63))</f>
        <v> </v>
      </c>
      <c r="AO55" s="321" t="str">
        <f aca="false">IF($A55="N/A"," ",RANK(W55,$R$52:$Z$63))</f>
        <v> </v>
      </c>
      <c r="AP55" s="321" t="str">
        <f aca="false">IF($A55="N/A"," ",RANK(X55,$R$52:$Z$63))</f>
        <v> </v>
      </c>
      <c r="AQ55" s="321" t="str">
        <f aca="false">IF($A55="N/A"," ",RANK(Y55,$R$52:$Z$63))</f>
        <v> </v>
      </c>
      <c r="AR55" s="345" t="str">
        <f aca="false">IF($A55="N/A"," ",RANK(Z55,$R$52:$Z$63))</f>
        <v> </v>
      </c>
      <c r="AS55" s="323" t="str">
        <f aca="false">IF($A55="N/A"," ",IF(AJ55&lt;=$AR$2,AA55,0))</f>
        <v> </v>
      </c>
      <c r="AT55" s="325" t="str">
        <f aca="false">IF($A55="N/A"," ",IF(AK55&lt;=$AR$2,AB55,0))</f>
        <v> </v>
      </c>
      <c r="AU55" s="325" t="str">
        <f aca="false">IF($A55="N/A"," ",IF(AL55&lt;=$AR$2,AC55,0))</f>
        <v> </v>
      </c>
      <c r="AV55" s="325" t="str">
        <f aca="false">IF($A55="N/A"," ",IF(AM55&lt;=$AR$2,AD55,0))</f>
        <v> </v>
      </c>
      <c r="AW55" s="325" t="str">
        <f aca="false">IF($A55="N/A"," ",IF(AN55&lt;=$AR$2,AE55,0))</f>
        <v> </v>
      </c>
      <c r="AX55" s="325" t="str">
        <f aca="false">IF($A55="N/A"," ",IF(AO55&lt;=$AR$2,AF55,0))</f>
        <v> </v>
      </c>
      <c r="AY55" s="325" t="str">
        <f aca="false">IF($A55="N/A"," ",IF(AP55&lt;=$AR$2,AG55,0))</f>
        <v> </v>
      </c>
      <c r="AZ55" s="325" t="str">
        <f aca="false">IF($A55="N/A"," ",IF(AQ55&lt;=$AR$2,AH55,0))</f>
        <v> </v>
      </c>
      <c r="BA55" s="325" t="str">
        <f aca="false">IF($A55="N/A"," ",IF(AR55&lt;=$AR$2,AI55,0))</f>
        <v> </v>
      </c>
      <c r="BB55" s="345"/>
      <c r="BC55" s="326" t="str">
        <f aca="false">IF($A55="N/A"," ",IF(AND(AJ55=$AR$2+1,AS55=0),MIN($BB$63,AA55),0))</f>
        <v> </v>
      </c>
      <c r="BD55" s="346" t="str">
        <f aca="false">IF($A55="N/A"," ",IF(AND(AK55=$AR$2+1,AT55=0),MIN($BB$63,AB55),0))</f>
        <v> </v>
      </c>
      <c r="BE55" s="346" t="str">
        <f aca="false">IF($A55="N/A"," ",IF(AND(AL55=$AR$2+1,AU55=0),MIN($BB$63,AC55),0))</f>
        <v> </v>
      </c>
      <c r="BF55" s="346" t="str">
        <f aca="false">IF($A55="N/A"," ",IF(AND(AM55=$AR$2+1,AV55=0),MIN($BB$63,AD55),0))</f>
        <v> </v>
      </c>
      <c r="BG55" s="346" t="str">
        <f aca="false">IF($A55="N/A"," ",IF(AND(AN55=$AR$2+1,AW55=0),MIN($BB$63,AE55),0))</f>
        <v> </v>
      </c>
      <c r="BH55" s="346" t="str">
        <f aca="false">IF($A55="N/A"," ",IF(AND(AO55=$AR$2+1,AX55=0),MIN($BB$63,AF55),0))</f>
        <v> </v>
      </c>
      <c r="BI55" s="346" t="str">
        <f aca="false">IF($A55="N/A"," ",IF(AND(AP55=$AR$2+1,AY55=0),MIN($BB$63,AG55),0))</f>
        <v> </v>
      </c>
      <c r="BJ55" s="346" t="str">
        <f aca="false">IF($A55="N/A"," ",IF(AND(AQ55=$AR$2+1,AZ55=0),MIN($BB$63,AH55),0))</f>
        <v> </v>
      </c>
      <c r="BK55" s="346" t="str">
        <f aca="false">IF($A55="N/A"," ",IF(AND(AR55=$AR$2+1,BA55=0),MIN($BB$63,AI55),0))</f>
        <v> </v>
      </c>
      <c r="BL55" s="345"/>
      <c r="BM55" s="329" t="str">
        <f aca="false">IF($A55="N/A"," ",(IF(MONTH(A55)&gt;=4,IF(MONTH(A55)&lt;=10,Inputs!$F$13-Inputs!$G$13,Inputs!$F$14-Inputs!$G$14),Inputs!$F$14-Inputs!$G$14))*$CK55*Availability)</f>
        <v> </v>
      </c>
      <c r="BN55" s="330" t="str">
        <f aca="false">IF($A55="N/A"," ",(IF(AS55&gt;0,($BM55*(8*($HD55))*R55),0)+IF(BC55&gt;0,($BM55*((BC55/AA55)*8*$HD55)*R55),0)))</f>
        <v> </v>
      </c>
      <c r="BO55" s="330" t="str">
        <f aca="false">IF($A55="N/A"," ",(IF(AT55&gt;0,($BM55*(8*($HD55))*S55),0)+IF(BD55&gt;0,($BM55*((BD55/AB55)*8*$HD55)*S55),0)))</f>
        <v> </v>
      </c>
      <c r="BP55" s="330" t="str">
        <f aca="false">IF($A55="N/A"," ",(IF(AU55&gt;0,($BM55*(8*($HD55))*T55),0)+IF(BE55&gt;0,($BM55*((BE55))*T55),0)))</f>
        <v> </v>
      </c>
      <c r="BQ55" s="330" t="str">
        <f aca="false">IF($A55="N/A"," ",(IF(AV55&gt;0,($BM55*(8*($HE55))*U55),0)+IF(BF55&gt;0,($BM55*((BF55/AD55)*8*$HE55)*U55),0)))</f>
        <v> </v>
      </c>
      <c r="BR55" s="330" t="str">
        <f aca="false">IF($A55="N/A"," ",(IF(AW55&gt;0,($BM55*(8*($HE55))*V55),0)+IF(BG55&gt;0,($BM55*((BG55/AE55)*8*$HE55)*V55),0)))</f>
        <v> </v>
      </c>
      <c r="BS55" s="330" t="str">
        <f aca="false">IF($A55="N/A"," ",(IF(AX55&gt;0,($BM55*(8*($HE55))*W55),0)+IF(BH55&gt;0,($BM55*((BH55))*W55),0)))</f>
        <v> </v>
      </c>
      <c r="BT55" s="330" t="str">
        <f aca="false">IF($A55="N/A"," ",(IF(AY55&gt;0,($BM55*(8*($HF55))*X55),0)+IF(BI55&gt;0,($BM55*((BI55/AG55)*8*$HF55)*X55),0)))</f>
        <v> </v>
      </c>
      <c r="BU55" s="330" t="str">
        <f aca="false">IF($A55="N/A"," ",(IF(AZ55&gt;0,($BM55*(8*($HF55))*Y55),0)+IF(BJ55&gt;0,($BM55*((BJ55/AH55)*8*$HF55)*Y55),0)))</f>
        <v> </v>
      </c>
      <c r="BV55" s="330" t="str">
        <f aca="false">IF($A55="N/A"," ",(IF(BA55&gt;0,($BM55*(8*($HF55))*Z55),0)+IF(BK55&gt;0,($BM55*((BK55))*Z55),0)))</f>
        <v> </v>
      </c>
      <c r="BW55" s="330" t="str">
        <f aca="false">IF($A55="N/A"," ",SUM(BN55:BV55))</f>
        <v> </v>
      </c>
      <c r="BX55" s="331" t="str">
        <f aca="false">IF($A55="N/A"," ",(H55*(SUM(AS55:BA55)+SUM(BC55:BK55))*BM55))</f>
        <v> </v>
      </c>
      <c r="BY55" s="332" t="str">
        <f aca="false">IF($A55="N/A"," ",((C55*D55)*(SUM($AS55:$BA55)+SUM($BC55:$BK55))*$BM55))</f>
        <v> </v>
      </c>
      <c r="BZ55" s="332" t="str">
        <f aca="false">IF($A55="N/A"," ",(F55*(SUM($AS55:$BA55)+SUM($BC55:$BK55))*$BM55))</f>
        <v> </v>
      </c>
      <c r="CA55" s="333" t="str">
        <f aca="false">IF($A55="N/A"," ",(G55*(SUM($AS55:$BA55)+SUM($BC55:$BK55))*$BM55))</f>
        <v> </v>
      </c>
      <c r="CB55" s="334" t="str">
        <f aca="false">IF(A55="N/A"," ",(VLOOKUP(A55,PowerVolTable,(IF(BMO=2,7,IF(BMO=1,6,8))),FALSE())))</f>
        <v> </v>
      </c>
      <c r="CC55" s="334" t="str">
        <f aca="false">IF(A55="N/A"," ",(VLOOKUP(A55,IntraPowerVol,(IF(BMO=2,3,IF(BMO=1,2,4))),FALSE())*VLOOKUP(MONTH($A55),Volscale,2)))</f>
        <v> </v>
      </c>
      <c r="CD55" s="335" t="str">
        <f aca="false">IF($A55="N/A"," ",(IF(DateToday&gt;$A55,$CC55,((($CB55^2)*((($A55-1)-DateToday)/((EOMONTH($A55,0)+1)-DateToday-15)))+((($CC55)^2)*((15)/((EOMONTH($A55,0)+1)-DateToday-15))))^0.5)))</f>
        <v> </v>
      </c>
      <c r="CE55" s="334" t="str">
        <f aca="false">IF($A55="N/A"," ",(VLOOKUP($A55,GasVolTable,(IF(BMO=2,6,IF(BMO=1,7,5))),FALSE())))</f>
        <v> </v>
      </c>
      <c r="CF55" s="334" t="str">
        <f aca="false">IF($A55="N/A"," ",(VLOOKUP($A55,OmicronVol,(IF(BMO=2,3,IF(BMO=1,4,2))),FALSE())))</f>
        <v> </v>
      </c>
      <c r="CG55" s="335" t="str">
        <f aca="false">IF($A55="N/A"," ",(IF(DateToday&gt;$A55,$CF55,((($CE55^2)*((($A55-1)-DateToday)/((EOMONTH($A55,0)+1)-DateToday-15)))+((($CF55)^2)*((15)/((EOMONTH($A55,0)+1)-DateToday-15))))^0.5)))</f>
        <v> </v>
      </c>
      <c r="CH55" s="334" t="str">
        <f aca="false">IF($A55="N/A"," ",VLOOKUP($A55,CorrelationTable,2,FALSE()))</f>
        <v> </v>
      </c>
      <c r="CI55" s="336" t="str">
        <f aca="false">IF($A55="N/A"," ",F55+G55+(D55*('Pricing Inputs'!T88)))</f>
        <v> </v>
      </c>
      <c r="CJ55" s="334" t="str">
        <f aca="false">IF($A55="N/A"," ",IF(PV=1,0,'Pricing Inputs'!U88))</f>
        <v> </v>
      </c>
      <c r="CK55" s="337" t="str">
        <f aca="false">IF($A55="N/A"," ",(1+CJ55/2)^(-2*((EOMONTH(A55,0)+20)-DateToday)/365.25))</f>
        <v> </v>
      </c>
      <c r="CL55" s="338" t="str">
        <f aca="false">IF(A55="N/A"," ",IF(CC=2,(VLOOKUP(MONTH($A55),Hrtable,3))/1000,0))</f>
        <v> </v>
      </c>
      <c r="CM55" s="339" t="str">
        <f aca="false">IF(A55="N/A"," ",IF(CC=2,(CL55*C55)+F55,0))</f>
        <v> </v>
      </c>
      <c r="CN55" s="340" t="str">
        <f aca="false">IF($A55="N/A"," ",IF(CC=2,(VLOOKUP(A55,ScaledPrice,(IF(AND(Dayrun&gt;=1,Dayrun&lt;=6),2,4)))-((IF(R55&lt;&gt;0,$D55,$CL55)*$C55)+$F55+$G55)),0))</f>
        <v> </v>
      </c>
      <c r="CO55" s="340" t="str">
        <f aca="false">IF($A55="N/A"," ",IF(CC=2,(IF(AND(Dayrun&gt;=1,Dayrun&lt;=6),I55,(VLOOKUP(A55,ScaledPrice,2))*(2-(VLOOKUP(A55,ScaledPrice,3))))-((IF(S55&lt;&gt;0,$D55,$CL55)*$C55)+$F55+$G55)),0))</f>
        <v> </v>
      </c>
      <c r="CP55" s="340" t="str">
        <f aca="false">IF(A55="N/A"," ",IF(CC=2,(VLOOKUP(A55,ScaledPrice,9)-((IF(T55&lt;&gt;0,$D55,$CL55)*$C55)+$F55+$G55)),0))</f>
        <v> </v>
      </c>
      <c r="CQ55" s="340" t="str">
        <f aca="false">IF(A55="N/A"," ",IF(CC=2,(IF(OR(Dayrun=2,Dayrun=3,Dayrun=5,Dayrun=6,Dayrun=8,Dayrun=9),VLOOKUP(A55,ScaledPrice,IF(AND(Dayrun&gt;=2,Dayrun&lt;=6),5,6)),0)-((IF(U55&lt;&gt;0,$D55,$CL55)*$C55)+$F55+$G55)),0))</f>
        <v> </v>
      </c>
      <c r="CR55" s="340" t="str">
        <f aca="false">IF(A55="N/A"," ",IF(CC=2,(IF(OR(Dayrun=2,Dayrun=3,Dayrun=5,Dayrun=6,Dayrun=8,Dayrun=9),IF(AND(Dayrun&gt;=2,Dayrun&lt;=6),L55,(VLOOKUP(A55,ScaledPrice,5))*(2-(VLOOKUP(A55,ScaledPrice,3)))),0)-((IF(V55&lt;&gt;0,$D55,$CL55)*$C55)+$F55+$G55)),0))</f>
        <v> </v>
      </c>
      <c r="CS55" s="340" t="str">
        <f aca="false">IF(A55="N/A"," ",IF(CC=2,(VLOOKUP(A55,ScaledPrice,9)-((IF(W55&lt;&gt;0,$D55,$CL55)*$C55)+$F55+$G55)),0))</f>
        <v> </v>
      </c>
      <c r="CT55" s="340" t="str">
        <f aca="false">IF(A55="N/A"," ",IF(CC=2,(IF(OR(Dayrun=3,Dayrun=6,Dayrun=9),(VLOOKUP(A55,ScaledPrice,IF(AND(Dayrun&gt;=3,Dayrun&lt;=6),7,8))),0)-((IF(X55&lt;&gt;0,$D55,$CL55)*$C55)+$F55+$G55)),0))</f>
        <v> </v>
      </c>
      <c r="CU55" s="340" t="str">
        <f aca="false">IF(A55="N/A"," ",IF(CC=2,(IF(OR(Dayrun=3,Dayrun=6,Dayrun=9),IF(AND(Dayrun&gt;=3,Dayrun&lt;=6),O55,(VLOOKUP(A55,ScaledPrice,7))*(2-(VLOOKUP(A55,ScaledPrice,3)))),0)-((IF(Y55&lt;&gt;0,$D55,$CL55)*$C55)+$F55+$G55)),0))</f>
        <v> </v>
      </c>
      <c r="CV55" s="340" t="str">
        <f aca="false">IF(A55="N/A"," ",IF(CC=2,(VLOOKUP(A55,ScaledPrice,9)-((IF(Z55&lt;&gt;0,$D55,$CL55)*$C55)+$F55+$G55)),0))</f>
        <v> </v>
      </c>
      <c r="CW55" s="318" t="str">
        <f aca="false">IF($A55="N/A"," ",IF(0&lt;&gt;CN55,IF(CC=2,8*$HD55,0),0))</f>
        <v> </v>
      </c>
      <c r="CX55" s="318" t="str">
        <f aca="false">IF($A55="N/A"," ",IF(0&lt;&gt;CO55,IF(CC=2,8*$HD55,0),0))</f>
        <v> </v>
      </c>
      <c r="CY55" s="318" t="str">
        <f aca="false">IF($A55="N/A"," ",IF(0&lt;&gt;CP55,IF(CC=2,8*$HD55,0),0))</f>
        <v> </v>
      </c>
      <c r="CZ55" s="318" t="str">
        <f aca="false">IF($A55="N/A"," ",IF(0&lt;&gt;CQ55,IF(CC=2,8*$HE55,0),0))</f>
        <v> </v>
      </c>
      <c r="DA55" s="318" t="str">
        <f aca="false">IF($A55="N/A"," ",IF(0&lt;&gt;CR55,IF(CC=2,8*$HE55,0),0))</f>
        <v> </v>
      </c>
      <c r="DB55" s="318" t="str">
        <f aca="false">IF($A55="N/A"," ",IF(0&lt;&gt;CS55,IF(CC=2,8*$HE55,0),0))</f>
        <v> </v>
      </c>
      <c r="DC55" s="318" t="str">
        <f aca="false">IF($A55="N/A"," ",IF(0&lt;&gt;CT55,IF(CC=2,8*$HF55,0),0))</f>
        <v> </v>
      </c>
      <c r="DD55" s="318" t="str">
        <f aca="false">IF($A55="N/A"," ",IF(0&lt;&gt;CU55,IF(CC=2,8*$HF55,0),0))</f>
        <v> </v>
      </c>
      <c r="DE55" s="318" t="str">
        <f aca="false">IF($A55="N/A"," ",IF(0&lt;&gt;CV55,IF(CC=2,8*$HF55,0),0))</f>
        <v> </v>
      </c>
      <c r="DF55" s="341" t="str">
        <f aca="false">IF($A55="N/A"," ",IF(CC=2,(IF(MONTH(A55)&gt;=4,IF(MONTH(A55)&lt;=10,Inputs!$G$13,Inputs!$G$14),Inputs!$G$14))*$CK55,0))</f>
        <v> </v>
      </c>
      <c r="DG55" s="342" t="str">
        <f aca="false">IF($A55="N/A"," ",IF(CC=2,$DF55*CW55*CN55,0))</f>
        <v> </v>
      </c>
      <c r="DH55" s="342" t="str">
        <f aca="false">IF($A55="N/A"," ",IF(CC=2,$DF55*CX55*CO55,0))</f>
        <v> </v>
      </c>
      <c r="DI55" s="342" t="str">
        <f aca="false">IF($A55="N/A"," ",IF(CC=2,$DF55*CY55*CP55,0))</f>
        <v> </v>
      </c>
      <c r="DJ55" s="342" t="str">
        <f aca="false">IF($A55="N/A"," ",IF(CC=2,$DF55*CZ55*CQ55,0))</f>
        <v> </v>
      </c>
      <c r="DK55" s="342" t="str">
        <f aca="false">IF($A55="N/A"," ",IF(CC=2,$DF55*DA55*CR55,0))</f>
        <v> </v>
      </c>
      <c r="DL55" s="342" t="str">
        <f aca="false">IF($A55="N/A"," ",IF(CC=2,$DF55*DB55*CS55,0))</f>
        <v> </v>
      </c>
      <c r="DM55" s="342" t="str">
        <f aca="false">IF($A55="N/A"," ",IF(CC=2,$DF55*DC55*CT55,0))</f>
        <v> </v>
      </c>
      <c r="DN55" s="342" t="str">
        <f aca="false">IF($A55="N/A"," ",IF(CC=2,$DF55*DD55*CU55,0))</f>
        <v> </v>
      </c>
      <c r="DO55" s="342" t="str">
        <f aca="false">IF($A55="N/A"," ",IF(CC=2,$DF55*DE55*CV55,0))</f>
        <v> </v>
      </c>
      <c r="DP55" s="343" t="str">
        <f aca="false">IF($A55="N/A"," ",IF(CC=2,SUM(DG55:DO55),0))</f>
        <v> </v>
      </c>
      <c r="DQ55" s="0" t="str">
        <f aca="false">IF(A55="N/A"," ",Perstart)</f>
        <v> </v>
      </c>
      <c r="HD55" s="0" t="str">
        <f aca="false">IF($A55="N/A"," ",VLOOKUP($A55,NumberofDaysTable,2))</f>
        <v> </v>
      </c>
      <c r="HE55" s="0" t="str">
        <f aca="false">IF($A55="N/A"," ",VLOOKUP($A55,NumberofDaysTable,3))</f>
        <v> </v>
      </c>
      <c r="HF55" s="0" t="str">
        <f aca="false">IF($A55="N/A"," ",VLOOKUP($A55,NumberofDaysTable,4))</f>
        <v> </v>
      </c>
    </row>
    <row r="56" customFormat="false" ht="12.75" hidden="false" customHeight="false" outlineLevel="0" collapsed="false">
      <c r="A56" s="308" t="str">
        <f aca="false">IF(A55="N/A","N/A",IF(EDATE(A55,1)&gt;Inputs!$K$3,"N/A",EDATE(A55,1)))</f>
        <v>N/A</v>
      </c>
      <c r="B56" s="309" t="str">
        <f aca="false">IF(A56="N/A"," ",YEAR(A56))</f>
        <v> </v>
      </c>
      <c r="C56" s="310" t="str">
        <f aca="false">IF(A56="N/A"," ",VLOOKUP(A56,ScaledPrice,10))</f>
        <v> </v>
      </c>
      <c r="D56" s="311" t="str">
        <f aca="false">IF(A56="N/A"," ",(VLOOKUP(MONTH($A56),Hrtable,2))/1000)</f>
        <v> </v>
      </c>
      <c r="E56" s="312" t="str">
        <f aca="false">IF($A56="N/A"," ",(C56-'Pricing Inputs'!T89)*D56)</f>
        <v> </v>
      </c>
      <c r="F56" s="313" t="str">
        <f aca="false">IF(A56="N/A"," ",$F44*(1+VOMesc))</f>
        <v> </v>
      </c>
      <c r="G56" s="313" t="str">
        <f aca="false">IF(A56="N/A"," ",Perstart/IF(AND(Dayrun&gt;=4,Dayrun&lt;=6),16,IF(AND(Dayrun&gt;=7,Dayrun&lt;=9),8,24))/(BM56/CK56))</f>
        <v> </v>
      </c>
      <c r="H56" s="314" t="str">
        <f aca="false">IF(A56="N/A"," ",(C56*D56)+F56+G56)</f>
        <v> </v>
      </c>
      <c r="I56" s="315" t="str">
        <f aca="false">VLOOKUP(A56,ScaledPrice,(IF(AND(Dayrun&gt;=1,Dayrun&lt;=6),2,4)))</f>
        <v> </v>
      </c>
      <c r="J56" s="315" t="str">
        <f aca="false">IF(A56="N/A"," ",IF(AND(Dayrun&gt;=1,Dayrun&lt;=6),I56,(VLOOKUP(A56,ScaledPrice,2))*(2-(VLOOKUP(A56,ScaledPrice,3)))))</f>
        <v> </v>
      </c>
      <c r="K56" s="315" t="str">
        <f aca="false">IF(A56="N/A"," ",IF(AND(Dayrun&gt;=1,Dayrun&lt;=3),VLOOKUP(A56,ScaledPrice,9),0))</f>
        <v> </v>
      </c>
      <c r="L56" s="315" t="str">
        <f aca="false">IF(A56="N/A"," ",IF(OR(Dayrun=2,Dayrun=3,Dayrun=5,Dayrun=6,Dayrun=8,Dayrun=9),VLOOKUP(A56,ScaledPrice,IF(AND(Dayrun&gt;=2,Dayrun&lt;=6),5,6)),0))</f>
        <v> </v>
      </c>
      <c r="M56" s="315" t="str">
        <f aca="false">IF(A56="N/A"," ",IF(OR(Dayrun=2,Dayrun=3,Dayrun=5,Dayrun=6,Dayrun=8,Dayrun=9),IF(AND(Dayrun&gt;=2,Dayrun&lt;=6),L56,(VLOOKUP(A56,ScaledPrice,5))*(2-(VLOOKUP(A56,ScaledPrice,3)))),0))</f>
        <v> </v>
      </c>
      <c r="N56" s="315" t="str">
        <f aca="false">IF(A56="N/A"," ",IF(AND(Dayrun&gt;1,Dayrun&lt;=3),VLOOKUP(A56,ScaledPrice,9),0))</f>
        <v> </v>
      </c>
      <c r="O56" s="315" t="str">
        <f aca="false">IF(A56="N/A"," ",IF(OR(Dayrun=3,Dayrun=6,Dayrun=9),(VLOOKUP(A56,ScaledPrice,IF(AND(Dayrun&gt;=3,Dayrun&lt;=6),7,8))),0))</f>
        <v> </v>
      </c>
      <c r="P56" s="315" t="str">
        <f aca="false">IF(A56="N/A"," ",IF(OR(Dayrun=3,Dayrun=6,Dayrun=9),IF(AND(Dayrun&gt;=3,Dayrun&lt;=6),O56,(VLOOKUP(A56,ScaledPrice,7))*(2-(VLOOKUP(A56,ScaledPrice,3)))),0))</f>
        <v> </v>
      </c>
      <c r="Q56" s="315" t="str">
        <f aca="false">IF(A56="N/A"," ",IF(AND(Dayrun&gt;2,Dayrun&lt;=3),VLOOKUP(A56,ScaledPrice,9),0))</f>
        <v> </v>
      </c>
      <c r="R56" s="316" t="str">
        <f aca="false">IF($A56="N/A"," ",IF(Pricetype=2,MAX(I56-$H56,0),IF(Pricetype=1,(xSPRDOPT(I56,$E56,$CI56,0,($CD56+IF(Smile=TRUE(),VLOOKUP(MAX(-5,$H56-I56),Volsmile,2),0)),$CG56,$CH56,($A56-DateToday)+15,1,0)),I56-$H56)))</f>
        <v> </v>
      </c>
      <c r="S56" s="316" t="str">
        <f aca="false">IF($A56="N/A"," ",IF(Pricetype=2,MAX(J56-$H56,0),IF(Pricetype=1,(xSPRDOPT(J56,$E56,$CI56,0,($CD56+IF(Smile=TRUE(),VLOOKUP(MAX(-5,$H56-J56),Volsmile,2),0)),$CG56,$CH56,($A56-DateToday)+15,1,0)),J56-$H56)))</f>
        <v> </v>
      </c>
      <c r="T56" s="317" t="str">
        <f aca="false">IF($A56="N/A"," ",(IF(Pricetype=2,IF((K56-$H56)&lt;=0,0,(K56-$H56)),IF(K56&lt;&gt;0,(K56-$H56),0))))</f>
        <v> </v>
      </c>
      <c r="U56" s="316" t="str">
        <f aca="false">IF($A56="N/A"," ",IF(Pricetype=2,MAX(L56-$H56,0),IF(L56&lt;&gt;0,IF(Pricetype=1,(xSPRDOPT(L56,$E56,$CI56,0,($CD56+IF(Smile=TRUE(),VLOOKUP(MAX(-5,$H56-L56),Volsmile,2),0)),$CG56,$CH56,($A56-DateToday)+15,1,0)),L56-$H56),0)))</f>
        <v> </v>
      </c>
      <c r="V56" s="316" t="str">
        <f aca="false">IF($A56="N/A"," ",IF(Pricetype=2,MAX(M56-$H56,0),IF(M56&lt;&gt;0,IF(Pricetype=1,(xSPRDOPT(M56,$E56,$CI56,0,($CD56+IF(Smile=TRUE(),VLOOKUP(MAX(-5,$H56-M56),Volsmile,2),0)),$CG56,$CH56,($A56-DateToday)+15,1,0)),M56-$H56),0)))</f>
        <v> </v>
      </c>
      <c r="W56" s="317" t="str">
        <f aca="false">IF($A56="N/A"," ",(IF(Pricetype=2,IF((N56-$H56)&lt;=0,0,(N56-$H56)),IF(N56&lt;&gt;0,(N56-$H56),0))))</f>
        <v> </v>
      </c>
      <c r="X56" s="316" t="str">
        <f aca="false">IF($A56="N/A"," ",IF(Pricetype=2,MAX(O56-$H56,0),IF(O56&lt;&gt;0,IF(Pricetype=1,(xSPRDOPT(O56,$E56,$CI56,0,($CD56+IF(Smile=TRUE(),VLOOKUP(MAX(-5,$H56-O56),Volsmile,2),0)),$CG56,$CH56,($A56-DateToday)+15,1,0)),O56-$H56),0)))</f>
        <v> </v>
      </c>
      <c r="Y56" s="316" t="str">
        <f aca="false">IF($A56="N/A"," ",IF(Pricetype=2,MAX(P56-$H56,0),IF(P56&lt;&gt;0,IF(Pricetype=1,(xSPRDOPT(P56,$E56,$CI56,0,($CD56+IF(Smile=TRUE(),VLOOKUP(MAX(-5,$H56-P56),Volsmile,2),0)),$CG56,$CH56,($A56-DateToday)+15,1,0)),P56-$H56),0)))</f>
        <v> </v>
      </c>
      <c r="Z56" s="317" t="str">
        <f aca="false">IF($A56="N/A"," ",(IF(Pricetype=2,IF((Q56-$H56)&lt;=0,0,(Q56-$H56)),IF(Q56&lt;&gt;0,(Q56-$H56),0))))</f>
        <v> </v>
      </c>
      <c r="AA56" s="318" t="str">
        <f aca="false">IF($A56="N/A"," ",IF(VLOOKUP(MONTH(A56),ManualTable,2)=1,(IF(0&lt;&gt;R56,IF(Pricetype=1,(xSPRDOPT(I56,$E56,$CI56,0,($CD56+IF(Smile=TRUE(),VLOOKUP(MAX(-5,$H56-I56),Volsmile,2),0)),$CG56,$CH56,($A56-DateToday)+15,1,1))*(8*$HD56),8*$HD56),0)),0))</f>
        <v> </v>
      </c>
      <c r="AB56" s="318" t="str">
        <f aca="false">IF($A56="N/A"," ",IF(VLOOKUP(MONTH(A56),ManualTable,3)=1,(IF(S56&lt;&gt;0,IF(Pricetype=1,(xSPRDOPT(J56,$E56,$CI56,0,($CD56+IF(Smile=TRUE(),VLOOKUP(MAX(-5,$H56-J56),Volsmile,2),0)),$CG56,$CH56,($A56-DateToday)+15,1,1))*(8*$HD56),8*$HD56),0)),0))</f>
        <v> </v>
      </c>
      <c r="AC56" s="318" t="str">
        <f aca="false">IF($A56="N/A"," ",IF(VLOOKUP(MONTH(A56),ManualTable,4)=1,(IF(T56&lt;&gt;0,(8*$HD56),0)),0))</f>
        <v> </v>
      </c>
      <c r="AD56" s="318" t="str">
        <f aca="false">IF($A56="N/A"," ",IF(VLOOKUP(MONTH(A56),ManualTable,5)=1,(IF(U56&lt;&gt;0,IF(Pricetype=1,(xSPRDOPT(L56,$E56,$CI56,0,($CD56+IF(Smile=TRUE(),VLOOKUP(MAX(-5,$H56-L56),Volsmile,2),0)),$CG56,$CH56,($A56-DateToday)+15,1,1))*(8*$HE56),8*$HE56),0)),0))</f>
        <v> </v>
      </c>
      <c r="AE56" s="318" t="str">
        <f aca="false">IF($A56="N/A"," ",IF(VLOOKUP(MONTH(A56),ManualTable,6)=1,(IF(V56&lt;&gt;0,IF(Pricetype=1,(xSPRDOPT(M56,$E56,$CI56,0,($CD56+IF(Smile=TRUE(),VLOOKUP(MAX(-5,$H56-M56),Volsmile,2),0)),$CG56,$CH56,($A56-DateToday)+15,1,1))*(8*$HE56),8*$HE56),0)),0))</f>
        <v> </v>
      </c>
      <c r="AF56" s="318" t="str">
        <f aca="false">IF($A56="N/A"," ",IF(VLOOKUP(MONTH(A56),ManualTable,7)=1,(IF(W56&lt;&gt;0,(8*$HE56),0)),0))</f>
        <v> </v>
      </c>
      <c r="AG56" s="318" t="str">
        <f aca="false">IF($A56="N/A"," ",IF(VLOOKUP(MONTH(A56),ManualTable,8)=1,(IF(X56&lt;&gt;0,IF(Pricetype=1,(xSPRDOPT(O56,$E56,$CI56,0,($CD56+IF(Smile=TRUE(),VLOOKUP(MAX(-5,$H56-O56),Volsmile,2),0)),$CG56,$CH56,($A56-DateToday)+15,1,1))*(8*$HF56),8*$HF56),0)),0))</f>
        <v> </v>
      </c>
      <c r="AH56" s="318" t="str">
        <f aca="false">IF($A56="N/A"," ",IF(VLOOKUP(MONTH(A56),ManualTable,9)=1,(IF(Y56&lt;&gt;0,IF(Pricetype=1,(xSPRDOPT(P56,$E56,$CI56,0,($CD56+IF(Smile=TRUE(),VLOOKUP(MAX(-5,$H56-P56),Volsmile,2),0)),$CG56,$CH56,($A56-DateToday)+15,1,1))*(8*$HF56),8*$HF56),0)),0))</f>
        <v> </v>
      </c>
      <c r="AI56" s="318" t="str">
        <f aca="false">IF($A56="N/A"," ",IF(VLOOKUP(MONTH(A56),ManualTable,10)=1,(IF(Z56&lt;&gt;0,(8*($HF56)),0)),0))</f>
        <v> </v>
      </c>
      <c r="AJ56" s="344" t="str">
        <f aca="false">IF($A56="N/A"," ",RANK(R56,$R$52:$Z$63))</f>
        <v> </v>
      </c>
      <c r="AK56" s="321" t="str">
        <f aca="false">IF($A56="N/A"," ",RANK(S56,$R$52:$Z$63))</f>
        <v> </v>
      </c>
      <c r="AL56" s="321" t="str">
        <f aca="false">IF($A56="N/A"," ",RANK(T56,$R$52:$Z$63))</f>
        <v> </v>
      </c>
      <c r="AM56" s="321" t="str">
        <f aca="false">IF($A56="N/A"," ",RANK(U56,$R$52:$Z$63))</f>
        <v> </v>
      </c>
      <c r="AN56" s="321" t="str">
        <f aca="false">IF($A56="N/A"," ",RANK(V56,$R$52:$Z$63))</f>
        <v> </v>
      </c>
      <c r="AO56" s="321" t="str">
        <f aca="false">IF($A56="N/A"," ",RANK(W56,$R$52:$Z$63))</f>
        <v> </v>
      </c>
      <c r="AP56" s="321" t="str">
        <f aca="false">IF($A56="N/A"," ",RANK(X56,$R$52:$Z$63))</f>
        <v> </v>
      </c>
      <c r="AQ56" s="321" t="str">
        <f aca="false">IF($A56="N/A"," ",RANK(Y56,$R$52:$Z$63))</f>
        <v> </v>
      </c>
      <c r="AR56" s="345" t="str">
        <f aca="false">IF($A56="N/A"," ",RANK(Z56,$R$52:$Z$63))</f>
        <v> </v>
      </c>
      <c r="AS56" s="323" t="str">
        <f aca="false">IF($A56="N/A"," ",IF(AJ56&lt;=$AR$2,AA56,0))</f>
        <v> </v>
      </c>
      <c r="AT56" s="325" t="str">
        <f aca="false">IF($A56="N/A"," ",IF(AK56&lt;=$AR$2,AB56,0))</f>
        <v> </v>
      </c>
      <c r="AU56" s="325" t="str">
        <f aca="false">IF($A56="N/A"," ",IF(AL56&lt;=$AR$2,AC56,0))</f>
        <v> </v>
      </c>
      <c r="AV56" s="325" t="str">
        <f aca="false">IF($A56="N/A"," ",IF(AM56&lt;=$AR$2,AD56,0))</f>
        <v> </v>
      </c>
      <c r="AW56" s="325" t="str">
        <f aca="false">IF($A56="N/A"," ",IF(AN56&lt;=$AR$2,AE56,0))</f>
        <v> </v>
      </c>
      <c r="AX56" s="325" t="str">
        <f aca="false">IF($A56="N/A"," ",IF(AO56&lt;=$AR$2,AF56,0))</f>
        <v> </v>
      </c>
      <c r="AY56" s="325" t="str">
        <f aca="false">IF($A56="N/A"," ",IF(AP56&lt;=$AR$2,AG56,0))</f>
        <v> </v>
      </c>
      <c r="AZ56" s="325" t="str">
        <f aca="false">IF($A56="N/A"," ",IF(AQ56&lt;=$AR$2,AH56,0))</f>
        <v> </v>
      </c>
      <c r="BA56" s="325" t="str">
        <f aca="false">IF($A56="N/A"," ",IF(AR56&lt;=$AR$2,AI56,0))</f>
        <v> </v>
      </c>
      <c r="BB56" s="345"/>
      <c r="BC56" s="326" t="str">
        <f aca="false">IF($A56="N/A"," ",IF(AND(AJ56=$AR$2+1,AS56=0),MIN($BB$63,AA56),0))</f>
        <v> </v>
      </c>
      <c r="BD56" s="346" t="str">
        <f aca="false">IF($A56="N/A"," ",IF(AND(AK56=$AR$2+1,AT56=0),MIN($BB$63,AB56),0))</f>
        <v> </v>
      </c>
      <c r="BE56" s="346" t="str">
        <f aca="false">IF($A56="N/A"," ",IF(AND(AL56=$AR$2+1,AU56=0),MIN($BB$63,AC56),0))</f>
        <v> </v>
      </c>
      <c r="BF56" s="346" t="str">
        <f aca="false">IF($A56="N/A"," ",IF(AND(AM56=$AR$2+1,AV56=0),MIN($BB$63,AD56),0))</f>
        <v> </v>
      </c>
      <c r="BG56" s="346" t="str">
        <f aca="false">IF($A56="N/A"," ",IF(AND(AN56=$AR$2+1,AW56=0),MIN($BB$63,AE56),0))</f>
        <v> </v>
      </c>
      <c r="BH56" s="346" t="str">
        <f aca="false">IF($A56="N/A"," ",IF(AND(AO56=$AR$2+1,AX56=0),MIN($BB$63,AF56),0))</f>
        <v> </v>
      </c>
      <c r="BI56" s="346" t="str">
        <f aca="false">IF($A56="N/A"," ",IF(AND(AP56=$AR$2+1,AY56=0),MIN($BB$63,AG56),0))</f>
        <v> </v>
      </c>
      <c r="BJ56" s="346" t="str">
        <f aca="false">IF($A56="N/A"," ",IF(AND(AQ56=$AR$2+1,AZ56=0),MIN($BB$63,AH56),0))</f>
        <v> </v>
      </c>
      <c r="BK56" s="346" t="str">
        <f aca="false">IF($A56="N/A"," ",IF(AND(AR56=$AR$2+1,BA56=0),MIN($BB$63,AI56),0))</f>
        <v> </v>
      </c>
      <c r="BL56" s="345"/>
      <c r="BM56" s="329" t="str">
        <f aca="false">IF($A56="N/A"," ",(IF(MONTH(A56)&gt;=4,IF(MONTH(A56)&lt;=10,Inputs!$F$13-Inputs!$G$13,Inputs!$F$14-Inputs!$G$14),Inputs!$F$14-Inputs!$G$14))*$CK56*Availability)</f>
        <v> </v>
      </c>
      <c r="BN56" s="330" t="str">
        <f aca="false">IF($A56="N/A"," ",(IF(AS56&gt;0,($BM56*(8*($HD56))*R56),0)+IF(BC56&gt;0,($BM56*((BC56/AA56)*8*$HD56)*R56),0)))</f>
        <v> </v>
      </c>
      <c r="BO56" s="330" t="str">
        <f aca="false">IF($A56="N/A"," ",(IF(AT56&gt;0,($BM56*(8*($HD56))*S56),0)+IF(BD56&gt;0,($BM56*((BD56/AB56)*8*$HD56)*S56),0)))</f>
        <v> </v>
      </c>
      <c r="BP56" s="330" t="str">
        <f aca="false">IF($A56="N/A"," ",(IF(AU56&gt;0,($BM56*(8*($HD56))*T56),0)+IF(BE56&gt;0,($BM56*((BE56))*T56),0)))</f>
        <v> </v>
      </c>
      <c r="BQ56" s="330" t="str">
        <f aca="false">IF($A56="N/A"," ",(IF(AV56&gt;0,($BM56*(8*($HE56))*U56),0)+IF(BF56&gt;0,($BM56*((BF56/AD56)*8*$HE56)*U56),0)))</f>
        <v> </v>
      </c>
      <c r="BR56" s="330" t="str">
        <f aca="false">IF($A56="N/A"," ",(IF(AW56&gt;0,($BM56*(8*($HE56))*V56),0)+IF(BG56&gt;0,($BM56*((BG56/AE56)*8*$HE56)*V56),0)))</f>
        <v> </v>
      </c>
      <c r="BS56" s="330" t="str">
        <f aca="false">IF($A56="N/A"," ",(IF(AX56&gt;0,($BM56*(8*($HE56))*W56),0)+IF(BH56&gt;0,($BM56*((BH56))*W56),0)))</f>
        <v> </v>
      </c>
      <c r="BT56" s="330" t="str">
        <f aca="false">IF($A56="N/A"," ",(IF(AY56&gt;0,($BM56*(8*($HF56))*X56),0)+IF(BI56&gt;0,($BM56*((BI56/AG56)*8*$HF56)*X56),0)))</f>
        <v> </v>
      </c>
      <c r="BU56" s="330" t="str">
        <f aca="false">IF($A56="N/A"," ",(IF(AZ56&gt;0,($BM56*(8*($HF56))*Y56),0)+IF(BJ56&gt;0,($BM56*((BJ56/AH56)*8*$HF56)*Y56),0)))</f>
        <v> </v>
      </c>
      <c r="BV56" s="330" t="str">
        <f aca="false">IF($A56="N/A"," ",(IF(BA56&gt;0,($BM56*(8*($HF56))*Z56),0)+IF(BK56&gt;0,($BM56*((BK56))*Z56),0)))</f>
        <v> </v>
      </c>
      <c r="BW56" s="330" t="str">
        <f aca="false">IF($A56="N/A"," ",SUM(BN56:BV56))</f>
        <v> </v>
      </c>
      <c r="BX56" s="331" t="str">
        <f aca="false">IF($A56="N/A"," ",(H56*(SUM(AS56:BA56)+SUM(BC56:BK56))*BM56))</f>
        <v> </v>
      </c>
      <c r="BY56" s="332" t="str">
        <f aca="false">IF($A56="N/A"," ",((C56*D56)*(SUM($AS56:$BA56)+SUM($BC56:$BK56))*$BM56))</f>
        <v> </v>
      </c>
      <c r="BZ56" s="332" t="str">
        <f aca="false">IF($A56="N/A"," ",(F56*(SUM($AS56:$BA56)+SUM($BC56:$BK56))*$BM56))</f>
        <v> </v>
      </c>
      <c r="CA56" s="333" t="str">
        <f aca="false">IF($A56="N/A"," ",(G56*(SUM($AS56:$BA56)+SUM($BC56:$BK56))*$BM56))</f>
        <v> </v>
      </c>
      <c r="CB56" s="334" t="str">
        <f aca="false">IF(A56="N/A"," ",(VLOOKUP(A56,PowerVolTable,(IF(BMO=2,7,IF(BMO=1,6,8))),FALSE())))</f>
        <v> </v>
      </c>
      <c r="CC56" s="334" t="str">
        <f aca="false">IF(A56="N/A"," ",(VLOOKUP(A56,IntraPowerVol,(IF(BMO=2,3,IF(BMO=1,2,4))),FALSE())*VLOOKUP(MONTH($A56),Volscale,2)))</f>
        <v> </v>
      </c>
      <c r="CD56" s="335" t="str">
        <f aca="false">IF($A56="N/A"," ",(IF(DateToday&gt;$A56,$CC56,((($CB56^2)*((($A56-1)-DateToday)/((EOMONTH($A56,0)+1)-DateToday-15)))+((($CC56)^2)*((15)/((EOMONTH($A56,0)+1)-DateToday-15))))^0.5)))</f>
        <v> </v>
      </c>
      <c r="CE56" s="334" t="str">
        <f aca="false">IF($A56="N/A"," ",(VLOOKUP($A56,GasVolTable,(IF(BMO=2,6,IF(BMO=1,7,5))),FALSE())))</f>
        <v> </v>
      </c>
      <c r="CF56" s="334" t="str">
        <f aca="false">IF($A56="N/A"," ",(VLOOKUP($A56,OmicronVol,(IF(BMO=2,3,IF(BMO=1,4,2))),FALSE())))</f>
        <v> </v>
      </c>
      <c r="CG56" s="335" t="str">
        <f aca="false">IF($A56="N/A"," ",(IF(DateToday&gt;$A56,$CF56,((($CE56^2)*((($A56-1)-DateToday)/((EOMONTH($A56,0)+1)-DateToday-15)))+((($CF56)^2)*((15)/((EOMONTH($A56,0)+1)-DateToday-15))))^0.5)))</f>
        <v> </v>
      </c>
      <c r="CH56" s="334" t="str">
        <f aca="false">IF($A56="N/A"," ",VLOOKUP($A56,CorrelationTable,2,FALSE()))</f>
        <v> </v>
      </c>
      <c r="CI56" s="336" t="str">
        <f aca="false">IF($A56="N/A"," ",F56+G56+(D56*('Pricing Inputs'!T89)))</f>
        <v> </v>
      </c>
      <c r="CJ56" s="334" t="str">
        <f aca="false">IF($A56="N/A"," ",IF(PV=1,0,'Pricing Inputs'!U89))</f>
        <v> </v>
      </c>
      <c r="CK56" s="337" t="str">
        <f aca="false">IF($A56="N/A"," ",(1+CJ56/2)^(-2*((EOMONTH(A56,0)+20)-DateToday)/365.25))</f>
        <v> </v>
      </c>
      <c r="CL56" s="338" t="str">
        <f aca="false">IF(A56="N/A"," ",IF(CC=2,(VLOOKUP(MONTH($A56),Hrtable,3))/1000,0))</f>
        <v> </v>
      </c>
      <c r="CM56" s="339" t="str">
        <f aca="false">IF(A56="N/A"," ",IF(CC=2,(CL56*C56)+F56,0))</f>
        <v> </v>
      </c>
      <c r="CN56" s="340" t="str">
        <f aca="false">IF($A56="N/A"," ",IF(CC=2,(VLOOKUP(A56,ScaledPrice,(IF(AND(Dayrun&gt;=1,Dayrun&lt;=6),2,4)))-((IF(R56&lt;&gt;0,$D56,$CL56)*$C56)+$F56+$G56)),0))</f>
        <v> </v>
      </c>
      <c r="CO56" s="340" t="str">
        <f aca="false">IF($A56="N/A"," ",IF(CC=2,(IF(AND(Dayrun&gt;=1,Dayrun&lt;=6),I56,(VLOOKUP(A56,ScaledPrice,2))*(2-(VLOOKUP(A56,ScaledPrice,3))))-((IF(S56&lt;&gt;0,$D56,$CL56)*$C56)+$F56+$G56)),0))</f>
        <v> </v>
      </c>
      <c r="CP56" s="340" t="str">
        <f aca="false">IF(A56="N/A"," ",IF(CC=2,(VLOOKUP(A56,ScaledPrice,9)-((IF(T56&lt;&gt;0,$D56,$CL56)*$C56)+$F56+$G56)),0))</f>
        <v> </v>
      </c>
      <c r="CQ56" s="340" t="str">
        <f aca="false">IF(A56="N/A"," ",IF(CC=2,(IF(OR(Dayrun=2,Dayrun=3,Dayrun=5,Dayrun=6,Dayrun=8,Dayrun=9),VLOOKUP(A56,ScaledPrice,IF(AND(Dayrun&gt;=2,Dayrun&lt;=6),5,6)),0)-((IF(U56&lt;&gt;0,$D56,$CL56)*$C56)+$F56+$G56)),0))</f>
        <v> </v>
      </c>
      <c r="CR56" s="340" t="str">
        <f aca="false">IF(A56="N/A"," ",IF(CC=2,(IF(OR(Dayrun=2,Dayrun=3,Dayrun=5,Dayrun=6,Dayrun=8,Dayrun=9),IF(AND(Dayrun&gt;=2,Dayrun&lt;=6),L56,(VLOOKUP(A56,ScaledPrice,5))*(2-(VLOOKUP(A56,ScaledPrice,3)))),0)-((IF(V56&lt;&gt;0,$D56,$CL56)*$C56)+$F56+$G56)),0))</f>
        <v> </v>
      </c>
      <c r="CS56" s="340" t="str">
        <f aca="false">IF(A56="N/A"," ",IF(CC=2,(VLOOKUP(A56,ScaledPrice,9)-((IF(W56&lt;&gt;0,$D56,$CL56)*$C56)+$F56+$G56)),0))</f>
        <v> </v>
      </c>
      <c r="CT56" s="340" t="str">
        <f aca="false">IF(A56="N/A"," ",IF(CC=2,(IF(OR(Dayrun=3,Dayrun=6,Dayrun=9),(VLOOKUP(A56,ScaledPrice,IF(AND(Dayrun&gt;=3,Dayrun&lt;=6),7,8))),0)-((IF(X56&lt;&gt;0,$D56,$CL56)*$C56)+$F56+$G56)),0))</f>
        <v> </v>
      </c>
      <c r="CU56" s="340" t="str">
        <f aca="false">IF(A56="N/A"," ",IF(CC=2,(IF(OR(Dayrun=3,Dayrun=6,Dayrun=9),IF(AND(Dayrun&gt;=3,Dayrun&lt;=6),O56,(VLOOKUP(A56,ScaledPrice,7))*(2-(VLOOKUP(A56,ScaledPrice,3)))),0)-((IF(Y56&lt;&gt;0,$D56,$CL56)*$C56)+$F56+$G56)),0))</f>
        <v> </v>
      </c>
      <c r="CV56" s="340" t="str">
        <f aca="false">IF(A56="N/A"," ",IF(CC=2,(VLOOKUP(A56,ScaledPrice,9)-((IF(Z56&lt;&gt;0,$D56,$CL56)*$C56)+$F56+$G56)),0))</f>
        <v> </v>
      </c>
      <c r="CW56" s="318" t="str">
        <f aca="false">IF($A56="N/A"," ",IF(0&lt;&gt;CN56,IF(CC=2,8*$HD56,0),0))</f>
        <v> </v>
      </c>
      <c r="CX56" s="318" t="str">
        <f aca="false">IF($A56="N/A"," ",IF(0&lt;&gt;CO56,IF(CC=2,8*$HD56,0),0))</f>
        <v> </v>
      </c>
      <c r="CY56" s="318" t="str">
        <f aca="false">IF($A56="N/A"," ",IF(0&lt;&gt;CP56,IF(CC=2,8*$HD56,0),0))</f>
        <v> </v>
      </c>
      <c r="CZ56" s="318" t="str">
        <f aca="false">IF($A56="N/A"," ",IF(0&lt;&gt;CQ56,IF(CC=2,8*$HE56,0),0))</f>
        <v> </v>
      </c>
      <c r="DA56" s="318" t="str">
        <f aca="false">IF($A56="N/A"," ",IF(0&lt;&gt;CR56,IF(CC=2,8*$HE56,0),0))</f>
        <v> </v>
      </c>
      <c r="DB56" s="318" t="str">
        <f aca="false">IF($A56="N/A"," ",IF(0&lt;&gt;CS56,IF(CC=2,8*$HE56,0),0))</f>
        <v> </v>
      </c>
      <c r="DC56" s="318" t="str">
        <f aca="false">IF($A56="N/A"," ",IF(0&lt;&gt;CT56,IF(CC=2,8*$HF56,0),0))</f>
        <v> </v>
      </c>
      <c r="DD56" s="318" t="str">
        <f aca="false">IF($A56="N/A"," ",IF(0&lt;&gt;CU56,IF(CC=2,8*$HF56,0),0))</f>
        <v> </v>
      </c>
      <c r="DE56" s="318" t="str">
        <f aca="false">IF($A56="N/A"," ",IF(0&lt;&gt;CV56,IF(CC=2,8*$HF56,0),0))</f>
        <v> </v>
      </c>
      <c r="DF56" s="341" t="str">
        <f aca="false">IF($A56="N/A"," ",IF(CC=2,(IF(MONTH(A56)&gt;=4,IF(MONTH(A56)&lt;=10,Inputs!$G$13,Inputs!$G$14),Inputs!$G$14))*$CK56,0))</f>
        <v> </v>
      </c>
      <c r="DG56" s="342" t="str">
        <f aca="false">IF($A56="N/A"," ",IF(CC=2,$DF56*CW56*CN56,0))</f>
        <v> </v>
      </c>
      <c r="DH56" s="342" t="str">
        <f aca="false">IF($A56="N/A"," ",IF(CC=2,$DF56*CX56*CO56,0))</f>
        <v> </v>
      </c>
      <c r="DI56" s="342" t="str">
        <f aca="false">IF($A56="N/A"," ",IF(CC=2,$DF56*CY56*CP56,0))</f>
        <v> </v>
      </c>
      <c r="DJ56" s="342" t="str">
        <f aca="false">IF($A56="N/A"," ",IF(CC=2,$DF56*CZ56*CQ56,0))</f>
        <v> </v>
      </c>
      <c r="DK56" s="342" t="str">
        <f aca="false">IF($A56="N/A"," ",IF(CC=2,$DF56*DA56*CR56,0))</f>
        <v> </v>
      </c>
      <c r="DL56" s="342" t="str">
        <f aca="false">IF($A56="N/A"," ",IF(CC=2,$DF56*DB56*CS56,0))</f>
        <v> </v>
      </c>
      <c r="DM56" s="342" t="str">
        <f aca="false">IF($A56="N/A"," ",IF(CC=2,$DF56*DC56*CT56,0))</f>
        <v> </v>
      </c>
      <c r="DN56" s="342" t="str">
        <f aca="false">IF($A56="N/A"," ",IF(CC=2,$DF56*DD56*CU56,0))</f>
        <v> </v>
      </c>
      <c r="DO56" s="342" t="str">
        <f aca="false">IF($A56="N/A"," ",IF(CC=2,$DF56*DE56*CV56,0))</f>
        <v> </v>
      </c>
      <c r="DP56" s="343" t="str">
        <f aca="false">IF($A56="N/A"," ",IF(CC=2,SUM(DG56:DO56),0))</f>
        <v> </v>
      </c>
      <c r="DQ56" s="0" t="str">
        <f aca="false">IF(A56="N/A"," ",Perstart)</f>
        <v> </v>
      </c>
      <c r="HD56" s="0" t="str">
        <f aca="false">IF($A56="N/A"," ",VLOOKUP($A56,NumberofDaysTable,2))</f>
        <v> </v>
      </c>
      <c r="HE56" s="0" t="str">
        <f aca="false">IF($A56="N/A"," ",VLOOKUP($A56,NumberofDaysTable,3))</f>
        <v> </v>
      </c>
      <c r="HF56" s="0" t="str">
        <f aca="false">IF($A56="N/A"," ",VLOOKUP($A56,NumberofDaysTable,4))</f>
        <v> </v>
      </c>
    </row>
    <row r="57" customFormat="false" ht="12.75" hidden="false" customHeight="false" outlineLevel="0" collapsed="false">
      <c r="A57" s="308" t="str">
        <f aca="false">IF(A56="N/A","N/A",IF(EDATE(A56,1)&gt;Inputs!$K$3,"N/A",EDATE(A56,1)))</f>
        <v>N/A</v>
      </c>
      <c r="B57" s="309" t="str">
        <f aca="false">IF(A57="N/A"," ",YEAR(A57))</f>
        <v> </v>
      </c>
      <c r="C57" s="310" t="str">
        <f aca="false">IF(A57="N/A"," ",VLOOKUP(A57,ScaledPrice,10))</f>
        <v> </v>
      </c>
      <c r="D57" s="311" t="str">
        <f aca="false">IF(A57="N/A"," ",(VLOOKUP(MONTH($A57),Hrtable,2))/1000)</f>
        <v> </v>
      </c>
      <c r="E57" s="312" t="str">
        <f aca="false">IF($A57="N/A"," ",(C57-'Pricing Inputs'!T90)*D57)</f>
        <v> </v>
      </c>
      <c r="F57" s="313" t="str">
        <f aca="false">IF(A57="N/A"," ",$F45*(1+VOMesc))</f>
        <v> </v>
      </c>
      <c r="G57" s="313" t="str">
        <f aca="false">IF(A57="N/A"," ",Perstart/IF(AND(Dayrun&gt;=4,Dayrun&lt;=6),16,IF(AND(Dayrun&gt;=7,Dayrun&lt;=9),8,24))/(BM57/CK57))</f>
        <v> </v>
      </c>
      <c r="H57" s="314" t="str">
        <f aca="false">IF(A57="N/A"," ",(C57*D57)+F57+G57)</f>
        <v> </v>
      </c>
      <c r="I57" s="315" t="str">
        <f aca="false">VLOOKUP(A57,ScaledPrice,(IF(AND(Dayrun&gt;=1,Dayrun&lt;=6),2,4)))</f>
        <v> </v>
      </c>
      <c r="J57" s="315" t="str">
        <f aca="false">IF(A57="N/A"," ",IF(AND(Dayrun&gt;=1,Dayrun&lt;=6),I57,(VLOOKUP(A57,ScaledPrice,2))*(2-(VLOOKUP(A57,ScaledPrice,3)))))</f>
        <v> </v>
      </c>
      <c r="K57" s="315" t="str">
        <f aca="false">IF(A57="N/A"," ",IF(AND(Dayrun&gt;=1,Dayrun&lt;=3),VLOOKUP(A57,ScaledPrice,9),0))</f>
        <v> </v>
      </c>
      <c r="L57" s="315" t="str">
        <f aca="false">IF(A57="N/A"," ",IF(OR(Dayrun=2,Dayrun=3,Dayrun=5,Dayrun=6,Dayrun=8,Dayrun=9),VLOOKUP(A57,ScaledPrice,IF(AND(Dayrun&gt;=2,Dayrun&lt;=6),5,6)),0))</f>
        <v> </v>
      </c>
      <c r="M57" s="315" t="str">
        <f aca="false">IF(A57="N/A"," ",IF(OR(Dayrun=2,Dayrun=3,Dayrun=5,Dayrun=6,Dayrun=8,Dayrun=9),IF(AND(Dayrun&gt;=2,Dayrun&lt;=6),L57,(VLOOKUP(A57,ScaledPrice,5))*(2-(VLOOKUP(A57,ScaledPrice,3)))),0))</f>
        <v> </v>
      </c>
      <c r="N57" s="315" t="str">
        <f aca="false">IF(A57="N/A"," ",IF(AND(Dayrun&gt;1,Dayrun&lt;=3),VLOOKUP(A57,ScaledPrice,9),0))</f>
        <v> </v>
      </c>
      <c r="O57" s="315" t="str">
        <f aca="false">IF(A57="N/A"," ",IF(OR(Dayrun=3,Dayrun=6,Dayrun=9),(VLOOKUP(A57,ScaledPrice,IF(AND(Dayrun&gt;=3,Dayrun&lt;=6),7,8))),0))</f>
        <v> </v>
      </c>
      <c r="P57" s="315" t="str">
        <f aca="false">IF(A57="N/A"," ",IF(OR(Dayrun=3,Dayrun=6,Dayrun=9),IF(AND(Dayrun&gt;=3,Dayrun&lt;=6),O57,(VLOOKUP(A57,ScaledPrice,7))*(2-(VLOOKUP(A57,ScaledPrice,3)))),0))</f>
        <v> </v>
      </c>
      <c r="Q57" s="315" t="str">
        <f aca="false">IF(A57="N/A"," ",IF(AND(Dayrun&gt;2,Dayrun&lt;=3),VLOOKUP(A57,ScaledPrice,9),0))</f>
        <v> </v>
      </c>
      <c r="R57" s="316" t="str">
        <f aca="false">IF($A57="N/A"," ",IF(Pricetype=2,MAX(I57-$H57,0),IF(Pricetype=1,(xSPRDOPT(I57,$E57,$CI57,0,($CD57+IF(Smile=TRUE(),VLOOKUP(MAX(-5,$H57-I57),Volsmile,2),0)),$CG57,$CH57,($A57-DateToday)+15,1,0)),I57-$H57)))</f>
        <v> </v>
      </c>
      <c r="S57" s="316" t="str">
        <f aca="false">IF($A57="N/A"," ",IF(Pricetype=2,MAX(J57-$H57,0),IF(Pricetype=1,(xSPRDOPT(J57,$E57,$CI57,0,($CD57+IF(Smile=TRUE(),VLOOKUP(MAX(-5,$H57-J57),Volsmile,2),0)),$CG57,$CH57,($A57-DateToday)+15,1,0)),J57-$H57)))</f>
        <v> </v>
      </c>
      <c r="T57" s="317" t="str">
        <f aca="false">IF($A57="N/A"," ",(IF(Pricetype=2,IF((K57-$H57)&lt;=0,0,(K57-$H57)),IF(K57&lt;&gt;0,(K57-$H57),0))))</f>
        <v> </v>
      </c>
      <c r="U57" s="316" t="str">
        <f aca="false">IF($A57="N/A"," ",IF(Pricetype=2,MAX(L57-$H57,0),IF(L57&lt;&gt;0,IF(Pricetype=1,(xSPRDOPT(L57,$E57,$CI57,0,($CD57+IF(Smile=TRUE(),VLOOKUP(MAX(-5,$H57-L57),Volsmile,2),0)),$CG57,$CH57,($A57-DateToday)+15,1,0)),L57-$H57),0)))</f>
        <v> </v>
      </c>
      <c r="V57" s="316" t="str">
        <f aca="false">IF($A57="N/A"," ",IF(Pricetype=2,MAX(M57-$H57,0),IF(M57&lt;&gt;0,IF(Pricetype=1,(xSPRDOPT(M57,$E57,$CI57,0,($CD57+IF(Smile=TRUE(),VLOOKUP(MAX(-5,$H57-M57),Volsmile,2),0)),$CG57,$CH57,($A57-DateToday)+15,1,0)),M57-$H57),0)))</f>
        <v> </v>
      </c>
      <c r="W57" s="317" t="str">
        <f aca="false">IF($A57="N/A"," ",(IF(Pricetype=2,IF((N57-$H57)&lt;=0,0,(N57-$H57)),IF(N57&lt;&gt;0,(N57-$H57),0))))</f>
        <v> </v>
      </c>
      <c r="X57" s="316" t="str">
        <f aca="false">IF($A57="N/A"," ",IF(Pricetype=2,MAX(O57-$H57,0),IF(O57&lt;&gt;0,IF(Pricetype=1,(xSPRDOPT(O57,$E57,$CI57,0,($CD57+IF(Smile=TRUE(),VLOOKUP(MAX(-5,$H57-O57),Volsmile,2),0)),$CG57,$CH57,($A57-DateToday)+15,1,0)),O57-$H57),0)))</f>
        <v> </v>
      </c>
      <c r="Y57" s="316" t="str">
        <f aca="false">IF($A57="N/A"," ",IF(Pricetype=2,MAX(P57-$H57,0),IF(P57&lt;&gt;0,IF(Pricetype=1,(xSPRDOPT(P57,$E57,$CI57,0,($CD57+IF(Smile=TRUE(),VLOOKUP(MAX(-5,$H57-P57),Volsmile,2),0)),$CG57,$CH57,($A57-DateToday)+15,1,0)),P57-$H57),0)))</f>
        <v> </v>
      </c>
      <c r="Z57" s="317" t="str">
        <f aca="false">IF($A57="N/A"," ",(IF(Pricetype=2,IF((Q57-$H57)&lt;=0,0,(Q57-$H57)),IF(Q57&lt;&gt;0,(Q57-$H57),0))))</f>
        <v> </v>
      </c>
      <c r="AA57" s="318" t="str">
        <f aca="false">IF($A57="N/A"," ",IF(VLOOKUP(MONTH(A57),ManualTable,2)=1,(IF(0&lt;&gt;R57,IF(Pricetype=1,(xSPRDOPT(I57,$E57,$CI57,0,($CD57+IF(Smile=TRUE(),VLOOKUP(MAX(-5,$H57-I57),Volsmile,2),0)),$CG57,$CH57,($A57-DateToday)+15,1,1))*(8*$HD57),8*$HD57),0)),0))</f>
        <v> </v>
      </c>
      <c r="AB57" s="318" t="str">
        <f aca="false">IF($A57="N/A"," ",IF(VLOOKUP(MONTH(A57),ManualTable,3)=1,(IF(S57&lt;&gt;0,IF(Pricetype=1,(xSPRDOPT(J57,$E57,$CI57,0,($CD57+IF(Smile=TRUE(),VLOOKUP(MAX(-5,$H57-J57),Volsmile,2),0)),$CG57,$CH57,($A57-DateToday)+15,1,1))*(8*$HD57),8*$HD57),0)),0))</f>
        <v> </v>
      </c>
      <c r="AC57" s="318" t="str">
        <f aca="false">IF($A57="N/A"," ",IF(VLOOKUP(MONTH(A57),ManualTable,4)=1,(IF(T57&lt;&gt;0,(8*$HD57),0)),0))</f>
        <v> </v>
      </c>
      <c r="AD57" s="318" t="str">
        <f aca="false">IF($A57="N/A"," ",IF(VLOOKUP(MONTH(A57),ManualTable,5)=1,(IF(U57&lt;&gt;0,IF(Pricetype=1,(xSPRDOPT(L57,$E57,$CI57,0,($CD57+IF(Smile=TRUE(),VLOOKUP(MAX(-5,$H57-L57),Volsmile,2),0)),$CG57,$CH57,($A57-DateToday)+15,1,1))*(8*$HE57),8*$HE57),0)),0))</f>
        <v> </v>
      </c>
      <c r="AE57" s="318" t="str">
        <f aca="false">IF($A57="N/A"," ",IF(VLOOKUP(MONTH(A57),ManualTable,6)=1,(IF(V57&lt;&gt;0,IF(Pricetype=1,(xSPRDOPT(M57,$E57,$CI57,0,($CD57+IF(Smile=TRUE(),VLOOKUP(MAX(-5,$H57-M57),Volsmile,2),0)),$CG57,$CH57,($A57-DateToday)+15,1,1))*(8*$HE57),8*$HE57),0)),0))</f>
        <v> </v>
      </c>
      <c r="AF57" s="318" t="str">
        <f aca="false">IF($A57="N/A"," ",IF(VLOOKUP(MONTH(A57),ManualTable,7)=1,(IF(W57&lt;&gt;0,(8*$HE57),0)),0))</f>
        <v> </v>
      </c>
      <c r="AG57" s="318" t="str">
        <f aca="false">IF($A57="N/A"," ",IF(VLOOKUP(MONTH(A57),ManualTable,8)=1,(IF(X57&lt;&gt;0,IF(Pricetype=1,(xSPRDOPT(O57,$E57,$CI57,0,($CD57+IF(Smile=TRUE(),VLOOKUP(MAX(-5,$H57-O57),Volsmile,2),0)),$CG57,$CH57,($A57-DateToday)+15,1,1))*(8*$HF57),8*$HF57),0)),0))</f>
        <v> </v>
      </c>
      <c r="AH57" s="318" t="str">
        <f aca="false">IF($A57="N/A"," ",IF(VLOOKUP(MONTH(A57),ManualTable,9)=1,(IF(Y57&lt;&gt;0,IF(Pricetype=1,(xSPRDOPT(P57,$E57,$CI57,0,($CD57+IF(Smile=TRUE(),VLOOKUP(MAX(-5,$H57-P57),Volsmile,2),0)),$CG57,$CH57,($A57-DateToday)+15,1,1))*(8*$HF57),8*$HF57),0)),0))</f>
        <v> </v>
      </c>
      <c r="AI57" s="318" t="str">
        <f aca="false">IF($A57="N/A"," ",IF(VLOOKUP(MONTH(A57),ManualTable,10)=1,(IF(Z57&lt;&gt;0,(8*($HF57)),0)),0))</f>
        <v> </v>
      </c>
      <c r="AJ57" s="344" t="str">
        <f aca="false">IF($A57="N/A"," ",RANK(R57,$R$52:$Z$63))</f>
        <v> </v>
      </c>
      <c r="AK57" s="321" t="str">
        <f aca="false">IF($A57="N/A"," ",RANK(S57,$R$52:$Z$63))</f>
        <v> </v>
      </c>
      <c r="AL57" s="321" t="str">
        <f aca="false">IF($A57="N/A"," ",RANK(T57,$R$52:$Z$63))</f>
        <v> </v>
      </c>
      <c r="AM57" s="321" t="str">
        <f aca="false">IF($A57="N/A"," ",RANK(U57,$R$52:$Z$63))</f>
        <v> </v>
      </c>
      <c r="AN57" s="321" t="str">
        <f aca="false">IF($A57="N/A"," ",RANK(V57,$R$52:$Z$63))</f>
        <v> </v>
      </c>
      <c r="AO57" s="321" t="str">
        <f aca="false">IF($A57="N/A"," ",RANK(W57,$R$52:$Z$63))</f>
        <v> </v>
      </c>
      <c r="AP57" s="321" t="str">
        <f aca="false">IF($A57="N/A"," ",RANK(X57,$R$52:$Z$63))</f>
        <v> </v>
      </c>
      <c r="AQ57" s="321" t="str">
        <f aca="false">IF($A57="N/A"," ",RANK(Y57,$R$52:$Z$63))</f>
        <v> </v>
      </c>
      <c r="AR57" s="345" t="str">
        <f aca="false">IF($A57="N/A"," ",RANK(Z57,$R$52:$Z$63))</f>
        <v> </v>
      </c>
      <c r="AS57" s="323" t="str">
        <f aca="false">IF($A57="N/A"," ",IF(AJ57&lt;=$AR$2,AA57,0))</f>
        <v> </v>
      </c>
      <c r="AT57" s="325" t="str">
        <f aca="false">IF($A57="N/A"," ",IF(AK57&lt;=$AR$2,AB57,0))</f>
        <v> </v>
      </c>
      <c r="AU57" s="325" t="str">
        <f aca="false">IF($A57="N/A"," ",IF(AL57&lt;=$AR$2,AC57,0))</f>
        <v> </v>
      </c>
      <c r="AV57" s="325" t="str">
        <f aca="false">IF($A57="N/A"," ",IF(AM57&lt;=$AR$2,AD57,0))</f>
        <v> </v>
      </c>
      <c r="AW57" s="325" t="str">
        <f aca="false">IF($A57="N/A"," ",IF(AN57&lt;=$AR$2,AE57,0))</f>
        <v> </v>
      </c>
      <c r="AX57" s="325" t="str">
        <f aca="false">IF($A57="N/A"," ",IF(AO57&lt;=$AR$2,AF57,0))</f>
        <v> </v>
      </c>
      <c r="AY57" s="325" t="str">
        <f aca="false">IF($A57="N/A"," ",IF(AP57&lt;=$AR$2,AG57,0))</f>
        <v> </v>
      </c>
      <c r="AZ57" s="325" t="str">
        <f aca="false">IF($A57="N/A"," ",IF(AQ57&lt;=$AR$2,AH57,0))</f>
        <v> </v>
      </c>
      <c r="BA57" s="325" t="str">
        <f aca="false">IF($A57="N/A"," ",IF(AR57&lt;=$AR$2,AI57,0))</f>
        <v> </v>
      </c>
      <c r="BB57" s="345"/>
      <c r="BC57" s="326" t="str">
        <f aca="false">IF($A57="N/A"," ",IF(AND(AJ57=$AR$2+1,AS57=0),MIN($BB$63,AA57),0))</f>
        <v> </v>
      </c>
      <c r="BD57" s="346" t="str">
        <f aca="false">IF($A57="N/A"," ",IF(AND(AK57=$AR$2+1,AT57=0),MIN($BB$63,AB57),0))</f>
        <v> </v>
      </c>
      <c r="BE57" s="346" t="str">
        <f aca="false">IF($A57="N/A"," ",IF(AND(AL57=$AR$2+1,AU57=0),MIN($BB$63,AC57),0))</f>
        <v> </v>
      </c>
      <c r="BF57" s="346" t="str">
        <f aca="false">IF($A57="N/A"," ",IF(AND(AM57=$AR$2+1,AV57=0),MIN($BB$63,AD57),0))</f>
        <v> </v>
      </c>
      <c r="BG57" s="346" t="str">
        <f aca="false">IF($A57="N/A"," ",IF(AND(AN57=$AR$2+1,AW57=0),MIN($BB$63,AE57),0))</f>
        <v> </v>
      </c>
      <c r="BH57" s="346" t="str">
        <f aca="false">IF($A57="N/A"," ",IF(AND(AO57=$AR$2+1,AX57=0),MIN($BB$63,AF57),0))</f>
        <v> </v>
      </c>
      <c r="BI57" s="346" t="str">
        <f aca="false">IF($A57="N/A"," ",IF(AND(AP57=$AR$2+1,AY57=0),MIN($BB$63,AG57),0))</f>
        <v> </v>
      </c>
      <c r="BJ57" s="346" t="str">
        <f aca="false">IF($A57="N/A"," ",IF(AND(AQ57=$AR$2+1,AZ57=0),MIN($BB$63,AH57),0))</f>
        <v> </v>
      </c>
      <c r="BK57" s="346" t="str">
        <f aca="false">IF($A57="N/A"," ",IF(AND(AR57=$AR$2+1,BA57=0),MIN($BB$63,AI57),0))</f>
        <v> </v>
      </c>
      <c r="BL57" s="345"/>
      <c r="BM57" s="329" t="str">
        <f aca="false">IF($A57="N/A"," ",(IF(MONTH(A57)&gt;=4,IF(MONTH(A57)&lt;=10,Inputs!$F$13-Inputs!$G$13,Inputs!$F$14-Inputs!$G$14),Inputs!$F$14-Inputs!$G$14))*$CK57*Availability)</f>
        <v> </v>
      </c>
      <c r="BN57" s="330" t="str">
        <f aca="false">IF($A57="N/A"," ",(IF(AS57&gt;0,($BM57*(8*($HD57))*R57),0)+IF(BC57&gt;0,($BM57*((BC57/AA57)*8*$HD57)*R57),0)))</f>
        <v> </v>
      </c>
      <c r="BO57" s="330" t="str">
        <f aca="false">IF($A57="N/A"," ",(IF(AT57&gt;0,($BM57*(8*($HD57))*S57),0)+IF(BD57&gt;0,($BM57*((BD57/AB57)*8*$HD57)*S57),0)))</f>
        <v> </v>
      </c>
      <c r="BP57" s="330" t="str">
        <f aca="false">IF($A57="N/A"," ",(IF(AU57&gt;0,($BM57*(8*($HD57))*T57),0)+IF(BE57&gt;0,($BM57*((BE57))*T57),0)))</f>
        <v> </v>
      </c>
      <c r="BQ57" s="330" t="str">
        <f aca="false">IF($A57="N/A"," ",(IF(AV57&gt;0,($BM57*(8*($HE57))*U57),0)+IF(BF57&gt;0,($BM57*((BF57/AD57)*8*$HE57)*U57),0)))</f>
        <v> </v>
      </c>
      <c r="BR57" s="330" t="str">
        <f aca="false">IF($A57="N/A"," ",(IF(AW57&gt;0,($BM57*(8*($HE57))*V57),0)+IF(BG57&gt;0,($BM57*((BG57/AE57)*8*$HE57)*V57),0)))</f>
        <v> </v>
      </c>
      <c r="BS57" s="330" t="str">
        <f aca="false">IF($A57="N/A"," ",(IF(AX57&gt;0,($BM57*(8*($HE57))*W57),0)+IF(BH57&gt;0,($BM57*((BH57))*W57),0)))</f>
        <v> </v>
      </c>
      <c r="BT57" s="330" t="str">
        <f aca="false">IF($A57="N/A"," ",(IF(AY57&gt;0,($BM57*(8*($HF57))*X57),0)+IF(BI57&gt;0,($BM57*((BI57/AG57)*8*$HF57)*X57),0)))</f>
        <v> </v>
      </c>
      <c r="BU57" s="330" t="str">
        <f aca="false">IF($A57="N/A"," ",(IF(AZ57&gt;0,($BM57*(8*($HF57))*Y57),0)+IF(BJ57&gt;0,($BM57*((BJ57/AH57)*8*$HF57)*Y57),0)))</f>
        <v> </v>
      </c>
      <c r="BV57" s="330" t="str">
        <f aca="false">IF($A57="N/A"," ",(IF(BA57&gt;0,($BM57*(8*($HF57))*Z57),0)+IF(BK57&gt;0,($BM57*((BK57))*Z57),0)))</f>
        <v> </v>
      </c>
      <c r="BW57" s="330" t="str">
        <f aca="false">IF($A57="N/A"," ",SUM(BN57:BV57))</f>
        <v> </v>
      </c>
      <c r="BX57" s="331" t="str">
        <f aca="false">IF($A57="N/A"," ",(H57*(SUM(AS57:BA57)+SUM(BC57:BK57))*BM57))</f>
        <v> </v>
      </c>
      <c r="BY57" s="332" t="str">
        <f aca="false">IF($A57="N/A"," ",((C57*D57)*(SUM($AS57:$BA57)+SUM($BC57:$BK57))*$BM57))</f>
        <v> </v>
      </c>
      <c r="BZ57" s="332" t="str">
        <f aca="false">IF($A57="N/A"," ",(F57*(SUM($AS57:$BA57)+SUM($BC57:$BK57))*$BM57))</f>
        <v> </v>
      </c>
      <c r="CA57" s="333" t="str">
        <f aca="false">IF($A57="N/A"," ",(G57*(SUM($AS57:$BA57)+SUM($BC57:$BK57))*$BM57))</f>
        <v> </v>
      </c>
      <c r="CB57" s="334" t="str">
        <f aca="false">IF(A57="N/A"," ",(VLOOKUP(A57,PowerVolTable,(IF(BMO=2,7,IF(BMO=1,6,8))),FALSE())))</f>
        <v> </v>
      </c>
      <c r="CC57" s="334" t="str">
        <f aca="false">IF(A57="N/A"," ",(VLOOKUP(A57,IntraPowerVol,(IF(BMO=2,3,IF(BMO=1,2,4))),FALSE())*VLOOKUP(MONTH($A57),Volscale,2)))</f>
        <v> </v>
      </c>
      <c r="CD57" s="335" t="str">
        <f aca="false">IF($A57="N/A"," ",(IF(DateToday&gt;$A57,$CC57,((($CB57^2)*((($A57-1)-DateToday)/((EOMONTH($A57,0)+1)-DateToday-15)))+((($CC57)^2)*((15)/((EOMONTH($A57,0)+1)-DateToday-15))))^0.5)))</f>
        <v> </v>
      </c>
      <c r="CE57" s="334" t="str">
        <f aca="false">IF($A57="N/A"," ",(VLOOKUP($A57,GasVolTable,(IF(BMO=2,6,IF(BMO=1,7,5))),FALSE())))</f>
        <v> </v>
      </c>
      <c r="CF57" s="334" t="str">
        <f aca="false">IF($A57="N/A"," ",(VLOOKUP($A57,OmicronVol,(IF(BMO=2,3,IF(BMO=1,4,2))),FALSE())))</f>
        <v> </v>
      </c>
      <c r="CG57" s="335" t="str">
        <f aca="false">IF($A57="N/A"," ",(IF(DateToday&gt;$A57,$CF57,((($CE57^2)*((($A57-1)-DateToday)/((EOMONTH($A57,0)+1)-DateToday-15)))+((($CF57)^2)*((15)/((EOMONTH($A57,0)+1)-DateToday-15))))^0.5)))</f>
        <v> </v>
      </c>
      <c r="CH57" s="334" t="str">
        <f aca="false">IF($A57="N/A"," ",VLOOKUP($A57,CorrelationTable,2,FALSE()))</f>
        <v> </v>
      </c>
      <c r="CI57" s="336" t="str">
        <f aca="false">IF($A57="N/A"," ",F57+G57+(D57*('Pricing Inputs'!T90)))</f>
        <v> </v>
      </c>
      <c r="CJ57" s="334" t="str">
        <f aca="false">IF($A57="N/A"," ",IF(PV=1,0,'Pricing Inputs'!U90))</f>
        <v> </v>
      </c>
      <c r="CK57" s="337" t="str">
        <f aca="false">IF($A57="N/A"," ",(1+CJ57/2)^(-2*((EOMONTH(A57,0)+20)-DateToday)/365.25))</f>
        <v> </v>
      </c>
      <c r="CL57" s="338" t="str">
        <f aca="false">IF(A57="N/A"," ",IF(CC=2,(VLOOKUP(MONTH($A57),Hrtable,3))/1000,0))</f>
        <v> </v>
      </c>
      <c r="CM57" s="339" t="str">
        <f aca="false">IF(A57="N/A"," ",IF(CC=2,(CL57*C57)+F57,0))</f>
        <v> </v>
      </c>
      <c r="CN57" s="340" t="str">
        <f aca="false">IF($A57="N/A"," ",IF(CC=2,(VLOOKUP(A57,ScaledPrice,(IF(AND(Dayrun&gt;=1,Dayrun&lt;=6),2,4)))-((IF(R57&lt;&gt;0,$D57,$CL57)*$C57)+$F57+$G57)),0))</f>
        <v> </v>
      </c>
      <c r="CO57" s="340" t="str">
        <f aca="false">IF($A57="N/A"," ",IF(CC=2,(IF(AND(Dayrun&gt;=1,Dayrun&lt;=6),I57,(VLOOKUP(A57,ScaledPrice,2))*(2-(VLOOKUP(A57,ScaledPrice,3))))-((IF(S57&lt;&gt;0,$D57,$CL57)*$C57)+$F57+$G57)),0))</f>
        <v> </v>
      </c>
      <c r="CP57" s="340" t="str">
        <f aca="false">IF(A57="N/A"," ",IF(CC=2,(VLOOKUP(A57,ScaledPrice,9)-((IF(T57&lt;&gt;0,$D57,$CL57)*$C57)+$F57+$G57)),0))</f>
        <v> </v>
      </c>
      <c r="CQ57" s="340" t="str">
        <f aca="false">IF(A57="N/A"," ",IF(CC=2,(IF(OR(Dayrun=2,Dayrun=3,Dayrun=5,Dayrun=6,Dayrun=8,Dayrun=9),VLOOKUP(A57,ScaledPrice,IF(AND(Dayrun&gt;=2,Dayrun&lt;=6),5,6)),0)-((IF(U57&lt;&gt;0,$D57,$CL57)*$C57)+$F57+$G57)),0))</f>
        <v> </v>
      </c>
      <c r="CR57" s="340" t="str">
        <f aca="false">IF(A57="N/A"," ",IF(CC=2,(IF(OR(Dayrun=2,Dayrun=3,Dayrun=5,Dayrun=6,Dayrun=8,Dayrun=9),IF(AND(Dayrun&gt;=2,Dayrun&lt;=6),L57,(VLOOKUP(A57,ScaledPrice,5))*(2-(VLOOKUP(A57,ScaledPrice,3)))),0)-((IF(V57&lt;&gt;0,$D57,$CL57)*$C57)+$F57+$G57)),0))</f>
        <v> </v>
      </c>
      <c r="CS57" s="340" t="str">
        <f aca="false">IF(A57="N/A"," ",IF(CC=2,(VLOOKUP(A57,ScaledPrice,9)-((IF(W57&lt;&gt;0,$D57,$CL57)*$C57)+$F57+$G57)),0))</f>
        <v> </v>
      </c>
      <c r="CT57" s="340" t="str">
        <f aca="false">IF(A57="N/A"," ",IF(CC=2,(IF(OR(Dayrun=3,Dayrun=6,Dayrun=9),(VLOOKUP(A57,ScaledPrice,IF(AND(Dayrun&gt;=3,Dayrun&lt;=6),7,8))),0)-((IF(X57&lt;&gt;0,$D57,$CL57)*$C57)+$F57+$G57)),0))</f>
        <v> </v>
      </c>
      <c r="CU57" s="340" t="str">
        <f aca="false">IF(A57="N/A"," ",IF(CC=2,(IF(OR(Dayrun=3,Dayrun=6,Dayrun=9),IF(AND(Dayrun&gt;=3,Dayrun&lt;=6),O57,(VLOOKUP(A57,ScaledPrice,7))*(2-(VLOOKUP(A57,ScaledPrice,3)))),0)-((IF(Y57&lt;&gt;0,$D57,$CL57)*$C57)+$F57+$G57)),0))</f>
        <v> </v>
      </c>
      <c r="CV57" s="340" t="str">
        <f aca="false">IF(A57="N/A"," ",IF(CC=2,(VLOOKUP(A57,ScaledPrice,9)-((IF(Z57&lt;&gt;0,$D57,$CL57)*$C57)+$F57+$G57)),0))</f>
        <v> </v>
      </c>
      <c r="CW57" s="318" t="str">
        <f aca="false">IF($A57="N/A"," ",IF(0&lt;&gt;CN57,IF(CC=2,8*$HD57,0),0))</f>
        <v> </v>
      </c>
      <c r="CX57" s="318" t="str">
        <f aca="false">IF($A57="N/A"," ",IF(0&lt;&gt;CO57,IF(CC=2,8*$HD57,0),0))</f>
        <v> </v>
      </c>
      <c r="CY57" s="318" t="str">
        <f aca="false">IF($A57="N/A"," ",IF(0&lt;&gt;CP57,IF(CC=2,8*$HD57,0),0))</f>
        <v> </v>
      </c>
      <c r="CZ57" s="318" t="str">
        <f aca="false">IF($A57="N/A"," ",IF(0&lt;&gt;CQ57,IF(CC=2,8*$HE57,0),0))</f>
        <v> </v>
      </c>
      <c r="DA57" s="318" t="str">
        <f aca="false">IF($A57="N/A"," ",IF(0&lt;&gt;CR57,IF(CC=2,8*$HE57,0),0))</f>
        <v> </v>
      </c>
      <c r="DB57" s="318" t="str">
        <f aca="false">IF($A57="N/A"," ",IF(0&lt;&gt;CS57,IF(CC=2,8*$HE57,0),0))</f>
        <v> </v>
      </c>
      <c r="DC57" s="318" t="str">
        <f aca="false">IF($A57="N/A"," ",IF(0&lt;&gt;CT57,IF(CC=2,8*$HF57,0),0))</f>
        <v> </v>
      </c>
      <c r="DD57" s="318" t="str">
        <f aca="false">IF($A57="N/A"," ",IF(0&lt;&gt;CU57,IF(CC=2,8*$HF57,0),0))</f>
        <v> </v>
      </c>
      <c r="DE57" s="318" t="str">
        <f aca="false">IF($A57="N/A"," ",IF(0&lt;&gt;CV57,IF(CC=2,8*$HF57,0),0))</f>
        <v> </v>
      </c>
      <c r="DF57" s="341" t="str">
        <f aca="false">IF($A57="N/A"," ",IF(CC=2,(IF(MONTH(A57)&gt;=4,IF(MONTH(A57)&lt;=10,Inputs!$G$13,Inputs!$G$14),Inputs!$G$14))*$CK57,0))</f>
        <v> </v>
      </c>
      <c r="DG57" s="342" t="str">
        <f aca="false">IF($A57="N/A"," ",IF(CC=2,$DF57*CW57*CN57,0))</f>
        <v> </v>
      </c>
      <c r="DH57" s="342" t="str">
        <f aca="false">IF($A57="N/A"," ",IF(CC=2,$DF57*CX57*CO57,0))</f>
        <v> </v>
      </c>
      <c r="DI57" s="342" t="str">
        <f aca="false">IF($A57="N/A"," ",IF(CC=2,$DF57*CY57*CP57,0))</f>
        <v> </v>
      </c>
      <c r="DJ57" s="342" t="str">
        <f aca="false">IF($A57="N/A"," ",IF(CC=2,$DF57*CZ57*CQ57,0))</f>
        <v> </v>
      </c>
      <c r="DK57" s="342" t="str">
        <f aca="false">IF($A57="N/A"," ",IF(CC=2,$DF57*DA57*CR57,0))</f>
        <v> </v>
      </c>
      <c r="DL57" s="342" t="str">
        <f aca="false">IF($A57="N/A"," ",IF(CC=2,$DF57*DB57*CS57,0))</f>
        <v> </v>
      </c>
      <c r="DM57" s="342" t="str">
        <f aca="false">IF($A57="N/A"," ",IF(CC=2,$DF57*DC57*CT57,0))</f>
        <v> </v>
      </c>
      <c r="DN57" s="342" t="str">
        <f aca="false">IF($A57="N/A"," ",IF(CC=2,$DF57*DD57*CU57,0))</f>
        <v> </v>
      </c>
      <c r="DO57" s="342" t="str">
        <f aca="false">IF($A57="N/A"," ",IF(CC=2,$DF57*DE57*CV57,0))</f>
        <v> </v>
      </c>
      <c r="DP57" s="343" t="str">
        <f aca="false">IF($A57="N/A"," ",IF(CC=2,SUM(DG57:DO57),0))</f>
        <v> </v>
      </c>
      <c r="DQ57" s="0" t="str">
        <f aca="false">IF(A57="N/A"," ",Perstart)</f>
        <v> </v>
      </c>
      <c r="HD57" s="0" t="str">
        <f aca="false">IF($A57="N/A"," ",VLOOKUP($A57,NumberofDaysTable,2))</f>
        <v> </v>
      </c>
      <c r="HE57" s="0" t="str">
        <f aca="false">IF($A57="N/A"," ",VLOOKUP($A57,NumberofDaysTable,3))</f>
        <v> </v>
      </c>
      <c r="HF57" s="0" t="str">
        <f aca="false">IF($A57="N/A"," ",VLOOKUP($A57,NumberofDaysTable,4))</f>
        <v> </v>
      </c>
    </row>
    <row r="58" customFormat="false" ht="12.75" hidden="false" customHeight="false" outlineLevel="0" collapsed="false">
      <c r="A58" s="308" t="str">
        <f aca="false">IF(A57="N/A","N/A",IF(EDATE(A57,1)&gt;Inputs!$K$3,"N/A",EDATE(A57,1)))</f>
        <v>N/A</v>
      </c>
      <c r="B58" s="309" t="str">
        <f aca="false">IF(A58="N/A"," ",YEAR(A58))</f>
        <v> </v>
      </c>
      <c r="C58" s="310" t="str">
        <f aca="false">IF(A58="N/A"," ",VLOOKUP(A58,ScaledPrice,10))</f>
        <v> </v>
      </c>
      <c r="D58" s="311" t="str">
        <f aca="false">IF(A58="N/A"," ",(VLOOKUP(MONTH($A58),Hrtable,2))/1000)</f>
        <v> </v>
      </c>
      <c r="E58" s="312" t="str">
        <f aca="false">IF($A58="N/A"," ",(C58-'Pricing Inputs'!T91)*D58)</f>
        <v> </v>
      </c>
      <c r="F58" s="313" t="str">
        <f aca="false">IF(A58="N/A"," ",$F46*(1+VOMesc))</f>
        <v> </v>
      </c>
      <c r="G58" s="313" t="str">
        <f aca="false">IF(A58="N/A"," ",Perstart/IF(AND(Dayrun&gt;=4,Dayrun&lt;=6),16,IF(AND(Dayrun&gt;=7,Dayrun&lt;=9),8,24))/(BM58/CK58))</f>
        <v> </v>
      </c>
      <c r="H58" s="314" t="str">
        <f aca="false">IF(A58="N/A"," ",(C58*D58)+F58+G58)</f>
        <v> </v>
      </c>
      <c r="I58" s="315" t="str">
        <f aca="false">VLOOKUP(A58,ScaledPrice,(IF(AND(Dayrun&gt;=1,Dayrun&lt;=6),2,4)))</f>
        <v> </v>
      </c>
      <c r="J58" s="315" t="str">
        <f aca="false">IF(A58="N/A"," ",IF(AND(Dayrun&gt;=1,Dayrun&lt;=6),I58,(VLOOKUP(A58,ScaledPrice,2))*(2-(VLOOKUP(A58,ScaledPrice,3)))))</f>
        <v> </v>
      </c>
      <c r="K58" s="315" t="str">
        <f aca="false">IF(A58="N/A"," ",IF(AND(Dayrun&gt;=1,Dayrun&lt;=3),VLOOKUP(A58,ScaledPrice,9),0))</f>
        <v> </v>
      </c>
      <c r="L58" s="315" t="str">
        <f aca="false">IF(A58="N/A"," ",IF(OR(Dayrun=2,Dayrun=3,Dayrun=5,Dayrun=6,Dayrun=8,Dayrun=9),VLOOKUP(A58,ScaledPrice,IF(AND(Dayrun&gt;=2,Dayrun&lt;=6),5,6)),0))</f>
        <v> </v>
      </c>
      <c r="M58" s="315" t="str">
        <f aca="false">IF(A58="N/A"," ",IF(OR(Dayrun=2,Dayrun=3,Dayrun=5,Dayrun=6,Dayrun=8,Dayrun=9),IF(AND(Dayrun&gt;=2,Dayrun&lt;=6),L58,(VLOOKUP(A58,ScaledPrice,5))*(2-(VLOOKUP(A58,ScaledPrice,3)))),0))</f>
        <v> </v>
      </c>
      <c r="N58" s="315" t="str">
        <f aca="false">IF(A58="N/A"," ",IF(AND(Dayrun&gt;1,Dayrun&lt;=3),VLOOKUP(A58,ScaledPrice,9),0))</f>
        <v> </v>
      </c>
      <c r="O58" s="315" t="str">
        <f aca="false">IF(A58="N/A"," ",IF(OR(Dayrun=3,Dayrun=6,Dayrun=9),(VLOOKUP(A58,ScaledPrice,IF(AND(Dayrun&gt;=3,Dayrun&lt;=6),7,8))),0))</f>
        <v> </v>
      </c>
      <c r="P58" s="315" t="str">
        <f aca="false">IF(A58="N/A"," ",IF(OR(Dayrun=3,Dayrun=6,Dayrun=9),IF(AND(Dayrun&gt;=3,Dayrun&lt;=6),O58,(VLOOKUP(A58,ScaledPrice,7))*(2-(VLOOKUP(A58,ScaledPrice,3)))),0))</f>
        <v> </v>
      </c>
      <c r="Q58" s="315" t="str">
        <f aca="false">IF(A58="N/A"," ",IF(AND(Dayrun&gt;2,Dayrun&lt;=3),VLOOKUP(A58,ScaledPrice,9),0))</f>
        <v> </v>
      </c>
      <c r="R58" s="316" t="str">
        <f aca="false">IF($A58="N/A"," ",IF(Pricetype=2,MAX(I58-$H58,0),IF(Pricetype=1,(xSPRDOPT(I58,$E58,$CI58,0,($CD58+IF(Smile=TRUE(),VLOOKUP(MAX(-5,$H58-I58),Volsmile,2),0)),$CG58,$CH58,($A58-DateToday)+15,1,0)),I58-$H58)))</f>
        <v> </v>
      </c>
      <c r="S58" s="316" t="str">
        <f aca="false">IF($A58="N/A"," ",IF(Pricetype=2,MAX(J58-$H58,0),IF(Pricetype=1,(xSPRDOPT(J58,$E58,$CI58,0,($CD58+IF(Smile=TRUE(),VLOOKUP(MAX(-5,$H58-J58),Volsmile,2),0)),$CG58,$CH58,($A58-DateToday)+15,1,0)),J58-$H58)))</f>
        <v> </v>
      </c>
      <c r="T58" s="317" t="str">
        <f aca="false">IF($A58="N/A"," ",(IF(Pricetype=2,IF((K58-$H58)&lt;=0,0,(K58-$H58)),IF(K58&lt;&gt;0,(K58-$H58),0))))</f>
        <v> </v>
      </c>
      <c r="U58" s="316" t="str">
        <f aca="false">IF($A58="N/A"," ",IF(Pricetype=2,MAX(L58-$H58,0),IF(L58&lt;&gt;0,IF(Pricetype=1,(xSPRDOPT(L58,$E58,$CI58,0,($CD58+IF(Smile=TRUE(),VLOOKUP(MAX(-5,$H58-L58),Volsmile,2),0)),$CG58,$CH58,($A58-DateToday)+15,1,0)),L58-$H58),0)))</f>
        <v> </v>
      </c>
      <c r="V58" s="316" t="str">
        <f aca="false">IF($A58="N/A"," ",IF(Pricetype=2,MAX(M58-$H58,0),IF(M58&lt;&gt;0,IF(Pricetype=1,(xSPRDOPT(M58,$E58,$CI58,0,($CD58+IF(Smile=TRUE(),VLOOKUP(MAX(-5,$H58-M58),Volsmile,2),0)),$CG58,$CH58,($A58-DateToday)+15,1,0)),M58-$H58),0)))</f>
        <v> </v>
      </c>
      <c r="W58" s="317" t="str">
        <f aca="false">IF($A58="N/A"," ",(IF(Pricetype=2,IF((N58-$H58)&lt;=0,0,(N58-$H58)),IF(N58&lt;&gt;0,(N58-$H58),0))))</f>
        <v> </v>
      </c>
      <c r="X58" s="316" t="str">
        <f aca="false">IF($A58="N/A"," ",IF(Pricetype=2,MAX(O58-$H58,0),IF(O58&lt;&gt;0,IF(Pricetype=1,(xSPRDOPT(O58,$E58,$CI58,0,($CD58+IF(Smile=TRUE(),VLOOKUP(MAX(-5,$H58-O58),Volsmile,2),0)),$CG58,$CH58,($A58-DateToday)+15,1,0)),O58-$H58),0)))</f>
        <v> </v>
      </c>
      <c r="Y58" s="316" t="str">
        <f aca="false">IF($A58="N/A"," ",IF(Pricetype=2,MAX(P58-$H58,0),IF(P58&lt;&gt;0,IF(Pricetype=1,(xSPRDOPT(P58,$E58,$CI58,0,($CD58+IF(Smile=TRUE(),VLOOKUP(MAX(-5,$H58-P58),Volsmile,2),0)),$CG58,$CH58,($A58-DateToday)+15,1,0)),P58-$H58),0)))</f>
        <v> </v>
      </c>
      <c r="Z58" s="317" t="str">
        <f aca="false">IF($A58="N/A"," ",(IF(Pricetype=2,IF((Q58-$H58)&lt;=0,0,(Q58-$H58)),IF(Q58&lt;&gt;0,(Q58-$H58),0))))</f>
        <v> </v>
      </c>
      <c r="AA58" s="318" t="str">
        <f aca="false">IF($A58="N/A"," ",IF(VLOOKUP(MONTH(A58),ManualTable,2)=1,(IF(0&lt;&gt;R58,IF(Pricetype=1,(xSPRDOPT(I58,$E58,$CI58,0,($CD58+IF(Smile=TRUE(),VLOOKUP(MAX(-5,$H58-I58),Volsmile,2),0)),$CG58,$CH58,($A58-DateToday)+15,1,1))*(8*$HD58),8*$HD58),0)),0))</f>
        <v> </v>
      </c>
      <c r="AB58" s="318" t="str">
        <f aca="false">IF($A58="N/A"," ",IF(VLOOKUP(MONTH(A58),ManualTable,3)=1,(IF(S58&lt;&gt;0,IF(Pricetype=1,(xSPRDOPT(J58,$E58,$CI58,0,($CD58+IF(Smile=TRUE(),VLOOKUP(MAX(-5,$H58-J58),Volsmile,2),0)),$CG58,$CH58,($A58-DateToday)+15,1,1))*(8*$HD58),8*$HD58),0)),0))</f>
        <v> </v>
      </c>
      <c r="AC58" s="318" t="str">
        <f aca="false">IF($A58="N/A"," ",IF(VLOOKUP(MONTH(A58),ManualTable,4)=1,(IF(T58&lt;&gt;0,(8*$HD58),0)),0))</f>
        <v> </v>
      </c>
      <c r="AD58" s="318" t="str">
        <f aca="false">IF($A58="N/A"," ",IF(VLOOKUP(MONTH(A58),ManualTable,5)=1,(IF(U58&lt;&gt;0,IF(Pricetype=1,(xSPRDOPT(L58,$E58,$CI58,0,($CD58+IF(Smile=TRUE(),VLOOKUP(MAX(-5,$H58-L58),Volsmile,2),0)),$CG58,$CH58,($A58-DateToday)+15,1,1))*(8*$HE58),8*$HE58),0)),0))</f>
        <v> </v>
      </c>
      <c r="AE58" s="318" t="str">
        <f aca="false">IF($A58="N/A"," ",IF(VLOOKUP(MONTH(A58),ManualTable,6)=1,(IF(V58&lt;&gt;0,IF(Pricetype=1,(xSPRDOPT(M58,$E58,$CI58,0,($CD58+IF(Smile=TRUE(),VLOOKUP(MAX(-5,$H58-M58),Volsmile,2),0)),$CG58,$CH58,($A58-DateToday)+15,1,1))*(8*$HE58),8*$HE58),0)),0))</f>
        <v> </v>
      </c>
      <c r="AF58" s="318" t="str">
        <f aca="false">IF($A58="N/A"," ",IF(VLOOKUP(MONTH(A58),ManualTable,7)=1,(IF(W58&lt;&gt;0,(8*$HE58),0)),0))</f>
        <v> </v>
      </c>
      <c r="AG58" s="318" t="str">
        <f aca="false">IF($A58="N/A"," ",IF(VLOOKUP(MONTH(A58),ManualTable,8)=1,(IF(X58&lt;&gt;0,IF(Pricetype=1,(xSPRDOPT(O58,$E58,$CI58,0,($CD58+IF(Smile=TRUE(),VLOOKUP(MAX(-5,$H58-O58),Volsmile,2),0)),$CG58,$CH58,($A58-DateToday)+15,1,1))*(8*$HF58),8*$HF58),0)),0))</f>
        <v> </v>
      </c>
      <c r="AH58" s="318" t="str">
        <f aca="false">IF($A58="N/A"," ",IF(VLOOKUP(MONTH(A58),ManualTable,9)=1,(IF(Y58&lt;&gt;0,IF(Pricetype=1,(xSPRDOPT(P58,$E58,$CI58,0,($CD58+IF(Smile=TRUE(),VLOOKUP(MAX(-5,$H58-P58),Volsmile,2),0)),$CG58,$CH58,($A58-DateToday)+15,1,1))*(8*$HF58),8*$HF58),0)),0))</f>
        <v> </v>
      </c>
      <c r="AI58" s="318" t="str">
        <f aca="false">IF($A58="N/A"," ",IF(VLOOKUP(MONTH(A58),ManualTable,10)=1,(IF(Z58&lt;&gt;0,(8*($HF58)),0)),0))</f>
        <v> </v>
      </c>
      <c r="AJ58" s="344" t="str">
        <f aca="false">IF($A58="N/A"," ",RANK(R58,$R$52:$Z$63))</f>
        <v> </v>
      </c>
      <c r="AK58" s="321" t="str">
        <f aca="false">IF($A58="N/A"," ",RANK(S58,$R$52:$Z$63))</f>
        <v> </v>
      </c>
      <c r="AL58" s="321" t="str">
        <f aca="false">IF($A58="N/A"," ",RANK(T58,$R$52:$Z$63))</f>
        <v> </v>
      </c>
      <c r="AM58" s="321" t="str">
        <f aca="false">IF($A58="N/A"," ",RANK(U58,$R$52:$Z$63))</f>
        <v> </v>
      </c>
      <c r="AN58" s="321" t="str">
        <f aca="false">IF($A58="N/A"," ",RANK(V58,$R$52:$Z$63))</f>
        <v> </v>
      </c>
      <c r="AO58" s="321" t="str">
        <f aca="false">IF($A58="N/A"," ",RANK(W58,$R$52:$Z$63))</f>
        <v> </v>
      </c>
      <c r="AP58" s="321" t="str">
        <f aca="false">IF($A58="N/A"," ",RANK(X58,$R$52:$Z$63))</f>
        <v> </v>
      </c>
      <c r="AQ58" s="321" t="str">
        <f aca="false">IF($A58="N/A"," ",RANK(Y58,$R$52:$Z$63))</f>
        <v> </v>
      </c>
      <c r="AR58" s="345" t="str">
        <f aca="false">IF($A58="N/A"," ",RANK(Z58,$R$52:$Z$63))</f>
        <v> </v>
      </c>
      <c r="AS58" s="323" t="str">
        <f aca="false">IF($A58="N/A"," ",IF(AJ58&lt;=$AR$2,AA58,0))</f>
        <v> </v>
      </c>
      <c r="AT58" s="325" t="str">
        <f aca="false">IF($A58="N/A"," ",IF(AK58&lt;=$AR$2,AB58,0))</f>
        <v> </v>
      </c>
      <c r="AU58" s="325" t="str">
        <f aca="false">IF($A58="N/A"," ",IF(AL58&lt;=$AR$2,AC58,0))</f>
        <v> </v>
      </c>
      <c r="AV58" s="325" t="str">
        <f aca="false">IF($A58="N/A"," ",IF(AM58&lt;=$AR$2,AD58,0))</f>
        <v> </v>
      </c>
      <c r="AW58" s="325" t="str">
        <f aca="false">IF($A58="N/A"," ",IF(AN58&lt;=$AR$2,AE58,0))</f>
        <v> </v>
      </c>
      <c r="AX58" s="325" t="str">
        <f aca="false">IF($A58="N/A"," ",IF(AO58&lt;=$AR$2,AF58,0))</f>
        <v> </v>
      </c>
      <c r="AY58" s="325" t="str">
        <f aca="false">IF($A58="N/A"," ",IF(AP58&lt;=$AR$2,AG58,0))</f>
        <v> </v>
      </c>
      <c r="AZ58" s="325" t="str">
        <f aca="false">IF($A58="N/A"," ",IF(AQ58&lt;=$AR$2,AH58,0))</f>
        <v> </v>
      </c>
      <c r="BA58" s="325" t="str">
        <f aca="false">IF($A58="N/A"," ",IF(AR58&lt;=$AR$2,AI58,0))</f>
        <v> </v>
      </c>
      <c r="BB58" s="345"/>
      <c r="BC58" s="326" t="str">
        <f aca="false">IF($A58="N/A"," ",IF(AND(AJ58=$AR$2+1,AS58=0),MIN($BB$63,AA58),0))</f>
        <v> </v>
      </c>
      <c r="BD58" s="346" t="str">
        <f aca="false">IF($A58="N/A"," ",IF(AND(AK58=$AR$2+1,AT58=0),MIN($BB$63,AB58),0))</f>
        <v> </v>
      </c>
      <c r="BE58" s="346" t="str">
        <f aca="false">IF($A58="N/A"," ",IF(AND(AL58=$AR$2+1,AU58=0),MIN($BB$63,AC58),0))</f>
        <v> </v>
      </c>
      <c r="BF58" s="346" t="str">
        <f aca="false">IF($A58="N/A"," ",IF(AND(AM58=$AR$2+1,AV58=0),MIN($BB$63,AD58),0))</f>
        <v> </v>
      </c>
      <c r="BG58" s="346" t="str">
        <f aca="false">IF($A58="N/A"," ",IF(AND(AN58=$AR$2+1,AW58=0),MIN($BB$63,AE58),0))</f>
        <v> </v>
      </c>
      <c r="BH58" s="346" t="str">
        <f aca="false">IF($A58="N/A"," ",IF(AND(AO58=$AR$2+1,AX58=0),MIN($BB$63,AF58),0))</f>
        <v> </v>
      </c>
      <c r="BI58" s="346" t="str">
        <f aca="false">IF($A58="N/A"," ",IF(AND(AP58=$AR$2+1,AY58=0),MIN($BB$63,AG58),0))</f>
        <v> </v>
      </c>
      <c r="BJ58" s="346" t="str">
        <f aca="false">IF($A58="N/A"," ",IF(AND(AQ58=$AR$2+1,AZ58=0),MIN($BB$63,AH58),0))</f>
        <v> </v>
      </c>
      <c r="BK58" s="346" t="str">
        <f aca="false">IF($A58="N/A"," ",IF(AND(AR58=$AR$2+1,BA58=0),MIN($BB$63,AI58),0))</f>
        <v> </v>
      </c>
      <c r="BL58" s="345"/>
      <c r="BM58" s="329" t="str">
        <f aca="false">IF($A58="N/A"," ",(IF(MONTH(A58)&gt;=4,IF(MONTH(A58)&lt;=10,Inputs!$F$13-Inputs!$G$13,Inputs!$F$14-Inputs!$G$14),Inputs!$F$14-Inputs!$G$14))*$CK58*Availability)</f>
        <v> </v>
      </c>
      <c r="BN58" s="330" t="str">
        <f aca="false">IF($A58="N/A"," ",(IF(AS58&gt;0,($BM58*(8*($HD58))*R58),0)+IF(BC58&gt;0,($BM58*((BC58/AA58)*8*$HD58)*R58),0)))</f>
        <v> </v>
      </c>
      <c r="BO58" s="330" t="str">
        <f aca="false">IF($A58="N/A"," ",(IF(AT58&gt;0,($BM58*(8*($HD58))*S58),0)+IF(BD58&gt;0,($BM58*((BD58/AB58)*8*$HD58)*S58),0)))</f>
        <v> </v>
      </c>
      <c r="BP58" s="330" t="str">
        <f aca="false">IF($A58="N/A"," ",(IF(AU58&gt;0,($BM58*(8*($HD58))*T58),0)+IF(BE58&gt;0,($BM58*((BE58))*T58),0)))</f>
        <v> </v>
      </c>
      <c r="BQ58" s="330" t="str">
        <f aca="false">IF($A58="N/A"," ",(IF(AV58&gt;0,($BM58*(8*($HE58))*U58),0)+IF(BF58&gt;0,($BM58*((BF58/AD58)*8*$HE58)*U58),0)))</f>
        <v> </v>
      </c>
      <c r="BR58" s="330" t="str">
        <f aca="false">IF($A58="N/A"," ",(IF(AW58&gt;0,($BM58*(8*($HE58))*V58),0)+IF(BG58&gt;0,($BM58*((BG58/AE58)*8*$HE58)*V58),0)))</f>
        <v> </v>
      </c>
      <c r="BS58" s="330" t="str">
        <f aca="false">IF($A58="N/A"," ",(IF(AX58&gt;0,($BM58*(8*($HE58))*W58),0)+IF(BH58&gt;0,($BM58*((BH58))*W58),0)))</f>
        <v> </v>
      </c>
      <c r="BT58" s="330" t="str">
        <f aca="false">IF($A58="N/A"," ",(IF(AY58&gt;0,($BM58*(8*($HF58))*X58),0)+IF(BI58&gt;0,($BM58*((BI58/AG58)*8*$HF58)*X58),0)))</f>
        <v> </v>
      </c>
      <c r="BU58" s="330" t="str">
        <f aca="false">IF($A58="N/A"," ",(IF(AZ58&gt;0,($BM58*(8*($HF58))*Y58),0)+IF(BJ58&gt;0,($BM58*((BJ58/AH58)*8*$HF58)*Y58),0)))</f>
        <v> </v>
      </c>
      <c r="BV58" s="330" t="str">
        <f aca="false">IF($A58="N/A"," ",(IF(BA58&gt;0,($BM58*(8*($HF58))*Z58),0)+IF(BK58&gt;0,($BM58*((BK58))*Z58),0)))</f>
        <v> </v>
      </c>
      <c r="BW58" s="330" t="str">
        <f aca="false">IF($A58="N/A"," ",SUM(BN58:BV58))</f>
        <v> </v>
      </c>
      <c r="BX58" s="331" t="str">
        <f aca="false">IF($A58="N/A"," ",(H58*(SUM(AS58:BA58)+SUM(BC58:BK58))*BM58))</f>
        <v> </v>
      </c>
      <c r="BY58" s="332" t="str">
        <f aca="false">IF($A58="N/A"," ",((C58*D58)*(SUM($AS58:$BA58)+SUM($BC58:$BK58))*$BM58))</f>
        <v> </v>
      </c>
      <c r="BZ58" s="332" t="str">
        <f aca="false">IF($A58="N/A"," ",(F58*(SUM($AS58:$BA58)+SUM($BC58:$BK58))*$BM58))</f>
        <v> </v>
      </c>
      <c r="CA58" s="333" t="str">
        <f aca="false">IF($A58="N/A"," ",(G58*(SUM($AS58:$BA58)+SUM($BC58:$BK58))*$BM58))</f>
        <v> </v>
      </c>
      <c r="CB58" s="334" t="str">
        <f aca="false">IF(A58="N/A"," ",(VLOOKUP(A58,PowerVolTable,(IF(BMO=2,7,IF(BMO=1,6,8))),FALSE())))</f>
        <v> </v>
      </c>
      <c r="CC58" s="334" t="str">
        <f aca="false">IF(A58="N/A"," ",(VLOOKUP(A58,IntraPowerVol,(IF(BMO=2,3,IF(BMO=1,2,4))),FALSE())*VLOOKUP(MONTH($A58),Volscale,2)))</f>
        <v> </v>
      </c>
      <c r="CD58" s="335" t="str">
        <f aca="false">IF($A58="N/A"," ",(IF(DateToday&gt;$A58,$CC58,((($CB58^2)*((($A58-1)-DateToday)/((EOMONTH($A58,0)+1)-DateToday-15)))+((($CC58)^2)*((15)/((EOMONTH($A58,0)+1)-DateToday-15))))^0.5)))</f>
        <v> </v>
      </c>
      <c r="CE58" s="334" t="str">
        <f aca="false">IF($A58="N/A"," ",(VLOOKUP($A58,GasVolTable,(IF(BMO=2,6,IF(BMO=1,7,5))),FALSE())))</f>
        <v> </v>
      </c>
      <c r="CF58" s="334" t="str">
        <f aca="false">IF($A58="N/A"," ",(VLOOKUP($A58,OmicronVol,(IF(BMO=2,3,IF(BMO=1,4,2))),FALSE())))</f>
        <v> </v>
      </c>
      <c r="CG58" s="335" t="str">
        <f aca="false">IF($A58="N/A"," ",(IF(DateToday&gt;$A58,$CF58,((($CE58^2)*((($A58-1)-DateToday)/((EOMONTH($A58,0)+1)-DateToday-15)))+((($CF58)^2)*((15)/((EOMONTH($A58,0)+1)-DateToday-15))))^0.5)))</f>
        <v> </v>
      </c>
      <c r="CH58" s="334" t="str">
        <f aca="false">IF($A58="N/A"," ",VLOOKUP($A58,CorrelationTable,2,FALSE()))</f>
        <v> </v>
      </c>
      <c r="CI58" s="336" t="str">
        <f aca="false">IF($A58="N/A"," ",F58+G58+(D58*('Pricing Inputs'!T91)))</f>
        <v> </v>
      </c>
      <c r="CJ58" s="334" t="str">
        <f aca="false">IF($A58="N/A"," ",IF(PV=1,0,'Pricing Inputs'!U91))</f>
        <v> </v>
      </c>
      <c r="CK58" s="337" t="str">
        <f aca="false">IF($A58="N/A"," ",(1+CJ58/2)^(-2*((EOMONTH(A58,0)+20)-DateToday)/365.25))</f>
        <v> </v>
      </c>
      <c r="CL58" s="338" t="str">
        <f aca="false">IF(A58="N/A"," ",IF(CC=2,(VLOOKUP(MONTH($A58),Hrtable,3))/1000,0))</f>
        <v> </v>
      </c>
      <c r="CM58" s="339" t="str">
        <f aca="false">IF(A58="N/A"," ",IF(CC=2,(CL58*C58)+F58,0))</f>
        <v> </v>
      </c>
      <c r="CN58" s="340" t="str">
        <f aca="false">IF($A58="N/A"," ",IF(CC=2,(VLOOKUP(A58,ScaledPrice,(IF(AND(Dayrun&gt;=1,Dayrun&lt;=6),2,4)))-((IF(R58&lt;&gt;0,$D58,$CL58)*$C58)+$F58+$G58)),0))</f>
        <v> </v>
      </c>
      <c r="CO58" s="340" t="str">
        <f aca="false">IF($A58="N/A"," ",IF(CC=2,(IF(AND(Dayrun&gt;=1,Dayrun&lt;=6),I58,(VLOOKUP(A58,ScaledPrice,2))*(2-(VLOOKUP(A58,ScaledPrice,3))))-((IF(S58&lt;&gt;0,$D58,$CL58)*$C58)+$F58+$G58)),0))</f>
        <v> </v>
      </c>
      <c r="CP58" s="340" t="str">
        <f aca="false">IF(A58="N/A"," ",IF(CC=2,(VLOOKUP(A58,ScaledPrice,9)-((IF(T58&lt;&gt;0,$D58,$CL58)*$C58)+$F58+$G58)),0))</f>
        <v> </v>
      </c>
      <c r="CQ58" s="340" t="str">
        <f aca="false">IF(A58="N/A"," ",IF(CC=2,(IF(OR(Dayrun=2,Dayrun=3,Dayrun=5,Dayrun=6,Dayrun=8,Dayrun=9),VLOOKUP(A58,ScaledPrice,IF(AND(Dayrun&gt;=2,Dayrun&lt;=6),5,6)),0)-((IF(U58&lt;&gt;0,$D58,$CL58)*$C58)+$F58+$G58)),0))</f>
        <v> </v>
      </c>
      <c r="CR58" s="340" t="str">
        <f aca="false">IF(A58="N/A"," ",IF(CC=2,(IF(OR(Dayrun=2,Dayrun=3,Dayrun=5,Dayrun=6,Dayrun=8,Dayrun=9),IF(AND(Dayrun&gt;=2,Dayrun&lt;=6),L58,(VLOOKUP(A58,ScaledPrice,5))*(2-(VLOOKUP(A58,ScaledPrice,3)))),0)-((IF(V58&lt;&gt;0,$D58,$CL58)*$C58)+$F58+$G58)),0))</f>
        <v> </v>
      </c>
      <c r="CS58" s="340" t="str">
        <f aca="false">IF(A58="N/A"," ",IF(CC=2,(VLOOKUP(A58,ScaledPrice,9)-((IF(W58&lt;&gt;0,$D58,$CL58)*$C58)+$F58+$G58)),0))</f>
        <v> </v>
      </c>
      <c r="CT58" s="340" t="str">
        <f aca="false">IF(A58="N/A"," ",IF(CC=2,(IF(OR(Dayrun=3,Dayrun=6,Dayrun=9),(VLOOKUP(A58,ScaledPrice,IF(AND(Dayrun&gt;=3,Dayrun&lt;=6),7,8))),0)-((IF(X58&lt;&gt;0,$D58,$CL58)*$C58)+$F58+$G58)),0))</f>
        <v> </v>
      </c>
      <c r="CU58" s="340" t="str">
        <f aca="false">IF(A58="N/A"," ",IF(CC=2,(IF(OR(Dayrun=3,Dayrun=6,Dayrun=9),IF(AND(Dayrun&gt;=3,Dayrun&lt;=6),O58,(VLOOKUP(A58,ScaledPrice,7))*(2-(VLOOKUP(A58,ScaledPrice,3)))),0)-((IF(Y58&lt;&gt;0,$D58,$CL58)*$C58)+$F58+$G58)),0))</f>
        <v> </v>
      </c>
      <c r="CV58" s="340" t="str">
        <f aca="false">IF(A58="N/A"," ",IF(CC=2,(VLOOKUP(A58,ScaledPrice,9)-((IF(Z58&lt;&gt;0,$D58,$CL58)*$C58)+$F58+$G58)),0))</f>
        <v> </v>
      </c>
      <c r="CW58" s="318" t="str">
        <f aca="false">IF($A58="N/A"," ",IF(0&lt;&gt;CN58,IF(CC=2,8*$HD58,0),0))</f>
        <v> </v>
      </c>
      <c r="CX58" s="318" t="str">
        <f aca="false">IF($A58="N/A"," ",IF(0&lt;&gt;CO58,IF(CC=2,8*$HD58,0),0))</f>
        <v> </v>
      </c>
      <c r="CY58" s="318" t="str">
        <f aca="false">IF($A58="N/A"," ",IF(0&lt;&gt;CP58,IF(CC=2,8*$HD58,0),0))</f>
        <v> </v>
      </c>
      <c r="CZ58" s="318" t="str">
        <f aca="false">IF($A58="N/A"," ",IF(0&lt;&gt;CQ58,IF(CC=2,8*$HE58,0),0))</f>
        <v> </v>
      </c>
      <c r="DA58" s="318" t="str">
        <f aca="false">IF($A58="N/A"," ",IF(0&lt;&gt;CR58,IF(CC=2,8*$HE58,0),0))</f>
        <v> </v>
      </c>
      <c r="DB58" s="318" t="str">
        <f aca="false">IF($A58="N/A"," ",IF(0&lt;&gt;CS58,IF(CC=2,8*$HE58,0),0))</f>
        <v> </v>
      </c>
      <c r="DC58" s="318" t="str">
        <f aca="false">IF($A58="N/A"," ",IF(0&lt;&gt;CT58,IF(CC=2,8*$HF58,0),0))</f>
        <v> </v>
      </c>
      <c r="DD58" s="318" t="str">
        <f aca="false">IF($A58="N/A"," ",IF(0&lt;&gt;CU58,IF(CC=2,8*$HF58,0),0))</f>
        <v> </v>
      </c>
      <c r="DE58" s="318" t="str">
        <f aca="false">IF($A58="N/A"," ",IF(0&lt;&gt;CV58,IF(CC=2,8*$HF58,0),0))</f>
        <v> </v>
      </c>
      <c r="DF58" s="341" t="str">
        <f aca="false">IF($A58="N/A"," ",IF(CC=2,(IF(MONTH(A58)&gt;=4,IF(MONTH(A58)&lt;=10,Inputs!$G$13,Inputs!$G$14),Inputs!$G$14))*$CK58,0))</f>
        <v> </v>
      </c>
      <c r="DG58" s="342" t="str">
        <f aca="false">IF($A58="N/A"," ",IF(CC=2,$DF58*CW58*CN58,0))</f>
        <v> </v>
      </c>
      <c r="DH58" s="342" t="str">
        <f aca="false">IF($A58="N/A"," ",IF(CC=2,$DF58*CX58*CO58,0))</f>
        <v> </v>
      </c>
      <c r="DI58" s="342" t="str">
        <f aca="false">IF($A58="N/A"," ",IF(CC=2,$DF58*CY58*CP58,0))</f>
        <v> </v>
      </c>
      <c r="DJ58" s="342" t="str">
        <f aca="false">IF($A58="N/A"," ",IF(CC=2,$DF58*CZ58*CQ58,0))</f>
        <v> </v>
      </c>
      <c r="DK58" s="342" t="str">
        <f aca="false">IF($A58="N/A"," ",IF(CC=2,$DF58*DA58*CR58,0))</f>
        <v> </v>
      </c>
      <c r="DL58" s="342" t="str">
        <f aca="false">IF($A58="N/A"," ",IF(CC=2,$DF58*DB58*CS58,0))</f>
        <v> </v>
      </c>
      <c r="DM58" s="342" t="str">
        <f aca="false">IF($A58="N/A"," ",IF(CC=2,$DF58*DC58*CT58,0))</f>
        <v> </v>
      </c>
      <c r="DN58" s="342" t="str">
        <f aca="false">IF($A58="N/A"," ",IF(CC=2,$DF58*DD58*CU58,0))</f>
        <v> </v>
      </c>
      <c r="DO58" s="342" t="str">
        <f aca="false">IF($A58="N/A"," ",IF(CC=2,$DF58*DE58*CV58,0))</f>
        <v> </v>
      </c>
      <c r="DP58" s="343" t="str">
        <f aca="false">IF($A58="N/A"," ",IF(CC=2,SUM(DG58:DO58),0))</f>
        <v> </v>
      </c>
      <c r="DQ58" s="0" t="str">
        <f aca="false">IF(A58="N/A"," ",Perstart)</f>
        <v> </v>
      </c>
      <c r="HD58" s="0" t="str">
        <f aca="false">IF($A58="N/A"," ",VLOOKUP($A58,NumberofDaysTable,2))</f>
        <v> </v>
      </c>
      <c r="HE58" s="0" t="str">
        <f aca="false">IF($A58="N/A"," ",VLOOKUP($A58,NumberofDaysTable,3))</f>
        <v> </v>
      </c>
      <c r="HF58" s="0" t="str">
        <f aca="false">IF($A58="N/A"," ",VLOOKUP($A58,NumberofDaysTable,4))</f>
        <v> </v>
      </c>
    </row>
    <row r="59" customFormat="false" ht="12.75" hidden="false" customHeight="false" outlineLevel="0" collapsed="false">
      <c r="A59" s="308" t="str">
        <f aca="false">IF(A58="N/A","N/A",IF(EDATE(A58,1)&gt;Inputs!$K$3,"N/A",EDATE(A58,1)))</f>
        <v>N/A</v>
      </c>
      <c r="B59" s="309" t="str">
        <f aca="false">IF(A59="N/A"," ",YEAR(A59))</f>
        <v> </v>
      </c>
      <c r="C59" s="310" t="str">
        <f aca="false">IF(A59="N/A"," ",VLOOKUP(A59,ScaledPrice,10))</f>
        <v> </v>
      </c>
      <c r="D59" s="311" t="str">
        <f aca="false">IF(A59="N/A"," ",(VLOOKUP(MONTH($A59),Hrtable,2))/1000)</f>
        <v> </v>
      </c>
      <c r="E59" s="312" t="str">
        <f aca="false">IF($A59="N/A"," ",(C59-'Pricing Inputs'!T92)*D59)</f>
        <v> </v>
      </c>
      <c r="F59" s="313" t="str">
        <f aca="false">IF(A59="N/A"," ",$F47*(1+VOMesc))</f>
        <v> </v>
      </c>
      <c r="G59" s="313" t="str">
        <f aca="false">IF(A59="N/A"," ",Perstart/IF(AND(Dayrun&gt;=4,Dayrun&lt;=6),16,IF(AND(Dayrun&gt;=7,Dayrun&lt;=9),8,24))/(BM59/CK59))</f>
        <v> </v>
      </c>
      <c r="H59" s="314" t="str">
        <f aca="false">IF(A59="N/A"," ",(C59*D59)+F59+G59)</f>
        <v> </v>
      </c>
      <c r="I59" s="315" t="str">
        <f aca="false">VLOOKUP(A59,ScaledPrice,(IF(AND(Dayrun&gt;=1,Dayrun&lt;=6),2,4)))</f>
        <v> </v>
      </c>
      <c r="J59" s="315" t="str">
        <f aca="false">IF(A59="N/A"," ",IF(AND(Dayrun&gt;=1,Dayrun&lt;=6),I59,(VLOOKUP(A59,ScaledPrice,2))*(2-(VLOOKUP(A59,ScaledPrice,3)))))</f>
        <v> </v>
      </c>
      <c r="K59" s="315" t="str">
        <f aca="false">IF(A59="N/A"," ",IF(AND(Dayrun&gt;=1,Dayrun&lt;=3),VLOOKUP(A59,ScaledPrice,9),0))</f>
        <v> </v>
      </c>
      <c r="L59" s="315" t="str">
        <f aca="false">IF(A59="N/A"," ",IF(OR(Dayrun=2,Dayrun=3,Dayrun=5,Dayrun=6,Dayrun=8,Dayrun=9),VLOOKUP(A59,ScaledPrice,IF(AND(Dayrun&gt;=2,Dayrun&lt;=6),5,6)),0))</f>
        <v> </v>
      </c>
      <c r="M59" s="315" t="str">
        <f aca="false">IF(A59="N/A"," ",IF(OR(Dayrun=2,Dayrun=3,Dayrun=5,Dayrun=6,Dayrun=8,Dayrun=9),IF(AND(Dayrun&gt;=2,Dayrun&lt;=6),L59,(VLOOKUP(A59,ScaledPrice,5))*(2-(VLOOKUP(A59,ScaledPrice,3)))),0))</f>
        <v> </v>
      </c>
      <c r="N59" s="315" t="str">
        <f aca="false">IF(A59="N/A"," ",IF(AND(Dayrun&gt;1,Dayrun&lt;=3),VLOOKUP(A59,ScaledPrice,9),0))</f>
        <v> </v>
      </c>
      <c r="O59" s="315" t="str">
        <f aca="false">IF(A59="N/A"," ",IF(OR(Dayrun=3,Dayrun=6,Dayrun=9),(VLOOKUP(A59,ScaledPrice,IF(AND(Dayrun&gt;=3,Dayrun&lt;=6),7,8))),0))</f>
        <v> </v>
      </c>
      <c r="P59" s="315" t="str">
        <f aca="false">IF(A59="N/A"," ",IF(OR(Dayrun=3,Dayrun=6,Dayrun=9),IF(AND(Dayrun&gt;=3,Dayrun&lt;=6),O59,(VLOOKUP(A59,ScaledPrice,7))*(2-(VLOOKUP(A59,ScaledPrice,3)))),0))</f>
        <v> </v>
      </c>
      <c r="Q59" s="315" t="str">
        <f aca="false">IF(A59="N/A"," ",IF(AND(Dayrun&gt;2,Dayrun&lt;=3),VLOOKUP(A59,ScaledPrice,9),0))</f>
        <v> </v>
      </c>
      <c r="R59" s="316" t="str">
        <f aca="false">IF($A59="N/A"," ",IF(Pricetype=2,MAX(I59-$H59,0),IF(Pricetype=1,(xSPRDOPT(I59,$E59,$CI59,0,($CD59+IF(Smile=TRUE(),VLOOKUP(MAX(-5,$H59-I59),Volsmile,2),0)),$CG59,$CH59,($A59-DateToday)+15,1,0)),I59-$H59)))</f>
        <v> </v>
      </c>
      <c r="S59" s="316" t="str">
        <f aca="false">IF($A59="N/A"," ",IF(Pricetype=2,MAX(J59-$H59,0),IF(Pricetype=1,(xSPRDOPT(J59,$E59,$CI59,0,($CD59+IF(Smile=TRUE(),VLOOKUP(MAX(-5,$H59-J59),Volsmile,2),0)),$CG59,$CH59,($A59-DateToday)+15,1,0)),J59-$H59)))</f>
        <v> </v>
      </c>
      <c r="T59" s="317" t="str">
        <f aca="false">IF($A59="N/A"," ",(IF(Pricetype=2,IF((K59-$H59)&lt;=0,0,(K59-$H59)),IF(K59&lt;&gt;0,(K59-$H59),0))))</f>
        <v> </v>
      </c>
      <c r="U59" s="316" t="str">
        <f aca="false">IF($A59="N/A"," ",IF(Pricetype=2,MAX(L59-$H59,0),IF(L59&lt;&gt;0,IF(Pricetype=1,(xSPRDOPT(L59,$E59,$CI59,0,($CD59+IF(Smile=TRUE(),VLOOKUP(MAX(-5,$H59-L59),Volsmile,2),0)),$CG59,$CH59,($A59-DateToday)+15,1,0)),L59-$H59),0)))</f>
        <v> </v>
      </c>
      <c r="V59" s="316" t="str">
        <f aca="false">IF($A59="N/A"," ",IF(Pricetype=2,MAX(M59-$H59,0),IF(M59&lt;&gt;0,IF(Pricetype=1,(xSPRDOPT(M59,$E59,$CI59,0,($CD59+IF(Smile=TRUE(),VLOOKUP(MAX(-5,$H59-M59),Volsmile,2),0)),$CG59,$CH59,($A59-DateToday)+15,1,0)),M59-$H59),0)))</f>
        <v> </v>
      </c>
      <c r="W59" s="317" t="str">
        <f aca="false">IF($A59="N/A"," ",(IF(Pricetype=2,IF((N59-$H59)&lt;=0,0,(N59-$H59)),IF(N59&lt;&gt;0,(N59-$H59),0))))</f>
        <v> </v>
      </c>
      <c r="X59" s="316" t="str">
        <f aca="false">IF($A59="N/A"," ",IF(Pricetype=2,MAX(O59-$H59,0),IF(O59&lt;&gt;0,IF(Pricetype=1,(xSPRDOPT(O59,$E59,$CI59,0,($CD59+IF(Smile=TRUE(),VLOOKUP(MAX(-5,$H59-O59),Volsmile,2),0)),$CG59,$CH59,($A59-DateToday)+15,1,0)),O59-$H59),0)))</f>
        <v> </v>
      </c>
      <c r="Y59" s="316" t="str">
        <f aca="false">IF($A59="N/A"," ",IF(Pricetype=2,MAX(P59-$H59,0),IF(P59&lt;&gt;0,IF(Pricetype=1,(xSPRDOPT(P59,$E59,$CI59,0,($CD59+IF(Smile=TRUE(),VLOOKUP(MAX(-5,$H59-P59),Volsmile,2),0)),$CG59,$CH59,($A59-DateToday)+15,1,0)),P59-$H59),0)))</f>
        <v> </v>
      </c>
      <c r="Z59" s="317" t="str">
        <f aca="false">IF($A59="N/A"," ",(IF(Pricetype=2,IF((Q59-$H59)&lt;=0,0,(Q59-$H59)),IF(Q59&lt;&gt;0,(Q59-$H59),0))))</f>
        <v> </v>
      </c>
      <c r="AA59" s="318" t="str">
        <f aca="false">IF($A59="N/A"," ",IF(VLOOKUP(MONTH(A59),ManualTable,2)=1,(IF(0&lt;&gt;R59,IF(Pricetype=1,(xSPRDOPT(I59,$E59,$CI59,0,($CD59+IF(Smile=TRUE(),VLOOKUP(MAX(-5,$H59-I59),Volsmile,2),0)),$CG59,$CH59,($A59-DateToday)+15,1,1))*(8*$HD59),8*$HD59),0)),0))</f>
        <v> </v>
      </c>
      <c r="AB59" s="318" t="str">
        <f aca="false">IF($A59="N/A"," ",IF(VLOOKUP(MONTH(A59),ManualTable,3)=1,(IF(S59&lt;&gt;0,IF(Pricetype=1,(xSPRDOPT(J59,$E59,$CI59,0,($CD59+IF(Smile=TRUE(),VLOOKUP(MAX(-5,$H59-J59),Volsmile,2),0)),$CG59,$CH59,($A59-DateToday)+15,1,1))*(8*$HD59),8*$HD59),0)),0))</f>
        <v> </v>
      </c>
      <c r="AC59" s="318" t="str">
        <f aca="false">IF($A59="N/A"," ",IF(VLOOKUP(MONTH(A59),ManualTable,4)=1,(IF(T59&lt;&gt;0,(8*$HD59),0)),0))</f>
        <v> </v>
      </c>
      <c r="AD59" s="318" t="str">
        <f aca="false">IF($A59="N/A"," ",IF(VLOOKUP(MONTH(A59),ManualTable,5)=1,(IF(U59&lt;&gt;0,IF(Pricetype=1,(xSPRDOPT(L59,$E59,$CI59,0,($CD59+IF(Smile=TRUE(),VLOOKUP(MAX(-5,$H59-L59),Volsmile,2),0)),$CG59,$CH59,($A59-DateToday)+15,1,1))*(8*$HE59),8*$HE59),0)),0))</f>
        <v> </v>
      </c>
      <c r="AE59" s="318" t="str">
        <f aca="false">IF($A59="N/A"," ",IF(VLOOKUP(MONTH(A59),ManualTable,6)=1,(IF(V59&lt;&gt;0,IF(Pricetype=1,(xSPRDOPT(M59,$E59,$CI59,0,($CD59+IF(Smile=TRUE(),VLOOKUP(MAX(-5,$H59-M59),Volsmile,2),0)),$CG59,$CH59,($A59-DateToday)+15,1,1))*(8*$HE59),8*$HE59),0)),0))</f>
        <v> </v>
      </c>
      <c r="AF59" s="318" t="str">
        <f aca="false">IF($A59="N/A"," ",IF(VLOOKUP(MONTH(A59),ManualTable,7)=1,(IF(W59&lt;&gt;0,(8*$HE59),0)),0))</f>
        <v> </v>
      </c>
      <c r="AG59" s="318" t="str">
        <f aca="false">IF($A59="N/A"," ",IF(VLOOKUP(MONTH(A59),ManualTable,8)=1,(IF(X59&lt;&gt;0,IF(Pricetype=1,(xSPRDOPT(O59,$E59,$CI59,0,($CD59+IF(Smile=TRUE(),VLOOKUP(MAX(-5,$H59-O59),Volsmile,2),0)),$CG59,$CH59,($A59-DateToday)+15,1,1))*(8*$HF59),8*$HF59),0)),0))</f>
        <v> </v>
      </c>
      <c r="AH59" s="318" t="str">
        <f aca="false">IF($A59="N/A"," ",IF(VLOOKUP(MONTH(A59),ManualTable,9)=1,(IF(Y59&lt;&gt;0,IF(Pricetype=1,(xSPRDOPT(P59,$E59,$CI59,0,($CD59+IF(Smile=TRUE(),VLOOKUP(MAX(-5,$H59-P59),Volsmile,2),0)),$CG59,$CH59,($A59-DateToday)+15,1,1))*(8*$HF59),8*$HF59),0)),0))</f>
        <v> </v>
      </c>
      <c r="AI59" s="318" t="str">
        <f aca="false">IF($A59="N/A"," ",IF(VLOOKUP(MONTH(A59),ManualTable,10)=1,(IF(Z59&lt;&gt;0,(8*($HF59)),0)),0))</f>
        <v> </v>
      </c>
      <c r="AJ59" s="344" t="str">
        <f aca="false">IF($A59="N/A"," ",RANK(R59,$R$52:$Z$63))</f>
        <v> </v>
      </c>
      <c r="AK59" s="321" t="str">
        <f aca="false">IF($A59="N/A"," ",RANK(S59,$R$52:$Z$63))</f>
        <v> </v>
      </c>
      <c r="AL59" s="321" t="str">
        <f aca="false">IF($A59="N/A"," ",RANK(T59,$R$52:$Z$63))</f>
        <v> </v>
      </c>
      <c r="AM59" s="321" t="str">
        <f aca="false">IF($A59="N/A"," ",RANK(U59,$R$52:$Z$63))</f>
        <v> </v>
      </c>
      <c r="AN59" s="321" t="str">
        <f aca="false">IF($A59="N/A"," ",RANK(V59,$R$52:$Z$63))</f>
        <v> </v>
      </c>
      <c r="AO59" s="321" t="str">
        <f aca="false">IF($A59="N/A"," ",RANK(W59,$R$52:$Z$63))</f>
        <v> </v>
      </c>
      <c r="AP59" s="321" t="str">
        <f aca="false">IF($A59="N/A"," ",RANK(X59,$R$52:$Z$63))</f>
        <v> </v>
      </c>
      <c r="AQ59" s="321" t="str">
        <f aca="false">IF($A59="N/A"," ",RANK(Y59,$R$52:$Z$63))</f>
        <v> </v>
      </c>
      <c r="AR59" s="345" t="str">
        <f aca="false">IF($A59="N/A"," ",RANK(Z59,$R$52:$Z$63))</f>
        <v> </v>
      </c>
      <c r="AS59" s="323" t="str">
        <f aca="false">IF($A59="N/A"," ",IF(AJ59&lt;=$AR$2,AA59,0))</f>
        <v> </v>
      </c>
      <c r="AT59" s="325" t="str">
        <f aca="false">IF($A59="N/A"," ",IF(AK59&lt;=$AR$2,AB59,0))</f>
        <v> </v>
      </c>
      <c r="AU59" s="325" t="str">
        <f aca="false">IF($A59="N/A"," ",IF(AL59&lt;=$AR$2,AC59,0))</f>
        <v> </v>
      </c>
      <c r="AV59" s="325" t="str">
        <f aca="false">IF($A59="N/A"," ",IF(AM59&lt;=$AR$2,AD59,0))</f>
        <v> </v>
      </c>
      <c r="AW59" s="325" t="str">
        <f aca="false">IF($A59="N/A"," ",IF(AN59&lt;=$AR$2,AE59,0))</f>
        <v> </v>
      </c>
      <c r="AX59" s="325" t="str">
        <f aca="false">IF($A59="N/A"," ",IF(AO59&lt;=$AR$2,AF59,0))</f>
        <v> </v>
      </c>
      <c r="AY59" s="325" t="str">
        <f aca="false">IF($A59="N/A"," ",IF(AP59&lt;=$AR$2,AG59,0))</f>
        <v> </v>
      </c>
      <c r="AZ59" s="325" t="str">
        <f aca="false">IF($A59="N/A"," ",IF(AQ59&lt;=$AR$2,AH59,0))</f>
        <v> </v>
      </c>
      <c r="BA59" s="325" t="str">
        <f aca="false">IF($A59="N/A"," ",IF(AR59&lt;=$AR$2,AI59,0))</f>
        <v> </v>
      </c>
      <c r="BB59" s="345"/>
      <c r="BC59" s="326" t="str">
        <f aca="false">IF($A59="N/A"," ",IF(AND(AJ59=$AR$2+1,AS59=0),MIN($BB$63,AA59),0))</f>
        <v> </v>
      </c>
      <c r="BD59" s="346" t="str">
        <f aca="false">IF($A59="N/A"," ",IF(AND(AK59=$AR$2+1,AT59=0),MIN($BB$63,AB59),0))</f>
        <v> </v>
      </c>
      <c r="BE59" s="346" t="str">
        <f aca="false">IF($A59="N/A"," ",IF(AND(AL59=$AR$2+1,AU59=0),MIN($BB$63,AC59),0))</f>
        <v> </v>
      </c>
      <c r="BF59" s="346" t="str">
        <f aca="false">IF($A59="N/A"," ",IF(AND(AM59=$AR$2+1,AV59=0),MIN($BB$63,AD59),0))</f>
        <v> </v>
      </c>
      <c r="BG59" s="346" t="str">
        <f aca="false">IF($A59="N/A"," ",IF(AND(AN59=$AR$2+1,AW59=0),MIN($BB$63,AE59),0))</f>
        <v> </v>
      </c>
      <c r="BH59" s="346" t="str">
        <f aca="false">IF($A59="N/A"," ",IF(AND(AO59=$AR$2+1,AX59=0),MIN($BB$63,AF59),0))</f>
        <v> </v>
      </c>
      <c r="BI59" s="346" t="str">
        <f aca="false">IF($A59="N/A"," ",IF(AND(AP59=$AR$2+1,AY59=0),MIN($BB$63,AG59),0))</f>
        <v> </v>
      </c>
      <c r="BJ59" s="346" t="str">
        <f aca="false">IF($A59="N/A"," ",IF(AND(AQ59=$AR$2+1,AZ59=0),MIN($BB$63,AH59),0))</f>
        <v> </v>
      </c>
      <c r="BK59" s="346" t="str">
        <f aca="false">IF($A59="N/A"," ",IF(AND(AR59=$AR$2+1,BA59=0),MIN($BB$63,AI59),0))</f>
        <v> </v>
      </c>
      <c r="BL59" s="345"/>
      <c r="BM59" s="329" t="str">
        <f aca="false">IF($A59="N/A"," ",(IF(MONTH(A59)&gt;=4,IF(MONTH(A59)&lt;=10,Inputs!$F$13-Inputs!$G$13,Inputs!$F$14-Inputs!$G$14),Inputs!$F$14-Inputs!$G$14))*$CK59*Availability)</f>
        <v> </v>
      </c>
      <c r="BN59" s="330" t="str">
        <f aca="false">IF($A59="N/A"," ",(IF(AS59&gt;0,($BM59*(8*($HD59))*R59),0)+IF(BC59&gt;0,($BM59*((BC59/AA59)*8*$HD59)*R59),0)))</f>
        <v> </v>
      </c>
      <c r="BO59" s="330" t="str">
        <f aca="false">IF($A59="N/A"," ",(IF(AT59&gt;0,($BM59*(8*($HD59))*S59),0)+IF(BD59&gt;0,($BM59*((BD59/AB59)*8*$HD59)*S59),0)))</f>
        <v> </v>
      </c>
      <c r="BP59" s="330" t="str">
        <f aca="false">IF($A59="N/A"," ",(IF(AU59&gt;0,($BM59*(8*($HD59))*T59),0)+IF(BE59&gt;0,($BM59*((BE59))*T59),0)))</f>
        <v> </v>
      </c>
      <c r="BQ59" s="330" t="str">
        <f aca="false">IF($A59="N/A"," ",(IF(AV59&gt;0,($BM59*(8*($HE59))*U59),0)+IF(BF59&gt;0,($BM59*((BF59/AD59)*8*$HE59)*U59),0)))</f>
        <v> </v>
      </c>
      <c r="BR59" s="330" t="str">
        <f aca="false">IF($A59="N/A"," ",(IF(AW59&gt;0,($BM59*(8*($HE59))*V59),0)+IF(BG59&gt;0,($BM59*((BG59/AE59)*8*$HE59)*V59),0)))</f>
        <v> </v>
      </c>
      <c r="BS59" s="330" t="str">
        <f aca="false">IF($A59="N/A"," ",(IF(AX59&gt;0,($BM59*(8*($HE59))*W59),0)+IF(BH59&gt;0,($BM59*((BH59))*W59),0)))</f>
        <v> </v>
      </c>
      <c r="BT59" s="330" t="str">
        <f aca="false">IF($A59="N/A"," ",(IF(AY59&gt;0,($BM59*(8*($HF59))*X59),0)+IF(BI59&gt;0,($BM59*((BI59/AG59)*8*$HF59)*X59),0)))</f>
        <v> </v>
      </c>
      <c r="BU59" s="330" t="str">
        <f aca="false">IF($A59="N/A"," ",(IF(AZ59&gt;0,($BM59*(8*($HF59))*Y59),0)+IF(BJ59&gt;0,($BM59*((BJ59/AH59)*8*$HF59)*Y59),0)))</f>
        <v> </v>
      </c>
      <c r="BV59" s="330" t="str">
        <f aca="false">IF($A59="N/A"," ",(IF(BA59&gt;0,($BM59*(8*($HF59))*Z59),0)+IF(BK59&gt;0,($BM59*((BK59))*Z59),0)))</f>
        <v> </v>
      </c>
      <c r="BW59" s="330" t="str">
        <f aca="false">IF($A59="N/A"," ",SUM(BN59:BV59))</f>
        <v> </v>
      </c>
      <c r="BX59" s="331" t="str">
        <f aca="false">IF($A59="N/A"," ",(H59*(SUM(AS59:BA59)+SUM(BC59:BK59))*BM59))</f>
        <v> </v>
      </c>
      <c r="BY59" s="332" t="str">
        <f aca="false">IF($A59="N/A"," ",((C59*D59)*(SUM($AS59:$BA59)+SUM($BC59:$BK59))*$BM59))</f>
        <v> </v>
      </c>
      <c r="BZ59" s="332" t="str">
        <f aca="false">IF($A59="N/A"," ",(F59*(SUM($AS59:$BA59)+SUM($BC59:$BK59))*$BM59))</f>
        <v> </v>
      </c>
      <c r="CA59" s="333" t="str">
        <f aca="false">IF($A59="N/A"," ",(G59*(SUM($AS59:$BA59)+SUM($BC59:$BK59))*$BM59))</f>
        <v> </v>
      </c>
      <c r="CB59" s="334" t="str">
        <f aca="false">IF(A59="N/A"," ",(VLOOKUP(A59,PowerVolTable,(IF(BMO=2,7,IF(BMO=1,6,8))),FALSE())))</f>
        <v> </v>
      </c>
      <c r="CC59" s="334" t="str">
        <f aca="false">IF(A59="N/A"," ",(VLOOKUP(A59,IntraPowerVol,(IF(BMO=2,3,IF(BMO=1,2,4))),FALSE())*VLOOKUP(MONTH($A59),Volscale,2)))</f>
        <v> </v>
      </c>
      <c r="CD59" s="335" t="str">
        <f aca="false">IF($A59="N/A"," ",(IF(DateToday&gt;$A59,$CC59,((($CB59^2)*((($A59-1)-DateToday)/((EOMONTH($A59,0)+1)-DateToday-15)))+((($CC59)^2)*((15)/((EOMONTH($A59,0)+1)-DateToday-15))))^0.5)))</f>
        <v> </v>
      </c>
      <c r="CE59" s="334" t="str">
        <f aca="false">IF($A59="N/A"," ",(VLOOKUP($A59,GasVolTable,(IF(BMO=2,6,IF(BMO=1,7,5))),FALSE())))</f>
        <v> </v>
      </c>
      <c r="CF59" s="334" t="str">
        <f aca="false">IF($A59="N/A"," ",(VLOOKUP($A59,OmicronVol,(IF(BMO=2,3,IF(BMO=1,4,2))),FALSE())))</f>
        <v> </v>
      </c>
      <c r="CG59" s="335" t="str">
        <f aca="false">IF($A59="N/A"," ",(IF(DateToday&gt;$A59,$CF59,((($CE59^2)*((($A59-1)-DateToday)/((EOMONTH($A59,0)+1)-DateToday-15)))+((($CF59)^2)*((15)/((EOMONTH($A59,0)+1)-DateToday-15))))^0.5)))</f>
        <v> </v>
      </c>
      <c r="CH59" s="334" t="str">
        <f aca="false">IF($A59="N/A"," ",VLOOKUP($A59,CorrelationTable,2,FALSE()))</f>
        <v> </v>
      </c>
      <c r="CI59" s="336" t="str">
        <f aca="false">IF($A59="N/A"," ",F59+G59+(D59*('Pricing Inputs'!T92)))</f>
        <v> </v>
      </c>
      <c r="CJ59" s="334" t="str">
        <f aca="false">IF($A59="N/A"," ",IF(PV=1,0,'Pricing Inputs'!U92))</f>
        <v> </v>
      </c>
      <c r="CK59" s="337" t="str">
        <f aca="false">IF($A59="N/A"," ",(1+CJ59/2)^(-2*((EOMONTH(A59,0)+20)-DateToday)/365.25))</f>
        <v> </v>
      </c>
      <c r="CL59" s="338" t="str">
        <f aca="false">IF(A59="N/A"," ",IF(CC=2,(VLOOKUP(MONTH($A59),Hrtable,3))/1000,0))</f>
        <v> </v>
      </c>
      <c r="CM59" s="339" t="str">
        <f aca="false">IF(A59="N/A"," ",IF(CC=2,(CL59*C59)+F59,0))</f>
        <v> </v>
      </c>
      <c r="CN59" s="340" t="str">
        <f aca="false">IF($A59="N/A"," ",IF(CC=2,(VLOOKUP(A59,ScaledPrice,(IF(AND(Dayrun&gt;=1,Dayrun&lt;=6),2,4)))-((IF(R59&lt;&gt;0,$D59,$CL59)*$C59)+$F59+$G59)),0))</f>
        <v> </v>
      </c>
      <c r="CO59" s="340" t="str">
        <f aca="false">IF($A59="N/A"," ",IF(CC=2,(IF(AND(Dayrun&gt;=1,Dayrun&lt;=6),I59,(VLOOKUP(A59,ScaledPrice,2))*(2-(VLOOKUP(A59,ScaledPrice,3))))-((IF(S59&lt;&gt;0,$D59,$CL59)*$C59)+$F59+$G59)),0))</f>
        <v> </v>
      </c>
      <c r="CP59" s="340" t="str">
        <f aca="false">IF(A59="N/A"," ",IF(CC=2,(VLOOKUP(A59,ScaledPrice,9)-((IF(T59&lt;&gt;0,$D59,$CL59)*$C59)+$F59+$G59)),0))</f>
        <v> </v>
      </c>
      <c r="CQ59" s="340" t="str">
        <f aca="false">IF(A59="N/A"," ",IF(CC=2,(IF(OR(Dayrun=2,Dayrun=3,Dayrun=5,Dayrun=6,Dayrun=8,Dayrun=9),VLOOKUP(A59,ScaledPrice,IF(AND(Dayrun&gt;=2,Dayrun&lt;=6),5,6)),0)-((IF(U59&lt;&gt;0,$D59,$CL59)*$C59)+$F59+$G59)),0))</f>
        <v> </v>
      </c>
      <c r="CR59" s="340" t="str">
        <f aca="false">IF(A59="N/A"," ",IF(CC=2,(IF(OR(Dayrun=2,Dayrun=3,Dayrun=5,Dayrun=6,Dayrun=8,Dayrun=9),IF(AND(Dayrun&gt;=2,Dayrun&lt;=6),L59,(VLOOKUP(A59,ScaledPrice,5))*(2-(VLOOKUP(A59,ScaledPrice,3)))),0)-((IF(V59&lt;&gt;0,$D59,$CL59)*$C59)+$F59+$G59)),0))</f>
        <v> </v>
      </c>
      <c r="CS59" s="340" t="str">
        <f aca="false">IF(A59="N/A"," ",IF(CC=2,(VLOOKUP(A59,ScaledPrice,9)-((IF(W59&lt;&gt;0,$D59,$CL59)*$C59)+$F59+$G59)),0))</f>
        <v> </v>
      </c>
      <c r="CT59" s="340" t="str">
        <f aca="false">IF(A59="N/A"," ",IF(CC=2,(IF(OR(Dayrun=3,Dayrun=6,Dayrun=9),(VLOOKUP(A59,ScaledPrice,IF(AND(Dayrun&gt;=3,Dayrun&lt;=6),7,8))),0)-((IF(X59&lt;&gt;0,$D59,$CL59)*$C59)+$F59+$G59)),0))</f>
        <v> </v>
      </c>
      <c r="CU59" s="340" t="str">
        <f aca="false">IF(A59="N/A"," ",IF(CC=2,(IF(OR(Dayrun=3,Dayrun=6,Dayrun=9),IF(AND(Dayrun&gt;=3,Dayrun&lt;=6),O59,(VLOOKUP(A59,ScaledPrice,7))*(2-(VLOOKUP(A59,ScaledPrice,3)))),0)-((IF(Y59&lt;&gt;0,$D59,$CL59)*$C59)+$F59+$G59)),0))</f>
        <v> </v>
      </c>
      <c r="CV59" s="340" t="str">
        <f aca="false">IF(A59="N/A"," ",IF(CC=2,(VLOOKUP(A59,ScaledPrice,9)-((IF(Z59&lt;&gt;0,$D59,$CL59)*$C59)+$F59+$G59)),0))</f>
        <v> </v>
      </c>
      <c r="CW59" s="318" t="str">
        <f aca="false">IF($A59="N/A"," ",IF(0&lt;&gt;CN59,IF(CC=2,8*$HD59,0),0))</f>
        <v> </v>
      </c>
      <c r="CX59" s="318" t="str">
        <f aca="false">IF($A59="N/A"," ",IF(0&lt;&gt;CO59,IF(CC=2,8*$HD59,0),0))</f>
        <v> </v>
      </c>
      <c r="CY59" s="318" t="str">
        <f aca="false">IF($A59="N/A"," ",IF(0&lt;&gt;CP59,IF(CC=2,8*$HD59,0),0))</f>
        <v> </v>
      </c>
      <c r="CZ59" s="318" t="str">
        <f aca="false">IF($A59="N/A"," ",IF(0&lt;&gt;CQ59,IF(CC=2,8*$HE59,0),0))</f>
        <v> </v>
      </c>
      <c r="DA59" s="318" t="str">
        <f aca="false">IF($A59="N/A"," ",IF(0&lt;&gt;CR59,IF(CC=2,8*$HE59,0),0))</f>
        <v> </v>
      </c>
      <c r="DB59" s="318" t="str">
        <f aca="false">IF($A59="N/A"," ",IF(0&lt;&gt;CS59,IF(CC=2,8*$HE59,0),0))</f>
        <v> </v>
      </c>
      <c r="DC59" s="318" t="str">
        <f aca="false">IF($A59="N/A"," ",IF(0&lt;&gt;CT59,IF(CC=2,8*$HF59,0),0))</f>
        <v> </v>
      </c>
      <c r="DD59" s="318" t="str">
        <f aca="false">IF($A59="N/A"," ",IF(0&lt;&gt;CU59,IF(CC=2,8*$HF59,0),0))</f>
        <v> </v>
      </c>
      <c r="DE59" s="318" t="str">
        <f aca="false">IF($A59="N/A"," ",IF(0&lt;&gt;CV59,IF(CC=2,8*$HF59,0),0))</f>
        <v> </v>
      </c>
      <c r="DF59" s="341" t="str">
        <f aca="false">IF($A59="N/A"," ",IF(CC=2,(IF(MONTH(A59)&gt;=4,IF(MONTH(A59)&lt;=10,Inputs!$G$13,Inputs!$G$14),Inputs!$G$14))*$CK59,0))</f>
        <v> </v>
      </c>
      <c r="DG59" s="342" t="str">
        <f aca="false">IF($A59="N/A"," ",IF(CC=2,$DF59*CW59*CN59,0))</f>
        <v> </v>
      </c>
      <c r="DH59" s="342" t="str">
        <f aca="false">IF($A59="N/A"," ",IF(CC=2,$DF59*CX59*CO59,0))</f>
        <v> </v>
      </c>
      <c r="DI59" s="342" t="str">
        <f aca="false">IF($A59="N/A"," ",IF(CC=2,$DF59*CY59*CP59,0))</f>
        <v> </v>
      </c>
      <c r="DJ59" s="342" t="str">
        <f aca="false">IF($A59="N/A"," ",IF(CC=2,$DF59*CZ59*CQ59,0))</f>
        <v> </v>
      </c>
      <c r="DK59" s="342" t="str">
        <f aca="false">IF($A59="N/A"," ",IF(CC=2,$DF59*DA59*CR59,0))</f>
        <v> </v>
      </c>
      <c r="DL59" s="342" t="str">
        <f aca="false">IF($A59="N/A"," ",IF(CC=2,$DF59*DB59*CS59,0))</f>
        <v> </v>
      </c>
      <c r="DM59" s="342" t="str">
        <f aca="false">IF($A59="N/A"," ",IF(CC=2,$DF59*DC59*CT59,0))</f>
        <v> </v>
      </c>
      <c r="DN59" s="342" t="str">
        <f aca="false">IF($A59="N/A"," ",IF(CC=2,$DF59*DD59*CU59,0))</f>
        <v> </v>
      </c>
      <c r="DO59" s="342" t="str">
        <f aca="false">IF($A59="N/A"," ",IF(CC=2,$DF59*DE59*CV59,0))</f>
        <v> </v>
      </c>
      <c r="DP59" s="343" t="str">
        <f aca="false">IF($A59="N/A"," ",IF(CC=2,SUM(DG59:DO59),0))</f>
        <v> </v>
      </c>
      <c r="DQ59" s="0" t="str">
        <f aca="false">IF(A59="N/A"," ",Perstart)</f>
        <v> </v>
      </c>
      <c r="HD59" s="0" t="str">
        <f aca="false">IF($A59="N/A"," ",VLOOKUP($A59,NumberofDaysTable,2))</f>
        <v> </v>
      </c>
      <c r="HE59" s="0" t="str">
        <f aca="false">IF($A59="N/A"," ",VLOOKUP($A59,NumberofDaysTable,3))</f>
        <v> </v>
      </c>
      <c r="HF59" s="0" t="str">
        <f aca="false">IF($A59="N/A"," ",VLOOKUP($A59,NumberofDaysTable,4))</f>
        <v> </v>
      </c>
    </row>
    <row r="60" customFormat="false" ht="12.75" hidden="false" customHeight="false" outlineLevel="0" collapsed="false">
      <c r="A60" s="308" t="str">
        <f aca="false">IF(A59="N/A","N/A",IF(EDATE(A59,1)&gt;Inputs!$K$3,"N/A",EDATE(A59,1)))</f>
        <v>N/A</v>
      </c>
      <c r="B60" s="309" t="str">
        <f aca="false">IF(A60="N/A"," ",YEAR(A60))</f>
        <v> </v>
      </c>
      <c r="C60" s="310" t="str">
        <f aca="false">IF(A60="N/A"," ",VLOOKUP(A60,ScaledPrice,10))</f>
        <v> </v>
      </c>
      <c r="D60" s="311" t="str">
        <f aca="false">IF(A60="N/A"," ",(VLOOKUP(MONTH($A60),Hrtable,2))/1000)</f>
        <v> </v>
      </c>
      <c r="E60" s="312" t="str">
        <f aca="false">IF($A60="N/A"," ",(C60-'Pricing Inputs'!T93)*D60)</f>
        <v> </v>
      </c>
      <c r="F60" s="313" t="str">
        <f aca="false">IF(A60="N/A"," ",$F48*(1+VOMesc))</f>
        <v> </v>
      </c>
      <c r="G60" s="313" t="str">
        <f aca="false">IF(A60="N/A"," ",Perstart/IF(AND(Dayrun&gt;=4,Dayrun&lt;=6),16,IF(AND(Dayrun&gt;=7,Dayrun&lt;=9),8,24))/(BM60/CK60))</f>
        <v> </v>
      </c>
      <c r="H60" s="314" t="str">
        <f aca="false">IF(A60="N/A"," ",(C60*D60)+F60+G60)</f>
        <v> </v>
      </c>
      <c r="I60" s="315" t="str">
        <f aca="false">VLOOKUP(A60,ScaledPrice,(IF(AND(Dayrun&gt;=1,Dayrun&lt;=6),2,4)))</f>
        <v> </v>
      </c>
      <c r="J60" s="315" t="str">
        <f aca="false">IF(A60="N/A"," ",IF(AND(Dayrun&gt;=1,Dayrun&lt;=6),I60,(VLOOKUP(A60,ScaledPrice,2))*(2-(VLOOKUP(A60,ScaledPrice,3)))))</f>
        <v> </v>
      </c>
      <c r="K60" s="315" t="str">
        <f aca="false">IF(A60="N/A"," ",IF(AND(Dayrun&gt;=1,Dayrun&lt;=3),VLOOKUP(A60,ScaledPrice,9),0))</f>
        <v> </v>
      </c>
      <c r="L60" s="315" t="str">
        <f aca="false">IF(A60="N/A"," ",IF(OR(Dayrun=2,Dayrun=3,Dayrun=5,Dayrun=6,Dayrun=8,Dayrun=9),VLOOKUP(A60,ScaledPrice,IF(AND(Dayrun&gt;=2,Dayrun&lt;=6),5,6)),0))</f>
        <v> </v>
      </c>
      <c r="M60" s="315" t="str">
        <f aca="false">IF(A60="N/A"," ",IF(OR(Dayrun=2,Dayrun=3,Dayrun=5,Dayrun=6,Dayrun=8,Dayrun=9),IF(AND(Dayrun&gt;=2,Dayrun&lt;=6),L60,(VLOOKUP(A60,ScaledPrice,5))*(2-(VLOOKUP(A60,ScaledPrice,3)))),0))</f>
        <v> </v>
      </c>
      <c r="N60" s="315" t="str">
        <f aca="false">IF(A60="N/A"," ",IF(AND(Dayrun&gt;1,Dayrun&lt;=3),VLOOKUP(A60,ScaledPrice,9),0))</f>
        <v> </v>
      </c>
      <c r="O60" s="315" t="str">
        <f aca="false">IF(A60="N/A"," ",IF(OR(Dayrun=3,Dayrun=6,Dayrun=9),(VLOOKUP(A60,ScaledPrice,IF(AND(Dayrun&gt;=3,Dayrun&lt;=6),7,8))),0))</f>
        <v> </v>
      </c>
      <c r="P60" s="315" t="str">
        <f aca="false">IF(A60="N/A"," ",IF(OR(Dayrun=3,Dayrun=6,Dayrun=9),IF(AND(Dayrun&gt;=3,Dayrun&lt;=6),O60,(VLOOKUP(A60,ScaledPrice,7))*(2-(VLOOKUP(A60,ScaledPrice,3)))),0))</f>
        <v> </v>
      </c>
      <c r="Q60" s="315" t="str">
        <f aca="false">IF(A60="N/A"," ",IF(AND(Dayrun&gt;2,Dayrun&lt;=3),VLOOKUP(A60,ScaledPrice,9),0))</f>
        <v> </v>
      </c>
      <c r="R60" s="316" t="str">
        <f aca="false">IF($A60="N/A"," ",IF(Pricetype=2,MAX(I60-$H60,0),IF(Pricetype=1,(xSPRDOPT(I60,$E60,$CI60,0,($CD60+IF(Smile=TRUE(),VLOOKUP(MAX(-5,$H60-I60),Volsmile,2),0)),$CG60,$CH60,($A60-DateToday)+15,1,0)),I60-$H60)))</f>
        <v> </v>
      </c>
      <c r="S60" s="316" t="str">
        <f aca="false">IF($A60="N/A"," ",IF(Pricetype=2,MAX(J60-$H60,0),IF(Pricetype=1,(xSPRDOPT(J60,$E60,$CI60,0,($CD60+IF(Smile=TRUE(),VLOOKUP(MAX(-5,$H60-J60),Volsmile,2),0)),$CG60,$CH60,($A60-DateToday)+15,1,0)),J60-$H60)))</f>
        <v> </v>
      </c>
      <c r="T60" s="317" t="str">
        <f aca="false">IF($A60="N/A"," ",(IF(Pricetype=2,IF((K60-$H60)&lt;=0,0,(K60-$H60)),IF(K60&lt;&gt;0,(K60-$H60),0))))</f>
        <v> </v>
      </c>
      <c r="U60" s="316" t="str">
        <f aca="false">IF($A60="N/A"," ",IF(Pricetype=2,MAX(L60-$H60,0),IF(L60&lt;&gt;0,IF(Pricetype=1,(xSPRDOPT(L60,$E60,$CI60,0,($CD60+IF(Smile=TRUE(),VLOOKUP(MAX(-5,$H60-L60),Volsmile,2),0)),$CG60,$CH60,($A60-DateToday)+15,1,0)),L60-$H60),0)))</f>
        <v> </v>
      </c>
      <c r="V60" s="316" t="str">
        <f aca="false">IF($A60="N/A"," ",IF(Pricetype=2,MAX(M60-$H60,0),IF(M60&lt;&gt;0,IF(Pricetype=1,(xSPRDOPT(M60,$E60,$CI60,0,($CD60+IF(Smile=TRUE(),VLOOKUP(MAX(-5,$H60-M60),Volsmile,2),0)),$CG60,$CH60,($A60-DateToday)+15,1,0)),M60-$H60),0)))</f>
        <v> </v>
      </c>
      <c r="W60" s="317" t="str">
        <f aca="false">IF($A60="N/A"," ",(IF(Pricetype=2,IF((N60-$H60)&lt;=0,0,(N60-$H60)),IF(N60&lt;&gt;0,(N60-$H60),0))))</f>
        <v> </v>
      </c>
      <c r="X60" s="316" t="str">
        <f aca="false">IF($A60="N/A"," ",IF(Pricetype=2,MAX(O60-$H60,0),IF(O60&lt;&gt;0,IF(Pricetype=1,(xSPRDOPT(O60,$E60,$CI60,0,($CD60+IF(Smile=TRUE(),VLOOKUP(MAX(-5,$H60-O60),Volsmile,2),0)),$CG60,$CH60,($A60-DateToday)+15,1,0)),O60-$H60),0)))</f>
        <v> </v>
      </c>
      <c r="Y60" s="316" t="str">
        <f aca="false">IF($A60="N/A"," ",IF(Pricetype=2,MAX(P60-$H60,0),IF(P60&lt;&gt;0,IF(Pricetype=1,(xSPRDOPT(P60,$E60,$CI60,0,($CD60+IF(Smile=TRUE(),VLOOKUP(MAX(-5,$H60-P60),Volsmile,2),0)),$CG60,$CH60,($A60-DateToday)+15,1,0)),P60-$H60),0)))</f>
        <v> </v>
      </c>
      <c r="Z60" s="317" t="str">
        <f aca="false">IF($A60="N/A"," ",(IF(Pricetype=2,IF((Q60-$H60)&lt;=0,0,(Q60-$H60)),IF(Q60&lt;&gt;0,(Q60-$H60),0))))</f>
        <v> </v>
      </c>
      <c r="AA60" s="318" t="str">
        <f aca="false">IF($A60="N/A"," ",IF(VLOOKUP(MONTH(A60),ManualTable,2)=1,(IF(0&lt;&gt;R60,IF(Pricetype=1,(xSPRDOPT(I60,$E60,$CI60,0,($CD60+IF(Smile=TRUE(),VLOOKUP(MAX(-5,$H60-I60),Volsmile,2),0)),$CG60,$CH60,($A60-DateToday)+15,1,1))*(8*$HD60),8*$HD60),0)),0))</f>
        <v> </v>
      </c>
      <c r="AB60" s="318" t="str">
        <f aca="false">IF($A60="N/A"," ",IF(VLOOKUP(MONTH(A60),ManualTable,3)=1,(IF(S60&lt;&gt;0,IF(Pricetype=1,(xSPRDOPT(J60,$E60,$CI60,0,($CD60+IF(Smile=TRUE(),VLOOKUP(MAX(-5,$H60-J60),Volsmile,2),0)),$CG60,$CH60,($A60-DateToday)+15,1,1))*(8*$HD60),8*$HD60),0)),0))</f>
        <v> </v>
      </c>
      <c r="AC60" s="318" t="str">
        <f aca="false">IF($A60="N/A"," ",IF(VLOOKUP(MONTH(A60),ManualTable,4)=1,(IF(T60&lt;&gt;0,(8*$HD60),0)),0))</f>
        <v> </v>
      </c>
      <c r="AD60" s="318" t="str">
        <f aca="false">IF($A60="N/A"," ",IF(VLOOKUP(MONTH(A60),ManualTable,5)=1,(IF(U60&lt;&gt;0,IF(Pricetype=1,(xSPRDOPT(L60,$E60,$CI60,0,($CD60+IF(Smile=TRUE(),VLOOKUP(MAX(-5,$H60-L60),Volsmile,2),0)),$CG60,$CH60,($A60-DateToday)+15,1,1))*(8*$HE60),8*$HE60),0)),0))</f>
        <v> </v>
      </c>
      <c r="AE60" s="318" t="str">
        <f aca="false">IF($A60="N/A"," ",IF(VLOOKUP(MONTH(A60),ManualTable,6)=1,(IF(V60&lt;&gt;0,IF(Pricetype=1,(xSPRDOPT(M60,$E60,$CI60,0,($CD60+IF(Smile=TRUE(),VLOOKUP(MAX(-5,$H60-M60),Volsmile,2),0)),$CG60,$CH60,($A60-DateToday)+15,1,1))*(8*$HE60),8*$HE60),0)),0))</f>
        <v> </v>
      </c>
      <c r="AF60" s="318" t="str">
        <f aca="false">IF($A60="N/A"," ",IF(VLOOKUP(MONTH(A60),ManualTable,7)=1,(IF(W60&lt;&gt;0,(8*$HE60),0)),0))</f>
        <v> </v>
      </c>
      <c r="AG60" s="318" t="str">
        <f aca="false">IF($A60="N/A"," ",IF(VLOOKUP(MONTH(A60),ManualTable,8)=1,(IF(X60&lt;&gt;0,IF(Pricetype=1,(xSPRDOPT(O60,$E60,$CI60,0,($CD60+IF(Smile=TRUE(),VLOOKUP(MAX(-5,$H60-O60),Volsmile,2),0)),$CG60,$CH60,($A60-DateToday)+15,1,1))*(8*$HF60),8*$HF60),0)),0))</f>
        <v> </v>
      </c>
      <c r="AH60" s="318" t="str">
        <f aca="false">IF($A60="N/A"," ",IF(VLOOKUP(MONTH(A60),ManualTable,9)=1,(IF(Y60&lt;&gt;0,IF(Pricetype=1,(xSPRDOPT(P60,$E60,$CI60,0,($CD60+IF(Smile=TRUE(),VLOOKUP(MAX(-5,$H60-P60),Volsmile,2),0)),$CG60,$CH60,($A60-DateToday)+15,1,1))*(8*$HF60),8*$HF60),0)),0))</f>
        <v> </v>
      </c>
      <c r="AI60" s="318" t="str">
        <f aca="false">IF($A60="N/A"," ",IF(VLOOKUP(MONTH(A60),ManualTable,10)=1,(IF(Z60&lt;&gt;0,(8*($HF60)),0)),0))</f>
        <v> </v>
      </c>
      <c r="AJ60" s="344" t="str">
        <f aca="false">IF($A60="N/A"," ",RANK(R60,$R$52:$Z$63))</f>
        <v> </v>
      </c>
      <c r="AK60" s="321" t="str">
        <f aca="false">IF($A60="N/A"," ",RANK(S60,$R$52:$Z$63))</f>
        <v> </v>
      </c>
      <c r="AL60" s="321" t="str">
        <f aca="false">IF($A60="N/A"," ",RANK(T60,$R$52:$Z$63))</f>
        <v> </v>
      </c>
      <c r="AM60" s="321" t="str">
        <f aca="false">IF($A60="N/A"," ",RANK(U60,$R$52:$Z$63))</f>
        <v> </v>
      </c>
      <c r="AN60" s="321" t="str">
        <f aca="false">IF($A60="N/A"," ",RANK(V60,$R$52:$Z$63))</f>
        <v> </v>
      </c>
      <c r="AO60" s="321" t="str">
        <f aca="false">IF($A60="N/A"," ",RANK(W60,$R$52:$Z$63))</f>
        <v> </v>
      </c>
      <c r="AP60" s="321" t="str">
        <f aca="false">IF($A60="N/A"," ",RANK(X60,$R$52:$Z$63))</f>
        <v> </v>
      </c>
      <c r="AQ60" s="321" t="str">
        <f aca="false">IF($A60="N/A"," ",RANK(Y60,$R$52:$Z$63))</f>
        <v> </v>
      </c>
      <c r="AR60" s="345" t="str">
        <f aca="false">IF($A60="N/A"," ",RANK(Z60,$R$52:$Z$63))</f>
        <v> </v>
      </c>
      <c r="AS60" s="323" t="str">
        <f aca="false">IF($A60="N/A"," ",IF(AJ60&lt;=$AR$2,AA60,0))</f>
        <v> </v>
      </c>
      <c r="AT60" s="325" t="str">
        <f aca="false">IF($A60="N/A"," ",IF(AK60&lt;=$AR$2,AB60,0))</f>
        <v> </v>
      </c>
      <c r="AU60" s="325" t="str">
        <f aca="false">IF($A60="N/A"," ",IF(AL60&lt;=$AR$2,AC60,0))</f>
        <v> </v>
      </c>
      <c r="AV60" s="325" t="str">
        <f aca="false">IF($A60="N/A"," ",IF(AM60&lt;=$AR$2,AD60,0))</f>
        <v> </v>
      </c>
      <c r="AW60" s="325" t="str">
        <f aca="false">IF($A60="N/A"," ",IF(AN60&lt;=$AR$2,AE60,0))</f>
        <v> </v>
      </c>
      <c r="AX60" s="325" t="str">
        <f aca="false">IF($A60="N/A"," ",IF(AO60&lt;=$AR$2,AF60,0))</f>
        <v> </v>
      </c>
      <c r="AY60" s="325" t="str">
        <f aca="false">IF($A60="N/A"," ",IF(AP60&lt;=$AR$2,AG60,0))</f>
        <v> </v>
      </c>
      <c r="AZ60" s="325" t="str">
        <f aca="false">IF($A60="N/A"," ",IF(AQ60&lt;=$AR$2,AH60,0))</f>
        <v> </v>
      </c>
      <c r="BA60" s="325" t="str">
        <f aca="false">IF($A60="N/A"," ",IF(AR60&lt;=$AR$2,AI60,0))</f>
        <v> </v>
      </c>
      <c r="BB60" s="345"/>
      <c r="BC60" s="326" t="str">
        <f aca="false">IF($A60="N/A"," ",IF(AND(AJ60=$AR$2+1,AS60=0),MIN($BB$63,AA60),0))</f>
        <v> </v>
      </c>
      <c r="BD60" s="346" t="str">
        <f aca="false">IF($A60="N/A"," ",IF(AND(AK60=$AR$2+1,AT60=0),MIN($BB$63,AB60),0))</f>
        <v> </v>
      </c>
      <c r="BE60" s="346" t="str">
        <f aca="false">IF($A60="N/A"," ",IF(AND(AL60=$AR$2+1,AU60=0),MIN($BB$63,AC60),0))</f>
        <v> </v>
      </c>
      <c r="BF60" s="346" t="str">
        <f aca="false">IF($A60="N/A"," ",IF(AND(AM60=$AR$2+1,AV60=0),MIN($BB$63,AD60),0))</f>
        <v> </v>
      </c>
      <c r="BG60" s="346" t="str">
        <f aca="false">IF($A60="N/A"," ",IF(AND(AN60=$AR$2+1,AW60=0),MIN($BB$63,AE60),0))</f>
        <v> </v>
      </c>
      <c r="BH60" s="346" t="str">
        <f aca="false">IF($A60="N/A"," ",IF(AND(AO60=$AR$2+1,AX60=0),MIN($BB$63,AF60),0))</f>
        <v> </v>
      </c>
      <c r="BI60" s="346" t="str">
        <f aca="false">IF($A60="N/A"," ",IF(AND(AP60=$AR$2+1,AY60=0),MIN($BB$63,AG60),0))</f>
        <v> </v>
      </c>
      <c r="BJ60" s="346" t="str">
        <f aca="false">IF($A60="N/A"," ",IF(AND(AQ60=$AR$2+1,AZ60=0),MIN($BB$63,AH60),0))</f>
        <v> </v>
      </c>
      <c r="BK60" s="346" t="str">
        <f aca="false">IF($A60="N/A"," ",IF(AND(AR60=$AR$2+1,BA60=0),MIN($BB$63,AI60),0))</f>
        <v> </v>
      </c>
      <c r="BL60" s="345"/>
      <c r="BM60" s="329" t="str">
        <f aca="false">IF($A60="N/A"," ",(IF(MONTH(A60)&gt;=4,IF(MONTH(A60)&lt;=10,Inputs!$F$13-Inputs!$G$13,Inputs!$F$14-Inputs!$G$14),Inputs!$F$14-Inputs!$G$14))*$CK60*Availability)</f>
        <v> </v>
      </c>
      <c r="BN60" s="330" t="str">
        <f aca="false">IF($A60="N/A"," ",(IF(AS60&gt;0,($BM60*(8*($HD60))*R60),0)+IF(BC60&gt;0,($BM60*((BC60/AA60)*8*$HD60)*R60),0)))</f>
        <v> </v>
      </c>
      <c r="BO60" s="330" t="str">
        <f aca="false">IF($A60="N/A"," ",(IF(AT60&gt;0,($BM60*(8*($HD60))*S60),0)+IF(BD60&gt;0,($BM60*((BD60/AB60)*8*$HD60)*S60),0)))</f>
        <v> </v>
      </c>
      <c r="BP60" s="330" t="str">
        <f aca="false">IF($A60="N/A"," ",(IF(AU60&gt;0,($BM60*(8*($HD60))*T60),0)+IF(BE60&gt;0,($BM60*((BE60))*T60),0)))</f>
        <v> </v>
      </c>
      <c r="BQ60" s="330" t="str">
        <f aca="false">IF($A60="N/A"," ",(IF(AV60&gt;0,($BM60*(8*($HE60))*U60),0)+IF(BF60&gt;0,($BM60*((BF60/AD60)*8*$HE60)*U60),0)))</f>
        <v> </v>
      </c>
      <c r="BR60" s="330" t="str">
        <f aca="false">IF($A60="N/A"," ",(IF(AW60&gt;0,($BM60*(8*($HE60))*V60),0)+IF(BG60&gt;0,($BM60*((BG60/AE60)*8*$HE60)*V60),0)))</f>
        <v> </v>
      </c>
      <c r="BS60" s="330" t="str">
        <f aca="false">IF($A60="N/A"," ",(IF(AX60&gt;0,($BM60*(8*($HE60))*W60),0)+IF(BH60&gt;0,($BM60*((BH60))*W60),0)))</f>
        <v> </v>
      </c>
      <c r="BT60" s="330" t="str">
        <f aca="false">IF($A60="N/A"," ",(IF(AY60&gt;0,($BM60*(8*($HF60))*X60),0)+IF(BI60&gt;0,($BM60*((BI60/AG60)*8*$HF60)*X60),0)))</f>
        <v> </v>
      </c>
      <c r="BU60" s="330" t="str">
        <f aca="false">IF($A60="N/A"," ",(IF(AZ60&gt;0,($BM60*(8*($HF60))*Y60),0)+IF(BJ60&gt;0,($BM60*((BJ60/AH60)*8*$HF60)*Y60),0)))</f>
        <v> </v>
      </c>
      <c r="BV60" s="330" t="str">
        <f aca="false">IF($A60="N/A"," ",(IF(BA60&gt;0,($BM60*(8*($HF60))*Z60),0)+IF(BK60&gt;0,($BM60*((BK60))*Z60),0)))</f>
        <v> </v>
      </c>
      <c r="BW60" s="330" t="str">
        <f aca="false">IF($A60="N/A"," ",SUM(BN60:BV60))</f>
        <v> </v>
      </c>
      <c r="BX60" s="331" t="str">
        <f aca="false">IF($A60="N/A"," ",(H60*(SUM(AS60:BA60)+SUM(BC60:BK60))*BM60))</f>
        <v> </v>
      </c>
      <c r="BY60" s="332" t="str">
        <f aca="false">IF($A60="N/A"," ",((C60*D60)*(SUM($AS60:$BA60)+SUM($BC60:$BK60))*$BM60))</f>
        <v> </v>
      </c>
      <c r="BZ60" s="332" t="str">
        <f aca="false">IF($A60="N/A"," ",(F60*(SUM($AS60:$BA60)+SUM($BC60:$BK60))*$BM60))</f>
        <v> </v>
      </c>
      <c r="CA60" s="333" t="str">
        <f aca="false">IF($A60="N/A"," ",(G60*(SUM($AS60:$BA60)+SUM($BC60:$BK60))*$BM60))</f>
        <v> </v>
      </c>
      <c r="CB60" s="334" t="str">
        <f aca="false">IF(A60="N/A"," ",(VLOOKUP(A60,PowerVolTable,(IF(BMO=2,7,IF(BMO=1,6,8))),FALSE())))</f>
        <v> </v>
      </c>
      <c r="CC60" s="334" t="str">
        <f aca="false">IF(A60="N/A"," ",(VLOOKUP(A60,IntraPowerVol,(IF(BMO=2,3,IF(BMO=1,2,4))),FALSE())*VLOOKUP(MONTH($A60),Volscale,2)))</f>
        <v> </v>
      </c>
      <c r="CD60" s="335" t="str">
        <f aca="false">IF($A60="N/A"," ",(IF(DateToday&gt;$A60,$CC60,((($CB60^2)*((($A60-1)-DateToday)/((EOMONTH($A60,0)+1)-DateToday-15)))+((($CC60)^2)*((15)/((EOMONTH($A60,0)+1)-DateToday-15))))^0.5)))</f>
        <v> </v>
      </c>
      <c r="CE60" s="334" t="str">
        <f aca="false">IF($A60="N/A"," ",(VLOOKUP($A60,GasVolTable,(IF(BMO=2,6,IF(BMO=1,7,5))),FALSE())))</f>
        <v> </v>
      </c>
      <c r="CF60" s="334" t="str">
        <f aca="false">IF($A60="N/A"," ",(VLOOKUP($A60,OmicronVol,(IF(BMO=2,3,IF(BMO=1,4,2))),FALSE())))</f>
        <v> </v>
      </c>
      <c r="CG60" s="335" t="str">
        <f aca="false">IF($A60="N/A"," ",(IF(DateToday&gt;$A60,$CF60,((($CE60^2)*((($A60-1)-DateToday)/((EOMONTH($A60,0)+1)-DateToday-15)))+((($CF60)^2)*((15)/((EOMONTH($A60,0)+1)-DateToday-15))))^0.5)))</f>
        <v> </v>
      </c>
      <c r="CH60" s="334" t="str">
        <f aca="false">IF($A60="N/A"," ",VLOOKUP($A60,CorrelationTable,2,FALSE()))</f>
        <v> </v>
      </c>
      <c r="CI60" s="336" t="str">
        <f aca="false">IF($A60="N/A"," ",F60+G60+(D60*('Pricing Inputs'!T93)))</f>
        <v> </v>
      </c>
      <c r="CJ60" s="334" t="str">
        <f aca="false">IF($A60="N/A"," ",IF(PV=1,0,'Pricing Inputs'!U93))</f>
        <v> </v>
      </c>
      <c r="CK60" s="337" t="str">
        <f aca="false">IF($A60="N/A"," ",(1+CJ60/2)^(-2*((EOMONTH(A60,0)+20)-DateToday)/365.25))</f>
        <v> </v>
      </c>
      <c r="CL60" s="338" t="str">
        <f aca="false">IF(A60="N/A"," ",IF(CC=2,(VLOOKUP(MONTH($A60),Hrtable,3))/1000,0))</f>
        <v> </v>
      </c>
      <c r="CM60" s="339" t="str">
        <f aca="false">IF(A60="N/A"," ",IF(CC=2,(CL60*C60)+F60,0))</f>
        <v> </v>
      </c>
      <c r="CN60" s="340" t="str">
        <f aca="false">IF($A60="N/A"," ",IF(CC=2,(VLOOKUP(A60,ScaledPrice,(IF(AND(Dayrun&gt;=1,Dayrun&lt;=6),2,4)))-((IF(R60&lt;&gt;0,$D60,$CL60)*$C60)+$F60+$G60)),0))</f>
        <v> </v>
      </c>
      <c r="CO60" s="340" t="str">
        <f aca="false">IF($A60="N/A"," ",IF(CC=2,(IF(AND(Dayrun&gt;=1,Dayrun&lt;=6),I60,(VLOOKUP(A60,ScaledPrice,2))*(2-(VLOOKUP(A60,ScaledPrice,3))))-((IF(S60&lt;&gt;0,$D60,$CL60)*$C60)+$F60+$G60)),0))</f>
        <v> </v>
      </c>
      <c r="CP60" s="340" t="str">
        <f aca="false">IF(A60="N/A"," ",IF(CC=2,(VLOOKUP(A60,ScaledPrice,9)-((IF(T60&lt;&gt;0,$D60,$CL60)*$C60)+$F60+$G60)),0))</f>
        <v> </v>
      </c>
      <c r="CQ60" s="340" t="str">
        <f aca="false">IF(A60="N/A"," ",IF(CC=2,(IF(OR(Dayrun=2,Dayrun=3,Dayrun=5,Dayrun=6,Dayrun=8,Dayrun=9),VLOOKUP(A60,ScaledPrice,IF(AND(Dayrun&gt;=2,Dayrun&lt;=6),5,6)),0)-((IF(U60&lt;&gt;0,$D60,$CL60)*$C60)+$F60+$G60)),0))</f>
        <v> </v>
      </c>
      <c r="CR60" s="340" t="str">
        <f aca="false">IF(A60="N/A"," ",IF(CC=2,(IF(OR(Dayrun=2,Dayrun=3,Dayrun=5,Dayrun=6,Dayrun=8,Dayrun=9),IF(AND(Dayrun&gt;=2,Dayrun&lt;=6),L60,(VLOOKUP(A60,ScaledPrice,5))*(2-(VLOOKUP(A60,ScaledPrice,3)))),0)-((IF(V60&lt;&gt;0,$D60,$CL60)*$C60)+$F60+$G60)),0))</f>
        <v> </v>
      </c>
      <c r="CS60" s="340" t="str">
        <f aca="false">IF(A60="N/A"," ",IF(CC=2,(VLOOKUP(A60,ScaledPrice,9)-((IF(W60&lt;&gt;0,$D60,$CL60)*$C60)+$F60+$G60)),0))</f>
        <v> </v>
      </c>
      <c r="CT60" s="340" t="str">
        <f aca="false">IF(A60="N/A"," ",IF(CC=2,(IF(OR(Dayrun=3,Dayrun=6,Dayrun=9),(VLOOKUP(A60,ScaledPrice,IF(AND(Dayrun&gt;=3,Dayrun&lt;=6),7,8))),0)-((IF(X60&lt;&gt;0,$D60,$CL60)*$C60)+$F60+$G60)),0))</f>
        <v> </v>
      </c>
      <c r="CU60" s="340" t="str">
        <f aca="false">IF(A60="N/A"," ",IF(CC=2,(IF(OR(Dayrun=3,Dayrun=6,Dayrun=9),IF(AND(Dayrun&gt;=3,Dayrun&lt;=6),O60,(VLOOKUP(A60,ScaledPrice,7))*(2-(VLOOKUP(A60,ScaledPrice,3)))),0)-((IF(Y60&lt;&gt;0,$D60,$CL60)*$C60)+$F60+$G60)),0))</f>
        <v> </v>
      </c>
      <c r="CV60" s="340" t="str">
        <f aca="false">IF(A60="N/A"," ",IF(CC=2,(VLOOKUP(A60,ScaledPrice,9)-((IF(Z60&lt;&gt;0,$D60,$CL60)*$C60)+$F60+$G60)),0))</f>
        <v> </v>
      </c>
      <c r="CW60" s="318" t="str">
        <f aca="false">IF($A60="N/A"," ",IF(0&lt;&gt;CN60,IF(CC=2,8*$HD60,0),0))</f>
        <v> </v>
      </c>
      <c r="CX60" s="318" t="str">
        <f aca="false">IF($A60="N/A"," ",IF(0&lt;&gt;CO60,IF(CC=2,8*$HD60,0),0))</f>
        <v> </v>
      </c>
      <c r="CY60" s="318" t="str">
        <f aca="false">IF($A60="N/A"," ",IF(0&lt;&gt;CP60,IF(CC=2,8*$HD60,0),0))</f>
        <v> </v>
      </c>
      <c r="CZ60" s="318" t="str">
        <f aca="false">IF($A60="N/A"," ",IF(0&lt;&gt;CQ60,IF(CC=2,8*$HE60,0),0))</f>
        <v> </v>
      </c>
      <c r="DA60" s="318" t="str">
        <f aca="false">IF($A60="N/A"," ",IF(0&lt;&gt;CR60,IF(CC=2,8*$HE60,0),0))</f>
        <v> </v>
      </c>
      <c r="DB60" s="318" t="str">
        <f aca="false">IF($A60="N/A"," ",IF(0&lt;&gt;CS60,IF(CC=2,8*$HE60,0),0))</f>
        <v> </v>
      </c>
      <c r="DC60" s="318" t="str">
        <f aca="false">IF($A60="N/A"," ",IF(0&lt;&gt;CT60,IF(CC=2,8*$HF60,0),0))</f>
        <v> </v>
      </c>
      <c r="DD60" s="318" t="str">
        <f aca="false">IF($A60="N/A"," ",IF(0&lt;&gt;CU60,IF(CC=2,8*$HF60,0),0))</f>
        <v> </v>
      </c>
      <c r="DE60" s="318" t="str">
        <f aca="false">IF($A60="N/A"," ",IF(0&lt;&gt;CV60,IF(CC=2,8*$HF60,0),0))</f>
        <v> </v>
      </c>
      <c r="DF60" s="341" t="str">
        <f aca="false">IF($A60="N/A"," ",IF(CC=2,(IF(MONTH(A60)&gt;=4,IF(MONTH(A60)&lt;=10,Inputs!$G$13,Inputs!$G$14),Inputs!$G$14))*$CK60,0))</f>
        <v> </v>
      </c>
      <c r="DG60" s="342" t="str">
        <f aca="false">IF($A60="N/A"," ",IF(CC=2,$DF60*CW60*CN60,0))</f>
        <v> </v>
      </c>
      <c r="DH60" s="342" t="str">
        <f aca="false">IF($A60="N/A"," ",IF(CC=2,$DF60*CX60*CO60,0))</f>
        <v> </v>
      </c>
      <c r="DI60" s="342" t="str">
        <f aca="false">IF($A60="N/A"," ",IF(CC=2,$DF60*CY60*CP60,0))</f>
        <v> </v>
      </c>
      <c r="DJ60" s="342" t="str">
        <f aca="false">IF($A60="N/A"," ",IF(CC=2,$DF60*CZ60*CQ60,0))</f>
        <v> </v>
      </c>
      <c r="DK60" s="342" t="str">
        <f aca="false">IF($A60="N/A"," ",IF(CC=2,$DF60*DA60*CR60,0))</f>
        <v> </v>
      </c>
      <c r="DL60" s="342" t="str">
        <f aca="false">IF($A60="N/A"," ",IF(CC=2,$DF60*DB60*CS60,0))</f>
        <v> </v>
      </c>
      <c r="DM60" s="342" t="str">
        <f aca="false">IF($A60="N/A"," ",IF(CC=2,$DF60*DC60*CT60,0))</f>
        <v> </v>
      </c>
      <c r="DN60" s="342" t="str">
        <f aca="false">IF($A60="N/A"," ",IF(CC=2,$DF60*DD60*CU60,0))</f>
        <v> </v>
      </c>
      <c r="DO60" s="342" t="str">
        <f aca="false">IF($A60="N/A"," ",IF(CC=2,$DF60*DE60*CV60,0))</f>
        <v> </v>
      </c>
      <c r="DP60" s="343" t="str">
        <f aca="false">IF($A60="N/A"," ",IF(CC=2,SUM(DG60:DO60),0))</f>
        <v> </v>
      </c>
      <c r="DQ60" s="0" t="str">
        <f aca="false">IF(A60="N/A"," ",Perstart)</f>
        <v> </v>
      </c>
      <c r="HD60" s="0" t="str">
        <f aca="false">IF($A60="N/A"," ",VLOOKUP($A60,NumberofDaysTable,2))</f>
        <v> </v>
      </c>
      <c r="HE60" s="0" t="str">
        <f aca="false">IF($A60="N/A"," ",VLOOKUP($A60,NumberofDaysTable,3))</f>
        <v> </v>
      </c>
      <c r="HF60" s="0" t="str">
        <f aca="false">IF($A60="N/A"," ",VLOOKUP($A60,NumberofDaysTable,4))</f>
        <v> </v>
      </c>
    </row>
    <row r="61" customFormat="false" ht="12.75" hidden="false" customHeight="false" outlineLevel="0" collapsed="false">
      <c r="A61" s="308" t="str">
        <f aca="false">IF(A60="N/A","N/A",IF(EDATE(A60,1)&gt;Inputs!$K$3,"N/A",EDATE(A60,1)))</f>
        <v>N/A</v>
      </c>
      <c r="B61" s="309" t="str">
        <f aca="false">IF(A61="N/A"," ",YEAR(A61))</f>
        <v> </v>
      </c>
      <c r="C61" s="310" t="str">
        <f aca="false">IF(A61="N/A"," ",VLOOKUP(A61,ScaledPrice,10))</f>
        <v> </v>
      </c>
      <c r="D61" s="311" t="str">
        <f aca="false">IF(A61="N/A"," ",(VLOOKUP(MONTH($A61),Hrtable,2))/1000)</f>
        <v> </v>
      </c>
      <c r="E61" s="312" t="str">
        <f aca="false">IF($A61="N/A"," ",(C61-'Pricing Inputs'!T94)*D61)</f>
        <v> </v>
      </c>
      <c r="F61" s="313" t="str">
        <f aca="false">IF(A61="N/A"," ",$F49*(1+VOMesc))</f>
        <v> </v>
      </c>
      <c r="G61" s="313" t="str">
        <f aca="false">IF(A61="N/A"," ",Perstart/IF(AND(Dayrun&gt;=4,Dayrun&lt;=6),16,IF(AND(Dayrun&gt;=7,Dayrun&lt;=9),8,24))/(BM61/CK61))</f>
        <v> </v>
      </c>
      <c r="H61" s="314" t="str">
        <f aca="false">IF(A61="N/A"," ",(C61*D61)+F61+G61)</f>
        <v> </v>
      </c>
      <c r="I61" s="315" t="str">
        <f aca="false">VLOOKUP(A61,ScaledPrice,(IF(AND(Dayrun&gt;=1,Dayrun&lt;=6),2,4)))</f>
        <v> </v>
      </c>
      <c r="J61" s="315" t="str">
        <f aca="false">IF(A61="N/A"," ",IF(AND(Dayrun&gt;=1,Dayrun&lt;=6),I61,(VLOOKUP(A61,ScaledPrice,2))*(2-(VLOOKUP(A61,ScaledPrice,3)))))</f>
        <v> </v>
      </c>
      <c r="K61" s="315" t="str">
        <f aca="false">IF(A61="N/A"," ",IF(AND(Dayrun&gt;=1,Dayrun&lt;=3),VLOOKUP(A61,ScaledPrice,9),0))</f>
        <v> </v>
      </c>
      <c r="L61" s="315" t="str">
        <f aca="false">IF(A61="N/A"," ",IF(OR(Dayrun=2,Dayrun=3,Dayrun=5,Dayrun=6,Dayrun=8,Dayrun=9),VLOOKUP(A61,ScaledPrice,IF(AND(Dayrun&gt;=2,Dayrun&lt;=6),5,6)),0))</f>
        <v> </v>
      </c>
      <c r="M61" s="315" t="str">
        <f aca="false">IF(A61="N/A"," ",IF(OR(Dayrun=2,Dayrun=3,Dayrun=5,Dayrun=6,Dayrun=8,Dayrun=9),IF(AND(Dayrun&gt;=2,Dayrun&lt;=6),L61,(VLOOKUP(A61,ScaledPrice,5))*(2-(VLOOKUP(A61,ScaledPrice,3)))),0))</f>
        <v> </v>
      </c>
      <c r="N61" s="315" t="str">
        <f aca="false">IF(A61="N/A"," ",IF(AND(Dayrun&gt;1,Dayrun&lt;=3),VLOOKUP(A61,ScaledPrice,9),0))</f>
        <v> </v>
      </c>
      <c r="O61" s="315" t="str">
        <f aca="false">IF(A61="N/A"," ",IF(OR(Dayrun=3,Dayrun=6,Dayrun=9),(VLOOKUP(A61,ScaledPrice,IF(AND(Dayrun&gt;=3,Dayrun&lt;=6),7,8))),0))</f>
        <v> </v>
      </c>
      <c r="P61" s="315" t="str">
        <f aca="false">IF(A61="N/A"," ",IF(OR(Dayrun=3,Dayrun=6,Dayrun=9),IF(AND(Dayrun&gt;=3,Dayrun&lt;=6),O61,(VLOOKUP(A61,ScaledPrice,7))*(2-(VLOOKUP(A61,ScaledPrice,3)))),0))</f>
        <v> </v>
      </c>
      <c r="Q61" s="315" t="str">
        <f aca="false">IF(A61="N/A"," ",IF(AND(Dayrun&gt;2,Dayrun&lt;=3),VLOOKUP(A61,ScaledPrice,9),0))</f>
        <v> </v>
      </c>
      <c r="R61" s="316" t="str">
        <f aca="false">IF($A61="N/A"," ",IF(Pricetype=2,MAX(I61-$H61,0),IF(Pricetype=1,(xSPRDOPT(I61,$E61,$CI61,0,($CD61+IF(Smile=TRUE(),VLOOKUP(MAX(-5,$H61-I61),Volsmile,2),0)),$CG61,$CH61,($A61-DateToday)+15,1,0)),I61-$H61)))</f>
        <v> </v>
      </c>
      <c r="S61" s="316" t="str">
        <f aca="false">IF($A61="N/A"," ",IF(Pricetype=2,MAX(J61-$H61,0),IF(Pricetype=1,(xSPRDOPT(J61,$E61,$CI61,0,($CD61+IF(Smile=TRUE(),VLOOKUP(MAX(-5,$H61-J61),Volsmile,2),0)),$CG61,$CH61,($A61-DateToday)+15,1,0)),J61-$H61)))</f>
        <v> </v>
      </c>
      <c r="T61" s="317" t="str">
        <f aca="false">IF($A61="N/A"," ",(IF(Pricetype=2,IF((K61-$H61)&lt;=0,0,(K61-$H61)),IF(K61&lt;&gt;0,(K61-$H61),0))))</f>
        <v> </v>
      </c>
      <c r="U61" s="316" t="str">
        <f aca="false">IF($A61="N/A"," ",IF(Pricetype=2,MAX(L61-$H61,0),IF(L61&lt;&gt;0,IF(Pricetype=1,(xSPRDOPT(L61,$E61,$CI61,0,($CD61+IF(Smile=TRUE(),VLOOKUP(MAX(-5,$H61-L61),Volsmile,2),0)),$CG61,$CH61,($A61-DateToday)+15,1,0)),L61-$H61),0)))</f>
        <v> </v>
      </c>
      <c r="V61" s="316" t="str">
        <f aca="false">IF($A61="N/A"," ",IF(Pricetype=2,MAX(M61-$H61,0),IF(M61&lt;&gt;0,IF(Pricetype=1,(xSPRDOPT(M61,$E61,$CI61,0,($CD61+IF(Smile=TRUE(),VLOOKUP(MAX(-5,$H61-M61),Volsmile,2),0)),$CG61,$CH61,($A61-DateToday)+15,1,0)),M61-$H61),0)))</f>
        <v> </v>
      </c>
      <c r="W61" s="317" t="str">
        <f aca="false">IF($A61="N/A"," ",(IF(Pricetype=2,IF((N61-$H61)&lt;=0,0,(N61-$H61)),IF(N61&lt;&gt;0,(N61-$H61),0))))</f>
        <v> </v>
      </c>
      <c r="X61" s="316" t="str">
        <f aca="false">IF($A61="N/A"," ",IF(Pricetype=2,MAX(O61-$H61,0),IF(O61&lt;&gt;0,IF(Pricetype=1,(xSPRDOPT(O61,$E61,$CI61,0,($CD61+IF(Smile=TRUE(),VLOOKUP(MAX(-5,$H61-O61),Volsmile,2),0)),$CG61,$CH61,($A61-DateToday)+15,1,0)),O61-$H61),0)))</f>
        <v> </v>
      </c>
      <c r="Y61" s="316" t="str">
        <f aca="false">IF($A61="N/A"," ",IF(Pricetype=2,MAX(P61-$H61,0),IF(P61&lt;&gt;0,IF(Pricetype=1,(xSPRDOPT(P61,$E61,$CI61,0,($CD61+IF(Smile=TRUE(),VLOOKUP(MAX(-5,$H61-P61),Volsmile,2),0)),$CG61,$CH61,($A61-DateToday)+15,1,0)),P61-$H61),0)))</f>
        <v> </v>
      </c>
      <c r="Z61" s="317" t="str">
        <f aca="false">IF($A61="N/A"," ",(IF(Pricetype=2,IF((Q61-$H61)&lt;=0,0,(Q61-$H61)),IF(Q61&lt;&gt;0,(Q61-$H61),0))))</f>
        <v> </v>
      </c>
      <c r="AA61" s="318" t="str">
        <f aca="false">IF($A61="N/A"," ",IF(VLOOKUP(MONTH(A61),ManualTable,2)=1,(IF(0&lt;&gt;R61,IF(Pricetype=1,(xSPRDOPT(I61,$E61,$CI61,0,($CD61+IF(Smile=TRUE(),VLOOKUP(MAX(-5,$H61-I61),Volsmile,2),0)),$CG61,$CH61,($A61-DateToday)+15,1,1))*(8*$HD61),8*$HD61),0)),0))</f>
        <v> </v>
      </c>
      <c r="AB61" s="318" t="str">
        <f aca="false">IF($A61="N/A"," ",IF(VLOOKUP(MONTH(A61),ManualTable,3)=1,(IF(S61&lt;&gt;0,IF(Pricetype=1,(xSPRDOPT(J61,$E61,$CI61,0,($CD61+IF(Smile=TRUE(),VLOOKUP(MAX(-5,$H61-J61),Volsmile,2),0)),$CG61,$CH61,($A61-DateToday)+15,1,1))*(8*$HD61),8*$HD61),0)),0))</f>
        <v> </v>
      </c>
      <c r="AC61" s="318" t="str">
        <f aca="false">IF($A61="N/A"," ",IF(VLOOKUP(MONTH(A61),ManualTable,4)=1,(IF(T61&lt;&gt;0,(8*$HD61),0)),0))</f>
        <v> </v>
      </c>
      <c r="AD61" s="318" t="str">
        <f aca="false">IF($A61="N/A"," ",IF(VLOOKUP(MONTH(A61),ManualTable,5)=1,(IF(U61&lt;&gt;0,IF(Pricetype=1,(xSPRDOPT(L61,$E61,$CI61,0,($CD61+IF(Smile=TRUE(),VLOOKUP(MAX(-5,$H61-L61),Volsmile,2),0)),$CG61,$CH61,($A61-DateToday)+15,1,1))*(8*$HE61),8*$HE61),0)),0))</f>
        <v> </v>
      </c>
      <c r="AE61" s="318" t="str">
        <f aca="false">IF($A61="N/A"," ",IF(VLOOKUP(MONTH(A61),ManualTable,6)=1,(IF(V61&lt;&gt;0,IF(Pricetype=1,(xSPRDOPT(M61,$E61,$CI61,0,($CD61+IF(Smile=TRUE(),VLOOKUP(MAX(-5,$H61-M61),Volsmile,2),0)),$CG61,$CH61,($A61-DateToday)+15,1,1))*(8*$HE61),8*$HE61),0)),0))</f>
        <v> </v>
      </c>
      <c r="AF61" s="318" t="str">
        <f aca="false">IF($A61="N/A"," ",IF(VLOOKUP(MONTH(A61),ManualTable,7)=1,(IF(W61&lt;&gt;0,(8*$HE61),0)),0))</f>
        <v> </v>
      </c>
      <c r="AG61" s="318" t="str">
        <f aca="false">IF($A61="N/A"," ",IF(VLOOKUP(MONTH(A61),ManualTable,8)=1,(IF(X61&lt;&gt;0,IF(Pricetype=1,(xSPRDOPT(O61,$E61,$CI61,0,($CD61+IF(Smile=TRUE(),VLOOKUP(MAX(-5,$H61-O61),Volsmile,2),0)),$CG61,$CH61,($A61-DateToday)+15,1,1))*(8*$HF61),8*$HF61),0)),0))</f>
        <v> </v>
      </c>
      <c r="AH61" s="318" t="str">
        <f aca="false">IF($A61="N/A"," ",IF(VLOOKUP(MONTH(A61),ManualTable,9)=1,(IF(Y61&lt;&gt;0,IF(Pricetype=1,(xSPRDOPT(P61,$E61,$CI61,0,($CD61+IF(Smile=TRUE(),VLOOKUP(MAX(-5,$H61-P61),Volsmile,2),0)),$CG61,$CH61,($A61-DateToday)+15,1,1))*(8*$HF61),8*$HF61),0)),0))</f>
        <v> </v>
      </c>
      <c r="AI61" s="318" t="str">
        <f aca="false">IF($A61="N/A"," ",IF(VLOOKUP(MONTH(A61),ManualTable,10)=1,(IF(Z61&lt;&gt;0,(8*($HF61)),0)),0))</f>
        <v> </v>
      </c>
      <c r="AJ61" s="344" t="str">
        <f aca="false">IF($A61="N/A"," ",RANK(R61,$R$52:$Z$63))</f>
        <v> </v>
      </c>
      <c r="AK61" s="321" t="str">
        <f aca="false">IF($A61="N/A"," ",RANK(S61,$R$52:$Z$63))</f>
        <v> </v>
      </c>
      <c r="AL61" s="321" t="str">
        <f aca="false">IF($A61="N/A"," ",RANK(T61,$R$52:$Z$63))</f>
        <v> </v>
      </c>
      <c r="AM61" s="321" t="str">
        <f aca="false">IF($A61="N/A"," ",RANK(U61,$R$52:$Z$63))</f>
        <v> </v>
      </c>
      <c r="AN61" s="321" t="str">
        <f aca="false">IF($A61="N/A"," ",RANK(V61,$R$52:$Z$63))</f>
        <v> </v>
      </c>
      <c r="AO61" s="321" t="str">
        <f aca="false">IF($A61="N/A"," ",RANK(W61,$R$52:$Z$63))</f>
        <v> </v>
      </c>
      <c r="AP61" s="321" t="str">
        <f aca="false">IF($A61="N/A"," ",RANK(X61,$R$52:$Z$63))</f>
        <v> </v>
      </c>
      <c r="AQ61" s="321" t="str">
        <f aca="false">IF($A61="N/A"," ",RANK(Y61,$R$52:$Z$63))</f>
        <v> </v>
      </c>
      <c r="AR61" s="345" t="str">
        <f aca="false">IF($A61="N/A"," ",RANK(Z61,$R$52:$Z$63))</f>
        <v> </v>
      </c>
      <c r="AS61" s="323" t="str">
        <f aca="false">IF($A61="N/A"," ",IF(AJ61&lt;=$AR$2,AA61,0))</f>
        <v> </v>
      </c>
      <c r="AT61" s="325" t="str">
        <f aca="false">IF($A61="N/A"," ",IF(AK61&lt;=$AR$2,AB61,0))</f>
        <v> </v>
      </c>
      <c r="AU61" s="325" t="str">
        <f aca="false">IF($A61="N/A"," ",IF(AL61&lt;=$AR$2,AC61,0))</f>
        <v> </v>
      </c>
      <c r="AV61" s="325" t="str">
        <f aca="false">IF($A61="N/A"," ",IF(AM61&lt;=$AR$2,AD61,0))</f>
        <v> </v>
      </c>
      <c r="AW61" s="325" t="str">
        <f aca="false">IF($A61="N/A"," ",IF(AN61&lt;=$AR$2,AE61,0))</f>
        <v> </v>
      </c>
      <c r="AX61" s="325" t="str">
        <f aca="false">IF($A61="N/A"," ",IF(AO61&lt;=$AR$2,AF61,0))</f>
        <v> </v>
      </c>
      <c r="AY61" s="325" t="str">
        <f aca="false">IF($A61="N/A"," ",IF(AP61&lt;=$AR$2,AG61,0))</f>
        <v> </v>
      </c>
      <c r="AZ61" s="325" t="str">
        <f aca="false">IF($A61="N/A"," ",IF(AQ61&lt;=$AR$2,AH61,0))</f>
        <v> </v>
      </c>
      <c r="BA61" s="325" t="str">
        <f aca="false">IF($A61="N/A"," ",IF(AR61&lt;=$AR$2,AI61,0))</f>
        <v> </v>
      </c>
      <c r="BB61" s="348" t="s">
        <v>1319</v>
      </c>
      <c r="BC61" s="326" t="str">
        <f aca="false">IF($A61="N/A"," ",IF(AND(AJ61=$AR$2+1,AS61=0),MIN($BB$63,AA61),0))</f>
        <v> </v>
      </c>
      <c r="BD61" s="346" t="str">
        <f aca="false">IF($A61="N/A"," ",IF(AND(AK61=$AR$2+1,AT61=0),MIN($BB$63,AB61),0))</f>
        <v> </v>
      </c>
      <c r="BE61" s="346" t="str">
        <f aca="false">IF($A61="N/A"," ",IF(AND(AL61=$AR$2+1,AU61=0),MIN($BB$63,AC61),0))</f>
        <v> </v>
      </c>
      <c r="BF61" s="346" t="str">
        <f aca="false">IF($A61="N/A"," ",IF(AND(AM61=$AR$2+1,AV61=0),MIN($BB$63,AD61),0))</f>
        <v> </v>
      </c>
      <c r="BG61" s="346" t="str">
        <f aca="false">IF($A61="N/A"," ",IF(AND(AN61=$AR$2+1,AW61=0),MIN($BB$63,AE61),0))</f>
        <v> </v>
      </c>
      <c r="BH61" s="346" t="str">
        <f aca="false">IF($A61="N/A"," ",IF(AND(AO61=$AR$2+1,AX61=0),MIN($BB$63,AF61),0))</f>
        <v> </v>
      </c>
      <c r="BI61" s="346" t="str">
        <f aca="false">IF($A61="N/A"," ",IF(AND(AP61=$AR$2+1,AY61=0),MIN($BB$63,AG61),0))</f>
        <v> </v>
      </c>
      <c r="BJ61" s="346" t="str">
        <f aca="false">IF($A61="N/A"," ",IF(AND(AQ61=$AR$2+1,AZ61=0),MIN($BB$63,AH61),0))</f>
        <v> </v>
      </c>
      <c r="BK61" s="346" t="str">
        <f aca="false">IF($A61="N/A"," ",IF(AND(AR61=$AR$2+1,BA61=0),MIN($BB$63,AI61),0))</f>
        <v> </v>
      </c>
      <c r="BL61" s="347" t="s">
        <v>1359</v>
      </c>
      <c r="BM61" s="329" t="str">
        <f aca="false">IF($A61="N/A"," ",(IF(MONTH(A61)&gt;=4,IF(MONTH(A61)&lt;=10,Inputs!$F$13-Inputs!$G$13,Inputs!$F$14-Inputs!$G$14),Inputs!$F$14-Inputs!$G$14))*$CK61*Availability)</f>
        <v> </v>
      </c>
      <c r="BN61" s="330" t="str">
        <f aca="false">IF($A61="N/A"," ",(IF(AS61&gt;0,($BM61*(8*($HD61))*R61),0)+IF(BC61&gt;0,($BM61*((BC61/AA61)*8*$HD61)*R61),0)))</f>
        <v> </v>
      </c>
      <c r="BO61" s="330" t="str">
        <f aca="false">IF($A61="N/A"," ",(IF(AT61&gt;0,($BM61*(8*($HD61))*S61),0)+IF(BD61&gt;0,($BM61*((BD61/AB61)*8*$HD61)*S61),0)))</f>
        <v> </v>
      </c>
      <c r="BP61" s="330" t="str">
        <f aca="false">IF($A61="N/A"," ",(IF(AU61&gt;0,($BM61*(8*($HD61))*T61),0)+IF(BE61&gt;0,($BM61*((BE61))*T61),0)))</f>
        <v> </v>
      </c>
      <c r="BQ61" s="330" t="str">
        <f aca="false">IF($A61="N/A"," ",(IF(AV61&gt;0,($BM61*(8*($HE61))*U61),0)+IF(BF61&gt;0,($BM61*((BF61/AD61)*8*$HE61)*U61),0)))</f>
        <v> </v>
      </c>
      <c r="BR61" s="330" t="str">
        <f aca="false">IF($A61="N/A"," ",(IF(AW61&gt;0,($BM61*(8*($HE61))*V61),0)+IF(BG61&gt;0,($BM61*((BG61/AE61)*8*$HE61)*V61),0)))</f>
        <v> </v>
      </c>
      <c r="BS61" s="330" t="str">
        <f aca="false">IF($A61="N/A"," ",(IF(AX61&gt;0,($BM61*(8*($HE61))*W61),0)+IF(BH61&gt;0,($BM61*((BH61))*W61),0)))</f>
        <v> </v>
      </c>
      <c r="BT61" s="330" t="str">
        <f aca="false">IF($A61="N/A"," ",(IF(AY61&gt;0,($BM61*(8*($HF61))*X61),0)+IF(BI61&gt;0,($BM61*((BI61/AG61)*8*$HF61)*X61),0)))</f>
        <v> </v>
      </c>
      <c r="BU61" s="330" t="str">
        <f aca="false">IF($A61="N/A"," ",(IF(AZ61&gt;0,($BM61*(8*($HF61))*Y61),0)+IF(BJ61&gt;0,($BM61*((BJ61/AH61)*8*$HF61)*Y61),0)))</f>
        <v> </v>
      </c>
      <c r="BV61" s="330" t="str">
        <f aca="false">IF($A61="N/A"," ",(IF(BA61&gt;0,($BM61*(8*($HF61))*Z61),0)+IF(BK61&gt;0,($BM61*((BK61))*Z61),0)))</f>
        <v> </v>
      </c>
      <c r="BW61" s="330" t="str">
        <f aca="false">IF($A61="N/A"," ",SUM(BN61:BV61))</f>
        <v> </v>
      </c>
      <c r="BX61" s="331" t="str">
        <f aca="false">IF($A61="N/A"," ",(H61*(SUM(AS61:BA61)+SUM(BC61:BK61))*BM61))</f>
        <v> </v>
      </c>
      <c r="BY61" s="332" t="str">
        <f aca="false">IF($A61="N/A"," ",((C61*D61)*(SUM($AS61:$BA61)+SUM($BC61:$BK61))*$BM61))</f>
        <v> </v>
      </c>
      <c r="BZ61" s="332" t="str">
        <f aca="false">IF($A61="N/A"," ",(F61*(SUM($AS61:$BA61)+SUM($BC61:$BK61))*$BM61))</f>
        <v> </v>
      </c>
      <c r="CA61" s="333" t="str">
        <f aca="false">IF($A61="N/A"," ",(G61*(SUM($AS61:$BA61)+SUM($BC61:$BK61))*$BM61))</f>
        <v> </v>
      </c>
      <c r="CB61" s="334" t="str">
        <f aca="false">IF(A61="N/A"," ",(VLOOKUP(A61,PowerVolTable,(IF(BMO=2,7,IF(BMO=1,6,8))),FALSE())))</f>
        <v> </v>
      </c>
      <c r="CC61" s="334" t="str">
        <f aca="false">IF(A61="N/A"," ",(VLOOKUP(A61,IntraPowerVol,(IF(BMO=2,3,IF(BMO=1,2,4))),FALSE())*VLOOKUP(MONTH($A61),Volscale,2)))</f>
        <v> </v>
      </c>
      <c r="CD61" s="335" t="str">
        <f aca="false">IF($A61="N/A"," ",(IF(DateToday&gt;$A61,$CC61,((($CB61^2)*((($A61-1)-DateToday)/((EOMONTH($A61,0)+1)-DateToday-15)))+((($CC61)^2)*((15)/((EOMONTH($A61,0)+1)-DateToday-15))))^0.5)))</f>
        <v> </v>
      </c>
      <c r="CE61" s="334" t="str">
        <f aca="false">IF($A61="N/A"," ",(VLOOKUP($A61,GasVolTable,(IF(BMO=2,6,IF(BMO=1,7,5))),FALSE())))</f>
        <v> </v>
      </c>
      <c r="CF61" s="334" t="str">
        <f aca="false">IF($A61="N/A"," ",(VLOOKUP($A61,OmicronVol,(IF(BMO=2,3,IF(BMO=1,4,2))),FALSE())))</f>
        <v> </v>
      </c>
      <c r="CG61" s="335" t="str">
        <f aca="false">IF($A61="N/A"," ",(IF(DateToday&gt;$A61,$CF61,((($CE61^2)*((($A61-1)-DateToday)/((EOMONTH($A61,0)+1)-DateToday-15)))+((($CF61)^2)*((15)/((EOMONTH($A61,0)+1)-DateToday-15))))^0.5)))</f>
        <v> </v>
      </c>
      <c r="CH61" s="334" t="str">
        <f aca="false">IF($A61="N/A"," ",VLOOKUP($A61,CorrelationTable,2,FALSE()))</f>
        <v> </v>
      </c>
      <c r="CI61" s="336" t="str">
        <f aca="false">IF($A61="N/A"," ",F61+G61+(D61*('Pricing Inputs'!T94)))</f>
        <v> </v>
      </c>
      <c r="CJ61" s="334" t="str">
        <f aca="false">IF($A61="N/A"," ",IF(PV=1,0,'Pricing Inputs'!U94))</f>
        <v> </v>
      </c>
      <c r="CK61" s="337" t="str">
        <f aca="false">IF($A61="N/A"," ",(1+CJ61/2)^(-2*((EOMONTH(A61,0)+20)-DateToday)/365.25))</f>
        <v> </v>
      </c>
      <c r="CL61" s="338" t="str">
        <f aca="false">IF(A61="N/A"," ",IF(CC=2,(VLOOKUP(MONTH($A61),Hrtable,3))/1000,0))</f>
        <v> </v>
      </c>
      <c r="CM61" s="339" t="str">
        <f aca="false">IF(A61="N/A"," ",IF(CC=2,(CL61*C61)+F61,0))</f>
        <v> </v>
      </c>
      <c r="CN61" s="340" t="str">
        <f aca="false">IF($A61="N/A"," ",IF(CC=2,(VLOOKUP(A61,ScaledPrice,(IF(AND(Dayrun&gt;=1,Dayrun&lt;=6),2,4)))-((IF(R61&lt;&gt;0,$D61,$CL61)*$C61)+$F61+$G61)),0))</f>
        <v> </v>
      </c>
      <c r="CO61" s="340" t="str">
        <f aca="false">IF($A61="N/A"," ",IF(CC=2,(IF(AND(Dayrun&gt;=1,Dayrun&lt;=6),I61,(VLOOKUP(A61,ScaledPrice,2))*(2-(VLOOKUP(A61,ScaledPrice,3))))-((IF(S61&lt;&gt;0,$D61,$CL61)*$C61)+$F61+$G61)),0))</f>
        <v> </v>
      </c>
      <c r="CP61" s="340" t="str">
        <f aca="false">IF(A61="N/A"," ",IF(CC=2,(VLOOKUP(A61,ScaledPrice,9)-((IF(T61&lt;&gt;0,$D61,$CL61)*$C61)+$F61+$G61)),0))</f>
        <v> </v>
      </c>
      <c r="CQ61" s="340" t="str">
        <f aca="false">IF(A61="N/A"," ",IF(CC=2,(IF(OR(Dayrun=2,Dayrun=3,Dayrun=5,Dayrun=6,Dayrun=8,Dayrun=9),VLOOKUP(A61,ScaledPrice,IF(AND(Dayrun&gt;=2,Dayrun&lt;=6),5,6)),0)-((IF(U61&lt;&gt;0,$D61,$CL61)*$C61)+$F61+$G61)),0))</f>
        <v> </v>
      </c>
      <c r="CR61" s="340" t="str">
        <f aca="false">IF(A61="N/A"," ",IF(CC=2,(IF(OR(Dayrun=2,Dayrun=3,Dayrun=5,Dayrun=6,Dayrun=8,Dayrun=9),IF(AND(Dayrun&gt;=2,Dayrun&lt;=6),L61,(VLOOKUP(A61,ScaledPrice,5))*(2-(VLOOKUP(A61,ScaledPrice,3)))),0)-((IF(V61&lt;&gt;0,$D61,$CL61)*$C61)+$F61+$G61)),0))</f>
        <v> </v>
      </c>
      <c r="CS61" s="340" t="str">
        <f aca="false">IF(A61="N/A"," ",IF(CC=2,(VLOOKUP(A61,ScaledPrice,9)-((IF(W61&lt;&gt;0,$D61,$CL61)*$C61)+$F61+$G61)),0))</f>
        <v> </v>
      </c>
      <c r="CT61" s="340" t="str">
        <f aca="false">IF(A61="N/A"," ",IF(CC=2,(IF(OR(Dayrun=3,Dayrun=6,Dayrun=9),(VLOOKUP(A61,ScaledPrice,IF(AND(Dayrun&gt;=3,Dayrun&lt;=6),7,8))),0)-((IF(X61&lt;&gt;0,$D61,$CL61)*$C61)+$F61+$G61)),0))</f>
        <v> </v>
      </c>
      <c r="CU61" s="340" t="str">
        <f aca="false">IF(A61="N/A"," ",IF(CC=2,(IF(OR(Dayrun=3,Dayrun=6,Dayrun=9),IF(AND(Dayrun&gt;=3,Dayrun&lt;=6),O61,(VLOOKUP(A61,ScaledPrice,7))*(2-(VLOOKUP(A61,ScaledPrice,3)))),0)-((IF(Y61&lt;&gt;0,$D61,$CL61)*$C61)+$F61+$G61)),0))</f>
        <v> </v>
      </c>
      <c r="CV61" s="340" t="str">
        <f aca="false">IF(A61="N/A"," ",IF(CC=2,(VLOOKUP(A61,ScaledPrice,9)-((IF(Z61&lt;&gt;0,$D61,$CL61)*$C61)+$F61+$G61)),0))</f>
        <v> </v>
      </c>
      <c r="CW61" s="318" t="str">
        <f aca="false">IF($A61="N/A"," ",IF(0&lt;&gt;CN61,IF(CC=2,8*$HD61,0),0))</f>
        <v> </v>
      </c>
      <c r="CX61" s="318" t="str">
        <f aca="false">IF($A61="N/A"," ",IF(0&lt;&gt;CO61,IF(CC=2,8*$HD61,0),0))</f>
        <v> </v>
      </c>
      <c r="CY61" s="318" t="str">
        <f aca="false">IF($A61="N/A"," ",IF(0&lt;&gt;CP61,IF(CC=2,8*$HD61,0),0))</f>
        <v> </v>
      </c>
      <c r="CZ61" s="318" t="str">
        <f aca="false">IF($A61="N/A"," ",IF(0&lt;&gt;CQ61,IF(CC=2,8*$HE61,0),0))</f>
        <v> </v>
      </c>
      <c r="DA61" s="318" t="str">
        <f aca="false">IF($A61="N/A"," ",IF(0&lt;&gt;CR61,IF(CC=2,8*$HE61,0),0))</f>
        <v> </v>
      </c>
      <c r="DB61" s="318" t="str">
        <f aca="false">IF($A61="N/A"," ",IF(0&lt;&gt;CS61,IF(CC=2,8*$HE61,0),0))</f>
        <v> </v>
      </c>
      <c r="DC61" s="318" t="str">
        <f aca="false">IF($A61="N/A"," ",IF(0&lt;&gt;CT61,IF(CC=2,8*$HF61,0),0))</f>
        <v> </v>
      </c>
      <c r="DD61" s="318" t="str">
        <f aca="false">IF($A61="N/A"," ",IF(0&lt;&gt;CU61,IF(CC=2,8*$HF61,0),0))</f>
        <v> </v>
      </c>
      <c r="DE61" s="318" t="str">
        <f aca="false">IF($A61="N/A"," ",IF(0&lt;&gt;CV61,IF(CC=2,8*$HF61,0),0))</f>
        <v> </v>
      </c>
      <c r="DF61" s="341" t="str">
        <f aca="false">IF($A61="N/A"," ",IF(CC=2,(IF(MONTH(A61)&gt;=4,IF(MONTH(A61)&lt;=10,Inputs!$G$13,Inputs!$G$14),Inputs!$G$14))*$CK61,0))</f>
        <v> </v>
      </c>
      <c r="DG61" s="342" t="str">
        <f aca="false">IF($A61="N/A"," ",IF(CC=2,$DF61*CW61*CN61,0))</f>
        <v> </v>
      </c>
      <c r="DH61" s="342" t="str">
        <f aca="false">IF($A61="N/A"," ",IF(CC=2,$DF61*CX61*CO61,0))</f>
        <v> </v>
      </c>
      <c r="DI61" s="342" t="str">
        <f aca="false">IF($A61="N/A"," ",IF(CC=2,$DF61*CY61*CP61,0))</f>
        <v> </v>
      </c>
      <c r="DJ61" s="342" t="str">
        <f aca="false">IF($A61="N/A"," ",IF(CC=2,$DF61*CZ61*CQ61,0))</f>
        <v> </v>
      </c>
      <c r="DK61" s="342" t="str">
        <f aca="false">IF($A61="N/A"," ",IF(CC=2,$DF61*DA61*CR61,0))</f>
        <v> </v>
      </c>
      <c r="DL61" s="342" t="str">
        <f aca="false">IF($A61="N/A"," ",IF(CC=2,$DF61*DB61*CS61,0))</f>
        <v> </v>
      </c>
      <c r="DM61" s="342" t="str">
        <f aca="false">IF($A61="N/A"," ",IF(CC=2,$DF61*DC61*CT61,0))</f>
        <v> </v>
      </c>
      <c r="DN61" s="342" t="str">
        <f aca="false">IF($A61="N/A"," ",IF(CC=2,$DF61*DD61*CU61,0))</f>
        <v> </v>
      </c>
      <c r="DO61" s="342" t="str">
        <f aca="false">IF($A61="N/A"," ",IF(CC=2,$DF61*DE61*CV61,0))</f>
        <v> </v>
      </c>
      <c r="DP61" s="343" t="str">
        <f aca="false">IF($A61="N/A"," ",IF(CC=2,SUM(DG61:DO61),0))</f>
        <v> </v>
      </c>
      <c r="DQ61" s="0" t="str">
        <f aca="false">IF(A61="N/A"," ",Perstart)</f>
        <v> </v>
      </c>
      <c r="HD61" s="0" t="str">
        <f aca="false">IF($A61="N/A"," ",VLOOKUP($A61,NumberofDaysTable,2))</f>
        <v> </v>
      </c>
      <c r="HE61" s="0" t="str">
        <f aca="false">IF($A61="N/A"," ",VLOOKUP($A61,NumberofDaysTable,3))</f>
        <v> </v>
      </c>
      <c r="HF61" s="0" t="str">
        <f aca="false">IF($A61="N/A"," ",VLOOKUP($A61,NumberofDaysTable,4))</f>
        <v> </v>
      </c>
    </row>
    <row r="62" customFormat="false" ht="12.75" hidden="false" customHeight="false" outlineLevel="0" collapsed="false">
      <c r="A62" s="308" t="str">
        <f aca="false">IF(A61="N/A","N/A",IF(EDATE(A61,1)&gt;Inputs!$K$3,"N/A",EDATE(A61,1)))</f>
        <v>N/A</v>
      </c>
      <c r="B62" s="309" t="str">
        <f aca="false">IF(A62="N/A"," ",YEAR(A62))</f>
        <v> </v>
      </c>
      <c r="C62" s="310" t="str">
        <f aca="false">IF(A62="N/A"," ",VLOOKUP(A62,ScaledPrice,10))</f>
        <v> </v>
      </c>
      <c r="D62" s="311" t="str">
        <f aca="false">IF(A62="N/A"," ",(VLOOKUP(MONTH($A62),Hrtable,2))/1000)</f>
        <v> </v>
      </c>
      <c r="E62" s="312" t="str">
        <f aca="false">IF($A62="N/A"," ",(C62-'Pricing Inputs'!T95)*D62)</f>
        <v> </v>
      </c>
      <c r="F62" s="313" t="str">
        <f aca="false">IF(A62="N/A"," ",$F50*(1+VOMesc))</f>
        <v> </v>
      </c>
      <c r="G62" s="313" t="str">
        <f aca="false">IF(A62="N/A"," ",Perstart/IF(AND(Dayrun&gt;=4,Dayrun&lt;=6),16,IF(AND(Dayrun&gt;=7,Dayrun&lt;=9),8,24))/(BM62/CK62))</f>
        <v> </v>
      </c>
      <c r="H62" s="314" t="str">
        <f aca="false">IF(A62="N/A"," ",(C62*D62)+F62+G62)</f>
        <v> </v>
      </c>
      <c r="I62" s="315" t="str">
        <f aca="false">VLOOKUP(A62,ScaledPrice,(IF(AND(Dayrun&gt;=1,Dayrun&lt;=6),2,4)))</f>
        <v> </v>
      </c>
      <c r="J62" s="315" t="str">
        <f aca="false">IF(A62="N/A"," ",IF(AND(Dayrun&gt;=1,Dayrun&lt;=6),I62,(VLOOKUP(A62,ScaledPrice,2))*(2-(VLOOKUP(A62,ScaledPrice,3)))))</f>
        <v> </v>
      </c>
      <c r="K62" s="315" t="str">
        <f aca="false">IF(A62="N/A"," ",IF(AND(Dayrun&gt;=1,Dayrun&lt;=3),VLOOKUP(A62,ScaledPrice,9),0))</f>
        <v> </v>
      </c>
      <c r="L62" s="315" t="str">
        <f aca="false">IF(A62="N/A"," ",IF(OR(Dayrun=2,Dayrun=3,Dayrun=5,Dayrun=6,Dayrun=8,Dayrun=9),VLOOKUP(A62,ScaledPrice,IF(AND(Dayrun&gt;=2,Dayrun&lt;=6),5,6)),0))</f>
        <v> </v>
      </c>
      <c r="M62" s="315" t="str">
        <f aca="false">IF(A62="N/A"," ",IF(OR(Dayrun=2,Dayrun=3,Dayrun=5,Dayrun=6,Dayrun=8,Dayrun=9),IF(AND(Dayrun&gt;=2,Dayrun&lt;=6),L62,(VLOOKUP(A62,ScaledPrice,5))*(2-(VLOOKUP(A62,ScaledPrice,3)))),0))</f>
        <v> </v>
      </c>
      <c r="N62" s="315" t="str">
        <f aca="false">IF(A62="N/A"," ",IF(AND(Dayrun&gt;1,Dayrun&lt;=3),VLOOKUP(A62,ScaledPrice,9),0))</f>
        <v> </v>
      </c>
      <c r="O62" s="315" t="str">
        <f aca="false">IF(A62="N/A"," ",IF(OR(Dayrun=3,Dayrun=6,Dayrun=9),(VLOOKUP(A62,ScaledPrice,IF(AND(Dayrun&gt;=3,Dayrun&lt;=6),7,8))),0))</f>
        <v> </v>
      </c>
      <c r="P62" s="315" t="str">
        <f aca="false">IF(A62="N/A"," ",IF(OR(Dayrun=3,Dayrun=6,Dayrun=9),IF(AND(Dayrun&gt;=3,Dayrun&lt;=6),O62,(VLOOKUP(A62,ScaledPrice,7))*(2-(VLOOKUP(A62,ScaledPrice,3)))),0))</f>
        <v> </v>
      </c>
      <c r="Q62" s="315" t="str">
        <f aca="false">IF(A62="N/A"," ",IF(AND(Dayrun&gt;2,Dayrun&lt;=3),VLOOKUP(A62,ScaledPrice,9),0))</f>
        <v> </v>
      </c>
      <c r="R62" s="316" t="str">
        <f aca="false">IF($A62="N/A"," ",IF(Pricetype=2,MAX(I62-$H62,0),IF(Pricetype=1,(xSPRDOPT(I62,$E62,$CI62,0,($CD62+IF(Smile=TRUE(),VLOOKUP(MAX(-5,$H62-I62),Volsmile,2),0)),$CG62,$CH62,($A62-DateToday)+15,1,0)),I62-$H62)))</f>
        <v> </v>
      </c>
      <c r="S62" s="316" t="str">
        <f aca="false">IF($A62="N/A"," ",IF(Pricetype=2,MAX(J62-$H62,0),IF(Pricetype=1,(xSPRDOPT(J62,$E62,$CI62,0,($CD62+IF(Smile=TRUE(),VLOOKUP(MAX(-5,$H62-J62),Volsmile,2),0)),$CG62,$CH62,($A62-DateToday)+15,1,0)),J62-$H62)))</f>
        <v> </v>
      </c>
      <c r="T62" s="317" t="str">
        <f aca="false">IF($A62="N/A"," ",(IF(Pricetype=2,IF((K62-$H62)&lt;=0,0,(K62-$H62)),IF(K62&lt;&gt;0,(K62-$H62),0))))</f>
        <v> </v>
      </c>
      <c r="U62" s="316" t="str">
        <f aca="false">IF($A62="N/A"," ",IF(Pricetype=2,MAX(L62-$H62,0),IF(L62&lt;&gt;0,IF(Pricetype=1,(xSPRDOPT(L62,$E62,$CI62,0,($CD62+IF(Smile=TRUE(),VLOOKUP(MAX(-5,$H62-L62),Volsmile,2),0)),$CG62,$CH62,($A62-DateToday)+15,1,0)),L62-$H62),0)))</f>
        <v> </v>
      </c>
      <c r="V62" s="316" t="str">
        <f aca="false">IF($A62="N/A"," ",IF(Pricetype=2,MAX(M62-$H62,0),IF(M62&lt;&gt;0,IF(Pricetype=1,(xSPRDOPT(M62,$E62,$CI62,0,($CD62+IF(Smile=TRUE(),VLOOKUP(MAX(-5,$H62-M62),Volsmile,2),0)),$CG62,$CH62,($A62-DateToday)+15,1,0)),M62-$H62),0)))</f>
        <v> </v>
      </c>
      <c r="W62" s="317" t="str">
        <f aca="false">IF($A62="N/A"," ",(IF(Pricetype=2,IF((N62-$H62)&lt;=0,0,(N62-$H62)),IF(N62&lt;&gt;0,(N62-$H62),0))))</f>
        <v> </v>
      </c>
      <c r="X62" s="316" t="str">
        <f aca="false">IF($A62="N/A"," ",IF(Pricetype=2,MAX(O62-$H62,0),IF(O62&lt;&gt;0,IF(Pricetype=1,(xSPRDOPT(O62,$E62,$CI62,0,($CD62+IF(Smile=TRUE(),VLOOKUP(MAX(-5,$H62-O62),Volsmile,2),0)),$CG62,$CH62,($A62-DateToday)+15,1,0)),O62-$H62),0)))</f>
        <v> </v>
      </c>
      <c r="Y62" s="316" t="str">
        <f aca="false">IF($A62="N/A"," ",IF(Pricetype=2,MAX(P62-$H62,0),IF(P62&lt;&gt;0,IF(Pricetype=1,(xSPRDOPT(P62,$E62,$CI62,0,($CD62+IF(Smile=TRUE(),VLOOKUP(MAX(-5,$H62-P62),Volsmile,2),0)),$CG62,$CH62,($A62-DateToday)+15,1,0)),P62-$H62),0)))</f>
        <v> </v>
      </c>
      <c r="Z62" s="317" t="str">
        <f aca="false">IF($A62="N/A"," ",(IF(Pricetype=2,IF((Q62-$H62)&lt;=0,0,(Q62-$H62)),IF(Q62&lt;&gt;0,(Q62-$H62),0))))</f>
        <v> </v>
      </c>
      <c r="AA62" s="318" t="str">
        <f aca="false">IF($A62="N/A"," ",IF(VLOOKUP(MONTH(A62),ManualTable,2)=1,(IF(0&lt;&gt;R62,IF(Pricetype=1,(xSPRDOPT(I62,$E62,$CI62,0,($CD62+IF(Smile=TRUE(),VLOOKUP(MAX(-5,$H62-I62),Volsmile,2),0)),$CG62,$CH62,($A62-DateToday)+15,1,1))*(8*$HD62),8*$HD62),0)),0))</f>
        <v> </v>
      </c>
      <c r="AB62" s="318" t="str">
        <f aca="false">IF($A62="N/A"," ",IF(VLOOKUP(MONTH(A62),ManualTable,3)=1,(IF(S62&lt;&gt;0,IF(Pricetype=1,(xSPRDOPT(J62,$E62,$CI62,0,($CD62+IF(Smile=TRUE(),VLOOKUP(MAX(-5,$H62-J62),Volsmile,2),0)),$CG62,$CH62,($A62-DateToday)+15,1,1))*(8*$HD62),8*$HD62),0)),0))</f>
        <v> </v>
      </c>
      <c r="AC62" s="318" t="str">
        <f aca="false">IF($A62="N/A"," ",IF(VLOOKUP(MONTH(A62),ManualTable,4)=1,(IF(T62&lt;&gt;0,(8*$HD62),0)),0))</f>
        <v> </v>
      </c>
      <c r="AD62" s="318" t="str">
        <f aca="false">IF($A62="N/A"," ",IF(VLOOKUP(MONTH(A62),ManualTable,5)=1,(IF(U62&lt;&gt;0,IF(Pricetype=1,(xSPRDOPT(L62,$E62,$CI62,0,($CD62+IF(Smile=TRUE(),VLOOKUP(MAX(-5,$H62-L62),Volsmile,2),0)),$CG62,$CH62,($A62-DateToday)+15,1,1))*(8*$HE62),8*$HE62),0)),0))</f>
        <v> </v>
      </c>
      <c r="AE62" s="318" t="str">
        <f aca="false">IF($A62="N/A"," ",IF(VLOOKUP(MONTH(A62),ManualTable,6)=1,(IF(V62&lt;&gt;0,IF(Pricetype=1,(xSPRDOPT(M62,$E62,$CI62,0,($CD62+IF(Smile=TRUE(),VLOOKUP(MAX(-5,$H62-M62),Volsmile,2),0)),$CG62,$CH62,($A62-DateToday)+15,1,1))*(8*$HE62),8*$HE62),0)),0))</f>
        <v> </v>
      </c>
      <c r="AF62" s="318" t="str">
        <f aca="false">IF($A62="N/A"," ",IF(VLOOKUP(MONTH(A62),ManualTable,7)=1,(IF(W62&lt;&gt;0,(8*$HE62),0)),0))</f>
        <v> </v>
      </c>
      <c r="AG62" s="318" t="str">
        <f aca="false">IF($A62="N/A"," ",IF(VLOOKUP(MONTH(A62),ManualTable,8)=1,(IF(X62&lt;&gt;0,IF(Pricetype=1,(xSPRDOPT(O62,$E62,$CI62,0,($CD62+IF(Smile=TRUE(),VLOOKUP(MAX(-5,$H62-O62),Volsmile,2),0)),$CG62,$CH62,($A62-DateToday)+15,1,1))*(8*$HF62),8*$HF62),0)),0))</f>
        <v> </v>
      </c>
      <c r="AH62" s="318" t="str">
        <f aca="false">IF($A62="N/A"," ",IF(VLOOKUP(MONTH(A62),ManualTable,9)=1,(IF(Y62&lt;&gt;0,IF(Pricetype=1,(xSPRDOPT(P62,$E62,$CI62,0,($CD62+IF(Smile=TRUE(),VLOOKUP(MAX(-5,$H62-P62),Volsmile,2),0)),$CG62,$CH62,($A62-DateToday)+15,1,1))*(8*$HF62),8*$HF62),0)),0))</f>
        <v> </v>
      </c>
      <c r="AI62" s="318" t="str">
        <f aca="false">IF($A62="N/A"," ",IF(VLOOKUP(MONTH(A62),ManualTable,10)=1,(IF(Z62&lt;&gt;0,(8*($HF62)),0)),0))</f>
        <v> </v>
      </c>
      <c r="AJ62" s="344" t="str">
        <f aca="false">IF($A62="N/A"," ",RANK(R62,$R$52:$Z$63))</f>
        <v> </v>
      </c>
      <c r="AK62" s="321" t="str">
        <f aca="false">IF($A62="N/A"," ",RANK(S62,$R$52:$Z$63))</f>
        <v> </v>
      </c>
      <c r="AL62" s="321" t="str">
        <f aca="false">IF($A62="N/A"," ",RANK(T62,$R$52:$Z$63))</f>
        <v> </v>
      </c>
      <c r="AM62" s="321" t="str">
        <f aca="false">IF($A62="N/A"," ",RANK(U62,$R$52:$Z$63))</f>
        <v> </v>
      </c>
      <c r="AN62" s="321" t="str">
        <f aca="false">IF($A62="N/A"," ",RANK(V62,$R$52:$Z$63))</f>
        <v> </v>
      </c>
      <c r="AO62" s="321" t="str">
        <f aca="false">IF($A62="N/A"," ",RANK(W62,$R$52:$Z$63))</f>
        <v> </v>
      </c>
      <c r="AP62" s="321" t="str">
        <f aca="false">IF($A62="N/A"," ",RANK(X62,$R$52:$Z$63))</f>
        <v> </v>
      </c>
      <c r="AQ62" s="321" t="str">
        <f aca="false">IF($A62="N/A"," ",RANK(Y62,$R$52:$Z$63))</f>
        <v> </v>
      </c>
      <c r="AR62" s="345" t="str">
        <f aca="false">IF($A62="N/A"," ",RANK(Z62,$R$52:$Z$63))</f>
        <v> </v>
      </c>
      <c r="AS62" s="323" t="str">
        <f aca="false">IF($A62="N/A"," ",IF(AJ62&lt;=$AR$2,AA62,0))</f>
        <v> </v>
      </c>
      <c r="AT62" s="325" t="str">
        <f aca="false">IF($A62="N/A"," ",IF(AK62&lt;=$AR$2,AB62,0))</f>
        <v> </v>
      </c>
      <c r="AU62" s="325" t="str">
        <f aca="false">IF($A62="N/A"," ",IF(AL62&lt;=$AR$2,AC62,0))</f>
        <v> </v>
      </c>
      <c r="AV62" s="325" t="str">
        <f aca="false">IF($A62="N/A"," ",IF(AM62&lt;=$AR$2,AD62,0))</f>
        <v> </v>
      </c>
      <c r="AW62" s="325" t="str">
        <f aca="false">IF($A62="N/A"," ",IF(AN62&lt;=$AR$2,AE62,0))</f>
        <v> </v>
      </c>
      <c r="AX62" s="325" t="str">
        <f aca="false">IF($A62="N/A"," ",IF(AO62&lt;=$AR$2,AF62,0))</f>
        <v> </v>
      </c>
      <c r="AY62" s="325" t="str">
        <f aca="false">IF($A62="N/A"," ",IF(AP62&lt;=$AR$2,AG62,0))</f>
        <v> </v>
      </c>
      <c r="AZ62" s="325" t="str">
        <f aca="false">IF($A62="N/A"," ",IF(AQ62&lt;=$AR$2,AH62,0))</f>
        <v> </v>
      </c>
      <c r="BA62" s="325" t="str">
        <f aca="false">IF($A62="N/A"," ",IF(AR62&lt;=$AR$2,AI62,0))</f>
        <v> </v>
      </c>
      <c r="BB62" s="345" t="n">
        <f aca="false">SUM(AS52:BA63)</f>
        <v>0</v>
      </c>
      <c r="BC62" s="326" t="str">
        <f aca="false">IF($A62="N/A"," ",IF(AND(AJ62=$AR$2+1,AS62=0),MIN($BB$63,AA62),0))</f>
        <v> </v>
      </c>
      <c r="BD62" s="346" t="str">
        <f aca="false">IF($A62="N/A"," ",IF(AND(AK62=$AR$2+1,AT62=0),MIN($BB$63,AB62),0))</f>
        <v> </v>
      </c>
      <c r="BE62" s="346" t="str">
        <f aca="false">IF($A62="N/A"," ",IF(AND(AL62=$AR$2+1,AU62=0),MIN($BB$63,AC62),0))</f>
        <v> </v>
      </c>
      <c r="BF62" s="346" t="str">
        <f aca="false">IF($A62="N/A"," ",IF(AND(AM62=$AR$2+1,AV62=0),MIN($BB$63,AD62),0))</f>
        <v> </v>
      </c>
      <c r="BG62" s="346" t="str">
        <f aca="false">IF($A62="N/A"," ",IF(AND(AN62=$AR$2+1,AW62=0),MIN($BB$63,AE62),0))</f>
        <v> </v>
      </c>
      <c r="BH62" s="346" t="str">
        <f aca="false">IF($A62="N/A"," ",IF(AND(AO62=$AR$2+1,AX62=0),MIN($BB$63,AF62),0))</f>
        <v> </v>
      </c>
      <c r="BI62" s="346" t="str">
        <f aca="false">IF($A62="N/A"," ",IF(AND(AP62=$AR$2+1,AY62=0),MIN($BB$63,AG62),0))</f>
        <v> </v>
      </c>
      <c r="BJ62" s="346" t="str">
        <f aca="false">IF($A62="N/A"," ",IF(AND(AQ62=$AR$2+1,AZ62=0),MIN($BB$63,AH62),0))</f>
        <v> </v>
      </c>
      <c r="BK62" s="346" t="str">
        <f aca="false">IF($A62="N/A"," ",IF(AND(AR62=$AR$2+1,BA62=0),MIN($BB$63,AI62),0))</f>
        <v> </v>
      </c>
      <c r="BL62" s="345" t="n">
        <f aca="false">SUM(BC52:BK63)</f>
        <v>0</v>
      </c>
      <c r="BM62" s="329" t="str">
        <f aca="false">IF($A62="N/A"," ",(IF(MONTH(A62)&gt;=4,IF(MONTH(A62)&lt;=10,Inputs!$F$13-Inputs!$G$13,Inputs!$F$14-Inputs!$G$14),Inputs!$F$14-Inputs!$G$14))*$CK62*Availability)</f>
        <v> </v>
      </c>
      <c r="BN62" s="330" t="str">
        <f aca="false">IF($A62="N/A"," ",(IF(AS62&gt;0,($BM62*(8*($HD62))*R62),0)+IF(BC62&gt;0,($BM62*((BC62/AA62)*8*$HD62)*R62),0)))</f>
        <v> </v>
      </c>
      <c r="BO62" s="330" t="str">
        <f aca="false">IF($A62="N/A"," ",(IF(AT62&gt;0,($BM62*(8*($HD62))*S62),0)+IF(BD62&gt;0,($BM62*((BD62/AB62)*8*$HD62)*S62),0)))</f>
        <v> </v>
      </c>
      <c r="BP62" s="330" t="str">
        <f aca="false">IF($A62="N/A"," ",(IF(AU62&gt;0,($BM62*(8*($HD62))*T62),0)+IF(BE62&gt;0,($BM62*((BE62))*T62),0)))</f>
        <v> </v>
      </c>
      <c r="BQ62" s="330" t="str">
        <f aca="false">IF($A62="N/A"," ",(IF(AV62&gt;0,($BM62*(8*($HE62))*U62),0)+IF(BF62&gt;0,($BM62*((BF62/AD62)*8*$HE62)*U62),0)))</f>
        <v> </v>
      </c>
      <c r="BR62" s="330" t="str">
        <f aca="false">IF($A62="N/A"," ",(IF(AW62&gt;0,($BM62*(8*($HE62))*V62),0)+IF(BG62&gt;0,($BM62*((BG62/AE62)*8*$HE62)*V62),0)))</f>
        <v> </v>
      </c>
      <c r="BS62" s="330" t="str">
        <f aca="false">IF($A62="N/A"," ",(IF(AX62&gt;0,($BM62*(8*($HE62))*W62),0)+IF(BH62&gt;0,($BM62*((BH62))*W62),0)))</f>
        <v> </v>
      </c>
      <c r="BT62" s="330" t="str">
        <f aca="false">IF($A62="N/A"," ",(IF(AY62&gt;0,($BM62*(8*($HF62))*X62),0)+IF(BI62&gt;0,($BM62*((BI62/AG62)*8*$HF62)*X62),0)))</f>
        <v> </v>
      </c>
      <c r="BU62" s="330" t="str">
        <f aca="false">IF($A62="N/A"," ",(IF(AZ62&gt;0,($BM62*(8*($HF62))*Y62),0)+IF(BJ62&gt;0,($BM62*((BJ62/AH62)*8*$HF62)*Y62),0)))</f>
        <v> </v>
      </c>
      <c r="BV62" s="330" t="str">
        <f aca="false">IF($A62="N/A"," ",(IF(BA62&gt;0,($BM62*(8*($HF62))*Z62),0)+IF(BK62&gt;0,($BM62*((BK62))*Z62),0)))</f>
        <v> </v>
      </c>
      <c r="BW62" s="330" t="str">
        <f aca="false">IF($A62="N/A"," ",SUM(BN62:BV62))</f>
        <v> </v>
      </c>
      <c r="BX62" s="331" t="str">
        <f aca="false">IF($A62="N/A"," ",(H62*(SUM(AS62:BA62)+SUM(BC62:BK62))*BM62))</f>
        <v> </v>
      </c>
      <c r="BY62" s="332" t="str">
        <f aca="false">IF($A62="N/A"," ",((C62*D62)*(SUM($AS62:$BA62)+SUM($BC62:$BK62))*$BM62))</f>
        <v> </v>
      </c>
      <c r="BZ62" s="332" t="str">
        <f aca="false">IF($A62="N/A"," ",(F62*(SUM($AS62:$BA62)+SUM($BC62:$BK62))*$BM62))</f>
        <v> </v>
      </c>
      <c r="CA62" s="333" t="str">
        <f aca="false">IF($A62="N/A"," ",(G62*(SUM($AS62:$BA62)+SUM($BC62:$BK62))*$BM62))</f>
        <v> </v>
      </c>
      <c r="CB62" s="334" t="str">
        <f aca="false">IF(A62="N/A"," ",(VLOOKUP(A62,PowerVolTable,(IF(BMO=2,7,IF(BMO=1,6,8))),FALSE())))</f>
        <v> </v>
      </c>
      <c r="CC62" s="334" t="str">
        <f aca="false">IF(A62="N/A"," ",(VLOOKUP(A62,IntraPowerVol,(IF(BMO=2,3,IF(BMO=1,2,4))),FALSE())*VLOOKUP(MONTH($A62),Volscale,2)))</f>
        <v> </v>
      </c>
      <c r="CD62" s="335" t="str">
        <f aca="false">IF($A62="N/A"," ",(IF(DateToday&gt;$A62,$CC62,((($CB62^2)*((($A62-1)-DateToday)/((EOMONTH($A62,0)+1)-DateToday-15)))+((($CC62)^2)*((15)/((EOMONTH($A62,0)+1)-DateToday-15))))^0.5)))</f>
        <v> </v>
      </c>
      <c r="CE62" s="334" t="str">
        <f aca="false">IF($A62="N/A"," ",(VLOOKUP($A62,GasVolTable,(IF(BMO=2,6,IF(BMO=1,7,5))),FALSE())))</f>
        <v> </v>
      </c>
      <c r="CF62" s="334" t="str">
        <f aca="false">IF($A62="N/A"," ",(VLOOKUP($A62,OmicronVol,(IF(BMO=2,3,IF(BMO=1,4,2))),FALSE())))</f>
        <v> </v>
      </c>
      <c r="CG62" s="335" t="str">
        <f aca="false">IF($A62="N/A"," ",(IF(DateToday&gt;$A62,$CF62,((($CE62^2)*((($A62-1)-DateToday)/((EOMONTH($A62,0)+1)-DateToday-15)))+((($CF62)^2)*((15)/((EOMONTH($A62,0)+1)-DateToday-15))))^0.5)))</f>
        <v> </v>
      </c>
      <c r="CH62" s="334" t="str">
        <f aca="false">IF($A62="N/A"," ",VLOOKUP($A62,CorrelationTable,2,FALSE()))</f>
        <v> </v>
      </c>
      <c r="CI62" s="336" t="str">
        <f aca="false">IF($A62="N/A"," ",F62+G62+(D62*('Pricing Inputs'!T95)))</f>
        <v> </v>
      </c>
      <c r="CJ62" s="334" t="str">
        <f aca="false">IF($A62="N/A"," ",IF(PV=1,0,'Pricing Inputs'!U95))</f>
        <v> </v>
      </c>
      <c r="CK62" s="337" t="str">
        <f aca="false">IF($A62="N/A"," ",(1+CJ62/2)^(-2*((EOMONTH(A62,0)+20)-DateToday)/365.25))</f>
        <v> </v>
      </c>
      <c r="CL62" s="338" t="str">
        <f aca="false">IF(A62="N/A"," ",IF(CC=2,(VLOOKUP(MONTH($A62),Hrtable,3))/1000,0))</f>
        <v> </v>
      </c>
      <c r="CM62" s="339" t="str">
        <f aca="false">IF(A62="N/A"," ",IF(CC=2,(CL62*C62)+F62,0))</f>
        <v> </v>
      </c>
      <c r="CN62" s="340" t="str">
        <f aca="false">IF($A62="N/A"," ",IF(CC=2,(VLOOKUP(A62,ScaledPrice,(IF(AND(Dayrun&gt;=1,Dayrun&lt;=6),2,4)))-((IF(R62&lt;&gt;0,$D62,$CL62)*$C62)+$F62+$G62)),0))</f>
        <v> </v>
      </c>
      <c r="CO62" s="340" t="str">
        <f aca="false">IF($A62="N/A"," ",IF(CC=2,(IF(AND(Dayrun&gt;=1,Dayrun&lt;=6),I62,(VLOOKUP(A62,ScaledPrice,2))*(2-(VLOOKUP(A62,ScaledPrice,3))))-((IF(S62&lt;&gt;0,$D62,$CL62)*$C62)+$F62+$G62)),0))</f>
        <v> </v>
      </c>
      <c r="CP62" s="340" t="str">
        <f aca="false">IF(A62="N/A"," ",IF(CC=2,(VLOOKUP(A62,ScaledPrice,9)-((IF(T62&lt;&gt;0,$D62,$CL62)*$C62)+$F62+$G62)),0))</f>
        <v> </v>
      </c>
      <c r="CQ62" s="340" t="str">
        <f aca="false">IF(A62="N/A"," ",IF(CC=2,(IF(OR(Dayrun=2,Dayrun=3,Dayrun=5,Dayrun=6,Dayrun=8,Dayrun=9),VLOOKUP(A62,ScaledPrice,IF(AND(Dayrun&gt;=2,Dayrun&lt;=6),5,6)),0)-((IF(U62&lt;&gt;0,$D62,$CL62)*$C62)+$F62+$G62)),0))</f>
        <v> </v>
      </c>
      <c r="CR62" s="340" t="str">
        <f aca="false">IF(A62="N/A"," ",IF(CC=2,(IF(OR(Dayrun=2,Dayrun=3,Dayrun=5,Dayrun=6,Dayrun=8,Dayrun=9),IF(AND(Dayrun&gt;=2,Dayrun&lt;=6),L62,(VLOOKUP(A62,ScaledPrice,5))*(2-(VLOOKUP(A62,ScaledPrice,3)))),0)-((IF(V62&lt;&gt;0,$D62,$CL62)*$C62)+$F62+$G62)),0))</f>
        <v> </v>
      </c>
      <c r="CS62" s="340" t="str">
        <f aca="false">IF(A62="N/A"," ",IF(CC=2,(VLOOKUP(A62,ScaledPrice,9)-((IF(W62&lt;&gt;0,$D62,$CL62)*$C62)+$F62+$G62)),0))</f>
        <v> </v>
      </c>
      <c r="CT62" s="340" t="str">
        <f aca="false">IF(A62="N/A"," ",IF(CC=2,(IF(OR(Dayrun=3,Dayrun=6,Dayrun=9),(VLOOKUP(A62,ScaledPrice,IF(AND(Dayrun&gt;=3,Dayrun&lt;=6),7,8))),0)-((IF(X62&lt;&gt;0,$D62,$CL62)*$C62)+$F62+$G62)),0))</f>
        <v> </v>
      </c>
      <c r="CU62" s="340" t="str">
        <f aca="false">IF(A62="N/A"," ",IF(CC=2,(IF(OR(Dayrun=3,Dayrun=6,Dayrun=9),IF(AND(Dayrun&gt;=3,Dayrun&lt;=6),O62,(VLOOKUP(A62,ScaledPrice,7))*(2-(VLOOKUP(A62,ScaledPrice,3)))),0)-((IF(Y62&lt;&gt;0,$D62,$CL62)*$C62)+$F62+$G62)),0))</f>
        <v> </v>
      </c>
      <c r="CV62" s="340" t="str">
        <f aca="false">IF(A62="N/A"," ",IF(CC=2,(VLOOKUP(A62,ScaledPrice,9)-((IF(Z62&lt;&gt;0,$D62,$CL62)*$C62)+$F62+$G62)),0))</f>
        <v> </v>
      </c>
      <c r="CW62" s="318" t="str">
        <f aca="false">IF($A62="N/A"," ",IF(0&lt;&gt;CN62,IF(CC=2,8*$HD62,0),0))</f>
        <v> </v>
      </c>
      <c r="CX62" s="318" t="str">
        <f aca="false">IF($A62="N/A"," ",IF(0&lt;&gt;CO62,IF(CC=2,8*$HD62,0),0))</f>
        <v> </v>
      </c>
      <c r="CY62" s="318" t="str">
        <f aca="false">IF($A62="N/A"," ",IF(0&lt;&gt;CP62,IF(CC=2,8*$HD62,0),0))</f>
        <v> </v>
      </c>
      <c r="CZ62" s="318" t="str">
        <f aca="false">IF($A62="N/A"," ",IF(0&lt;&gt;CQ62,IF(CC=2,8*$HE62,0),0))</f>
        <v> </v>
      </c>
      <c r="DA62" s="318" t="str">
        <f aca="false">IF($A62="N/A"," ",IF(0&lt;&gt;CR62,IF(CC=2,8*$HE62,0),0))</f>
        <v> </v>
      </c>
      <c r="DB62" s="318" t="str">
        <f aca="false">IF($A62="N/A"," ",IF(0&lt;&gt;CS62,IF(CC=2,8*$HE62,0),0))</f>
        <v> </v>
      </c>
      <c r="DC62" s="318" t="str">
        <f aca="false">IF($A62="N/A"," ",IF(0&lt;&gt;CT62,IF(CC=2,8*$HF62,0),0))</f>
        <v> </v>
      </c>
      <c r="DD62" s="318" t="str">
        <f aca="false">IF($A62="N/A"," ",IF(0&lt;&gt;CU62,IF(CC=2,8*$HF62,0),0))</f>
        <v> </v>
      </c>
      <c r="DE62" s="318" t="str">
        <f aca="false">IF($A62="N/A"," ",IF(0&lt;&gt;CV62,IF(CC=2,8*$HF62,0),0))</f>
        <v> </v>
      </c>
      <c r="DF62" s="341" t="str">
        <f aca="false">IF($A62="N/A"," ",IF(CC=2,(IF(MONTH(A62)&gt;=4,IF(MONTH(A62)&lt;=10,Inputs!$G$13,Inputs!$G$14),Inputs!$G$14))*$CK62,0))</f>
        <v> </v>
      </c>
      <c r="DG62" s="342" t="str">
        <f aca="false">IF($A62="N/A"," ",IF(CC=2,$DF62*CW62*CN62,0))</f>
        <v> </v>
      </c>
      <c r="DH62" s="342" t="str">
        <f aca="false">IF($A62="N/A"," ",IF(CC=2,$DF62*CX62*CO62,0))</f>
        <v> </v>
      </c>
      <c r="DI62" s="342" t="str">
        <f aca="false">IF($A62="N/A"," ",IF(CC=2,$DF62*CY62*CP62,0))</f>
        <v> </v>
      </c>
      <c r="DJ62" s="342" t="str">
        <f aca="false">IF($A62="N/A"," ",IF(CC=2,$DF62*CZ62*CQ62,0))</f>
        <v> </v>
      </c>
      <c r="DK62" s="342" t="str">
        <f aca="false">IF($A62="N/A"," ",IF(CC=2,$DF62*DA62*CR62,0))</f>
        <v> </v>
      </c>
      <c r="DL62" s="342" t="str">
        <f aca="false">IF($A62="N/A"," ",IF(CC=2,$DF62*DB62*CS62,0))</f>
        <v> </v>
      </c>
      <c r="DM62" s="342" t="str">
        <f aca="false">IF($A62="N/A"," ",IF(CC=2,$DF62*DC62*CT62,0))</f>
        <v> </v>
      </c>
      <c r="DN62" s="342" t="str">
        <f aca="false">IF($A62="N/A"," ",IF(CC=2,$DF62*DD62*CU62,0))</f>
        <v> </v>
      </c>
      <c r="DO62" s="342" t="str">
        <f aca="false">IF($A62="N/A"," ",IF(CC=2,$DF62*DE62*CV62,0))</f>
        <v> </v>
      </c>
      <c r="DP62" s="343" t="str">
        <f aca="false">IF($A62="N/A"," ",IF(CC=2,SUM(DG62:DO62),0))</f>
        <v> </v>
      </c>
      <c r="DQ62" s="0" t="str">
        <f aca="false">IF(A62="N/A"," ",Perstart)</f>
        <v> </v>
      </c>
      <c r="HD62" s="0" t="str">
        <f aca="false">IF($A62="N/A"," ",VLOOKUP($A62,NumberofDaysTable,2))</f>
        <v> </v>
      </c>
      <c r="HE62" s="0" t="str">
        <f aca="false">IF($A62="N/A"," ",VLOOKUP($A62,NumberofDaysTable,3))</f>
        <v> </v>
      </c>
      <c r="HF62" s="0" t="str">
        <f aca="false">IF($A62="N/A"," ",VLOOKUP($A62,NumberofDaysTable,4))</f>
        <v> </v>
      </c>
    </row>
    <row r="63" customFormat="false" ht="12.75" hidden="false" customHeight="false" outlineLevel="0" collapsed="false">
      <c r="A63" s="308" t="str">
        <f aca="false">IF(A62="N/A","N/A",IF(EDATE(A62,1)&gt;Inputs!$K$3,"N/A",EDATE(A62,1)))</f>
        <v>N/A</v>
      </c>
      <c r="B63" s="309" t="str">
        <f aca="false">IF(A63="N/A"," ",YEAR(A63))</f>
        <v> </v>
      </c>
      <c r="C63" s="310" t="str">
        <f aca="false">IF(A63="N/A"," ",VLOOKUP(A63,ScaledPrice,10))</f>
        <v> </v>
      </c>
      <c r="D63" s="311" t="str">
        <f aca="false">IF(A63="N/A"," ",(VLOOKUP(MONTH($A63),Hrtable,2))/1000)</f>
        <v> </v>
      </c>
      <c r="E63" s="312" t="str">
        <f aca="false">IF($A63="N/A"," ",(C63-'Pricing Inputs'!T96)*D63)</f>
        <v> </v>
      </c>
      <c r="F63" s="313" t="str">
        <f aca="false">IF(A63="N/A"," ",$F51*(1+VOMesc))</f>
        <v> </v>
      </c>
      <c r="G63" s="313" t="str">
        <f aca="false">IF(A63="N/A"," ",Perstart/IF(AND(Dayrun&gt;=4,Dayrun&lt;=6),16,IF(AND(Dayrun&gt;=7,Dayrun&lt;=9),8,24))/(BM63/CK63))</f>
        <v> </v>
      </c>
      <c r="H63" s="314" t="str">
        <f aca="false">IF(A63="N/A"," ",(C63*D63)+F63+G63)</f>
        <v> </v>
      </c>
      <c r="I63" s="315" t="str">
        <f aca="false">VLOOKUP(A63,ScaledPrice,(IF(AND(Dayrun&gt;=1,Dayrun&lt;=6),2,4)))</f>
        <v> </v>
      </c>
      <c r="J63" s="315" t="str">
        <f aca="false">IF(A63="N/A"," ",IF(AND(Dayrun&gt;=1,Dayrun&lt;=6),I63,(VLOOKUP(A63,ScaledPrice,2))*(2-(VLOOKUP(A63,ScaledPrice,3)))))</f>
        <v> </v>
      </c>
      <c r="K63" s="315" t="str">
        <f aca="false">IF(A63="N/A"," ",IF(AND(Dayrun&gt;=1,Dayrun&lt;=3),VLOOKUP(A63,ScaledPrice,9),0))</f>
        <v> </v>
      </c>
      <c r="L63" s="315" t="str">
        <f aca="false">IF(A63="N/A"," ",IF(OR(Dayrun=2,Dayrun=3,Dayrun=5,Dayrun=6,Dayrun=8,Dayrun=9),VLOOKUP(A63,ScaledPrice,IF(AND(Dayrun&gt;=2,Dayrun&lt;=6),5,6)),0))</f>
        <v> </v>
      </c>
      <c r="M63" s="315" t="str">
        <f aca="false">IF(A63="N/A"," ",IF(OR(Dayrun=2,Dayrun=3,Dayrun=5,Dayrun=6,Dayrun=8,Dayrun=9),IF(AND(Dayrun&gt;=2,Dayrun&lt;=6),L63,(VLOOKUP(A63,ScaledPrice,5))*(2-(VLOOKUP(A63,ScaledPrice,3)))),0))</f>
        <v> </v>
      </c>
      <c r="N63" s="315" t="str">
        <f aca="false">IF(A63="N/A"," ",IF(AND(Dayrun&gt;1,Dayrun&lt;=3),VLOOKUP(A63,ScaledPrice,9),0))</f>
        <v> </v>
      </c>
      <c r="O63" s="315" t="str">
        <f aca="false">IF(A63="N/A"," ",IF(OR(Dayrun=3,Dayrun=6,Dayrun=9),(VLOOKUP(A63,ScaledPrice,IF(AND(Dayrun&gt;=3,Dayrun&lt;=6),7,8))),0))</f>
        <v> </v>
      </c>
      <c r="P63" s="315" t="str">
        <f aca="false">IF(A63="N/A"," ",IF(OR(Dayrun=3,Dayrun=6,Dayrun=9),IF(AND(Dayrun&gt;=3,Dayrun&lt;=6),O63,(VLOOKUP(A63,ScaledPrice,7))*(2-(VLOOKUP(A63,ScaledPrice,3)))),0))</f>
        <v> </v>
      </c>
      <c r="Q63" s="315" t="str">
        <f aca="false">IF(A63="N/A"," ",IF(AND(Dayrun&gt;2,Dayrun&lt;=3),VLOOKUP(A63,ScaledPrice,9),0))</f>
        <v> </v>
      </c>
      <c r="R63" s="316" t="str">
        <f aca="false">IF($A63="N/A"," ",IF(Pricetype=2,MAX(I63-$H63,0),IF(Pricetype=1,(xSPRDOPT(I63,$E63,$CI63,0,($CD63+IF(Smile=TRUE(),VLOOKUP(MAX(-5,$H63-I63),Volsmile,2),0)),$CG63,$CH63,($A63-DateToday)+15,1,0)),I63-$H63)))</f>
        <v> </v>
      </c>
      <c r="S63" s="316" t="str">
        <f aca="false">IF($A63="N/A"," ",IF(Pricetype=2,MAX(J63-$H63,0),IF(Pricetype=1,(xSPRDOPT(J63,$E63,$CI63,0,($CD63+IF(Smile=TRUE(),VLOOKUP(MAX(-5,$H63-J63),Volsmile,2),0)),$CG63,$CH63,($A63-DateToday)+15,1,0)),J63-$H63)))</f>
        <v> </v>
      </c>
      <c r="T63" s="317" t="str">
        <f aca="false">IF($A63="N/A"," ",(IF(Pricetype=2,IF((K63-$H63)&lt;=0,0,(K63-$H63)),IF(K63&lt;&gt;0,(K63-$H63),0))))</f>
        <v> </v>
      </c>
      <c r="U63" s="316" t="str">
        <f aca="false">IF($A63="N/A"," ",IF(Pricetype=2,MAX(L63-$H63,0),IF(L63&lt;&gt;0,IF(Pricetype=1,(xSPRDOPT(L63,$E63,$CI63,0,($CD63+IF(Smile=TRUE(),VLOOKUP(MAX(-5,$H63-L63),Volsmile,2),0)),$CG63,$CH63,($A63-DateToday)+15,1,0)),L63-$H63),0)))</f>
        <v> </v>
      </c>
      <c r="V63" s="316" t="str">
        <f aca="false">IF($A63="N/A"," ",IF(Pricetype=2,MAX(M63-$H63,0),IF(M63&lt;&gt;0,IF(Pricetype=1,(xSPRDOPT(M63,$E63,$CI63,0,($CD63+IF(Smile=TRUE(),VLOOKUP(MAX(-5,$H63-M63),Volsmile,2),0)),$CG63,$CH63,($A63-DateToday)+15,1,0)),M63-$H63),0)))</f>
        <v> </v>
      </c>
      <c r="W63" s="317" t="str">
        <f aca="false">IF($A63="N/A"," ",(IF(Pricetype=2,IF((N63-$H63)&lt;=0,0,(N63-$H63)),IF(N63&lt;&gt;0,(N63-$H63),0))))</f>
        <v> </v>
      </c>
      <c r="X63" s="316" t="str">
        <f aca="false">IF($A63="N/A"," ",IF(Pricetype=2,MAX(O63-$H63,0),IF(O63&lt;&gt;0,IF(Pricetype=1,(xSPRDOPT(O63,$E63,$CI63,0,($CD63+IF(Smile=TRUE(),VLOOKUP(MAX(-5,$H63-O63),Volsmile,2),0)),$CG63,$CH63,($A63-DateToday)+15,1,0)),O63-$H63),0)))</f>
        <v> </v>
      </c>
      <c r="Y63" s="316" t="str">
        <f aca="false">IF($A63="N/A"," ",IF(Pricetype=2,MAX(P63-$H63,0),IF(P63&lt;&gt;0,IF(Pricetype=1,(xSPRDOPT(P63,$E63,$CI63,0,($CD63+IF(Smile=TRUE(),VLOOKUP(MAX(-5,$H63-P63),Volsmile,2),0)),$CG63,$CH63,($A63-DateToday)+15,1,0)),P63-$H63),0)))</f>
        <v> </v>
      </c>
      <c r="Z63" s="317" t="str">
        <f aca="false">IF($A63="N/A"," ",(IF(Pricetype=2,IF((Q63-$H63)&lt;=0,0,(Q63-$H63)),IF(Q63&lt;&gt;0,(Q63-$H63),0))))</f>
        <v> </v>
      </c>
      <c r="AA63" s="318" t="str">
        <f aca="false">IF($A63="N/A"," ",IF(VLOOKUP(MONTH(A63),ManualTable,2)=1,(IF(0&lt;&gt;R63,IF(Pricetype=1,(xSPRDOPT(I63,$E63,$CI63,0,($CD63+IF(Smile=TRUE(),VLOOKUP(MAX(-5,$H63-I63),Volsmile,2),0)),$CG63,$CH63,($A63-DateToday)+15,1,1))*(8*$HD63),8*$HD63),0)),0))</f>
        <v> </v>
      </c>
      <c r="AB63" s="318" t="str">
        <f aca="false">IF($A63="N/A"," ",IF(VLOOKUP(MONTH(A63),ManualTable,3)=1,(IF(S63&lt;&gt;0,IF(Pricetype=1,(xSPRDOPT(J63,$E63,$CI63,0,($CD63+IF(Smile=TRUE(),VLOOKUP(MAX(-5,$H63-J63),Volsmile,2),0)),$CG63,$CH63,($A63-DateToday)+15,1,1))*(8*$HD63),8*$HD63),0)),0))</f>
        <v> </v>
      </c>
      <c r="AC63" s="318" t="str">
        <f aca="false">IF($A63="N/A"," ",IF(VLOOKUP(MONTH(A63),ManualTable,4)=1,(IF(T63&lt;&gt;0,(8*$HD63),0)),0))</f>
        <v> </v>
      </c>
      <c r="AD63" s="318" t="str">
        <f aca="false">IF($A63="N/A"," ",IF(VLOOKUP(MONTH(A63),ManualTable,5)=1,(IF(U63&lt;&gt;0,IF(Pricetype=1,(xSPRDOPT(L63,$E63,$CI63,0,($CD63+IF(Smile=TRUE(),VLOOKUP(MAX(-5,$H63-L63),Volsmile,2),0)),$CG63,$CH63,($A63-DateToday)+15,1,1))*(8*$HE63),8*$HE63),0)),0))</f>
        <v> </v>
      </c>
      <c r="AE63" s="318" t="str">
        <f aca="false">IF($A63="N/A"," ",IF(VLOOKUP(MONTH(A63),ManualTable,6)=1,(IF(V63&lt;&gt;0,IF(Pricetype=1,(xSPRDOPT(M63,$E63,$CI63,0,($CD63+IF(Smile=TRUE(),VLOOKUP(MAX(-5,$H63-M63),Volsmile,2),0)),$CG63,$CH63,($A63-DateToday)+15,1,1))*(8*$HE63),8*$HE63),0)),0))</f>
        <v> </v>
      </c>
      <c r="AF63" s="318" t="str">
        <f aca="false">IF($A63="N/A"," ",IF(VLOOKUP(MONTH(A63),ManualTable,7)=1,(IF(W63&lt;&gt;0,(8*$HE63),0)),0))</f>
        <v> </v>
      </c>
      <c r="AG63" s="318" t="str">
        <f aca="false">IF($A63="N/A"," ",IF(VLOOKUP(MONTH(A63),ManualTable,8)=1,(IF(X63&lt;&gt;0,IF(Pricetype=1,(xSPRDOPT(O63,$E63,$CI63,0,($CD63+IF(Smile=TRUE(),VLOOKUP(MAX(-5,$H63-O63),Volsmile,2),0)),$CG63,$CH63,($A63-DateToday)+15,1,1))*(8*$HF63),8*$HF63),0)),0))</f>
        <v> </v>
      </c>
      <c r="AH63" s="318" t="str">
        <f aca="false">IF($A63="N/A"," ",IF(VLOOKUP(MONTH(A63),ManualTable,9)=1,(IF(Y63&lt;&gt;0,IF(Pricetype=1,(xSPRDOPT(P63,$E63,$CI63,0,($CD63+IF(Smile=TRUE(),VLOOKUP(MAX(-5,$H63-P63),Volsmile,2),0)),$CG63,$CH63,($A63-DateToday)+15,1,1))*(8*$HF63),8*$HF63),0)),0))</f>
        <v> </v>
      </c>
      <c r="AI63" s="318" t="str">
        <f aca="false">IF($A63="N/A"," ",IF(VLOOKUP(MONTH(A63),ManualTable,10)=1,(IF(Z63&lt;&gt;0,(8*($HF63)),0)),0))</f>
        <v> </v>
      </c>
      <c r="AJ63" s="349" t="str">
        <f aca="false">IF($A63="N/A"," ",RANK(R63,$R$52:$Z$63))</f>
        <v> </v>
      </c>
      <c r="AK63" s="350" t="str">
        <f aca="false">IF($A63="N/A"," ",RANK(S63,$R$52:$Z$63))</f>
        <v> </v>
      </c>
      <c r="AL63" s="350" t="str">
        <f aca="false">IF($A63="N/A"," ",RANK(T63,$R$52:$Z$63))</f>
        <v> </v>
      </c>
      <c r="AM63" s="350" t="str">
        <f aca="false">IF($A63="N/A"," ",RANK(U63,$R$52:$Z$63))</f>
        <v> </v>
      </c>
      <c r="AN63" s="350" t="str">
        <f aca="false">IF($A63="N/A"," ",RANK(V63,$R$52:$Z$63))</f>
        <v> </v>
      </c>
      <c r="AO63" s="350" t="str">
        <f aca="false">IF($A63="N/A"," ",RANK(W63,$R$52:$Z$63))</f>
        <v> </v>
      </c>
      <c r="AP63" s="350" t="str">
        <f aca="false">IF($A63="N/A"," ",RANK(X63,$R$52:$Z$63))</f>
        <v> </v>
      </c>
      <c r="AQ63" s="350" t="str">
        <f aca="false">IF($A63="N/A"," ",RANK(Y63,$R$52:$Z$63))</f>
        <v> </v>
      </c>
      <c r="AR63" s="351" t="str">
        <f aca="false">IF($A63="N/A"," ",RANK(Z63,$R$52:$Z$63))</f>
        <v> </v>
      </c>
      <c r="AS63" s="352" t="str">
        <f aca="false">IF($A63="N/A"," ",IF(AJ63&lt;=$AR$2,AA63,0))</f>
        <v> </v>
      </c>
      <c r="AT63" s="353" t="str">
        <f aca="false">IF($A63="N/A"," ",IF(AK63&lt;=$AR$2,AB63,0))</f>
        <v> </v>
      </c>
      <c r="AU63" s="353" t="str">
        <f aca="false">IF($A63="N/A"," ",IF(AL63&lt;=$AR$2,AC63,0))</f>
        <v> </v>
      </c>
      <c r="AV63" s="353" t="str">
        <f aca="false">IF($A63="N/A"," ",IF(AM63&lt;=$AR$2,AD63,0))</f>
        <v> </v>
      </c>
      <c r="AW63" s="353" t="str">
        <f aca="false">IF($A63="N/A"," ",IF(AN63&lt;=$AR$2,AE63,0))</f>
        <v> </v>
      </c>
      <c r="AX63" s="353" t="str">
        <f aca="false">IF($A63="N/A"," ",IF(AO63&lt;=$AR$2,AF63,0))</f>
        <v> </v>
      </c>
      <c r="AY63" s="353" t="str">
        <f aca="false">IF($A63="N/A"," ",IF(AP63&lt;=$AR$2,AG63,0))</f>
        <v> </v>
      </c>
      <c r="AZ63" s="353" t="str">
        <f aca="false">IF($A63="N/A"," ",IF(AQ63&lt;=$AR$2,AH63,0))</f>
        <v> </v>
      </c>
      <c r="BA63" s="353" t="str">
        <f aca="false">IF($A63="N/A"," ",IF(AR63&lt;=$AR$2,AI63,0))</f>
        <v> </v>
      </c>
      <c r="BB63" s="351" t="n">
        <f aca="false">IF(($AZ$2-BB62)&gt;=0,$AZ$2-BB62,0)</f>
        <v>980</v>
      </c>
      <c r="BC63" s="354" t="str">
        <f aca="false">IF($A63="N/A"," ",IF(AND(AJ63=$AR$2+1,AS63=0),MIN($BB$63,AA63),0))</f>
        <v> </v>
      </c>
      <c r="BD63" s="355" t="str">
        <f aca="false">IF($A63="N/A"," ",IF(AND(AK63=$AR$2+1,AT63=0),MIN($BB$63,AB63),0))</f>
        <v> </v>
      </c>
      <c r="BE63" s="346" t="str">
        <f aca="false">IF($A63="N/A"," ",IF(AND(AL63=$AR$2+1,AU63=0),MIN($BB$63,AC63),0))</f>
        <v> </v>
      </c>
      <c r="BF63" s="355" t="str">
        <f aca="false">IF($A63="N/A"," ",IF(AND(AM63=$AR$2+1,AV63=0),MIN($BB$63,AD63),0))</f>
        <v> </v>
      </c>
      <c r="BG63" s="355" t="str">
        <f aca="false">IF($A63="N/A"," ",IF(AND(AN63=$AR$2+1,AW63=0),MIN($BB$63,AE63),0))</f>
        <v> </v>
      </c>
      <c r="BH63" s="346" t="str">
        <f aca="false">IF($A63="N/A"," ",IF(AND(AO63=$AR$2+1,AX63=0),MIN($BB$63,AF63),0))</f>
        <v> </v>
      </c>
      <c r="BI63" s="355" t="str">
        <f aca="false">IF($A63="N/A"," ",IF(AND(AP63=$AR$2+1,AY63=0),MIN($BB$63,AG63),0))</f>
        <v> </v>
      </c>
      <c r="BJ63" s="355" t="str">
        <f aca="false">IF($A63="N/A"," ",IF(AND(AQ63=$AR$2+1,AZ63=0),MIN($BB$63,AH63),0))</f>
        <v> </v>
      </c>
      <c r="BK63" s="355" t="str">
        <f aca="false">IF($A63="N/A"," ",IF(AND(AR63=$AR$2+1,BA63=0),MIN($BB$63,AI63),0))</f>
        <v> </v>
      </c>
      <c r="BL63" s="356" t="n">
        <f aca="false">BB62+BL62</f>
        <v>0</v>
      </c>
      <c r="BM63" s="329" t="str">
        <f aca="false">IF($A63="N/A"," ",(IF(MONTH(A63)&gt;=4,IF(MONTH(A63)&lt;=10,Inputs!$F$13-Inputs!$G$13,Inputs!$F$14-Inputs!$G$14),Inputs!$F$14-Inputs!$G$14))*$CK63*Availability)</f>
        <v> </v>
      </c>
      <c r="BN63" s="330" t="str">
        <f aca="false">IF($A63="N/A"," ",(IF(AS63&gt;0,($BM63*(8*($HD63))*R63),0)+IF(BC63&gt;0,($BM63*((BC63/AA63)*8*$HD63)*R63),0)))</f>
        <v> </v>
      </c>
      <c r="BO63" s="330" t="str">
        <f aca="false">IF($A63="N/A"," ",(IF(AT63&gt;0,($BM63*(8*($HD63))*S63),0)+IF(BD63&gt;0,($BM63*((BD63/AB63)*8*$HD63)*S63),0)))</f>
        <v> </v>
      </c>
      <c r="BP63" s="330" t="str">
        <f aca="false">IF($A63="N/A"," ",(IF(AU63&gt;0,($BM63*(8*($HD63))*T63),0)+IF(BE63&gt;0,($BM63*((BE63))*T63),0)))</f>
        <v> </v>
      </c>
      <c r="BQ63" s="330" t="str">
        <f aca="false">IF($A63="N/A"," ",(IF(AV63&gt;0,($BM63*(8*($HE63))*U63),0)+IF(BF63&gt;0,($BM63*((BF63/AD63)*8*$HE63)*U63),0)))</f>
        <v> </v>
      </c>
      <c r="BR63" s="330" t="str">
        <f aca="false">IF($A63="N/A"," ",(IF(AW63&gt;0,($BM63*(8*($HE63))*V63),0)+IF(BG63&gt;0,($BM63*((BG63/AE63)*8*$HE63)*V63),0)))</f>
        <v> </v>
      </c>
      <c r="BS63" s="330" t="str">
        <f aca="false">IF($A63="N/A"," ",(IF(AX63&gt;0,($BM63*(8*($HE63))*W63),0)+IF(BH63&gt;0,($BM63*((BH63))*W63),0)))</f>
        <v> </v>
      </c>
      <c r="BT63" s="330" t="str">
        <f aca="false">IF($A63="N/A"," ",(IF(AY63&gt;0,($BM63*(8*($HF63))*X63),0)+IF(BI63&gt;0,($BM63*((BI63/AG63)*8*$HF63)*X63),0)))</f>
        <v> </v>
      </c>
      <c r="BU63" s="330" t="str">
        <f aca="false">IF($A63="N/A"," ",(IF(AZ63&gt;0,($BM63*(8*($HF63))*Y63),0)+IF(BJ63&gt;0,($BM63*((BJ63/AH63)*8*$HF63)*Y63),0)))</f>
        <v> </v>
      </c>
      <c r="BV63" s="330" t="str">
        <f aca="false">IF($A63="N/A"," ",(IF(BA63&gt;0,($BM63*(8*($HF63))*Z63),0)+IF(BK63&gt;0,($BM63*((BK63))*Z63),0)))</f>
        <v> </v>
      </c>
      <c r="BW63" s="330" t="str">
        <f aca="false">IF($A63="N/A"," ",SUM(BN63:BV63))</f>
        <v> </v>
      </c>
      <c r="BX63" s="331" t="str">
        <f aca="false">IF($A63="N/A"," ",(H63*(SUM(AS63:BA63)+SUM(BC63:BK63))*BM63))</f>
        <v> </v>
      </c>
      <c r="BY63" s="332" t="str">
        <f aca="false">IF($A63="N/A"," ",((C63*D63)*(SUM($AS63:$BA63)+SUM($BC63:$BK63))*$BM63))</f>
        <v> </v>
      </c>
      <c r="BZ63" s="332" t="str">
        <f aca="false">IF($A63="N/A"," ",(F63*(SUM($AS63:$BA63)+SUM($BC63:$BK63))*$BM63))</f>
        <v> </v>
      </c>
      <c r="CA63" s="333" t="str">
        <f aca="false">IF($A63="N/A"," ",(G63*(SUM($AS63:$BA63)+SUM($BC63:$BK63))*$BM63))</f>
        <v> </v>
      </c>
      <c r="CB63" s="334" t="str">
        <f aca="false">IF(A63="N/A"," ",(VLOOKUP(A63,PowerVolTable,(IF(BMO=2,7,IF(BMO=1,6,8))),FALSE())))</f>
        <v> </v>
      </c>
      <c r="CC63" s="334" t="str">
        <f aca="false">IF(A63="N/A"," ",(VLOOKUP(A63,IntraPowerVol,(IF(BMO=2,3,IF(BMO=1,2,4))),FALSE())*VLOOKUP(MONTH($A63),Volscale,2)))</f>
        <v> </v>
      </c>
      <c r="CD63" s="335" t="str">
        <f aca="false">IF($A63="N/A"," ",(IF(DateToday&gt;$A63,$CC63,((($CB63^2)*((($A63-1)-DateToday)/((EOMONTH($A63,0)+1)-DateToday-15)))+((($CC63)^2)*((15)/((EOMONTH($A63,0)+1)-DateToday-15))))^0.5)))</f>
        <v> </v>
      </c>
      <c r="CE63" s="334" t="str">
        <f aca="false">IF($A63="N/A"," ",(VLOOKUP($A63,GasVolTable,(IF(BMO=2,6,IF(BMO=1,7,5))),FALSE())))</f>
        <v> </v>
      </c>
      <c r="CF63" s="334" t="str">
        <f aca="false">IF($A63="N/A"," ",(VLOOKUP($A63,OmicronVol,(IF(BMO=2,3,IF(BMO=1,4,2))),FALSE())))</f>
        <v> </v>
      </c>
      <c r="CG63" s="335" t="str">
        <f aca="false">IF($A63="N/A"," ",(IF(DateToday&gt;$A63,$CF63,((($CE63^2)*((($A63-1)-DateToday)/((EOMONTH($A63,0)+1)-DateToday-15)))+((($CF63)^2)*((15)/((EOMONTH($A63,0)+1)-DateToday-15))))^0.5)))</f>
        <v> </v>
      </c>
      <c r="CH63" s="334" t="str">
        <f aca="false">IF($A63="N/A"," ",VLOOKUP($A63,CorrelationTable,2,FALSE()))</f>
        <v> </v>
      </c>
      <c r="CI63" s="336" t="str">
        <f aca="false">IF($A63="N/A"," ",F63+G63+(D63*('Pricing Inputs'!T96)))</f>
        <v> </v>
      </c>
      <c r="CJ63" s="334" t="str">
        <f aca="false">IF($A63="N/A"," ",IF(PV=1,0,'Pricing Inputs'!U96))</f>
        <v> </v>
      </c>
      <c r="CK63" s="337" t="str">
        <f aca="false">IF($A63="N/A"," ",(1+CJ63/2)^(-2*((EOMONTH(A63,0)+20)-DateToday)/365.25))</f>
        <v> </v>
      </c>
      <c r="CL63" s="338" t="str">
        <f aca="false">IF(A63="N/A"," ",IF(CC=2,(VLOOKUP(MONTH($A63),Hrtable,3))/1000,0))</f>
        <v> </v>
      </c>
      <c r="CM63" s="339" t="str">
        <f aca="false">IF(A63="N/A"," ",IF(CC=2,(CL63*C63)+F63,0))</f>
        <v> </v>
      </c>
      <c r="CN63" s="340" t="str">
        <f aca="false">IF($A63="N/A"," ",IF(CC=2,(VLOOKUP(A63,ScaledPrice,(IF(AND(Dayrun&gt;=1,Dayrun&lt;=6),2,4)))-((IF(R63&lt;&gt;0,$D63,$CL63)*$C63)+$F63+$G63)),0))</f>
        <v> </v>
      </c>
      <c r="CO63" s="340" t="str">
        <f aca="false">IF($A63="N/A"," ",IF(CC=2,(IF(AND(Dayrun&gt;=1,Dayrun&lt;=6),I63,(VLOOKUP(A63,ScaledPrice,2))*(2-(VLOOKUP(A63,ScaledPrice,3))))-((IF(S63&lt;&gt;0,$D63,$CL63)*$C63)+$F63+$G63)),0))</f>
        <v> </v>
      </c>
      <c r="CP63" s="340" t="str">
        <f aca="false">IF(A63="N/A"," ",IF(CC=2,(VLOOKUP(A63,ScaledPrice,9)-((IF(T63&lt;&gt;0,$D63,$CL63)*$C63)+$F63+$G63)),0))</f>
        <v> </v>
      </c>
      <c r="CQ63" s="340" t="str">
        <f aca="false">IF(A63="N/A"," ",IF(CC=2,(IF(OR(Dayrun=2,Dayrun=3,Dayrun=5,Dayrun=6,Dayrun=8,Dayrun=9),VLOOKUP(A63,ScaledPrice,IF(AND(Dayrun&gt;=2,Dayrun&lt;=6),5,6)),0)-((IF(U63&lt;&gt;0,$D63,$CL63)*$C63)+$F63+$G63)),0))</f>
        <v> </v>
      </c>
      <c r="CR63" s="340" t="str">
        <f aca="false">IF(A63="N/A"," ",IF(CC=2,(IF(OR(Dayrun=2,Dayrun=3,Dayrun=5,Dayrun=6,Dayrun=8,Dayrun=9),IF(AND(Dayrun&gt;=2,Dayrun&lt;=6),L63,(VLOOKUP(A63,ScaledPrice,5))*(2-(VLOOKUP(A63,ScaledPrice,3)))),0)-((IF(V63&lt;&gt;0,$D63,$CL63)*$C63)+$F63+$G63)),0))</f>
        <v> </v>
      </c>
      <c r="CS63" s="340" t="str">
        <f aca="false">IF(A63="N/A"," ",IF(CC=2,(VLOOKUP(A63,ScaledPrice,9)-((IF(W63&lt;&gt;0,$D63,$CL63)*$C63)+$F63+$G63)),0))</f>
        <v> </v>
      </c>
      <c r="CT63" s="340" t="str">
        <f aca="false">IF(A63="N/A"," ",IF(CC=2,(IF(OR(Dayrun=3,Dayrun=6,Dayrun=9),(VLOOKUP(A63,ScaledPrice,IF(AND(Dayrun&gt;=3,Dayrun&lt;=6),7,8))),0)-((IF(X63&lt;&gt;0,$D63,$CL63)*$C63)+$F63+$G63)),0))</f>
        <v> </v>
      </c>
      <c r="CU63" s="340" t="str">
        <f aca="false">IF(A63="N/A"," ",IF(CC=2,(IF(OR(Dayrun=3,Dayrun=6,Dayrun=9),IF(AND(Dayrun&gt;=3,Dayrun&lt;=6),O63,(VLOOKUP(A63,ScaledPrice,7))*(2-(VLOOKUP(A63,ScaledPrice,3)))),0)-((IF(Y63&lt;&gt;0,$D63,$CL63)*$C63)+$F63+$G63)),0))</f>
        <v> </v>
      </c>
      <c r="CV63" s="340" t="str">
        <f aca="false">IF(A63="N/A"," ",IF(CC=2,(VLOOKUP(A63,ScaledPrice,9)-((IF(Z63&lt;&gt;0,$D63,$CL63)*$C63)+$F63+$G63)),0))</f>
        <v> </v>
      </c>
      <c r="CW63" s="318" t="str">
        <f aca="false">IF($A63="N/A"," ",IF(0&lt;&gt;CN63,IF(CC=2,8*$HD63,0),0))</f>
        <v> </v>
      </c>
      <c r="CX63" s="318" t="str">
        <f aca="false">IF($A63="N/A"," ",IF(0&lt;&gt;CO63,IF(CC=2,8*$HD63,0),0))</f>
        <v> </v>
      </c>
      <c r="CY63" s="318" t="str">
        <f aca="false">IF($A63="N/A"," ",IF(0&lt;&gt;CP63,IF(CC=2,8*$HD63,0),0))</f>
        <v> </v>
      </c>
      <c r="CZ63" s="318" t="str">
        <f aca="false">IF($A63="N/A"," ",IF(0&lt;&gt;CQ63,IF(CC=2,8*$HE63,0),0))</f>
        <v> </v>
      </c>
      <c r="DA63" s="318" t="str">
        <f aca="false">IF($A63="N/A"," ",IF(0&lt;&gt;CR63,IF(CC=2,8*$HE63,0),0))</f>
        <v> </v>
      </c>
      <c r="DB63" s="318" t="str">
        <f aca="false">IF($A63="N/A"," ",IF(0&lt;&gt;CS63,IF(CC=2,8*$HE63,0),0))</f>
        <v> </v>
      </c>
      <c r="DC63" s="318" t="str">
        <f aca="false">IF($A63="N/A"," ",IF(0&lt;&gt;CT63,IF(CC=2,8*$HF63,0),0))</f>
        <v> </v>
      </c>
      <c r="DD63" s="318" t="str">
        <f aca="false">IF($A63="N/A"," ",IF(0&lt;&gt;CU63,IF(CC=2,8*$HF63,0),0))</f>
        <v> </v>
      </c>
      <c r="DE63" s="318" t="str">
        <f aca="false">IF($A63="N/A"," ",IF(0&lt;&gt;CV63,IF(CC=2,8*$HF63,0),0))</f>
        <v> </v>
      </c>
      <c r="DF63" s="341" t="str">
        <f aca="false">IF($A63="N/A"," ",IF(CC=2,(IF(MONTH(A63)&gt;=4,IF(MONTH(A63)&lt;=10,Inputs!$G$13,Inputs!$G$14),Inputs!$G$14))*$CK63,0))</f>
        <v> </v>
      </c>
      <c r="DG63" s="342" t="str">
        <f aca="false">IF($A63="N/A"," ",IF(CC=2,$DF63*CW63*CN63,0))</f>
        <v> </v>
      </c>
      <c r="DH63" s="342" t="str">
        <f aca="false">IF($A63="N/A"," ",IF(CC=2,$DF63*CX63*CO63,0))</f>
        <v> </v>
      </c>
      <c r="DI63" s="342" t="str">
        <f aca="false">IF($A63="N/A"," ",IF(CC=2,$DF63*CY63*CP63,0))</f>
        <v> </v>
      </c>
      <c r="DJ63" s="342" t="str">
        <f aca="false">IF($A63="N/A"," ",IF(CC=2,$DF63*CZ63*CQ63,0))</f>
        <v> </v>
      </c>
      <c r="DK63" s="342" t="str">
        <f aca="false">IF($A63="N/A"," ",IF(CC=2,$DF63*DA63*CR63,0))</f>
        <v> </v>
      </c>
      <c r="DL63" s="342" t="str">
        <f aca="false">IF($A63="N/A"," ",IF(CC=2,$DF63*DB63*CS63,0))</f>
        <v> </v>
      </c>
      <c r="DM63" s="342" t="str">
        <f aca="false">IF($A63="N/A"," ",IF(CC=2,$DF63*DC63*CT63,0))</f>
        <v> </v>
      </c>
      <c r="DN63" s="342" t="str">
        <f aca="false">IF($A63="N/A"," ",IF(CC=2,$DF63*DD63*CU63,0))</f>
        <v> </v>
      </c>
      <c r="DO63" s="342" t="str">
        <f aca="false">IF($A63="N/A"," ",IF(CC=2,$DF63*DE63*CV63,0))</f>
        <v> </v>
      </c>
      <c r="DP63" s="343" t="str">
        <f aca="false">IF($A63="N/A"," ",IF(CC=2,SUM(DG63:DO63),0))</f>
        <v> </v>
      </c>
      <c r="DQ63" s="0" t="str">
        <f aca="false">IF(A63="N/A"," ",Perstart)</f>
        <v> </v>
      </c>
      <c r="HD63" s="0" t="str">
        <f aca="false">IF($A63="N/A"," ",VLOOKUP($A63,NumberofDaysTable,2))</f>
        <v> </v>
      </c>
      <c r="HE63" s="0" t="str">
        <f aca="false">IF($A63="N/A"," ",VLOOKUP($A63,NumberofDaysTable,3))</f>
        <v> </v>
      </c>
      <c r="HF63" s="0" t="str">
        <f aca="false">IF($A63="N/A"," ",VLOOKUP($A63,NumberofDaysTable,4))</f>
        <v> </v>
      </c>
    </row>
    <row r="64" customFormat="false" ht="12.75" hidden="false" customHeight="false" outlineLevel="0" collapsed="false">
      <c r="A64" s="308" t="str">
        <f aca="false">IF(A63="N/A","N/A",IF(EDATE(A63,1)&gt;Inputs!$K$3,"N/A",EDATE(A63,1)))</f>
        <v>N/A</v>
      </c>
      <c r="B64" s="309" t="str">
        <f aca="false">IF(A64="N/A"," ",YEAR(A64))</f>
        <v> </v>
      </c>
      <c r="C64" s="310" t="str">
        <f aca="false">IF(A64="N/A"," ",VLOOKUP(A64,ScaledPrice,10))</f>
        <v> </v>
      </c>
      <c r="D64" s="311" t="str">
        <f aca="false">IF(A64="N/A"," ",(VLOOKUP(MONTH($A64),Hrtable,2))/1000)</f>
        <v> </v>
      </c>
      <c r="E64" s="312" t="str">
        <f aca="false">IF($A64="N/A"," ",(C64-'Pricing Inputs'!T97)*D64)</f>
        <v> </v>
      </c>
      <c r="F64" s="313" t="str">
        <f aca="false">IF(A64="N/A"," ",$F52*(1+VOMesc))</f>
        <v> </v>
      </c>
      <c r="G64" s="313" t="str">
        <f aca="false">IF(A64="N/A"," ",Perstart/IF(AND(Dayrun&gt;=4,Dayrun&lt;=6),16,IF(AND(Dayrun&gt;=7,Dayrun&lt;=9),8,24))/(BM64/CK64))</f>
        <v> </v>
      </c>
      <c r="H64" s="314" t="str">
        <f aca="false">IF(A64="N/A"," ",(C64*D64)+F64+G64)</f>
        <v> </v>
      </c>
      <c r="I64" s="315" t="str">
        <f aca="false">VLOOKUP(A64,ScaledPrice,(IF(AND(Dayrun&gt;=1,Dayrun&lt;=6),2,4)))</f>
        <v> </v>
      </c>
      <c r="J64" s="315" t="str">
        <f aca="false">IF(A64="N/A"," ",IF(AND(Dayrun&gt;=1,Dayrun&lt;=6),I64,(VLOOKUP(A64,ScaledPrice,2))*(2-(VLOOKUP(A64,ScaledPrice,3)))))</f>
        <v> </v>
      </c>
      <c r="K64" s="315" t="str">
        <f aca="false">IF(A64="N/A"," ",IF(AND(Dayrun&gt;=1,Dayrun&lt;=3),VLOOKUP(A64,ScaledPrice,9),0))</f>
        <v> </v>
      </c>
      <c r="L64" s="315" t="str">
        <f aca="false">IF(A64="N/A"," ",IF(OR(Dayrun=2,Dayrun=3,Dayrun=5,Dayrun=6,Dayrun=8,Dayrun=9),VLOOKUP(A64,ScaledPrice,IF(AND(Dayrun&gt;=2,Dayrun&lt;=6),5,6)),0))</f>
        <v> </v>
      </c>
      <c r="M64" s="315" t="str">
        <f aca="false">IF(A64="N/A"," ",IF(OR(Dayrun=2,Dayrun=3,Dayrun=5,Dayrun=6,Dayrun=8,Dayrun=9),IF(AND(Dayrun&gt;=2,Dayrun&lt;=6),L64,(VLOOKUP(A64,ScaledPrice,5))*(2-(VLOOKUP(A64,ScaledPrice,3)))),0))</f>
        <v> </v>
      </c>
      <c r="N64" s="315" t="str">
        <f aca="false">IF(A64="N/A"," ",IF(AND(Dayrun&gt;1,Dayrun&lt;=3),VLOOKUP(A64,ScaledPrice,9),0))</f>
        <v> </v>
      </c>
      <c r="O64" s="315" t="str">
        <f aca="false">IF(A64="N/A"," ",IF(OR(Dayrun=3,Dayrun=6,Dayrun=9),(VLOOKUP(A64,ScaledPrice,IF(AND(Dayrun&gt;=3,Dayrun&lt;=6),7,8))),0))</f>
        <v> </v>
      </c>
      <c r="P64" s="315" t="str">
        <f aca="false">IF(A64="N/A"," ",IF(OR(Dayrun=3,Dayrun=6,Dayrun=9),IF(AND(Dayrun&gt;=3,Dayrun&lt;=6),O64,(VLOOKUP(A64,ScaledPrice,7))*(2-(VLOOKUP(A64,ScaledPrice,3)))),0))</f>
        <v> </v>
      </c>
      <c r="Q64" s="315" t="str">
        <f aca="false">IF(A64="N/A"," ",IF(AND(Dayrun&gt;2,Dayrun&lt;=3),VLOOKUP(A64,ScaledPrice,9),0))</f>
        <v> </v>
      </c>
      <c r="R64" s="316" t="str">
        <f aca="false">IF($A64="N/A"," ",IF(Pricetype=2,MAX(I64-$H64,0),IF(Pricetype=1,(xSPRDOPT(I64,$E64,$CI64,0,($CD64+IF(Smile=TRUE(),VLOOKUP(MAX(-5,$H64-I64),Volsmile,2),0)),$CG64,$CH64,($A64-DateToday)+15,1,0)),I64-$H64)))</f>
        <v> </v>
      </c>
      <c r="S64" s="316" t="str">
        <f aca="false">IF($A64="N/A"," ",IF(Pricetype=2,MAX(J64-$H64,0),IF(Pricetype=1,(xSPRDOPT(J64,$E64,$CI64,0,($CD64+IF(Smile=TRUE(),VLOOKUP(MAX(-5,$H64-J64),Volsmile,2),0)),$CG64,$CH64,($A64-DateToday)+15,1,0)),J64-$H64)))</f>
        <v> </v>
      </c>
      <c r="T64" s="317" t="str">
        <f aca="false">IF($A64="N/A"," ",(IF(Pricetype=2,IF((K64-$H64)&lt;=0,0,(K64-$H64)),IF(K64&lt;&gt;0,(K64-$H64),0))))</f>
        <v> </v>
      </c>
      <c r="U64" s="316" t="str">
        <f aca="false">IF($A64="N/A"," ",IF(Pricetype=2,MAX(L64-$H64,0),IF(L64&lt;&gt;0,IF(Pricetype=1,(xSPRDOPT(L64,$E64,$CI64,0,($CD64+IF(Smile=TRUE(),VLOOKUP(MAX(-5,$H64-L64),Volsmile,2),0)),$CG64,$CH64,($A64-DateToday)+15,1,0)),L64-$H64),0)))</f>
        <v> </v>
      </c>
      <c r="V64" s="316" t="str">
        <f aca="false">IF($A64="N/A"," ",IF(Pricetype=2,MAX(M64-$H64,0),IF(M64&lt;&gt;0,IF(Pricetype=1,(xSPRDOPT(M64,$E64,$CI64,0,($CD64+IF(Smile=TRUE(),VLOOKUP(MAX(-5,$H64-M64),Volsmile,2),0)),$CG64,$CH64,($A64-DateToday)+15,1,0)),M64-$H64),0)))</f>
        <v> </v>
      </c>
      <c r="W64" s="317" t="str">
        <f aca="false">IF($A64="N/A"," ",(IF(Pricetype=2,IF((N64-$H64)&lt;=0,0,(N64-$H64)),IF(N64&lt;&gt;0,(N64-$H64),0))))</f>
        <v> </v>
      </c>
      <c r="X64" s="316" t="str">
        <f aca="false">IF($A64="N/A"," ",IF(Pricetype=2,MAX(O64-$H64,0),IF(O64&lt;&gt;0,IF(Pricetype=1,(xSPRDOPT(O64,$E64,$CI64,0,($CD64+IF(Smile=TRUE(),VLOOKUP(MAX(-5,$H64-O64),Volsmile,2),0)),$CG64,$CH64,($A64-DateToday)+15,1,0)),O64-$H64),0)))</f>
        <v> </v>
      </c>
      <c r="Y64" s="316" t="str">
        <f aca="false">IF($A64="N/A"," ",IF(Pricetype=2,MAX(P64-$H64,0),IF(P64&lt;&gt;0,IF(Pricetype=1,(xSPRDOPT(P64,$E64,$CI64,0,($CD64+IF(Smile=TRUE(),VLOOKUP(MAX(-5,$H64-P64),Volsmile,2),0)),$CG64,$CH64,($A64-DateToday)+15,1,0)),P64-$H64),0)))</f>
        <v> </v>
      </c>
      <c r="Z64" s="317" t="str">
        <f aca="false">IF($A64="N/A"," ",(IF(Pricetype=2,IF((Q64-$H64)&lt;=0,0,(Q64-$H64)),IF(Q64&lt;&gt;0,(Q64-$H64),0))))</f>
        <v> </v>
      </c>
      <c r="AA64" s="318" t="str">
        <f aca="false">IF($A64="N/A"," ",IF(VLOOKUP(MONTH(A64),ManualTable,2)=1,(IF(0&lt;&gt;R64,IF(Pricetype=1,(xSPRDOPT(I64,$E64,$CI64,0,($CD64+IF(Smile=TRUE(),VLOOKUP(MAX(-5,$H64-I64),Volsmile,2),0)),$CG64,$CH64,($A64-DateToday)+15,1,1))*(8*$HD64),8*$HD64),0)),0))</f>
        <v> </v>
      </c>
      <c r="AB64" s="318" t="str">
        <f aca="false">IF($A64="N/A"," ",IF(VLOOKUP(MONTH(A64),ManualTable,3)=1,(IF(S64&lt;&gt;0,IF(Pricetype=1,(xSPRDOPT(J64,$E64,$CI64,0,($CD64+IF(Smile=TRUE(),VLOOKUP(MAX(-5,$H64-J64),Volsmile,2),0)),$CG64,$CH64,($A64-DateToday)+15,1,1))*(8*$HD64),8*$HD64),0)),0))</f>
        <v> </v>
      </c>
      <c r="AC64" s="318" t="str">
        <f aca="false">IF($A64="N/A"," ",IF(VLOOKUP(MONTH(A64),ManualTable,4)=1,(IF(T64&lt;&gt;0,(8*$HD64),0)),0))</f>
        <v> </v>
      </c>
      <c r="AD64" s="318" t="str">
        <f aca="false">IF($A64="N/A"," ",IF(VLOOKUP(MONTH(A64),ManualTable,5)=1,(IF(U64&lt;&gt;0,IF(Pricetype=1,(xSPRDOPT(L64,$E64,$CI64,0,($CD64+IF(Smile=TRUE(),VLOOKUP(MAX(-5,$H64-L64),Volsmile,2),0)),$CG64,$CH64,($A64-DateToday)+15,1,1))*(8*$HE64),8*$HE64),0)),0))</f>
        <v> </v>
      </c>
      <c r="AE64" s="318" t="str">
        <f aca="false">IF($A64="N/A"," ",IF(VLOOKUP(MONTH(A64),ManualTable,6)=1,(IF(V64&lt;&gt;0,IF(Pricetype=1,(xSPRDOPT(M64,$E64,$CI64,0,($CD64+IF(Smile=TRUE(),VLOOKUP(MAX(-5,$H64-M64),Volsmile,2),0)),$CG64,$CH64,($A64-DateToday)+15,1,1))*(8*$HE64),8*$HE64),0)),0))</f>
        <v> </v>
      </c>
      <c r="AF64" s="318" t="str">
        <f aca="false">IF($A64="N/A"," ",IF(VLOOKUP(MONTH(A64),ManualTable,7)=1,(IF(W64&lt;&gt;0,(8*$HE64),0)),0))</f>
        <v> </v>
      </c>
      <c r="AG64" s="318" t="str">
        <f aca="false">IF($A64="N/A"," ",IF(VLOOKUP(MONTH(A64),ManualTable,8)=1,(IF(X64&lt;&gt;0,IF(Pricetype=1,(xSPRDOPT(O64,$E64,$CI64,0,($CD64+IF(Smile=TRUE(),VLOOKUP(MAX(-5,$H64-O64),Volsmile,2),0)),$CG64,$CH64,($A64-DateToday)+15,1,1))*(8*$HF64),8*$HF64),0)),0))</f>
        <v> </v>
      </c>
      <c r="AH64" s="318" t="str">
        <f aca="false">IF($A64="N/A"," ",IF(VLOOKUP(MONTH(A64),ManualTable,9)=1,(IF(Y64&lt;&gt;0,IF(Pricetype=1,(xSPRDOPT(P64,$E64,$CI64,0,($CD64+IF(Smile=TRUE(),VLOOKUP(MAX(-5,$H64-P64),Volsmile,2),0)),$CG64,$CH64,($A64-DateToday)+15,1,1))*(8*$HF64),8*$HF64),0)),0))</f>
        <v> </v>
      </c>
      <c r="AI64" s="318" t="str">
        <f aca="false">IF($A64="N/A"," ",IF(VLOOKUP(MONTH(A64),ManualTable,10)=1,(IF(Z64&lt;&gt;0,(8*($HF64)),0)),0))</f>
        <v> </v>
      </c>
      <c r="AJ64" s="319" t="str">
        <f aca="false">IF($A64="N/A"," ",RANK(R64,$R$64:$Z$75))</f>
        <v> </v>
      </c>
      <c r="AK64" s="320" t="str">
        <f aca="false">IF($A64="N/A"," ",RANK(S64,$R$64:$Z$75))</f>
        <v> </v>
      </c>
      <c r="AL64" s="320" t="str">
        <f aca="false">IF($A64="N/A"," ",RANK(T64,$R$64:$Z$75))</f>
        <v> </v>
      </c>
      <c r="AM64" s="320" t="str">
        <f aca="false">IF($A64="N/A"," ",RANK(U64,$R$64:$Z$75))</f>
        <v> </v>
      </c>
      <c r="AN64" s="320" t="str">
        <f aca="false">IF($A64="N/A"," ",RANK(V64,$R$64:$Z$75))</f>
        <v> </v>
      </c>
      <c r="AO64" s="320" t="str">
        <f aca="false">IF($A64="N/A"," ",RANK(W64,$R$64:$Z$75))</f>
        <v> </v>
      </c>
      <c r="AP64" s="320" t="str">
        <f aca="false">IF($A64="N/A"," ",RANK(X64,$R$64:$Z$75))</f>
        <v> </v>
      </c>
      <c r="AQ64" s="320" t="str">
        <f aca="false">IF($A64="N/A"," ",RANK(Y64,$R$64:$Z$75))</f>
        <v> </v>
      </c>
      <c r="AR64" s="322" t="str">
        <f aca="false">IF($A64="N/A"," ",RANK(Z64,$R$64:$Z$75))</f>
        <v> </v>
      </c>
      <c r="AS64" s="357" t="str">
        <f aca="false">IF($A64="N/A"," ",IF(AJ64&lt;=$AR$2,AA64,0))</f>
        <v> </v>
      </c>
      <c r="AT64" s="324" t="str">
        <f aca="false">IF($A64="N/A"," ",IF(AK64&lt;=$AR$2,AB64,0))</f>
        <v> </v>
      </c>
      <c r="AU64" s="325" t="str">
        <f aca="false">IF($A64="N/A"," ",IF(AL64&lt;=$AR$2,AC64,0))</f>
        <v> </v>
      </c>
      <c r="AV64" s="325" t="str">
        <f aca="false">IF($A64="N/A"," ",IF(AM64&lt;=$AR$2,AD64,0))</f>
        <v> </v>
      </c>
      <c r="AW64" s="325" t="str">
        <f aca="false">IF($A64="N/A"," ",IF(AN64&lt;=$AR$2,AE64,0))</f>
        <v> </v>
      </c>
      <c r="AX64" s="325" t="str">
        <f aca="false">IF($A64="N/A"," ",IF(AO64&lt;=$AR$2,AF64,0))</f>
        <v> </v>
      </c>
      <c r="AY64" s="324" t="str">
        <f aca="false">IF($A64="N/A"," ",IF(AP64&lt;=$AR$2,AG64,0))</f>
        <v> </v>
      </c>
      <c r="AZ64" s="324" t="str">
        <f aca="false">IF($A64="N/A"," ",IF(AQ64&lt;=$AR$2,AH64,0))</f>
        <v> </v>
      </c>
      <c r="BA64" s="324" t="str">
        <f aca="false">IF($A64="N/A"," ",IF(AR64&lt;=$AR$2,AI64,0))</f>
        <v> </v>
      </c>
      <c r="BB64" s="322"/>
      <c r="BC64" s="358" t="str">
        <f aca="false">IF($A64="N/A"," ",IF(AND(AJ64=$AR$2+1,AS64=0),MIN($BB$75,AA64),0))</f>
        <v> </v>
      </c>
      <c r="BD64" s="327" t="str">
        <f aca="false">IF($A64="N/A"," ",IF(AND(AK64=$AR$2+1,AT64=0),MIN($BB$75,AB64),0))</f>
        <v> </v>
      </c>
      <c r="BE64" s="327" t="str">
        <f aca="false">IF($A64="N/A"," ",IF(AND(AL64=$AR$2+1,AU64=0),MIN($BB$75,AC64),0))</f>
        <v> </v>
      </c>
      <c r="BF64" s="327" t="str">
        <f aca="false">IF($A64="N/A"," ",IF(AND(AM64=$AR$2+1,AV64=0),MIN($BB$75,AD64),0))</f>
        <v> </v>
      </c>
      <c r="BG64" s="327" t="str">
        <f aca="false">IF($A64="N/A"," ",IF(AND(AN64=$AR$2+1,AW64=0),MIN($BB$75,AE64),0))</f>
        <v> </v>
      </c>
      <c r="BH64" s="327" t="str">
        <f aca="false">IF($A64="N/A"," ",IF(AND(AO64=$AR$2+1,AX64=0),MIN($BB$75,AF64),0))</f>
        <v> </v>
      </c>
      <c r="BI64" s="327" t="str">
        <f aca="false">IF($A64="N/A"," ",IF(AND(AP64=$AR$2+1,AY64=0),MIN($BB$75,AG64),0))</f>
        <v> </v>
      </c>
      <c r="BJ64" s="327" t="str">
        <f aca="false">IF($A64="N/A"," ",IF(AND(AQ64=$AR$2+1,AZ64=0),MIN($BB$75,AH64),0))</f>
        <v> </v>
      </c>
      <c r="BK64" s="327" t="str">
        <f aca="false">IF($A64="N/A"," ",IF(AND(AR64=$AR$2+1,BA64=0),MIN($BB$75,AI64),0))</f>
        <v> </v>
      </c>
      <c r="BL64" s="322"/>
      <c r="BM64" s="329" t="str">
        <f aca="false">IF($A64="N/A"," ",(IF(MONTH(A64)&gt;=4,IF(MONTH(A64)&lt;=10,Inputs!$F$13-Inputs!$G$13,Inputs!$F$14-Inputs!$G$14),Inputs!$F$14-Inputs!$G$14))*$CK64*Availability)</f>
        <v> </v>
      </c>
      <c r="BN64" s="330" t="str">
        <f aca="false">IF($A64="N/A"," ",(IF(AS64&gt;0,($BM64*(8*($HD64))*R64),0)+IF(BC64&gt;0,($BM64*((BC64/AA64)*8*$HD64)*R64),0)))</f>
        <v> </v>
      </c>
      <c r="BO64" s="330" t="str">
        <f aca="false">IF($A64="N/A"," ",(IF(AT64&gt;0,($BM64*(8*($HD64))*S64),0)+IF(BD64&gt;0,($BM64*((BD64/AB64)*8*$HD64)*S64),0)))</f>
        <v> </v>
      </c>
      <c r="BP64" s="330" t="str">
        <f aca="false">IF($A64="N/A"," ",(IF(AU64&gt;0,($BM64*(8*($HD64))*T64),0)+IF(BE64&gt;0,($BM64*((BE64))*T64),0)))</f>
        <v> </v>
      </c>
      <c r="BQ64" s="330" t="str">
        <f aca="false">IF($A64="N/A"," ",(IF(AV64&gt;0,($BM64*(8*($HE64))*U64),0)+IF(BF64&gt;0,($BM64*((BF64/AD64)*8*$HE64)*U64),0)))</f>
        <v> </v>
      </c>
      <c r="BR64" s="330" t="str">
        <f aca="false">IF($A64="N/A"," ",(IF(AW64&gt;0,($BM64*(8*($HE64))*V64),0)+IF(BG64&gt;0,($BM64*((BG64/AE64)*8*$HE64)*V64),0)))</f>
        <v> </v>
      </c>
      <c r="BS64" s="330" t="str">
        <f aca="false">IF($A64="N/A"," ",(IF(AX64&gt;0,($BM64*(8*($HE64))*W64),0)+IF(BH64&gt;0,($BM64*((BH64))*W64),0)))</f>
        <v> </v>
      </c>
      <c r="BT64" s="330" t="str">
        <f aca="false">IF($A64="N/A"," ",(IF(AY64&gt;0,($BM64*(8*($HF64))*X64),0)+IF(BI64&gt;0,($BM64*((BI64/AG64)*8*$HF64)*X64),0)))</f>
        <v> </v>
      </c>
      <c r="BU64" s="330" t="str">
        <f aca="false">IF($A64="N/A"," ",(IF(AZ64&gt;0,($BM64*(8*($HF64))*Y64),0)+IF(BJ64&gt;0,($BM64*((BJ64/AH64)*8*$HF64)*Y64),0)))</f>
        <v> </v>
      </c>
      <c r="BV64" s="330" t="str">
        <f aca="false">IF($A64="N/A"," ",(IF(BA64&gt;0,($BM64*(8*($HF64))*Z64),0)+IF(BK64&gt;0,($BM64*((BK64))*Z64),0)))</f>
        <v> </v>
      </c>
      <c r="BW64" s="330" t="str">
        <f aca="false">IF($A64="N/A"," ",SUM(BN64:BV64))</f>
        <v> </v>
      </c>
      <c r="BX64" s="331" t="str">
        <f aca="false">IF($A64="N/A"," ",(H64*(SUM(AS64:BA64)+SUM(BC64:BK64))*BM64))</f>
        <v> </v>
      </c>
      <c r="BY64" s="332" t="str">
        <f aca="false">IF($A64="N/A"," ",((C64*D64)*(SUM($AS64:$BA64)+SUM($BC64:$BK64))*$BM64))</f>
        <v> </v>
      </c>
      <c r="BZ64" s="332" t="str">
        <f aca="false">IF($A64="N/A"," ",(F64*(SUM($AS64:$BA64)+SUM($BC64:$BK64))*$BM64))</f>
        <v> </v>
      </c>
      <c r="CA64" s="333" t="str">
        <f aca="false">IF($A64="N/A"," ",(G64*(SUM($AS64:$BA64)+SUM($BC64:$BK64))*$BM64))</f>
        <v> </v>
      </c>
      <c r="CB64" s="334" t="str">
        <f aca="false">IF(A64="N/A"," ",(VLOOKUP(A64,PowerVolTable,(IF(BMO=2,7,IF(BMO=1,6,8))),FALSE())))</f>
        <v> </v>
      </c>
      <c r="CC64" s="334" t="str">
        <f aca="false">IF(A64="N/A"," ",(VLOOKUP(A64,IntraPowerVol,(IF(BMO=2,3,IF(BMO=1,2,4))),FALSE())*VLOOKUP(MONTH($A64),Volscale,2)))</f>
        <v> </v>
      </c>
      <c r="CD64" s="335" t="str">
        <f aca="false">IF($A64="N/A"," ",(IF(DateToday&gt;$A64,$CC64,((($CB64^2)*((($A64-1)-DateToday)/((EOMONTH($A64,0)+1)-DateToday-15)))+((($CC64)^2)*((15)/((EOMONTH($A64,0)+1)-DateToday-15))))^0.5)))</f>
        <v> </v>
      </c>
      <c r="CE64" s="334" t="str">
        <f aca="false">IF($A64="N/A"," ",(VLOOKUP($A64,GasVolTable,(IF(BMO=2,6,IF(BMO=1,7,5))),FALSE())))</f>
        <v> </v>
      </c>
      <c r="CF64" s="334" t="str">
        <f aca="false">IF($A64="N/A"," ",(VLOOKUP($A64,OmicronVol,(IF(BMO=2,3,IF(BMO=1,4,2))),FALSE())))</f>
        <v> </v>
      </c>
      <c r="CG64" s="335" t="str">
        <f aca="false">IF($A64="N/A"," ",(IF(DateToday&gt;$A64,$CF64,((($CE64^2)*((($A64-1)-DateToday)/((EOMONTH($A64,0)+1)-DateToday-15)))+((($CF64)^2)*((15)/((EOMONTH($A64,0)+1)-DateToday-15))))^0.5)))</f>
        <v> </v>
      </c>
      <c r="CH64" s="334" t="str">
        <f aca="false">IF($A64="N/A"," ",VLOOKUP($A64,CorrelationTable,2,FALSE()))</f>
        <v> </v>
      </c>
      <c r="CI64" s="336" t="str">
        <f aca="false">IF($A64="N/A"," ",F64+G64+(D64*('Pricing Inputs'!T97)))</f>
        <v> </v>
      </c>
      <c r="CJ64" s="334" t="str">
        <f aca="false">IF($A64="N/A"," ",IF(PV=1,0,'Pricing Inputs'!U97))</f>
        <v> </v>
      </c>
      <c r="CK64" s="337" t="str">
        <f aca="false">IF($A64="N/A"," ",(1+CJ64/2)^(-2*((EOMONTH(A64,0)+20)-DateToday)/365.25))</f>
        <v> </v>
      </c>
      <c r="CL64" s="338" t="str">
        <f aca="false">IF(A64="N/A"," ",IF(CC=2,(VLOOKUP(MONTH($A64),Hrtable,3))/1000,0))</f>
        <v> </v>
      </c>
      <c r="CM64" s="339" t="str">
        <f aca="false">IF(A64="N/A"," ",IF(CC=2,(CL64*C64)+F64,0))</f>
        <v> </v>
      </c>
      <c r="CN64" s="340" t="str">
        <f aca="false">IF($A64="N/A"," ",IF(CC=2,(VLOOKUP(A64,ScaledPrice,(IF(AND(Dayrun&gt;=1,Dayrun&lt;=6),2,4)))-((IF(R64&lt;&gt;0,$D64,$CL64)*$C64)+$F64+$G64)),0))</f>
        <v> </v>
      </c>
      <c r="CO64" s="340" t="str">
        <f aca="false">IF($A64="N/A"," ",IF(CC=2,(IF(AND(Dayrun&gt;=1,Dayrun&lt;=6),I64,(VLOOKUP(A64,ScaledPrice,2))*(2-(VLOOKUP(A64,ScaledPrice,3))))-((IF(S64&lt;&gt;0,$D64,$CL64)*$C64)+$F64+$G64)),0))</f>
        <v> </v>
      </c>
      <c r="CP64" s="340" t="str">
        <f aca="false">IF(A64="N/A"," ",IF(CC=2,(VLOOKUP(A64,ScaledPrice,9)-((IF(T64&lt;&gt;0,$D64,$CL64)*$C64)+$F64+$G64)),0))</f>
        <v> </v>
      </c>
      <c r="CQ64" s="340" t="str">
        <f aca="false">IF(A64="N/A"," ",IF(CC=2,(IF(OR(Dayrun=2,Dayrun=3,Dayrun=5,Dayrun=6,Dayrun=8,Dayrun=9),VLOOKUP(A64,ScaledPrice,IF(AND(Dayrun&gt;=2,Dayrun&lt;=6),5,6)),0)-((IF(U64&lt;&gt;0,$D64,$CL64)*$C64)+$F64+$G64)),0))</f>
        <v> </v>
      </c>
      <c r="CR64" s="340" t="str">
        <f aca="false">IF(A64="N/A"," ",IF(CC=2,(IF(OR(Dayrun=2,Dayrun=3,Dayrun=5,Dayrun=6,Dayrun=8,Dayrun=9),IF(AND(Dayrun&gt;=2,Dayrun&lt;=6),L64,(VLOOKUP(A64,ScaledPrice,5))*(2-(VLOOKUP(A64,ScaledPrice,3)))),0)-((IF(V64&lt;&gt;0,$D64,$CL64)*$C64)+$F64+$G64)),0))</f>
        <v> </v>
      </c>
      <c r="CS64" s="340" t="str">
        <f aca="false">IF(A64="N/A"," ",IF(CC=2,(VLOOKUP(A64,ScaledPrice,9)-((IF(W64&lt;&gt;0,$D64,$CL64)*$C64)+$F64+$G64)),0))</f>
        <v> </v>
      </c>
      <c r="CT64" s="340" t="str">
        <f aca="false">IF(A64="N/A"," ",IF(CC=2,(IF(OR(Dayrun=3,Dayrun=6,Dayrun=9),(VLOOKUP(A64,ScaledPrice,IF(AND(Dayrun&gt;=3,Dayrun&lt;=6),7,8))),0)-((IF(X64&lt;&gt;0,$D64,$CL64)*$C64)+$F64+$G64)),0))</f>
        <v> </v>
      </c>
      <c r="CU64" s="340" t="str">
        <f aca="false">IF(A64="N/A"," ",IF(CC=2,(IF(OR(Dayrun=3,Dayrun=6,Dayrun=9),IF(AND(Dayrun&gt;=3,Dayrun&lt;=6),O64,(VLOOKUP(A64,ScaledPrice,7))*(2-(VLOOKUP(A64,ScaledPrice,3)))),0)-((IF(Y64&lt;&gt;0,$D64,$CL64)*$C64)+$F64+$G64)),0))</f>
        <v> </v>
      </c>
      <c r="CV64" s="340" t="str">
        <f aca="false">IF(A64="N/A"," ",IF(CC=2,(VLOOKUP(A64,ScaledPrice,9)-((IF(Z64&lt;&gt;0,$D64,$CL64)*$C64)+$F64+$G64)),0))</f>
        <v> </v>
      </c>
      <c r="CW64" s="318" t="str">
        <f aca="false">IF($A64="N/A"," ",IF(0&lt;&gt;CN64,IF(CC=2,8*$HD64,0),0))</f>
        <v> </v>
      </c>
      <c r="CX64" s="318" t="str">
        <f aca="false">IF($A64="N/A"," ",IF(0&lt;&gt;CO64,IF(CC=2,8*$HD64,0),0))</f>
        <v> </v>
      </c>
      <c r="CY64" s="318" t="str">
        <f aca="false">IF($A64="N/A"," ",IF(0&lt;&gt;CP64,IF(CC=2,8*$HD64,0),0))</f>
        <v> </v>
      </c>
      <c r="CZ64" s="318" t="str">
        <f aca="false">IF($A64="N/A"," ",IF(0&lt;&gt;CQ64,IF(CC=2,8*$HE64,0),0))</f>
        <v> </v>
      </c>
      <c r="DA64" s="318" t="str">
        <f aca="false">IF($A64="N/A"," ",IF(0&lt;&gt;CR64,IF(CC=2,8*$HE64,0),0))</f>
        <v> </v>
      </c>
      <c r="DB64" s="318" t="str">
        <f aca="false">IF($A64="N/A"," ",IF(0&lt;&gt;CS64,IF(CC=2,8*$HE64,0),0))</f>
        <v> </v>
      </c>
      <c r="DC64" s="318" t="str">
        <f aca="false">IF($A64="N/A"," ",IF(0&lt;&gt;CT64,IF(CC=2,8*$HF64,0),0))</f>
        <v> </v>
      </c>
      <c r="DD64" s="318" t="str">
        <f aca="false">IF($A64="N/A"," ",IF(0&lt;&gt;CU64,IF(CC=2,8*$HF64,0),0))</f>
        <v> </v>
      </c>
      <c r="DE64" s="318" t="str">
        <f aca="false">IF($A64="N/A"," ",IF(0&lt;&gt;CV64,IF(CC=2,8*$HF64,0),0))</f>
        <v> </v>
      </c>
      <c r="DF64" s="341" t="str">
        <f aca="false">IF($A64="N/A"," ",IF(CC=2,(IF(MONTH(A64)&gt;=4,IF(MONTH(A64)&lt;=10,Inputs!$G$13,Inputs!$G$14),Inputs!$G$14))*$CK64,0))</f>
        <v> </v>
      </c>
      <c r="DG64" s="342" t="str">
        <f aca="false">IF($A64="N/A"," ",IF(CC=2,$DF64*CW64*CN64,0))</f>
        <v> </v>
      </c>
      <c r="DH64" s="342" t="str">
        <f aca="false">IF($A64="N/A"," ",IF(CC=2,$DF64*CX64*CO64,0))</f>
        <v> </v>
      </c>
      <c r="DI64" s="342" t="str">
        <f aca="false">IF($A64="N/A"," ",IF(CC=2,$DF64*CY64*CP64,0))</f>
        <v> </v>
      </c>
      <c r="DJ64" s="342" t="str">
        <f aca="false">IF($A64="N/A"," ",IF(CC=2,$DF64*CZ64*CQ64,0))</f>
        <v> </v>
      </c>
      <c r="DK64" s="342" t="str">
        <f aca="false">IF($A64="N/A"," ",IF(CC=2,$DF64*DA64*CR64,0))</f>
        <v> </v>
      </c>
      <c r="DL64" s="342" t="str">
        <f aca="false">IF($A64="N/A"," ",IF(CC=2,$DF64*DB64*CS64,0))</f>
        <v> </v>
      </c>
      <c r="DM64" s="342" t="str">
        <f aca="false">IF($A64="N/A"," ",IF(CC=2,$DF64*DC64*CT64,0))</f>
        <v> </v>
      </c>
      <c r="DN64" s="342" t="str">
        <f aca="false">IF($A64="N/A"," ",IF(CC=2,$DF64*DD64*CU64,0))</f>
        <v> </v>
      </c>
      <c r="DO64" s="342" t="str">
        <f aca="false">IF($A64="N/A"," ",IF(CC=2,$DF64*DE64*CV64,0))</f>
        <v> </v>
      </c>
      <c r="DP64" s="343" t="str">
        <f aca="false">IF($A64="N/A"," ",IF(CC=2,SUM(DG64:DO64),0))</f>
        <v> </v>
      </c>
      <c r="DQ64" s="0" t="str">
        <f aca="false">IF(A64="N/A"," ",Perstart)</f>
        <v> </v>
      </c>
      <c r="HD64" s="0" t="str">
        <f aca="false">IF($A64="N/A"," ",VLOOKUP($A64,NumberofDaysTable,2))</f>
        <v> </v>
      </c>
      <c r="HE64" s="0" t="str">
        <f aca="false">IF($A64="N/A"," ",VLOOKUP($A64,NumberofDaysTable,3))</f>
        <v> </v>
      </c>
      <c r="HF64" s="0" t="str">
        <f aca="false">IF($A64="N/A"," ",VLOOKUP($A64,NumberofDaysTable,4))</f>
        <v> </v>
      </c>
    </row>
    <row r="65" customFormat="false" ht="12.75" hidden="false" customHeight="false" outlineLevel="0" collapsed="false">
      <c r="A65" s="308" t="str">
        <f aca="false">IF(A64="N/A","N/A",IF(EDATE(A64,1)&gt;Inputs!$K$3,"N/A",EDATE(A64,1)))</f>
        <v>N/A</v>
      </c>
      <c r="B65" s="309" t="str">
        <f aca="false">IF(A65="N/A"," ",YEAR(A65))</f>
        <v> </v>
      </c>
      <c r="C65" s="310" t="str">
        <f aca="false">IF(A65="N/A"," ",VLOOKUP(A65,ScaledPrice,10))</f>
        <v> </v>
      </c>
      <c r="D65" s="311" t="str">
        <f aca="false">IF(A65="N/A"," ",(VLOOKUP(MONTH($A65),Hrtable,2))/1000)</f>
        <v> </v>
      </c>
      <c r="E65" s="312" t="str">
        <f aca="false">IF($A65="N/A"," ",(C65-'Pricing Inputs'!T98)*D65)</f>
        <v> </v>
      </c>
      <c r="F65" s="313" t="str">
        <f aca="false">IF(A65="N/A"," ",$F53*(1+VOMesc))</f>
        <v> </v>
      </c>
      <c r="G65" s="313" t="str">
        <f aca="false">IF(A65="N/A"," ",Perstart/IF(AND(Dayrun&gt;=4,Dayrun&lt;=6),16,IF(AND(Dayrun&gt;=7,Dayrun&lt;=9),8,24))/(BM65/CK65))</f>
        <v> </v>
      </c>
      <c r="H65" s="314" t="str">
        <f aca="false">IF(A65="N/A"," ",(C65*D65)+F65+G65)</f>
        <v> </v>
      </c>
      <c r="I65" s="315" t="str">
        <f aca="false">VLOOKUP(A65,ScaledPrice,(IF(AND(Dayrun&gt;=1,Dayrun&lt;=6),2,4)))</f>
        <v> </v>
      </c>
      <c r="J65" s="315" t="str">
        <f aca="false">IF(A65="N/A"," ",IF(AND(Dayrun&gt;=1,Dayrun&lt;=6),I65,(VLOOKUP(A65,ScaledPrice,2))*(2-(VLOOKUP(A65,ScaledPrice,3)))))</f>
        <v> </v>
      </c>
      <c r="K65" s="315" t="str">
        <f aca="false">IF(A65="N/A"," ",IF(AND(Dayrun&gt;=1,Dayrun&lt;=3),VLOOKUP(A65,ScaledPrice,9),0))</f>
        <v> </v>
      </c>
      <c r="L65" s="315" t="str">
        <f aca="false">IF(A65="N/A"," ",IF(OR(Dayrun=2,Dayrun=3,Dayrun=5,Dayrun=6,Dayrun=8,Dayrun=9),VLOOKUP(A65,ScaledPrice,IF(AND(Dayrun&gt;=2,Dayrun&lt;=6),5,6)),0))</f>
        <v> </v>
      </c>
      <c r="M65" s="315" t="str">
        <f aca="false">IF(A65="N/A"," ",IF(OR(Dayrun=2,Dayrun=3,Dayrun=5,Dayrun=6,Dayrun=8,Dayrun=9),IF(AND(Dayrun&gt;=2,Dayrun&lt;=6),L65,(VLOOKUP(A65,ScaledPrice,5))*(2-(VLOOKUP(A65,ScaledPrice,3)))),0))</f>
        <v> </v>
      </c>
      <c r="N65" s="315" t="str">
        <f aca="false">IF(A65="N/A"," ",IF(AND(Dayrun&gt;1,Dayrun&lt;=3),VLOOKUP(A65,ScaledPrice,9),0))</f>
        <v> </v>
      </c>
      <c r="O65" s="315" t="str">
        <f aca="false">IF(A65="N/A"," ",IF(OR(Dayrun=3,Dayrun=6,Dayrun=9),(VLOOKUP(A65,ScaledPrice,IF(AND(Dayrun&gt;=3,Dayrun&lt;=6),7,8))),0))</f>
        <v> </v>
      </c>
      <c r="P65" s="315" t="str">
        <f aca="false">IF(A65="N/A"," ",IF(OR(Dayrun=3,Dayrun=6,Dayrun=9),IF(AND(Dayrun&gt;=3,Dayrun&lt;=6),O65,(VLOOKUP(A65,ScaledPrice,7))*(2-(VLOOKUP(A65,ScaledPrice,3)))),0))</f>
        <v> </v>
      </c>
      <c r="Q65" s="315" t="str">
        <f aca="false">IF(A65="N/A"," ",IF(AND(Dayrun&gt;2,Dayrun&lt;=3),VLOOKUP(A65,ScaledPrice,9),0))</f>
        <v> </v>
      </c>
      <c r="R65" s="316" t="str">
        <f aca="false">IF($A65="N/A"," ",IF(Pricetype=2,MAX(I65-$H65,0),IF(Pricetype=1,(xSPRDOPT(I65,$E65,$CI65,0,($CD65+IF(Smile=TRUE(),VLOOKUP(MAX(-5,$H65-I65),Volsmile,2),0)),$CG65,$CH65,($A65-DateToday)+15,1,0)),I65-$H65)))</f>
        <v> </v>
      </c>
      <c r="S65" s="316" t="str">
        <f aca="false">IF($A65="N/A"," ",IF(Pricetype=2,MAX(J65-$H65,0),IF(Pricetype=1,(xSPRDOPT(J65,$E65,$CI65,0,($CD65+IF(Smile=TRUE(),VLOOKUP(MAX(-5,$H65-J65),Volsmile,2),0)),$CG65,$CH65,($A65-DateToday)+15,1,0)),J65-$H65)))</f>
        <v> </v>
      </c>
      <c r="T65" s="317" t="str">
        <f aca="false">IF($A65="N/A"," ",(IF(Pricetype=2,IF((K65-$H65)&lt;=0,0,(K65-$H65)),IF(K65&lt;&gt;0,(K65-$H65),0))))</f>
        <v> </v>
      </c>
      <c r="U65" s="316" t="str">
        <f aca="false">IF($A65="N/A"," ",IF(Pricetype=2,MAX(L65-$H65,0),IF(L65&lt;&gt;0,IF(Pricetype=1,(xSPRDOPT(L65,$E65,$CI65,0,($CD65+IF(Smile=TRUE(),VLOOKUP(MAX(-5,$H65-L65),Volsmile,2),0)),$CG65,$CH65,($A65-DateToday)+15,1,0)),L65-$H65),0)))</f>
        <v> </v>
      </c>
      <c r="V65" s="316" t="str">
        <f aca="false">IF($A65="N/A"," ",IF(Pricetype=2,MAX(M65-$H65,0),IF(M65&lt;&gt;0,IF(Pricetype=1,(xSPRDOPT(M65,$E65,$CI65,0,($CD65+IF(Smile=TRUE(),VLOOKUP(MAX(-5,$H65-M65),Volsmile,2),0)),$CG65,$CH65,($A65-DateToday)+15,1,0)),M65-$H65),0)))</f>
        <v> </v>
      </c>
      <c r="W65" s="317" t="str">
        <f aca="false">IF($A65="N/A"," ",(IF(Pricetype=2,IF((N65-$H65)&lt;=0,0,(N65-$H65)),IF(N65&lt;&gt;0,(N65-$H65),0))))</f>
        <v> </v>
      </c>
      <c r="X65" s="316" t="str">
        <f aca="false">IF($A65="N/A"," ",IF(Pricetype=2,MAX(O65-$H65,0),IF(O65&lt;&gt;0,IF(Pricetype=1,(xSPRDOPT(O65,$E65,$CI65,0,($CD65+IF(Smile=TRUE(),VLOOKUP(MAX(-5,$H65-O65),Volsmile,2),0)),$CG65,$CH65,($A65-DateToday)+15,1,0)),O65-$H65),0)))</f>
        <v> </v>
      </c>
      <c r="Y65" s="316" t="str">
        <f aca="false">IF($A65="N/A"," ",IF(Pricetype=2,MAX(P65-$H65,0),IF(P65&lt;&gt;0,IF(Pricetype=1,(xSPRDOPT(P65,$E65,$CI65,0,($CD65+IF(Smile=TRUE(),VLOOKUP(MAX(-5,$H65-P65),Volsmile,2),0)),$CG65,$CH65,($A65-DateToday)+15,1,0)),P65-$H65),0)))</f>
        <v> </v>
      </c>
      <c r="Z65" s="317" t="str">
        <f aca="false">IF($A65="N/A"," ",(IF(Pricetype=2,IF((Q65-$H65)&lt;=0,0,(Q65-$H65)),IF(Q65&lt;&gt;0,(Q65-$H65),0))))</f>
        <v> </v>
      </c>
      <c r="AA65" s="318" t="str">
        <f aca="false">IF($A65="N/A"," ",IF(VLOOKUP(MONTH(A65),ManualTable,2)=1,(IF(0&lt;&gt;R65,IF(Pricetype=1,(xSPRDOPT(I65,$E65,$CI65,0,($CD65+IF(Smile=TRUE(),VLOOKUP(MAX(-5,$H65-I65),Volsmile,2),0)),$CG65,$CH65,($A65-DateToday)+15,1,1))*(8*$HD65),8*$HD65),0)),0))</f>
        <v> </v>
      </c>
      <c r="AB65" s="318" t="str">
        <f aca="false">IF($A65="N/A"," ",IF(VLOOKUP(MONTH(A65),ManualTable,3)=1,(IF(S65&lt;&gt;0,IF(Pricetype=1,(xSPRDOPT(J65,$E65,$CI65,0,($CD65+IF(Smile=TRUE(),VLOOKUP(MAX(-5,$H65-J65),Volsmile,2),0)),$CG65,$CH65,($A65-DateToday)+15,1,1))*(8*$HD65),8*$HD65),0)),0))</f>
        <v> </v>
      </c>
      <c r="AC65" s="318" t="str">
        <f aca="false">IF($A65="N/A"," ",IF(VLOOKUP(MONTH(A65),ManualTable,4)=1,(IF(T65&lt;&gt;0,(8*$HD65),0)),0))</f>
        <v> </v>
      </c>
      <c r="AD65" s="318" t="str">
        <f aca="false">IF($A65="N/A"," ",IF(VLOOKUP(MONTH(A65),ManualTable,5)=1,(IF(U65&lt;&gt;0,IF(Pricetype=1,(xSPRDOPT(L65,$E65,$CI65,0,($CD65+IF(Smile=TRUE(),VLOOKUP(MAX(-5,$H65-L65),Volsmile,2),0)),$CG65,$CH65,($A65-DateToday)+15,1,1))*(8*$HE65),8*$HE65),0)),0))</f>
        <v> </v>
      </c>
      <c r="AE65" s="318" t="str">
        <f aca="false">IF($A65="N/A"," ",IF(VLOOKUP(MONTH(A65),ManualTable,6)=1,(IF(V65&lt;&gt;0,IF(Pricetype=1,(xSPRDOPT(M65,$E65,$CI65,0,($CD65+IF(Smile=TRUE(),VLOOKUP(MAX(-5,$H65-M65),Volsmile,2),0)),$CG65,$CH65,($A65-DateToday)+15,1,1))*(8*$HE65),8*$HE65),0)),0))</f>
        <v> </v>
      </c>
      <c r="AF65" s="318" t="str">
        <f aca="false">IF($A65="N/A"," ",IF(VLOOKUP(MONTH(A65),ManualTable,7)=1,(IF(W65&lt;&gt;0,(8*$HE65),0)),0))</f>
        <v> </v>
      </c>
      <c r="AG65" s="318" t="str">
        <f aca="false">IF($A65="N/A"," ",IF(VLOOKUP(MONTH(A65),ManualTable,8)=1,(IF(X65&lt;&gt;0,IF(Pricetype=1,(xSPRDOPT(O65,$E65,$CI65,0,($CD65+IF(Smile=TRUE(),VLOOKUP(MAX(-5,$H65-O65),Volsmile,2),0)),$CG65,$CH65,($A65-DateToday)+15,1,1))*(8*$HF65),8*$HF65),0)),0))</f>
        <v> </v>
      </c>
      <c r="AH65" s="318" t="str">
        <f aca="false">IF($A65="N/A"," ",IF(VLOOKUP(MONTH(A65),ManualTable,9)=1,(IF(Y65&lt;&gt;0,IF(Pricetype=1,(xSPRDOPT(P65,$E65,$CI65,0,($CD65+IF(Smile=TRUE(),VLOOKUP(MAX(-5,$H65-P65),Volsmile,2),0)),$CG65,$CH65,($A65-DateToday)+15,1,1))*(8*$HF65),8*$HF65),0)),0))</f>
        <v> </v>
      </c>
      <c r="AI65" s="318" t="str">
        <f aca="false">IF($A65="N/A"," ",IF(VLOOKUP(MONTH(A65),ManualTable,10)=1,(IF(Z65&lt;&gt;0,(8*($HF65)),0)),0))</f>
        <v> </v>
      </c>
      <c r="AJ65" s="344" t="str">
        <f aca="false">IF($A65="N/A"," ",RANK(R65,$R$64:$Z$75))</f>
        <v> </v>
      </c>
      <c r="AK65" s="321" t="str">
        <f aca="false">IF($A65="N/A"," ",RANK(S65,$R$64:$Z$75))</f>
        <v> </v>
      </c>
      <c r="AL65" s="321" t="str">
        <f aca="false">IF($A65="N/A"," ",RANK(T65,$R$64:$Z$75))</f>
        <v> </v>
      </c>
      <c r="AM65" s="321" t="str">
        <f aca="false">IF($A65="N/A"," ",RANK(U65,$R$64:$Z$75))</f>
        <v> </v>
      </c>
      <c r="AN65" s="321" t="str">
        <f aca="false">IF($A65="N/A"," ",RANK(V65,$R$64:$Z$75))</f>
        <v> </v>
      </c>
      <c r="AO65" s="321" t="str">
        <f aca="false">IF($A65="N/A"," ",RANK(W65,$R$64:$Z$75))</f>
        <v> </v>
      </c>
      <c r="AP65" s="321" t="str">
        <f aca="false">IF($A65="N/A"," ",RANK(X65,$R$64:$Z$75))</f>
        <v> </v>
      </c>
      <c r="AQ65" s="321" t="str">
        <f aca="false">IF($A65="N/A"," ",RANK(Y65,$R$64:$Z$75))</f>
        <v> </v>
      </c>
      <c r="AR65" s="345" t="str">
        <f aca="false">IF($A65="N/A"," ",RANK(Z65,$R$64:$Z$75))</f>
        <v> </v>
      </c>
      <c r="AS65" s="323" t="str">
        <f aca="false">IF($A65="N/A"," ",IF(AJ65&lt;=$AR$2,AA65,0))</f>
        <v> </v>
      </c>
      <c r="AT65" s="325" t="str">
        <f aca="false">IF($A65="N/A"," ",IF(AK65&lt;=$AR$2,AB65,0))</f>
        <v> </v>
      </c>
      <c r="AU65" s="325" t="str">
        <f aca="false">IF($A65="N/A"," ",IF(AL65&lt;=$AR$2,AC65,0))</f>
        <v> </v>
      </c>
      <c r="AV65" s="325" t="str">
        <f aca="false">IF($A65="N/A"," ",IF(AM65&lt;=$AR$2,AD65,0))</f>
        <v> </v>
      </c>
      <c r="AW65" s="325" t="str">
        <f aca="false">IF($A65="N/A"," ",IF(AN65&lt;=$AR$2,AE65,0))</f>
        <v> </v>
      </c>
      <c r="AX65" s="325" t="str">
        <f aca="false">IF($A65="N/A"," ",IF(AO65&lt;=$AR$2,AF65,0))</f>
        <v> </v>
      </c>
      <c r="AY65" s="325" t="str">
        <f aca="false">IF($A65="N/A"," ",IF(AP65&lt;=$AR$2,AG65,0))</f>
        <v> </v>
      </c>
      <c r="AZ65" s="325" t="str">
        <f aca="false">IF($A65="N/A"," ",IF(AQ65&lt;=$AR$2,AH65,0))</f>
        <v> </v>
      </c>
      <c r="BA65" s="325" t="str">
        <f aca="false">IF($A65="N/A"," ",IF(AR65&lt;=$AR$2,AI65,0))</f>
        <v> </v>
      </c>
      <c r="BB65" s="345"/>
      <c r="BC65" s="326" t="str">
        <f aca="false">IF($A65="N/A"," ",IF(AND(AJ65=$AR$2+1,AS65=0),MIN($BB$75,AA65),0))</f>
        <v> </v>
      </c>
      <c r="BD65" s="346" t="str">
        <f aca="false">IF($A65="N/A"," ",IF(AND(AK65=$AR$2+1,AT65=0),MIN($BB$75,AB65),0))</f>
        <v> </v>
      </c>
      <c r="BE65" s="346" t="str">
        <f aca="false">IF($A65="N/A"," ",IF(AND(AL65=$AR$2+1,AU65=0),MIN($BB$75,AC65),0))</f>
        <v> </v>
      </c>
      <c r="BF65" s="346" t="str">
        <f aca="false">IF($A65="N/A"," ",IF(AND(AM65=$AR$2+1,AV65=0),MIN($BB$75,AD65),0))</f>
        <v> </v>
      </c>
      <c r="BG65" s="346" t="str">
        <f aca="false">IF($A65="N/A"," ",IF(AND(AN65=$AR$2+1,AW65=0),MIN($BB$75,AE65),0))</f>
        <v> </v>
      </c>
      <c r="BH65" s="346" t="str">
        <f aca="false">IF($A65="N/A"," ",IF(AND(AO65=$AR$2+1,AX65=0),MIN($BB$75,AF65),0))</f>
        <v> </v>
      </c>
      <c r="BI65" s="346" t="str">
        <f aca="false">IF($A65="N/A"," ",IF(AND(AP65=$AR$2+1,AY65=0),MIN($BB$75,AG65),0))</f>
        <v> </v>
      </c>
      <c r="BJ65" s="346" t="str">
        <f aca="false">IF($A65="N/A"," ",IF(AND(AQ65=$AR$2+1,AZ65=0),MIN($BB$75,AH65),0))</f>
        <v> </v>
      </c>
      <c r="BK65" s="346" t="str">
        <f aca="false">IF($A65="N/A"," ",IF(AND(AR65=$AR$2+1,BA65=0),MIN($BB$75,AI65),0))</f>
        <v> </v>
      </c>
      <c r="BL65" s="345"/>
      <c r="BM65" s="329" t="str">
        <f aca="false">IF($A65="N/A"," ",(IF(MONTH(A65)&gt;=4,IF(MONTH(A65)&lt;=10,Inputs!$F$13-Inputs!$G$13,Inputs!$F$14-Inputs!$G$14),Inputs!$F$14-Inputs!$G$14))*$CK65*Availability)</f>
        <v> </v>
      </c>
      <c r="BN65" s="330" t="str">
        <f aca="false">IF($A65="N/A"," ",(IF(AS65&gt;0,($BM65*(8*($HD65))*R65),0)+IF(BC65&gt;0,($BM65*((BC65/AA65)*8*$HD65)*R65),0)))</f>
        <v> </v>
      </c>
      <c r="BO65" s="330" t="str">
        <f aca="false">IF($A65="N/A"," ",(IF(AT65&gt;0,($BM65*(8*($HD65))*S65),0)+IF(BD65&gt;0,($BM65*((BD65/AB65)*8*$HD65)*S65),0)))</f>
        <v> </v>
      </c>
      <c r="BP65" s="330" t="str">
        <f aca="false">IF($A65="N/A"," ",(IF(AU65&gt;0,($BM65*(8*($HD65))*T65),0)+IF(BE65&gt;0,($BM65*((BE65))*T65),0)))</f>
        <v> </v>
      </c>
      <c r="BQ65" s="330" t="str">
        <f aca="false">IF($A65="N/A"," ",(IF(AV65&gt;0,($BM65*(8*($HE65))*U65),0)+IF(BF65&gt;0,($BM65*((BF65/AD65)*8*$HE65)*U65),0)))</f>
        <v> </v>
      </c>
      <c r="BR65" s="330" t="str">
        <f aca="false">IF($A65="N/A"," ",(IF(AW65&gt;0,($BM65*(8*($HE65))*V65),0)+IF(BG65&gt;0,($BM65*((BG65/AE65)*8*$HE65)*V65),0)))</f>
        <v> </v>
      </c>
      <c r="BS65" s="330" t="str">
        <f aca="false">IF($A65="N/A"," ",(IF(AX65&gt;0,($BM65*(8*($HE65))*W65),0)+IF(BH65&gt;0,($BM65*((BH65))*W65),0)))</f>
        <v> </v>
      </c>
      <c r="BT65" s="330" t="str">
        <f aca="false">IF($A65="N/A"," ",(IF(AY65&gt;0,($BM65*(8*($HF65))*X65),0)+IF(BI65&gt;0,($BM65*((BI65/AG65)*8*$HF65)*X65),0)))</f>
        <v> </v>
      </c>
      <c r="BU65" s="330" t="str">
        <f aca="false">IF($A65="N/A"," ",(IF(AZ65&gt;0,($BM65*(8*($HF65))*Y65),0)+IF(BJ65&gt;0,($BM65*((BJ65/AH65)*8*$HF65)*Y65),0)))</f>
        <v> </v>
      </c>
      <c r="BV65" s="330" t="str">
        <f aca="false">IF($A65="N/A"," ",(IF(BA65&gt;0,($BM65*(8*($HF65))*Z65),0)+IF(BK65&gt;0,($BM65*((BK65))*Z65),0)))</f>
        <v> </v>
      </c>
      <c r="BW65" s="330" t="str">
        <f aca="false">IF($A65="N/A"," ",SUM(BN65:BV65))</f>
        <v> </v>
      </c>
      <c r="BX65" s="331" t="str">
        <f aca="false">IF($A65="N/A"," ",(H65*(SUM(AS65:BA65)+SUM(BC65:BK65))*BM65))</f>
        <v> </v>
      </c>
      <c r="BY65" s="332" t="str">
        <f aca="false">IF($A65="N/A"," ",((C65*D65)*(SUM($AS65:$BA65)+SUM($BC65:$BK65))*$BM65))</f>
        <v> </v>
      </c>
      <c r="BZ65" s="332" t="str">
        <f aca="false">IF($A65="N/A"," ",(F65*(SUM($AS65:$BA65)+SUM($BC65:$BK65))*$BM65))</f>
        <v> </v>
      </c>
      <c r="CA65" s="333" t="str">
        <f aca="false">IF($A65="N/A"," ",(G65*(SUM($AS65:$BA65)+SUM($BC65:$BK65))*$BM65))</f>
        <v> </v>
      </c>
      <c r="CB65" s="334" t="str">
        <f aca="false">IF(A65="N/A"," ",(VLOOKUP(A65,PowerVolTable,(IF(BMO=2,7,IF(BMO=1,6,8))),FALSE())))</f>
        <v> </v>
      </c>
      <c r="CC65" s="334" t="str">
        <f aca="false">IF(A65="N/A"," ",(VLOOKUP(A65,IntraPowerVol,(IF(BMO=2,3,IF(BMO=1,2,4))),FALSE())*VLOOKUP(MONTH($A65),Volscale,2)))</f>
        <v> </v>
      </c>
      <c r="CD65" s="335" t="str">
        <f aca="false">IF($A65="N/A"," ",(IF(DateToday&gt;$A65,$CC65,((($CB65^2)*((($A65-1)-DateToday)/((EOMONTH($A65,0)+1)-DateToday-15)))+((($CC65)^2)*((15)/((EOMONTH($A65,0)+1)-DateToday-15))))^0.5)))</f>
        <v> </v>
      </c>
      <c r="CE65" s="334" t="str">
        <f aca="false">IF($A65="N/A"," ",(VLOOKUP($A65,GasVolTable,(IF(BMO=2,6,IF(BMO=1,7,5))),FALSE())))</f>
        <v> </v>
      </c>
      <c r="CF65" s="334" t="str">
        <f aca="false">IF($A65="N/A"," ",(VLOOKUP($A65,OmicronVol,(IF(BMO=2,3,IF(BMO=1,4,2))),FALSE())))</f>
        <v> </v>
      </c>
      <c r="CG65" s="335" t="str">
        <f aca="false">IF($A65="N/A"," ",(IF(DateToday&gt;$A65,$CF65,((($CE65^2)*((($A65-1)-DateToday)/((EOMONTH($A65,0)+1)-DateToday-15)))+((($CF65)^2)*((15)/((EOMONTH($A65,0)+1)-DateToday-15))))^0.5)))</f>
        <v> </v>
      </c>
      <c r="CH65" s="334" t="str">
        <f aca="false">IF($A65="N/A"," ",VLOOKUP($A65,CorrelationTable,2,FALSE()))</f>
        <v> </v>
      </c>
      <c r="CI65" s="336" t="str">
        <f aca="false">IF($A65="N/A"," ",F65+G65+(D65*('Pricing Inputs'!T98)))</f>
        <v> </v>
      </c>
      <c r="CJ65" s="334" t="str">
        <f aca="false">IF($A65="N/A"," ",IF(PV=1,0,'Pricing Inputs'!U98))</f>
        <v> </v>
      </c>
      <c r="CK65" s="337" t="str">
        <f aca="false">IF($A65="N/A"," ",(1+CJ65/2)^(-2*((EOMONTH(A65,0)+20)-DateToday)/365.25))</f>
        <v> </v>
      </c>
      <c r="CL65" s="338" t="str">
        <f aca="false">IF(A65="N/A"," ",IF(CC=2,(VLOOKUP(MONTH($A65),Hrtable,3))/1000,0))</f>
        <v> </v>
      </c>
      <c r="CM65" s="339" t="str">
        <f aca="false">IF(A65="N/A"," ",IF(CC=2,(CL65*C65)+F65,0))</f>
        <v> </v>
      </c>
      <c r="CN65" s="340" t="str">
        <f aca="false">IF($A65="N/A"," ",IF(CC=2,(VLOOKUP(A65,ScaledPrice,(IF(AND(Dayrun&gt;=1,Dayrun&lt;=6),2,4)))-((IF(R65&lt;&gt;0,$D65,$CL65)*$C65)+$F65+$G65)),0))</f>
        <v> </v>
      </c>
      <c r="CO65" s="340" t="str">
        <f aca="false">IF($A65="N/A"," ",IF(CC=2,(IF(AND(Dayrun&gt;=1,Dayrun&lt;=6),I65,(VLOOKUP(A65,ScaledPrice,2))*(2-(VLOOKUP(A65,ScaledPrice,3))))-((IF(S65&lt;&gt;0,$D65,$CL65)*$C65)+$F65+$G65)),0))</f>
        <v> </v>
      </c>
      <c r="CP65" s="340" t="str">
        <f aca="false">IF(A65="N/A"," ",IF(CC=2,(VLOOKUP(A65,ScaledPrice,9)-((IF(T65&lt;&gt;0,$D65,$CL65)*$C65)+$F65+$G65)),0))</f>
        <v> </v>
      </c>
      <c r="CQ65" s="340" t="str">
        <f aca="false">IF(A65="N/A"," ",IF(CC=2,(IF(OR(Dayrun=2,Dayrun=3,Dayrun=5,Dayrun=6,Dayrun=8,Dayrun=9),VLOOKUP(A65,ScaledPrice,IF(AND(Dayrun&gt;=2,Dayrun&lt;=6),5,6)),0)-((IF(U65&lt;&gt;0,$D65,$CL65)*$C65)+$F65+$G65)),0))</f>
        <v> </v>
      </c>
      <c r="CR65" s="340" t="str">
        <f aca="false">IF(A65="N/A"," ",IF(CC=2,(IF(OR(Dayrun=2,Dayrun=3,Dayrun=5,Dayrun=6,Dayrun=8,Dayrun=9),IF(AND(Dayrun&gt;=2,Dayrun&lt;=6),L65,(VLOOKUP(A65,ScaledPrice,5))*(2-(VLOOKUP(A65,ScaledPrice,3)))),0)-((IF(V65&lt;&gt;0,$D65,$CL65)*$C65)+$F65+$G65)),0))</f>
        <v> </v>
      </c>
      <c r="CS65" s="340" t="str">
        <f aca="false">IF(A65="N/A"," ",IF(CC=2,(VLOOKUP(A65,ScaledPrice,9)-((IF(W65&lt;&gt;0,$D65,$CL65)*$C65)+$F65+$G65)),0))</f>
        <v> </v>
      </c>
      <c r="CT65" s="340" t="str">
        <f aca="false">IF(A65="N/A"," ",IF(CC=2,(IF(OR(Dayrun=3,Dayrun=6,Dayrun=9),(VLOOKUP(A65,ScaledPrice,IF(AND(Dayrun&gt;=3,Dayrun&lt;=6),7,8))),0)-((IF(X65&lt;&gt;0,$D65,$CL65)*$C65)+$F65+$G65)),0))</f>
        <v> </v>
      </c>
      <c r="CU65" s="340" t="str">
        <f aca="false">IF(A65="N/A"," ",IF(CC=2,(IF(OR(Dayrun=3,Dayrun=6,Dayrun=9),IF(AND(Dayrun&gt;=3,Dayrun&lt;=6),O65,(VLOOKUP(A65,ScaledPrice,7))*(2-(VLOOKUP(A65,ScaledPrice,3)))),0)-((IF(Y65&lt;&gt;0,$D65,$CL65)*$C65)+$F65+$G65)),0))</f>
        <v> </v>
      </c>
      <c r="CV65" s="340" t="str">
        <f aca="false">IF(A65="N/A"," ",IF(CC=2,(VLOOKUP(A65,ScaledPrice,9)-((IF(Z65&lt;&gt;0,$D65,$CL65)*$C65)+$F65+$G65)),0))</f>
        <v> </v>
      </c>
      <c r="CW65" s="318" t="str">
        <f aca="false">IF($A65="N/A"," ",IF(0&lt;&gt;CN65,IF(CC=2,8*$HD65,0),0))</f>
        <v> </v>
      </c>
      <c r="CX65" s="318" t="str">
        <f aca="false">IF($A65="N/A"," ",IF(0&lt;&gt;CO65,IF(CC=2,8*$HD65,0),0))</f>
        <v> </v>
      </c>
      <c r="CY65" s="318" t="str">
        <f aca="false">IF($A65="N/A"," ",IF(0&lt;&gt;CP65,IF(CC=2,8*$HD65,0),0))</f>
        <v> </v>
      </c>
      <c r="CZ65" s="318" t="str">
        <f aca="false">IF($A65="N/A"," ",IF(0&lt;&gt;CQ65,IF(CC=2,8*$HE65,0),0))</f>
        <v> </v>
      </c>
      <c r="DA65" s="318" t="str">
        <f aca="false">IF($A65="N/A"," ",IF(0&lt;&gt;CR65,IF(CC=2,8*$HE65,0),0))</f>
        <v> </v>
      </c>
      <c r="DB65" s="318" t="str">
        <f aca="false">IF($A65="N/A"," ",IF(0&lt;&gt;CS65,IF(CC=2,8*$HE65,0),0))</f>
        <v> </v>
      </c>
      <c r="DC65" s="318" t="str">
        <f aca="false">IF($A65="N/A"," ",IF(0&lt;&gt;CT65,IF(CC=2,8*$HF65,0),0))</f>
        <v> </v>
      </c>
      <c r="DD65" s="318" t="str">
        <f aca="false">IF($A65="N/A"," ",IF(0&lt;&gt;CU65,IF(CC=2,8*$HF65,0),0))</f>
        <v> </v>
      </c>
      <c r="DE65" s="318" t="str">
        <f aca="false">IF($A65="N/A"," ",IF(0&lt;&gt;CV65,IF(CC=2,8*$HF65,0),0))</f>
        <v> </v>
      </c>
      <c r="DF65" s="341" t="str">
        <f aca="false">IF($A65="N/A"," ",IF(CC=2,(IF(MONTH(A65)&gt;=4,IF(MONTH(A65)&lt;=10,Inputs!$G$13,Inputs!$G$14),Inputs!$G$14))*$CK65,0))</f>
        <v> </v>
      </c>
      <c r="DG65" s="342" t="str">
        <f aca="false">IF($A65="N/A"," ",IF(CC=2,$DF65*CW65*CN65,0))</f>
        <v> </v>
      </c>
      <c r="DH65" s="342" t="str">
        <f aca="false">IF($A65="N/A"," ",IF(CC=2,$DF65*CX65*CO65,0))</f>
        <v> </v>
      </c>
      <c r="DI65" s="342" t="str">
        <f aca="false">IF($A65="N/A"," ",IF(CC=2,$DF65*CY65*CP65,0))</f>
        <v> </v>
      </c>
      <c r="DJ65" s="342" t="str">
        <f aca="false">IF($A65="N/A"," ",IF(CC=2,$DF65*CZ65*CQ65,0))</f>
        <v> </v>
      </c>
      <c r="DK65" s="342" t="str">
        <f aca="false">IF($A65="N/A"," ",IF(CC=2,$DF65*DA65*CR65,0))</f>
        <v> </v>
      </c>
      <c r="DL65" s="342" t="str">
        <f aca="false">IF($A65="N/A"," ",IF(CC=2,$DF65*DB65*CS65,0))</f>
        <v> </v>
      </c>
      <c r="DM65" s="342" t="str">
        <f aca="false">IF($A65="N/A"," ",IF(CC=2,$DF65*DC65*CT65,0))</f>
        <v> </v>
      </c>
      <c r="DN65" s="342" t="str">
        <f aca="false">IF($A65="N/A"," ",IF(CC=2,$DF65*DD65*CU65,0))</f>
        <v> </v>
      </c>
      <c r="DO65" s="342" t="str">
        <f aca="false">IF($A65="N/A"," ",IF(CC=2,$DF65*DE65*CV65,0))</f>
        <v> </v>
      </c>
      <c r="DP65" s="343" t="str">
        <f aca="false">IF($A65="N/A"," ",IF(CC=2,SUM(DG65:DO65),0))</f>
        <v> </v>
      </c>
      <c r="DQ65" s="0" t="str">
        <f aca="false">IF(A65="N/A"," ",Perstart)</f>
        <v> </v>
      </c>
      <c r="HD65" s="0" t="str">
        <f aca="false">IF($A65="N/A"," ",VLOOKUP($A65,NumberofDaysTable,2))</f>
        <v> </v>
      </c>
      <c r="HE65" s="0" t="str">
        <f aca="false">IF($A65="N/A"," ",VLOOKUP($A65,NumberofDaysTable,3))</f>
        <v> </v>
      </c>
      <c r="HF65" s="0" t="str">
        <f aca="false">IF($A65="N/A"," ",VLOOKUP($A65,NumberofDaysTable,4))</f>
        <v> </v>
      </c>
    </row>
    <row r="66" customFormat="false" ht="12.75" hidden="false" customHeight="false" outlineLevel="0" collapsed="false">
      <c r="A66" s="308" t="str">
        <f aca="false">IF(A65="N/A","N/A",IF(EDATE(A65,1)&gt;Inputs!$K$3,"N/A",EDATE(A65,1)))</f>
        <v>N/A</v>
      </c>
      <c r="B66" s="309" t="str">
        <f aca="false">IF(A66="N/A"," ",YEAR(A66))</f>
        <v> </v>
      </c>
      <c r="C66" s="310" t="str">
        <f aca="false">IF(A66="N/A"," ",VLOOKUP(A66,ScaledPrice,10))</f>
        <v> </v>
      </c>
      <c r="D66" s="311" t="str">
        <f aca="false">IF(A66="N/A"," ",(VLOOKUP(MONTH($A66),Hrtable,2))/1000)</f>
        <v> </v>
      </c>
      <c r="E66" s="312" t="str">
        <f aca="false">IF($A66="N/A"," ",(C66-'Pricing Inputs'!T99)*D66)</f>
        <v> </v>
      </c>
      <c r="F66" s="313" t="str">
        <f aca="false">IF(A66="N/A"," ",$F54*(1+VOMesc))</f>
        <v> </v>
      </c>
      <c r="G66" s="313" t="str">
        <f aca="false">IF(A66="N/A"," ",Perstart/IF(AND(Dayrun&gt;=4,Dayrun&lt;=6),16,IF(AND(Dayrun&gt;=7,Dayrun&lt;=9),8,24))/(BM66/CK66))</f>
        <v> </v>
      </c>
      <c r="H66" s="314" t="str">
        <f aca="false">IF(A66="N/A"," ",(C66*D66)+F66+G66)</f>
        <v> </v>
      </c>
      <c r="I66" s="315" t="str">
        <f aca="false">VLOOKUP(A66,ScaledPrice,(IF(AND(Dayrun&gt;=1,Dayrun&lt;=6),2,4)))</f>
        <v> </v>
      </c>
      <c r="J66" s="315" t="str">
        <f aca="false">IF(A66="N/A"," ",IF(AND(Dayrun&gt;=1,Dayrun&lt;=6),I66,(VLOOKUP(A66,ScaledPrice,2))*(2-(VLOOKUP(A66,ScaledPrice,3)))))</f>
        <v> </v>
      </c>
      <c r="K66" s="315" t="str">
        <f aca="false">IF(A66="N/A"," ",IF(AND(Dayrun&gt;=1,Dayrun&lt;=3),VLOOKUP(A66,ScaledPrice,9),0))</f>
        <v> </v>
      </c>
      <c r="L66" s="315" t="str">
        <f aca="false">IF(A66="N/A"," ",IF(OR(Dayrun=2,Dayrun=3,Dayrun=5,Dayrun=6,Dayrun=8,Dayrun=9),VLOOKUP(A66,ScaledPrice,IF(AND(Dayrun&gt;=2,Dayrun&lt;=6),5,6)),0))</f>
        <v> </v>
      </c>
      <c r="M66" s="315" t="str">
        <f aca="false">IF(A66="N/A"," ",IF(OR(Dayrun=2,Dayrun=3,Dayrun=5,Dayrun=6,Dayrun=8,Dayrun=9),IF(AND(Dayrun&gt;=2,Dayrun&lt;=6),L66,(VLOOKUP(A66,ScaledPrice,5))*(2-(VLOOKUP(A66,ScaledPrice,3)))),0))</f>
        <v> </v>
      </c>
      <c r="N66" s="315" t="str">
        <f aca="false">IF(A66="N/A"," ",IF(AND(Dayrun&gt;1,Dayrun&lt;=3),VLOOKUP(A66,ScaledPrice,9),0))</f>
        <v> </v>
      </c>
      <c r="O66" s="315" t="str">
        <f aca="false">IF(A66="N/A"," ",IF(OR(Dayrun=3,Dayrun=6,Dayrun=9),(VLOOKUP(A66,ScaledPrice,IF(AND(Dayrun&gt;=3,Dayrun&lt;=6),7,8))),0))</f>
        <v> </v>
      </c>
      <c r="P66" s="315" t="str">
        <f aca="false">IF(A66="N/A"," ",IF(OR(Dayrun=3,Dayrun=6,Dayrun=9),IF(AND(Dayrun&gt;=3,Dayrun&lt;=6),O66,(VLOOKUP(A66,ScaledPrice,7))*(2-(VLOOKUP(A66,ScaledPrice,3)))),0))</f>
        <v> </v>
      </c>
      <c r="Q66" s="315" t="str">
        <f aca="false">IF(A66="N/A"," ",IF(AND(Dayrun&gt;2,Dayrun&lt;=3),VLOOKUP(A66,ScaledPrice,9),0))</f>
        <v> </v>
      </c>
      <c r="R66" s="316" t="str">
        <f aca="false">IF($A66="N/A"," ",IF(Pricetype=2,MAX(I66-$H66,0),IF(Pricetype=1,(xSPRDOPT(I66,$E66,$CI66,0,($CD66+IF(Smile=TRUE(),VLOOKUP(MAX(-5,$H66-I66),Volsmile,2),0)),$CG66,$CH66,($A66-DateToday)+15,1,0)),I66-$H66)))</f>
        <v> </v>
      </c>
      <c r="S66" s="316" t="str">
        <f aca="false">IF($A66="N/A"," ",IF(Pricetype=2,MAX(J66-$H66,0),IF(Pricetype=1,(xSPRDOPT(J66,$E66,$CI66,0,($CD66+IF(Smile=TRUE(),VLOOKUP(MAX(-5,$H66-J66),Volsmile,2),0)),$CG66,$CH66,($A66-DateToday)+15,1,0)),J66-$H66)))</f>
        <v> </v>
      </c>
      <c r="T66" s="317" t="str">
        <f aca="false">IF($A66="N/A"," ",(IF(Pricetype=2,IF((K66-$H66)&lt;=0,0,(K66-$H66)),IF(K66&lt;&gt;0,(K66-$H66),0))))</f>
        <v> </v>
      </c>
      <c r="U66" s="316" t="str">
        <f aca="false">IF($A66="N/A"," ",IF(Pricetype=2,MAX(L66-$H66,0),IF(L66&lt;&gt;0,IF(Pricetype=1,(xSPRDOPT(L66,$E66,$CI66,0,($CD66+IF(Smile=TRUE(),VLOOKUP(MAX(-5,$H66-L66),Volsmile,2),0)),$CG66,$CH66,($A66-DateToday)+15,1,0)),L66-$H66),0)))</f>
        <v> </v>
      </c>
      <c r="V66" s="316" t="str">
        <f aca="false">IF($A66="N/A"," ",IF(Pricetype=2,MAX(M66-$H66,0),IF(M66&lt;&gt;0,IF(Pricetype=1,(xSPRDOPT(M66,$E66,$CI66,0,($CD66+IF(Smile=TRUE(),VLOOKUP(MAX(-5,$H66-M66),Volsmile,2),0)),$CG66,$CH66,($A66-DateToday)+15,1,0)),M66-$H66),0)))</f>
        <v> </v>
      </c>
      <c r="W66" s="317" t="str">
        <f aca="false">IF($A66="N/A"," ",(IF(Pricetype=2,IF((N66-$H66)&lt;=0,0,(N66-$H66)),IF(N66&lt;&gt;0,(N66-$H66),0))))</f>
        <v> </v>
      </c>
      <c r="X66" s="316" t="str">
        <f aca="false">IF($A66="N/A"," ",IF(Pricetype=2,MAX(O66-$H66,0),IF(O66&lt;&gt;0,IF(Pricetype=1,(xSPRDOPT(O66,$E66,$CI66,0,($CD66+IF(Smile=TRUE(),VLOOKUP(MAX(-5,$H66-O66),Volsmile,2),0)),$CG66,$CH66,($A66-DateToday)+15,1,0)),O66-$H66),0)))</f>
        <v> </v>
      </c>
      <c r="Y66" s="316" t="str">
        <f aca="false">IF($A66="N/A"," ",IF(Pricetype=2,MAX(P66-$H66,0),IF(P66&lt;&gt;0,IF(Pricetype=1,(xSPRDOPT(P66,$E66,$CI66,0,($CD66+IF(Smile=TRUE(),VLOOKUP(MAX(-5,$H66-P66),Volsmile,2),0)),$CG66,$CH66,($A66-DateToday)+15,1,0)),P66-$H66),0)))</f>
        <v> </v>
      </c>
      <c r="Z66" s="317" t="str">
        <f aca="false">IF($A66="N/A"," ",(IF(Pricetype=2,IF((Q66-$H66)&lt;=0,0,(Q66-$H66)),IF(Q66&lt;&gt;0,(Q66-$H66),0))))</f>
        <v> </v>
      </c>
      <c r="AA66" s="318" t="str">
        <f aca="false">IF($A66="N/A"," ",IF(VLOOKUP(MONTH(A66),ManualTable,2)=1,(IF(0&lt;&gt;R66,IF(Pricetype=1,(xSPRDOPT(I66,$E66,$CI66,0,($CD66+IF(Smile=TRUE(),VLOOKUP(MAX(-5,$H66-I66),Volsmile,2),0)),$CG66,$CH66,($A66-DateToday)+15,1,1))*(8*$HD66),8*$HD66),0)),0))</f>
        <v> </v>
      </c>
      <c r="AB66" s="318" t="str">
        <f aca="false">IF($A66="N/A"," ",IF(VLOOKUP(MONTH(A66),ManualTable,3)=1,(IF(S66&lt;&gt;0,IF(Pricetype=1,(xSPRDOPT(J66,$E66,$CI66,0,($CD66+IF(Smile=TRUE(),VLOOKUP(MAX(-5,$H66-J66),Volsmile,2),0)),$CG66,$CH66,($A66-DateToday)+15,1,1))*(8*$HD66),8*$HD66),0)),0))</f>
        <v> </v>
      </c>
      <c r="AC66" s="318" t="str">
        <f aca="false">IF($A66="N/A"," ",IF(VLOOKUP(MONTH(A66),ManualTable,4)=1,(IF(T66&lt;&gt;0,(8*$HD66),0)),0))</f>
        <v> </v>
      </c>
      <c r="AD66" s="318" t="str">
        <f aca="false">IF($A66="N/A"," ",IF(VLOOKUP(MONTH(A66),ManualTable,5)=1,(IF(U66&lt;&gt;0,IF(Pricetype=1,(xSPRDOPT(L66,$E66,$CI66,0,($CD66+IF(Smile=TRUE(),VLOOKUP(MAX(-5,$H66-L66),Volsmile,2),0)),$CG66,$CH66,($A66-DateToday)+15,1,1))*(8*$HE66),8*$HE66),0)),0))</f>
        <v> </v>
      </c>
      <c r="AE66" s="318" t="str">
        <f aca="false">IF($A66="N/A"," ",IF(VLOOKUP(MONTH(A66),ManualTable,6)=1,(IF(V66&lt;&gt;0,IF(Pricetype=1,(xSPRDOPT(M66,$E66,$CI66,0,($CD66+IF(Smile=TRUE(),VLOOKUP(MAX(-5,$H66-M66),Volsmile,2),0)),$CG66,$CH66,($A66-DateToday)+15,1,1))*(8*$HE66),8*$HE66),0)),0))</f>
        <v> </v>
      </c>
      <c r="AF66" s="318" t="str">
        <f aca="false">IF($A66="N/A"," ",IF(VLOOKUP(MONTH(A66),ManualTable,7)=1,(IF(W66&lt;&gt;0,(8*$HE66),0)),0))</f>
        <v> </v>
      </c>
      <c r="AG66" s="318" t="str">
        <f aca="false">IF($A66="N/A"," ",IF(VLOOKUP(MONTH(A66),ManualTable,8)=1,(IF(X66&lt;&gt;0,IF(Pricetype=1,(xSPRDOPT(O66,$E66,$CI66,0,($CD66+IF(Smile=TRUE(),VLOOKUP(MAX(-5,$H66-O66),Volsmile,2),0)),$CG66,$CH66,($A66-DateToday)+15,1,1))*(8*$HF66),8*$HF66),0)),0))</f>
        <v> </v>
      </c>
      <c r="AH66" s="318" t="str">
        <f aca="false">IF($A66="N/A"," ",IF(VLOOKUP(MONTH(A66),ManualTable,9)=1,(IF(Y66&lt;&gt;0,IF(Pricetype=1,(xSPRDOPT(P66,$E66,$CI66,0,($CD66+IF(Smile=TRUE(),VLOOKUP(MAX(-5,$H66-P66),Volsmile,2),0)),$CG66,$CH66,($A66-DateToday)+15,1,1))*(8*$HF66),8*$HF66),0)),0))</f>
        <v> </v>
      </c>
      <c r="AI66" s="318" t="str">
        <f aca="false">IF($A66="N/A"," ",IF(VLOOKUP(MONTH(A66),ManualTable,10)=1,(IF(Z66&lt;&gt;0,(8*($HF66)),0)),0))</f>
        <v> </v>
      </c>
      <c r="AJ66" s="344" t="str">
        <f aca="false">IF($A66="N/A"," ",RANK(R66,$R$64:$Z$75))</f>
        <v> </v>
      </c>
      <c r="AK66" s="321" t="str">
        <f aca="false">IF($A66="N/A"," ",RANK(S66,$R$64:$Z$75))</f>
        <v> </v>
      </c>
      <c r="AL66" s="321" t="str">
        <f aca="false">IF($A66="N/A"," ",RANK(T66,$R$64:$Z$75))</f>
        <v> </v>
      </c>
      <c r="AM66" s="321" t="str">
        <f aca="false">IF($A66="N/A"," ",RANK(U66,$R$64:$Z$75))</f>
        <v> </v>
      </c>
      <c r="AN66" s="321" t="str">
        <f aca="false">IF($A66="N/A"," ",RANK(V66,$R$64:$Z$75))</f>
        <v> </v>
      </c>
      <c r="AO66" s="321" t="str">
        <f aca="false">IF($A66="N/A"," ",RANK(W66,$R$64:$Z$75))</f>
        <v> </v>
      </c>
      <c r="AP66" s="321" t="str">
        <f aca="false">IF($A66="N/A"," ",RANK(X66,$R$64:$Z$75))</f>
        <v> </v>
      </c>
      <c r="AQ66" s="321" t="str">
        <f aca="false">IF($A66="N/A"," ",RANK(Y66,$R$64:$Z$75))</f>
        <v> </v>
      </c>
      <c r="AR66" s="345" t="str">
        <f aca="false">IF($A66="N/A"," ",RANK(Z66,$R$64:$Z$75))</f>
        <v> </v>
      </c>
      <c r="AS66" s="323" t="str">
        <f aca="false">IF($A66="N/A"," ",IF(AJ66&lt;=$AR$2,AA66,0))</f>
        <v> </v>
      </c>
      <c r="AT66" s="325" t="str">
        <f aca="false">IF($A66="N/A"," ",IF(AK66&lt;=$AR$2,AB66,0))</f>
        <v> </v>
      </c>
      <c r="AU66" s="325" t="str">
        <f aca="false">IF($A66="N/A"," ",IF(AL66&lt;=$AR$2,AC66,0))</f>
        <v> </v>
      </c>
      <c r="AV66" s="325" t="str">
        <f aca="false">IF($A66="N/A"," ",IF(AM66&lt;=$AR$2,AD66,0))</f>
        <v> </v>
      </c>
      <c r="AW66" s="325" t="str">
        <f aca="false">IF($A66="N/A"," ",IF(AN66&lt;=$AR$2,AE66,0))</f>
        <v> </v>
      </c>
      <c r="AX66" s="325" t="str">
        <f aca="false">IF($A66="N/A"," ",IF(AO66&lt;=$AR$2,AF66,0))</f>
        <v> </v>
      </c>
      <c r="AY66" s="325" t="str">
        <f aca="false">IF($A66="N/A"," ",IF(AP66&lt;=$AR$2,AG66,0))</f>
        <v> </v>
      </c>
      <c r="AZ66" s="325" t="str">
        <f aca="false">IF($A66="N/A"," ",IF(AQ66&lt;=$AR$2,AH66,0))</f>
        <v> </v>
      </c>
      <c r="BA66" s="325" t="str">
        <f aca="false">IF($A66="N/A"," ",IF(AR66&lt;=$AR$2,AI66,0))</f>
        <v> </v>
      </c>
      <c r="BB66" s="345"/>
      <c r="BC66" s="326" t="str">
        <f aca="false">IF($A66="N/A"," ",IF(AND(AJ66=$AR$2+1,AS66=0),MIN($BB$75,AA66),0))</f>
        <v> </v>
      </c>
      <c r="BD66" s="346" t="str">
        <f aca="false">IF($A66="N/A"," ",IF(AND(AK66=$AR$2+1,AT66=0),MIN($BB$75,AB66),0))</f>
        <v> </v>
      </c>
      <c r="BE66" s="346" t="str">
        <f aca="false">IF($A66="N/A"," ",IF(AND(AL66=$AR$2+1,AU66=0),MIN($BB$75,AC66),0))</f>
        <v> </v>
      </c>
      <c r="BF66" s="346" t="str">
        <f aca="false">IF($A66="N/A"," ",IF(AND(AM66=$AR$2+1,AV66=0),MIN($BB$75,AD66),0))</f>
        <v> </v>
      </c>
      <c r="BG66" s="346" t="str">
        <f aca="false">IF($A66="N/A"," ",IF(AND(AN66=$AR$2+1,AW66=0),MIN($BB$75,AE66),0))</f>
        <v> </v>
      </c>
      <c r="BH66" s="346" t="str">
        <f aca="false">IF($A66="N/A"," ",IF(AND(AO66=$AR$2+1,AX66=0),MIN($BB$75,AF66),0))</f>
        <v> </v>
      </c>
      <c r="BI66" s="346" t="str">
        <f aca="false">IF($A66="N/A"," ",IF(AND(AP66=$AR$2+1,AY66=0),MIN($BB$75,AG66),0))</f>
        <v> </v>
      </c>
      <c r="BJ66" s="346" t="str">
        <f aca="false">IF($A66="N/A"," ",IF(AND(AQ66=$AR$2+1,AZ66=0),MIN($BB$75,AH66),0))</f>
        <v> </v>
      </c>
      <c r="BK66" s="346" t="str">
        <f aca="false">IF($A66="N/A"," ",IF(AND(AR66=$AR$2+1,BA66=0),MIN($BB$75,AI66),0))</f>
        <v> </v>
      </c>
      <c r="BL66" s="345"/>
      <c r="BM66" s="329" t="str">
        <f aca="false">IF($A66="N/A"," ",(IF(MONTH(A66)&gt;=4,IF(MONTH(A66)&lt;=10,Inputs!$F$13-Inputs!$G$13,Inputs!$F$14-Inputs!$G$14),Inputs!$F$14-Inputs!$G$14))*$CK66*Availability)</f>
        <v> </v>
      </c>
      <c r="BN66" s="330" t="str">
        <f aca="false">IF($A66="N/A"," ",(IF(AS66&gt;0,($BM66*(8*($HD66))*R66),0)+IF(BC66&gt;0,($BM66*((BC66/AA66)*8*$HD66)*R66),0)))</f>
        <v> </v>
      </c>
      <c r="BO66" s="330" t="str">
        <f aca="false">IF($A66="N/A"," ",(IF(AT66&gt;0,($BM66*(8*($HD66))*S66),0)+IF(BD66&gt;0,($BM66*((BD66/AB66)*8*$HD66)*S66),0)))</f>
        <v> </v>
      </c>
      <c r="BP66" s="330" t="str">
        <f aca="false">IF($A66="N/A"," ",(IF(AU66&gt;0,($BM66*(8*($HD66))*T66),0)+IF(BE66&gt;0,($BM66*((BE66))*T66),0)))</f>
        <v> </v>
      </c>
      <c r="BQ66" s="330" t="str">
        <f aca="false">IF($A66="N/A"," ",(IF(AV66&gt;0,($BM66*(8*($HE66))*U66),0)+IF(BF66&gt;0,($BM66*((BF66/AD66)*8*$HE66)*U66),0)))</f>
        <v> </v>
      </c>
      <c r="BR66" s="330" t="str">
        <f aca="false">IF($A66="N/A"," ",(IF(AW66&gt;0,($BM66*(8*($HE66))*V66),0)+IF(BG66&gt;0,($BM66*((BG66/AE66)*8*$HE66)*V66),0)))</f>
        <v> </v>
      </c>
      <c r="BS66" s="330" t="str">
        <f aca="false">IF($A66="N/A"," ",(IF(AX66&gt;0,($BM66*(8*($HE66))*W66),0)+IF(BH66&gt;0,($BM66*((BH66))*W66),0)))</f>
        <v> </v>
      </c>
      <c r="BT66" s="330" t="str">
        <f aca="false">IF($A66="N/A"," ",(IF(AY66&gt;0,($BM66*(8*($HF66))*X66),0)+IF(BI66&gt;0,($BM66*((BI66/AG66)*8*$HF66)*X66),0)))</f>
        <v> </v>
      </c>
      <c r="BU66" s="330" t="str">
        <f aca="false">IF($A66="N/A"," ",(IF(AZ66&gt;0,($BM66*(8*($HF66))*Y66),0)+IF(BJ66&gt;0,($BM66*((BJ66/AH66)*8*$HF66)*Y66),0)))</f>
        <v> </v>
      </c>
      <c r="BV66" s="330" t="str">
        <f aca="false">IF($A66="N/A"," ",(IF(BA66&gt;0,($BM66*(8*($HF66))*Z66),0)+IF(BK66&gt;0,($BM66*((BK66))*Z66),0)))</f>
        <v> </v>
      </c>
      <c r="BW66" s="330" t="str">
        <f aca="false">IF($A66="N/A"," ",SUM(BN66:BV66))</f>
        <v> </v>
      </c>
      <c r="BX66" s="331" t="str">
        <f aca="false">IF($A66="N/A"," ",(H66*(SUM(AS66:BA66)+SUM(BC66:BK66))*BM66))</f>
        <v> </v>
      </c>
      <c r="BY66" s="332" t="str">
        <f aca="false">IF($A66="N/A"," ",((C66*D66)*(SUM($AS66:$BA66)+SUM($BC66:$BK66))*$BM66))</f>
        <v> </v>
      </c>
      <c r="BZ66" s="332" t="str">
        <f aca="false">IF($A66="N/A"," ",(F66*(SUM($AS66:$BA66)+SUM($BC66:$BK66))*$BM66))</f>
        <v> </v>
      </c>
      <c r="CA66" s="333" t="str">
        <f aca="false">IF($A66="N/A"," ",(G66*(SUM($AS66:$BA66)+SUM($BC66:$BK66))*$BM66))</f>
        <v> </v>
      </c>
      <c r="CB66" s="334" t="str">
        <f aca="false">IF(A66="N/A"," ",(VLOOKUP(A66,PowerVolTable,(IF(BMO=2,7,IF(BMO=1,6,8))),FALSE())))</f>
        <v> </v>
      </c>
      <c r="CC66" s="334" t="str">
        <f aca="false">IF(A66="N/A"," ",(VLOOKUP(A66,IntraPowerVol,(IF(BMO=2,3,IF(BMO=1,2,4))),FALSE())*VLOOKUP(MONTH($A66),Volscale,2)))</f>
        <v> </v>
      </c>
      <c r="CD66" s="335" t="str">
        <f aca="false">IF($A66="N/A"," ",(IF(DateToday&gt;$A66,$CC66,((($CB66^2)*((($A66-1)-DateToday)/((EOMONTH($A66,0)+1)-DateToday-15)))+((($CC66)^2)*((15)/((EOMONTH($A66,0)+1)-DateToday-15))))^0.5)))</f>
        <v> </v>
      </c>
      <c r="CE66" s="334" t="str">
        <f aca="false">IF($A66="N/A"," ",(VLOOKUP($A66,GasVolTable,(IF(BMO=2,6,IF(BMO=1,7,5))),FALSE())))</f>
        <v> </v>
      </c>
      <c r="CF66" s="334" t="str">
        <f aca="false">IF($A66="N/A"," ",(VLOOKUP($A66,OmicronVol,(IF(BMO=2,3,IF(BMO=1,4,2))),FALSE())))</f>
        <v> </v>
      </c>
      <c r="CG66" s="335" t="str">
        <f aca="false">IF($A66="N/A"," ",(IF(DateToday&gt;$A66,$CF66,((($CE66^2)*((($A66-1)-DateToday)/((EOMONTH($A66,0)+1)-DateToday-15)))+((($CF66)^2)*((15)/((EOMONTH($A66,0)+1)-DateToday-15))))^0.5)))</f>
        <v> </v>
      </c>
      <c r="CH66" s="334" t="str">
        <f aca="false">IF($A66="N/A"," ",VLOOKUP($A66,CorrelationTable,2,FALSE()))</f>
        <v> </v>
      </c>
      <c r="CI66" s="336" t="str">
        <f aca="false">IF($A66="N/A"," ",F66+G66+(D66*('Pricing Inputs'!T99)))</f>
        <v> </v>
      </c>
      <c r="CJ66" s="334" t="str">
        <f aca="false">IF($A66="N/A"," ",IF(PV=1,0,'Pricing Inputs'!U99))</f>
        <v> </v>
      </c>
      <c r="CK66" s="337" t="str">
        <f aca="false">IF($A66="N/A"," ",(1+CJ66/2)^(-2*((EOMONTH(A66,0)+20)-DateToday)/365.25))</f>
        <v> </v>
      </c>
      <c r="CL66" s="338" t="str">
        <f aca="false">IF(A66="N/A"," ",IF(CC=2,(VLOOKUP(MONTH($A66),Hrtable,3))/1000,0))</f>
        <v> </v>
      </c>
      <c r="CM66" s="339" t="str">
        <f aca="false">IF(A66="N/A"," ",IF(CC=2,(CL66*C66)+F66,0))</f>
        <v> </v>
      </c>
      <c r="CN66" s="340" t="str">
        <f aca="false">IF($A66="N/A"," ",IF(CC=2,(VLOOKUP(A66,ScaledPrice,(IF(AND(Dayrun&gt;=1,Dayrun&lt;=6),2,4)))-((IF(R66&lt;&gt;0,$D66,$CL66)*$C66)+$F66+$G66)),0))</f>
        <v> </v>
      </c>
      <c r="CO66" s="340" t="str">
        <f aca="false">IF($A66="N/A"," ",IF(CC=2,(IF(AND(Dayrun&gt;=1,Dayrun&lt;=6),I66,(VLOOKUP(A66,ScaledPrice,2))*(2-(VLOOKUP(A66,ScaledPrice,3))))-((IF(S66&lt;&gt;0,$D66,$CL66)*$C66)+$F66+$G66)),0))</f>
        <v> </v>
      </c>
      <c r="CP66" s="340" t="str">
        <f aca="false">IF(A66="N/A"," ",IF(CC=2,(VLOOKUP(A66,ScaledPrice,9)-((IF(T66&lt;&gt;0,$D66,$CL66)*$C66)+$F66+$G66)),0))</f>
        <v> </v>
      </c>
      <c r="CQ66" s="340" t="str">
        <f aca="false">IF(A66="N/A"," ",IF(CC=2,(IF(OR(Dayrun=2,Dayrun=3,Dayrun=5,Dayrun=6,Dayrun=8,Dayrun=9),VLOOKUP(A66,ScaledPrice,IF(AND(Dayrun&gt;=2,Dayrun&lt;=6),5,6)),0)-((IF(U66&lt;&gt;0,$D66,$CL66)*$C66)+$F66+$G66)),0))</f>
        <v> </v>
      </c>
      <c r="CR66" s="340" t="str">
        <f aca="false">IF(A66="N/A"," ",IF(CC=2,(IF(OR(Dayrun=2,Dayrun=3,Dayrun=5,Dayrun=6,Dayrun=8,Dayrun=9),IF(AND(Dayrun&gt;=2,Dayrun&lt;=6),L66,(VLOOKUP(A66,ScaledPrice,5))*(2-(VLOOKUP(A66,ScaledPrice,3)))),0)-((IF(V66&lt;&gt;0,$D66,$CL66)*$C66)+$F66+$G66)),0))</f>
        <v> </v>
      </c>
      <c r="CS66" s="340" t="str">
        <f aca="false">IF(A66="N/A"," ",IF(CC=2,(VLOOKUP(A66,ScaledPrice,9)-((IF(W66&lt;&gt;0,$D66,$CL66)*$C66)+$F66+$G66)),0))</f>
        <v> </v>
      </c>
      <c r="CT66" s="340" t="str">
        <f aca="false">IF(A66="N/A"," ",IF(CC=2,(IF(OR(Dayrun=3,Dayrun=6,Dayrun=9),(VLOOKUP(A66,ScaledPrice,IF(AND(Dayrun&gt;=3,Dayrun&lt;=6),7,8))),0)-((IF(X66&lt;&gt;0,$D66,$CL66)*$C66)+$F66+$G66)),0))</f>
        <v> </v>
      </c>
      <c r="CU66" s="340" t="str">
        <f aca="false">IF(A66="N/A"," ",IF(CC=2,(IF(OR(Dayrun=3,Dayrun=6,Dayrun=9),IF(AND(Dayrun&gt;=3,Dayrun&lt;=6),O66,(VLOOKUP(A66,ScaledPrice,7))*(2-(VLOOKUP(A66,ScaledPrice,3)))),0)-((IF(Y66&lt;&gt;0,$D66,$CL66)*$C66)+$F66+$G66)),0))</f>
        <v> </v>
      </c>
      <c r="CV66" s="340" t="str">
        <f aca="false">IF(A66="N/A"," ",IF(CC=2,(VLOOKUP(A66,ScaledPrice,9)-((IF(Z66&lt;&gt;0,$D66,$CL66)*$C66)+$F66+$G66)),0))</f>
        <v> </v>
      </c>
      <c r="CW66" s="318" t="str">
        <f aca="false">IF($A66="N/A"," ",IF(0&lt;&gt;CN66,IF(CC=2,8*$HD66,0),0))</f>
        <v> </v>
      </c>
      <c r="CX66" s="318" t="str">
        <f aca="false">IF($A66="N/A"," ",IF(0&lt;&gt;CO66,IF(CC=2,8*$HD66,0),0))</f>
        <v> </v>
      </c>
      <c r="CY66" s="318" t="str">
        <f aca="false">IF($A66="N/A"," ",IF(0&lt;&gt;CP66,IF(CC=2,8*$HD66,0),0))</f>
        <v> </v>
      </c>
      <c r="CZ66" s="318" t="str">
        <f aca="false">IF($A66="N/A"," ",IF(0&lt;&gt;CQ66,IF(CC=2,8*$HE66,0),0))</f>
        <v> </v>
      </c>
      <c r="DA66" s="318" t="str">
        <f aca="false">IF($A66="N/A"," ",IF(0&lt;&gt;CR66,IF(CC=2,8*$HE66,0),0))</f>
        <v> </v>
      </c>
      <c r="DB66" s="318" t="str">
        <f aca="false">IF($A66="N/A"," ",IF(0&lt;&gt;CS66,IF(CC=2,8*$HE66,0),0))</f>
        <v> </v>
      </c>
      <c r="DC66" s="318" t="str">
        <f aca="false">IF($A66="N/A"," ",IF(0&lt;&gt;CT66,IF(CC=2,8*$HF66,0),0))</f>
        <v> </v>
      </c>
      <c r="DD66" s="318" t="str">
        <f aca="false">IF($A66="N/A"," ",IF(0&lt;&gt;CU66,IF(CC=2,8*$HF66,0),0))</f>
        <v> </v>
      </c>
      <c r="DE66" s="318" t="str">
        <f aca="false">IF($A66="N/A"," ",IF(0&lt;&gt;CV66,IF(CC=2,8*$HF66,0),0))</f>
        <v> </v>
      </c>
      <c r="DF66" s="341" t="str">
        <f aca="false">IF($A66="N/A"," ",IF(CC=2,(IF(MONTH(A66)&gt;=4,IF(MONTH(A66)&lt;=10,Inputs!$G$13,Inputs!$G$14),Inputs!$G$14))*$CK66,0))</f>
        <v> </v>
      </c>
      <c r="DG66" s="342" t="str">
        <f aca="false">IF($A66="N/A"," ",IF(CC=2,$DF66*CW66*CN66,0))</f>
        <v> </v>
      </c>
      <c r="DH66" s="342" t="str">
        <f aca="false">IF($A66="N/A"," ",IF(CC=2,$DF66*CX66*CO66,0))</f>
        <v> </v>
      </c>
      <c r="DI66" s="342" t="str">
        <f aca="false">IF($A66="N/A"," ",IF(CC=2,$DF66*CY66*CP66,0))</f>
        <v> </v>
      </c>
      <c r="DJ66" s="342" t="str">
        <f aca="false">IF($A66="N/A"," ",IF(CC=2,$DF66*CZ66*CQ66,0))</f>
        <v> </v>
      </c>
      <c r="DK66" s="342" t="str">
        <f aca="false">IF($A66="N/A"," ",IF(CC=2,$DF66*DA66*CR66,0))</f>
        <v> </v>
      </c>
      <c r="DL66" s="342" t="str">
        <f aca="false">IF($A66="N/A"," ",IF(CC=2,$DF66*DB66*CS66,0))</f>
        <v> </v>
      </c>
      <c r="DM66" s="342" t="str">
        <f aca="false">IF($A66="N/A"," ",IF(CC=2,$DF66*DC66*CT66,0))</f>
        <v> </v>
      </c>
      <c r="DN66" s="342" t="str">
        <f aca="false">IF($A66="N/A"," ",IF(CC=2,$DF66*DD66*CU66,0))</f>
        <v> </v>
      </c>
      <c r="DO66" s="342" t="str">
        <f aca="false">IF($A66="N/A"," ",IF(CC=2,$DF66*DE66*CV66,0))</f>
        <v> </v>
      </c>
      <c r="DP66" s="343" t="str">
        <f aca="false">IF($A66="N/A"," ",IF(CC=2,SUM(DG66:DO66),0))</f>
        <v> </v>
      </c>
      <c r="DQ66" s="0" t="str">
        <f aca="false">IF(A66="N/A"," ",Perstart)</f>
        <v> </v>
      </c>
      <c r="HD66" s="0" t="str">
        <f aca="false">IF($A66="N/A"," ",VLOOKUP($A66,NumberofDaysTable,2))</f>
        <v> </v>
      </c>
      <c r="HE66" s="0" t="str">
        <f aca="false">IF($A66="N/A"," ",VLOOKUP($A66,NumberofDaysTable,3))</f>
        <v> </v>
      </c>
      <c r="HF66" s="0" t="str">
        <f aca="false">IF($A66="N/A"," ",VLOOKUP($A66,NumberofDaysTable,4))</f>
        <v> </v>
      </c>
    </row>
    <row r="67" customFormat="false" ht="12.75" hidden="false" customHeight="false" outlineLevel="0" collapsed="false">
      <c r="A67" s="308" t="str">
        <f aca="false">IF(A66="N/A","N/A",IF(EDATE(A66,1)&gt;Inputs!$K$3,"N/A",EDATE(A66,1)))</f>
        <v>N/A</v>
      </c>
      <c r="B67" s="309" t="str">
        <f aca="false">IF(A67="N/A"," ",YEAR(A67))</f>
        <v> </v>
      </c>
      <c r="C67" s="310" t="str">
        <f aca="false">IF(A67="N/A"," ",VLOOKUP(A67,ScaledPrice,10))</f>
        <v> </v>
      </c>
      <c r="D67" s="311" t="str">
        <f aca="false">IF(A67="N/A"," ",(VLOOKUP(MONTH($A67),Hrtable,2))/1000)</f>
        <v> </v>
      </c>
      <c r="E67" s="312" t="str">
        <f aca="false">IF($A67="N/A"," ",(C67-'Pricing Inputs'!T100)*D67)</f>
        <v> </v>
      </c>
      <c r="F67" s="313" t="str">
        <f aca="false">IF(A67="N/A"," ",$F55*(1+VOMesc))</f>
        <v> </v>
      </c>
      <c r="G67" s="313" t="str">
        <f aca="false">IF(A67="N/A"," ",Perstart/IF(AND(Dayrun&gt;=4,Dayrun&lt;=6),16,IF(AND(Dayrun&gt;=7,Dayrun&lt;=9),8,24))/(BM67/CK67))</f>
        <v> </v>
      </c>
      <c r="H67" s="314" t="str">
        <f aca="false">IF(A67="N/A"," ",(C67*D67)+F67+G67)</f>
        <v> </v>
      </c>
      <c r="I67" s="315" t="str">
        <f aca="false">VLOOKUP(A67,ScaledPrice,(IF(AND(Dayrun&gt;=1,Dayrun&lt;=6),2,4)))</f>
        <v> </v>
      </c>
      <c r="J67" s="315" t="str">
        <f aca="false">IF(A67="N/A"," ",IF(AND(Dayrun&gt;=1,Dayrun&lt;=6),I67,(VLOOKUP(A67,ScaledPrice,2))*(2-(VLOOKUP(A67,ScaledPrice,3)))))</f>
        <v> </v>
      </c>
      <c r="K67" s="315" t="str">
        <f aca="false">IF(A67="N/A"," ",IF(AND(Dayrun&gt;=1,Dayrun&lt;=3),VLOOKUP(A67,ScaledPrice,9),0))</f>
        <v> </v>
      </c>
      <c r="L67" s="315" t="str">
        <f aca="false">IF(A67="N/A"," ",IF(OR(Dayrun=2,Dayrun=3,Dayrun=5,Dayrun=6,Dayrun=8,Dayrun=9),VLOOKUP(A67,ScaledPrice,IF(AND(Dayrun&gt;=2,Dayrun&lt;=6),5,6)),0))</f>
        <v> </v>
      </c>
      <c r="M67" s="315" t="str">
        <f aca="false">IF(A67="N/A"," ",IF(OR(Dayrun=2,Dayrun=3,Dayrun=5,Dayrun=6,Dayrun=8,Dayrun=9),IF(AND(Dayrun&gt;=2,Dayrun&lt;=6),L67,(VLOOKUP(A67,ScaledPrice,5))*(2-(VLOOKUP(A67,ScaledPrice,3)))),0))</f>
        <v> </v>
      </c>
      <c r="N67" s="315" t="str">
        <f aca="false">IF(A67="N/A"," ",IF(AND(Dayrun&gt;1,Dayrun&lt;=3),VLOOKUP(A67,ScaledPrice,9),0))</f>
        <v> </v>
      </c>
      <c r="O67" s="315" t="str">
        <f aca="false">IF(A67="N/A"," ",IF(OR(Dayrun=3,Dayrun=6,Dayrun=9),(VLOOKUP(A67,ScaledPrice,IF(AND(Dayrun&gt;=3,Dayrun&lt;=6),7,8))),0))</f>
        <v> </v>
      </c>
      <c r="P67" s="315" t="str">
        <f aca="false">IF(A67="N/A"," ",IF(OR(Dayrun=3,Dayrun=6,Dayrun=9),IF(AND(Dayrun&gt;=3,Dayrun&lt;=6),O67,(VLOOKUP(A67,ScaledPrice,7))*(2-(VLOOKUP(A67,ScaledPrice,3)))),0))</f>
        <v> </v>
      </c>
      <c r="Q67" s="315" t="str">
        <f aca="false">IF(A67="N/A"," ",IF(AND(Dayrun&gt;2,Dayrun&lt;=3),VLOOKUP(A67,ScaledPrice,9),0))</f>
        <v> </v>
      </c>
      <c r="R67" s="316" t="str">
        <f aca="false">IF($A67="N/A"," ",IF(Pricetype=2,MAX(I67-$H67,0),IF(Pricetype=1,(xSPRDOPT(I67,$E67,$CI67,0,($CD67+IF(Smile=TRUE(),VLOOKUP(MAX(-5,$H67-I67),Volsmile,2),0)),$CG67,$CH67,($A67-DateToday)+15,1,0)),I67-$H67)))</f>
        <v> </v>
      </c>
      <c r="S67" s="316" t="str">
        <f aca="false">IF($A67="N/A"," ",IF(Pricetype=2,MAX(J67-$H67,0),IF(Pricetype=1,(xSPRDOPT(J67,$E67,$CI67,0,($CD67+IF(Smile=TRUE(),VLOOKUP(MAX(-5,$H67-J67),Volsmile,2),0)),$CG67,$CH67,($A67-DateToday)+15,1,0)),J67-$H67)))</f>
        <v> </v>
      </c>
      <c r="T67" s="317" t="str">
        <f aca="false">IF($A67="N/A"," ",(IF(Pricetype=2,IF((K67-$H67)&lt;=0,0,(K67-$H67)),IF(K67&lt;&gt;0,(K67-$H67),0))))</f>
        <v> </v>
      </c>
      <c r="U67" s="316" t="str">
        <f aca="false">IF($A67="N/A"," ",IF(Pricetype=2,MAX(L67-$H67,0),IF(L67&lt;&gt;0,IF(Pricetype=1,(xSPRDOPT(L67,$E67,$CI67,0,($CD67+IF(Smile=TRUE(),VLOOKUP(MAX(-5,$H67-L67),Volsmile,2),0)),$CG67,$CH67,($A67-DateToday)+15,1,0)),L67-$H67),0)))</f>
        <v> </v>
      </c>
      <c r="V67" s="316" t="str">
        <f aca="false">IF($A67="N/A"," ",IF(Pricetype=2,MAX(M67-$H67,0),IF(M67&lt;&gt;0,IF(Pricetype=1,(xSPRDOPT(M67,$E67,$CI67,0,($CD67+IF(Smile=TRUE(),VLOOKUP(MAX(-5,$H67-M67),Volsmile,2),0)),$CG67,$CH67,($A67-DateToday)+15,1,0)),M67-$H67),0)))</f>
        <v> </v>
      </c>
      <c r="W67" s="317" t="str">
        <f aca="false">IF($A67="N/A"," ",(IF(Pricetype=2,IF((N67-$H67)&lt;=0,0,(N67-$H67)),IF(N67&lt;&gt;0,(N67-$H67),0))))</f>
        <v> </v>
      </c>
      <c r="X67" s="316" t="str">
        <f aca="false">IF($A67="N/A"," ",IF(Pricetype=2,MAX(O67-$H67,0),IF(O67&lt;&gt;0,IF(Pricetype=1,(xSPRDOPT(O67,$E67,$CI67,0,($CD67+IF(Smile=TRUE(),VLOOKUP(MAX(-5,$H67-O67),Volsmile,2),0)),$CG67,$CH67,($A67-DateToday)+15,1,0)),O67-$H67),0)))</f>
        <v> </v>
      </c>
      <c r="Y67" s="316" t="str">
        <f aca="false">IF($A67="N/A"," ",IF(Pricetype=2,MAX(P67-$H67,0),IF(P67&lt;&gt;0,IF(Pricetype=1,(xSPRDOPT(P67,$E67,$CI67,0,($CD67+IF(Smile=TRUE(),VLOOKUP(MAX(-5,$H67-P67),Volsmile,2),0)),$CG67,$CH67,($A67-DateToday)+15,1,0)),P67-$H67),0)))</f>
        <v> </v>
      </c>
      <c r="Z67" s="317" t="str">
        <f aca="false">IF($A67="N/A"," ",(IF(Pricetype=2,IF((Q67-$H67)&lt;=0,0,(Q67-$H67)),IF(Q67&lt;&gt;0,(Q67-$H67),0))))</f>
        <v> </v>
      </c>
      <c r="AA67" s="318" t="str">
        <f aca="false">IF($A67="N/A"," ",IF(VLOOKUP(MONTH(A67),ManualTable,2)=1,(IF(0&lt;&gt;R67,IF(Pricetype=1,(xSPRDOPT(I67,$E67,$CI67,0,($CD67+IF(Smile=TRUE(),VLOOKUP(MAX(-5,$H67-I67),Volsmile,2),0)),$CG67,$CH67,($A67-DateToday)+15,1,1))*(8*$HD67),8*$HD67),0)),0))</f>
        <v> </v>
      </c>
      <c r="AB67" s="318" t="str">
        <f aca="false">IF($A67="N/A"," ",IF(VLOOKUP(MONTH(A67),ManualTable,3)=1,(IF(S67&lt;&gt;0,IF(Pricetype=1,(xSPRDOPT(J67,$E67,$CI67,0,($CD67+IF(Smile=TRUE(),VLOOKUP(MAX(-5,$H67-J67),Volsmile,2),0)),$CG67,$CH67,($A67-DateToday)+15,1,1))*(8*$HD67),8*$HD67),0)),0))</f>
        <v> </v>
      </c>
      <c r="AC67" s="318" t="str">
        <f aca="false">IF($A67="N/A"," ",IF(VLOOKUP(MONTH(A67),ManualTable,4)=1,(IF(T67&lt;&gt;0,(8*$HD67),0)),0))</f>
        <v> </v>
      </c>
      <c r="AD67" s="318" t="str">
        <f aca="false">IF($A67="N/A"," ",IF(VLOOKUP(MONTH(A67),ManualTable,5)=1,(IF(U67&lt;&gt;0,IF(Pricetype=1,(xSPRDOPT(L67,$E67,$CI67,0,($CD67+IF(Smile=TRUE(),VLOOKUP(MAX(-5,$H67-L67),Volsmile,2),0)),$CG67,$CH67,($A67-DateToday)+15,1,1))*(8*$HE67),8*$HE67),0)),0))</f>
        <v> </v>
      </c>
      <c r="AE67" s="318" t="str">
        <f aca="false">IF($A67="N/A"," ",IF(VLOOKUP(MONTH(A67),ManualTable,6)=1,(IF(V67&lt;&gt;0,IF(Pricetype=1,(xSPRDOPT(M67,$E67,$CI67,0,($CD67+IF(Smile=TRUE(),VLOOKUP(MAX(-5,$H67-M67),Volsmile,2),0)),$CG67,$CH67,($A67-DateToday)+15,1,1))*(8*$HE67),8*$HE67),0)),0))</f>
        <v> </v>
      </c>
      <c r="AF67" s="318" t="str">
        <f aca="false">IF($A67="N/A"," ",IF(VLOOKUP(MONTH(A67),ManualTable,7)=1,(IF(W67&lt;&gt;0,(8*$HE67),0)),0))</f>
        <v> </v>
      </c>
      <c r="AG67" s="318" t="str">
        <f aca="false">IF($A67="N/A"," ",IF(VLOOKUP(MONTH(A67),ManualTable,8)=1,(IF(X67&lt;&gt;0,IF(Pricetype=1,(xSPRDOPT(O67,$E67,$CI67,0,($CD67+IF(Smile=TRUE(),VLOOKUP(MAX(-5,$H67-O67),Volsmile,2),0)),$CG67,$CH67,($A67-DateToday)+15,1,1))*(8*$HF67),8*$HF67),0)),0))</f>
        <v> </v>
      </c>
      <c r="AH67" s="318" t="str">
        <f aca="false">IF($A67="N/A"," ",IF(VLOOKUP(MONTH(A67),ManualTable,9)=1,(IF(Y67&lt;&gt;0,IF(Pricetype=1,(xSPRDOPT(P67,$E67,$CI67,0,($CD67+IF(Smile=TRUE(),VLOOKUP(MAX(-5,$H67-P67),Volsmile,2),0)),$CG67,$CH67,($A67-DateToday)+15,1,1))*(8*$HF67),8*$HF67),0)),0))</f>
        <v> </v>
      </c>
      <c r="AI67" s="318" t="str">
        <f aca="false">IF($A67="N/A"," ",IF(VLOOKUP(MONTH(A67),ManualTable,10)=1,(IF(Z67&lt;&gt;0,(8*($HF67)),0)),0))</f>
        <v> </v>
      </c>
      <c r="AJ67" s="344" t="str">
        <f aca="false">IF($A67="N/A"," ",RANK(R67,$R$64:$Z$75))</f>
        <v> </v>
      </c>
      <c r="AK67" s="321" t="str">
        <f aca="false">IF($A67="N/A"," ",RANK(S67,$R$64:$Z$75))</f>
        <v> </v>
      </c>
      <c r="AL67" s="321" t="str">
        <f aca="false">IF($A67="N/A"," ",RANK(T67,$R$64:$Z$75))</f>
        <v> </v>
      </c>
      <c r="AM67" s="321" t="str">
        <f aca="false">IF($A67="N/A"," ",RANK(U67,$R$64:$Z$75))</f>
        <v> </v>
      </c>
      <c r="AN67" s="321" t="str">
        <f aca="false">IF($A67="N/A"," ",RANK(V67,$R$64:$Z$75))</f>
        <v> </v>
      </c>
      <c r="AO67" s="321" t="str">
        <f aca="false">IF($A67="N/A"," ",RANK(W67,$R$64:$Z$75))</f>
        <v> </v>
      </c>
      <c r="AP67" s="321" t="str">
        <f aca="false">IF($A67="N/A"," ",RANK(X67,$R$64:$Z$75))</f>
        <v> </v>
      </c>
      <c r="AQ67" s="321" t="str">
        <f aca="false">IF($A67="N/A"," ",RANK(Y67,$R$64:$Z$75))</f>
        <v> </v>
      </c>
      <c r="AR67" s="345" t="str">
        <f aca="false">IF($A67="N/A"," ",RANK(Z67,$R$64:$Z$75))</f>
        <v> </v>
      </c>
      <c r="AS67" s="323" t="str">
        <f aca="false">IF($A67="N/A"," ",IF(AJ67&lt;=$AR$2,AA67,0))</f>
        <v> </v>
      </c>
      <c r="AT67" s="325" t="str">
        <f aca="false">IF($A67="N/A"," ",IF(AK67&lt;=$AR$2,AB67,0))</f>
        <v> </v>
      </c>
      <c r="AU67" s="325" t="str">
        <f aca="false">IF($A67="N/A"," ",IF(AL67&lt;=$AR$2,AC67,0))</f>
        <v> </v>
      </c>
      <c r="AV67" s="325" t="str">
        <f aca="false">IF($A67="N/A"," ",IF(AM67&lt;=$AR$2,AD67,0))</f>
        <v> </v>
      </c>
      <c r="AW67" s="325" t="str">
        <f aca="false">IF($A67="N/A"," ",IF(AN67&lt;=$AR$2,AE67,0))</f>
        <v> </v>
      </c>
      <c r="AX67" s="325" t="str">
        <f aca="false">IF($A67="N/A"," ",IF(AO67&lt;=$AR$2,AF67,0))</f>
        <v> </v>
      </c>
      <c r="AY67" s="325" t="str">
        <f aca="false">IF($A67="N/A"," ",IF(AP67&lt;=$AR$2,AG67,0))</f>
        <v> </v>
      </c>
      <c r="AZ67" s="325" t="str">
        <f aca="false">IF($A67="N/A"," ",IF(AQ67&lt;=$AR$2,AH67,0))</f>
        <v> </v>
      </c>
      <c r="BA67" s="325" t="str">
        <f aca="false">IF($A67="N/A"," ",IF(AR67&lt;=$AR$2,AI67,0))</f>
        <v> </v>
      </c>
      <c r="BB67" s="345"/>
      <c r="BC67" s="326" t="str">
        <f aca="false">IF($A67="N/A"," ",IF(AND(AJ67=$AR$2+1,AS67=0),MIN($BB$75,AA67),0))</f>
        <v> </v>
      </c>
      <c r="BD67" s="346" t="str">
        <f aca="false">IF($A67="N/A"," ",IF(AND(AK67=$AR$2+1,AT67=0),MIN($BB$75,AB67),0))</f>
        <v> </v>
      </c>
      <c r="BE67" s="346" t="str">
        <f aca="false">IF($A67="N/A"," ",IF(AND(AL67=$AR$2+1,AU67=0),MIN($BB$75,AC67),0))</f>
        <v> </v>
      </c>
      <c r="BF67" s="346" t="str">
        <f aca="false">IF($A67="N/A"," ",IF(AND(AM67=$AR$2+1,AV67=0),MIN($BB$75,AD67),0))</f>
        <v> </v>
      </c>
      <c r="BG67" s="346" t="str">
        <f aca="false">IF($A67="N/A"," ",IF(AND(AN67=$AR$2+1,AW67=0),MIN($BB$75,AE67),0))</f>
        <v> </v>
      </c>
      <c r="BH67" s="346" t="str">
        <f aca="false">IF($A67="N/A"," ",IF(AND(AO67=$AR$2+1,AX67=0),MIN($BB$75,AF67),0))</f>
        <v> </v>
      </c>
      <c r="BI67" s="346" t="str">
        <f aca="false">IF($A67="N/A"," ",IF(AND(AP67=$AR$2+1,AY67=0),MIN($BB$75,AG67),0))</f>
        <v> </v>
      </c>
      <c r="BJ67" s="346" t="str">
        <f aca="false">IF($A67="N/A"," ",IF(AND(AQ67=$AR$2+1,AZ67=0),MIN($BB$75,AH67),0))</f>
        <v> </v>
      </c>
      <c r="BK67" s="346" t="str">
        <f aca="false">IF($A67="N/A"," ",IF(AND(AR67=$AR$2+1,BA67=0),MIN($BB$75,AI67),0))</f>
        <v> </v>
      </c>
      <c r="BL67" s="345"/>
      <c r="BM67" s="329" t="str">
        <f aca="false">IF($A67="N/A"," ",(IF(MONTH(A67)&gt;=4,IF(MONTH(A67)&lt;=10,Inputs!$F$13-Inputs!$G$13,Inputs!$F$14-Inputs!$G$14),Inputs!$F$14-Inputs!$G$14))*$CK67*Availability)</f>
        <v> </v>
      </c>
      <c r="BN67" s="330" t="str">
        <f aca="false">IF($A67="N/A"," ",(IF(AS67&gt;0,($BM67*(8*($HD67))*R67),0)+IF(BC67&gt;0,($BM67*((BC67/AA67)*8*$HD67)*R67),0)))</f>
        <v> </v>
      </c>
      <c r="BO67" s="330" t="str">
        <f aca="false">IF($A67="N/A"," ",(IF(AT67&gt;0,($BM67*(8*($HD67))*S67),0)+IF(BD67&gt;0,($BM67*((BD67/AB67)*8*$HD67)*S67),0)))</f>
        <v> </v>
      </c>
      <c r="BP67" s="330" t="str">
        <f aca="false">IF($A67="N/A"," ",(IF(AU67&gt;0,($BM67*(8*($HD67))*T67),0)+IF(BE67&gt;0,($BM67*((BE67))*T67),0)))</f>
        <v> </v>
      </c>
      <c r="BQ67" s="330" t="str">
        <f aca="false">IF($A67="N/A"," ",(IF(AV67&gt;0,($BM67*(8*($HE67))*U67),0)+IF(BF67&gt;0,($BM67*((BF67/AD67)*8*$HE67)*U67),0)))</f>
        <v> </v>
      </c>
      <c r="BR67" s="330" t="str">
        <f aca="false">IF($A67="N/A"," ",(IF(AW67&gt;0,($BM67*(8*($HE67))*V67),0)+IF(BG67&gt;0,($BM67*((BG67/AE67)*8*$HE67)*V67),0)))</f>
        <v> </v>
      </c>
      <c r="BS67" s="330" t="str">
        <f aca="false">IF($A67="N/A"," ",(IF(AX67&gt;0,($BM67*(8*($HE67))*W67),0)+IF(BH67&gt;0,($BM67*((BH67))*W67),0)))</f>
        <v> </v>
      </c>
      <c r="BT67" s="330" t="str">
        <f aca="false">IF($A67="N/A"," ",(IF(AY67&gt;0,($BM67*(8*($HF67))*X67),0)+IF(BI67&gt;0,($BM67*((BI67/AG67)*8*$HF67)*X67),0)))</f>
        <v> </v>
      </c>
      <c r="BU67" s="330" t="str">
        <f aca="false">IF($A67="N/A"," ",(IF(AZ67&gt;0,($BM67*(8*($HF67))*Y67),0)+IF(BJ67&gt;0,($BM67*((BJ67/AH67)*8*$HF67)*Y67),0)))</f>
        <v> </v>
      </c>
      <c r="BV67" s="330" t="str">
        <f aca="false">IF($A67="N/A"," ",(IF(BA67&gt;0,($BM67*(8*($HF67))*Z67),0)+IF(BK67&gt;0,($BM67*((BK67))*Z67),0)))</f>
        <v> </v>
      </c>
      <c r="BW67" s="330" t="str">
        <f aca="false">IF($A67="N/A"," ",SUM(BN67:BV67))</f>
        <v> </v>
      </c>
      <c r="BX67" s="331" t="str">
        <f aca="false">IF($A67="N/A"," ",(H67*(SUM(AS67:BA67)+SUM(BC67:BK67))*BM67))</f>
        <v> </v>
      </c>
      <c r="BY67" s="332" t="str">
        <f aca="false">IF($A67="N/A"," ",((C67*D67)*(SUM($AS67:$BA67)+SUM($BC67:$BK67))*$BM67))</f>
        <v> </v>
      </c>
      <c r="BZ67" s="332" t="str">
        <f aca="false">IF($A67="N/A"," ",(F67*(SUM($AS67:$BA67)+SUM($BC67:$BK67))*$BM67))</f>
        <v> </v>
      </c>
      <c r="CA67" s="333" t="str">
        <f aca="false">IF($A67="N/A"," ",(G67*(SUM($AS67:$BA67)+SUM($BC67:$BK67))*$BM67))</f>
        <v> </v>
      </c>
      <c r="CB67" s="334" t="str">
        <f aca="false">IF(A67="N/A"," ",(VLOOKUP(A67,PowerVolTable,(IF(BMO=2,7,IF(BMO=1,6,8))),FALSE())))</f>
        <v> </v>
      </c>
      <c r="CC67" s="334" t="str">
        <f aca="false">IF(A67="N/A"," ",(VLOOKUP(A67,IntraPowerVol,(IF(BMO=2,3,IF(BMO=1,2,4))),FALSE())*VLOOKUP(MONTH($A67),Volscale,2)))</f>
        <v> </v>
      </c>
      <c r="CD67" s="335" t="str">
        <f aca="false">IF($A67="N/A"," ",(IF(DateToday&gt;$A67,$CC67,((($CB67^2)*((($A67-1)-DateToday)/((EOMONTH($A67,0)+1)-DateToday-15)))+((($CC67)^2)*((15)/((EOMONTH($A67,0)+1)-DateToday-15))))^0.5)))</f>
        <v> </v>
      </c>
      <c r="CE67" s="334" t="str">
        <f aca="false">IF($A67="N/A"," ",(VLOOKUP($A67,GasVolTable,(IF(BMO=2,6,IF(BMO=1,7,5))),FALSE())))</f>
        <v> </v>
      </c>
      <c r="CF67" s="334" t="str">
        <f aca="false">IF($A67="N/A"," ",(VLOOKUP($A67,OmicronVol,(IF(BMO=2,3,IF(BMO=1,4,2))),FALSE())))</f>
        <v> </v>
      </c>
      <c r="CG67" s="335" t="str">
        <f aca="false">IF($A67="N/A"," ",(IF(DateToday&gt;$A67,$CF67,((($CE67^2)*((($A67-1)-DateToday)/((EOMONTH($A67,0)+1)-DateToday-15)))+((($CF67)^2)*((15)/((EOMONTH($A67,0)+1)-DateToday-15))))^0.5)))</f>
        <v> </v>
      </c>
      <c r="CH67" s="334" t="str">
        <f aca="false">IF($A67="N/A"," ",VLOOKUP($A67,CorrelationTable,2,FALSE()))</f>
        <v> </v>
      </c>
      <c r="CI67" s="336" t="str">
        <f aca="false">IF($A67="N/A"," ",F67+G67+(D67*('Pricing Inputs'!T100)))</f>
        <v> </v>
      </c>
      <c r="CJ67" s="334" t="str">
        <f aca="false">IF($A67="N/A"," ",IF(PV=1,0,'Pricing Inputs'!U100))</f>
        <v> </v>
      </c>
      <c r="CK67" s="337" t="str">
        <f aca="false">IF($A67="N/A"," ",(1+CJ67/2)^(-2*((EOMONTH(A67,0)+20)-DateToday)/365.25))</f>
        <v> </v>
      </c>
      <c r="CL67" s="338" t="str">
        <f aca="false">IF(A67="N/A"," ",IF(CC=2,(VLOOKUP(MONTH($A67),Hrtable,3))/1000,0))</f>
        <v> </v>
      </c>
      <c r="CM67" s="339" t="str">
        <f aca="false">IF(A67="N/A"," ",IF(CC=2,(CL67*C67)+F67,0))</f>
        <v> </v>
      </c>
      <c r="CN67" s="340" t="str">
        <f aca="false">IF($A67="N/A"," ",IF(CC=2,(VLOOKUP(A67,ScaledPrice,(IF(AND(Dayrun&gt;=1,Dayrun&lt;=6),2,4)))-((IF(R67&lt;&gt;0,$D67,$CL67)*$C67)+$F67+$G67)),0))</f>
        <v> </v>
      </c>
      <c r="CO67" s="340" t="str">
        <f aca="false">IF($A67="N/A"," ",IF(CC=2,(IF(AND(Dayrun&gt;=1,Dayrun&lt;=6),I67,(VLOOKUP(A67,ScaledPrice,2))*(2-(VLOOKUP(A67,ScaledPrice,3))))-((IF(S67&lt;&gt;0,$D67,$CL67)*$C67)+$F67+$G67)),0))</f>
        <v> </v>
      </c>
      <c r="CP67" s="340" t="str">
        <f aca="false">IF(A67="N/A"," ",IF(CC=2,(VLOOKUP(A67,ScaledPrice,9)-((IF(T67&lt;&gt;0,$D67,$CL67)*$C67)+$F67+$G67)),0))</f>
        <v> </v>
      </c>
      <c r="CQ67" s="340" t="str">
        <f aca="false">IF(A67="N/A"," ",IF(CC=2,(IF(OR(Dayrun=2,Dayrun=3,Dayrun=5,Dayrun=6,Dayrun=8,Dayrun=9),VLOOKUP(A67,ScaledPrice,IF(AND(Dayrun&gt;=2,Dayrun&lt;=6),5,6)),0)-((IF(U67&lt;&gt;0,$D67,$CL67)*$C67)+$F67+$G67)),0))</f>
        <v> </v>
      </c>
      <c r="CR67" s="340" t="str">
        <f aca="false">IF(A67="N/A"," ",IF(CC=2,(IF(OR(Dayrun=2,Dayrun=3,Dayrun=5,Dayrun=6,Dayrun=8,Dayrun=9),IF(AND(Dayrun&gt;=2,Dayrun&lt;=6),L67,(VLOOKUP(A67,ScaledPrice,5))*(2-(VLOOKUP(A67,ScaledPrice,3)))),0)-((IF(V67&lt;&gt;0,$D67,$CL67)*$C67)+$F67+$G67)),0))</f>
        <v> </v>
      </c>
      <c r="CS67" s="340" t="str">
        <f aca="false">IF(A67="N/A"," ",IF(CC=2,(VLOOKUP(A67,ScaledPrice,9)-((IF(W67&lt;&gt;0,$D67,$CL67)*$C67)+$F67+$G67)),0))</f>
        <v> </v>
      </c>
      <c r="CT67" s="340" t="str">
        <f aca="false">IF(A67="N/A"," ",IF(CC=2,(IF(OR(Dayrun=3,Dayrun=6,Dayrun=9),(VLOOKUP(A67,ScaledPrice,IF(AND(Dayrun&gt;=3,Dayrun&lt;=6),7,8))),0)-((IF(X67&lt;&gt;0,$D67,$CL67)*$C67)+$F67+$G67)),0))</f>
        <v> </v>
      </c>
      <c r="CU67" s="340" t="str">
        <f aca="false">IF(A67="N/A"," ",IF(CC=2,(IF(OR(Dayrun=3,Dayrun=6,Dayrun=9),IF(AND(Dayrun&gt;=3,Dayrun&lt;=6),O67,(VLOOKUP(A67,ScaledPrice,7))*(2-(VLOOKUP(A67,ScaledPrice,3)))),0)-((IF(Y67&lt;&gt;0,$D67,$CL67)*$C67)+$F67+$G67)),0))</f>
        <v> </v>
      </c>
      <c r="CV67" s="340" t="str">
        <f aca="false">IF(A67="N/A"," ",IF(CC=2,(VLOOKUP(A67,ScaledPrice,9)-((IF(Z67&lt;&gt;0,$D67,$CL67)*$C67)+$F67+$G67)),0))</f>
        <v> </v>
      </c>
      <c r="CW67" s="318" t="str">
        <f aca="false">IF($A67="N/A"," ",IF(0&lt;&gt;CN67,IF(CC=2,8*$HD67,0),0))</f>
        <v> </v>
      </c>
      <c r="CX67" s="318" t="str">
        <f aca="false">IF($A67="N/A"," ",IF(0&lt;&gt;CO67,IF(CC=2,8*$HD67,0),0))</f>
        <v> </v>
      </c>
      <c r="CY67" s="318" t="str">
        <f aca="false">IF($A67="N/A"," ",IF(0&lt;&gt;CP67,IF(CC=2,8*$HD67,0),0))</f>
        <v> </v>
      </c>
      <c r="CZ67" s="318" t="str">
        <f aca="false">IF($A67="N/A"," ",IF(0&lt;&gt;CQ67,IF(CC=2,8*$HE67,0),0))</f>
        <v> </v>
      </c>
      <c r="DA67" s="318" t="str">
        <f aca="false">IF($A67="N/A"," ",IF(0&lt;&gt;CR67,IF(CC=2,8*$HE67,0),0))</f>
        <v> </v>
      </c>
      <c r="DB67" s="318" t="str">
        <f aca="false">IF($A67="N/A"," ",IF(0&lt;&gt;CS67,IF(CC=2,8*$HE67,0),0))</f>
        <v> </v>
      </c>
      <c r="DC67" s="318" t="str">
        <f aca="false">IF($A67="N/A"," ",IF(0&lt;&gt;CT67,IF(CC=2,8*$HF67,0),0))</f>
        <v> </v>
      </c>
      <c r="DD67" s="318" t="str">
        <f aca="false">IF($A67="N/A"," ",IF(0&lt;&gt;CU67,IF(CC=2,8*$HF67,0),0))</f>
        <v> </v>
      </c>
      <c r="DE67" s="318" t="str">
        <f aca="false">IF($A67="N/A"," ",IF(0&lt;&gt;CV67,IF(CC=2,8*$HF67,0),0))</f>
        <v> </v>
      </c>
      <c r="DF67" s="341" t="str">
        <f aca="false">IF($A67="N/A"," ",IF(CC=2,(IF(MONTH(A67)&gt;=4,IF(MONTH(A67)&lt;=10,Inputs!$G$13,Inputs!$G$14),Inputs!$G$14))*$CK67,0))</f>
        <v> </v>
      </c>
      <c r="DG67" s="342" t="str">
        <f aca="false">IF($A67="N/A"," ",IF(CC=2,$DF67*CW67*CN67,0))</f>
        <v> </v>
      </c>
      <c r="DH67" s="342" t="str">
        <f aca="false">IF($A67="N/A"," ",IF(CC=2,$DF67*CX67*CO67,0))</f>
        <v> </v>
      </c>
      <c r="DI67" s="342" t="str">
        <f aca="false">IF($A67="N/A"," ",IF(CC=2,$DF67*CY67*CP67,0))</f>
        <v> </v>
      </c>
      <c r="DJ67" s="342" t="str">
        <f aca="false">IF($A67="N/A"," ",IF(CC=2,$DF67*CZ67*CQ67,0))</f>
        <v> </v>
      </c>
      <c r="DK67" s="342" t="str">
        <f aca="false">IF($A67="N/A"," ",IF(CC=2,$DF67*DA67*CR67,0))</f>
        <v> </v>
      </c>
      <c r="DL67" s="342" t="str">
        <f aca="false">IF($A67="N/A"," ",IF(CC=2,$DF67*DB67*CS67,0))</f>
        <v> </v>
      </c>
      <c r="DM67" s="342" t="str">
        <f aca="false">IF($A67="N/A"," ",IF(CC=2,$DF67*DC67*CT67,0))</f>
        <v> </v>
      </c>
      <c r="DN67" s="342" t="str">
        <f aca="false">IF($A67="N/A"," ",IF(CC=2,$DF67*DD67*CU67,0))</f>
        <v> </v>
      </c>
      <c r="DO67" s="342" t="str">
        <f aca="false">IF($A67="N/A"," ",IF(CC=2,$DF67*DE67*CV67,0))</f>
        <v> </v>
      </c>
      <c r="DP67" s="343" t="str">
        <f aca="false">IF($A67="N/A"," ",IF(CC=2,SUM(DG67:DO67),0))</f>
        <v> </v>
      </c>
      <c r="DQ67" s="0" t="str">
        <f aca="false">IF(A67="N/A"," ",Perstart)</f>
        <v> </v>
      </c>
      <c r="HD67" s="0" t="str">
        <f aca="false">IF($A67="N/A"," ",VLOOKUP($A67,NumberofDaysTable,2))</f>
        <v> </v>
      </c>
      <c r="HE67" s="0" t="str">
        <f aca="false">IF($A67="N/A"," ",VLOOKUP($A67,NumberofDaysTable,3))</f>
        <v> </v>
      </c>
      <c r="HF67" s="0" t="str">
        <f aca="false">IF($A67="N/A"," ",VLOOKUP($A67,NumberofDaysTable,4))</f>
        <v> </v>
      </c>
    </row>
    <row r="68" customFormat="false" ht="12.75" hidden="false" customHeight="false" outlineLevel="0" collapsed="false">
      <c r="A68" s="308" t="str">
        <f aca="false">IF(A67="N/A","N/A",IF(EDATE(A67,1)&gt;Inputs!$K$3,"N/A",EDATE(A67,1)))</f>
        <v>N/A</v>
      </c>
      <c r="B68" s="309" t="str">
        <f aca="false">IF(A68="N/A"," ",YEAR(A68))</f>
        <v> </v>
      </c>
      <c r="C68" s="310" t="str">
        <f aca="false">IF(A68="N/A"," ",VLOOKUP(A68,ScaledPrice,10))</f>
        <v> </v>
      </c>
      <c r="D68" s="311" t="str">
        <f aca="false">IF(A68="N/A"," ",(VLOOKUP(MONTH($A68),Hrtable,2))/1000)</f>
        <v> </v>
      </c>
      <c r="E68" s="312" t="str">
        <f aca="false">IF($A68="N/A"," ",(C68-'Pricing Inputs'!T101)*D68)</f>
        <v> </v>
      </c>
      <c r="F68" s="313" t="str">
        <f aca="false">IF(A68="N/A"," ",$F56*(1+VOMesc))</f>
        <v> </v>
      </c>
      <c r="G68" s="313" t="str">
        <f aca="false">IF(A68="N/A"," ",Perstart/IF(AND(Dayrun&gt;=4,Dayrun&lt;=6),16,IF(AND(Dayrun&gt;=7,Dayrun&lt;=9),8,24))/(BM68/CK68))</f>
        <v> </v>
      </c>
      <c r="H68" s="314" t="str">
        <f aca="false">IF(A68="N/A"," ",(C68*D68)+F68+G68)</f>
        <v> </v>
      </c>
      <c r="I68" s="315" t="str">
        <f aca="false">VLOOKUP(A68,ScaledPrice,(IF(AND(Dayrun&gt;=1,Dayrun&lt;=6),2,4)))</f>
        <v> </v>
      </c>
      <c r="J68" s="315" t="str">
        <f aca="false">IF(A68="N/A"," ",IF(AND(Dayrun&gt;=1,Dayrun&lt;=6),I68,(VLOOKUP(A68,ScaledPrice,2))*(2-(VLOOKUP(A68,ScaledPrice,3)))))</f>
        <v> </v>
      </c>
      <c r="K68" s="315" t="str">
        <f aca="false">IF(A68="N/A"," ",IF(AND(Dayrun&gt;=1,Dayrun&lt;=3),VLOOKUP(A68,ScaledPrice,9),0))</f>
        <v> </v>
      </c>
      <c r="L68" s="315" t="str">
        <f aca="false">IF(A68="N/A"," ",IF(OR(Dayrun=2,Dayrun=3,Dayrun=5,Dayrun=6,Dayrun=8,Dayrun=9),VLOOKUP(A68,ScaledPrice,IF(AND(Dayrun&gt;=2,Dayrun&lt;=6),5,6)),0))</f>
        <v> </v>
      </c>
      <c r="M68" s="315" t="str">
        <f aca="false">IF(A68="N/A"," ",IF(OR(Dayrun=2,Dayrun=3,Dayrun=5,Dayrun=6,Dayrun=8,Dayrun=9),IF(AND(Dayrun&gt;=2,Dayrun&lt;=6),L68,(VLOOKUP(A68,ScaledPrice,5))*(2-(VLOOKUP(A68,ScaledPrice,3)))),0))</f>
        <v> </v>
      </c>
      <c r="N68" s="315" t="str">
        <f aca="false">IF(A68="N/A"," ",IF(AND(Dayrun&gt;1,Dayrun&lt;=3),VLOOKUP(A68,ScaledPrice,9),0))</f>
        <v> </v>
      </c>
      <c r="O68" s="315" t="str">
        <f aca="false">IF(A68="N/A"," ",IF(OR(Dayrun=3,Dayrun=6,Dayrun=9),(VLOOKUP(A68,ScaledPrice,IF(AND(Dayrun&gt;=3,Dayrun&lt;=6),7,8))),0))</f>
        <v> </v>
      </c>
      <c r="P68" s="315" t="str">
        <f aca="false">IF(A68="N/A"," ",IF(OR(Dayrun=3,Dayrun=6,Dayrun=9),IF(AND(Dayrun&gt;=3,Dayrun&lt;=6),O68,(VLOOKUP(A68,ScaledPrice,7))*(2-(VLOOKUP(A68,ScaledPrice,3)))),0))</f>
        <v> </v>
      </c>
      <c r="Q68" s="315" t="str">
        <f aca="false">IF(A68="N/A"," ",IF(AND(Dayrun&gt;2,Dayrun&lt;=3),VLOOKUP(A68,ScaledPrice,9),0))</f>
        <v> </v>
      </c>
      <c r="R68" s="316" t="str">
        <f aca="false">IF($A68="N/A"," ",IF(Pricetype=2,MAX(I68-$H68,0),IF(Pricetype=1,(xSPRDOPT(I68,$E68,$CI68,0,($CD68+IF(Smile=TRUE(),VLOOKUP(MAX(-5,$H68-I68),Volsmile,2),0)),$CG68,$CH68,($A68-DateToday)+15,1,0)),I68-$H68)))</f>
        <v> </v>
      </c>
      <c r="S68" s="316" t="str">
        <f aca="false">IF($A68="N/A"," ",IF(Pricetype=2,MAX(J68-$H68,0),IF(Pricetype=1,(xSPRDOPT(J68,$E68,$CI68,0,($CD68+IF(Smile=TRUE(),VLOOKUP(MAX(-5,$H68-J68),Volsmile,2),0)),$CG68,$CH68,($A68-DateToday)+15,1,0)),J68-$H68)))</f>
        <v> </v>
      </c>
      <c r="T68" s="317" t="str">
        <f aca="false">IF($A68="N/A"," ",(IF(Pricetype=2,IF((K68-$H68)&lt;=0,0,(K68-$H68)),IF(K68&lt;&gt;0,(K68-$H68),0))))</f>
        <v> </v>
      </c>
      <c r="U68" s="316" t="str">
        <f aca="false">IF($A68="N/A"," ",IF(Pricetype=2,MAX(L68-$H68,0),IF(L68&lt;&gt;0,IF(Pricetype=1,(xSPRDOPT(L68,$E68,$CI68,0,($CD68+IF(Smile=TRUE(),VLOOKUP(MAX(-5,$H68-L68),Volsmile,2),0)),$CG68,$CH68,($A68-DateToday)+15,1,0)),L68-$H68),0)))</f>
        <v> </v>
      </c>
      <c r="V68" s="316" t="str">
        <f aca="false">IF($A68="N/A"," ",IF(Pricetype=2,MAX(M68-$H68,0),IF(M68&lt;&gt;0,IF(Pricetype=1,(xSPRDOPT(M68,$E68,$CI68,0,($CD68+IF(Smile=TRUE(),VLOOKUP(MAX(-5,$H68-M68),Volsmile,2),0)),$CG68,$CH68,($A68-DateToday)+15,1,0)),M68-$H68),0)))</f>
        <v> </v>
      </c>
      <c r="W68" s="317" t="str">
        <f aca="false">IF($A68="N/A"," ",(IF(Pricetype=2,IF((N68-$H68)&lt;=0,0,(N68-$H68)),IF(N68&lt;&gt;0,(N68-$H68),0))))</f>
        <v> </v>
      </c>
      <c r="X68" s="316" t="str">
        <f aca="false">IF($A68="N/A"," ",IF(Pricetype=2,MAX(O68-$H68,0),IF(O68&lt;&gt;0,IF(Pricetype=1,(xSPRDOPT(O68,$E68,$CI68,0,($CD68+IF(Smile=TRUE(),VLOOKUP(MAX(-5,$H68-O68),Volsmile,2),0)),$CG68,$CH68,($A68-DateToday)+15,1,0)),O68-$H68),0)))</f>
        <v> </v>
      </c>
      <c r="Y68" s="316" t="str">
        <f aca="false">IF($A68="N/A"," ",IF(Pricetype=2,MAX(P68-$H68,0),IF(P68&lt;&gt;0,IF(Pricetype=1,(xSPRDOPT(P68,$E68,$CI68,0,($CD68+IF(Smile=TRUE(),VLOOKUP(MAX(-5,$H68-P68),Volsmile,2),0)),$CG68,$CH68,($A68-DateToday)+15,1,0)),P68-$H68),0)))</f>
        <v> </v>
      </c>
      <c r="Z68" s="317" t="str">
        <f aca="false">IF($A68="N/A"," ",(IF(Pricetype=2,IF((Q68-$H68)&lt;=0,0,(Q68-$H68)),IF(Q68&lt;&gt;0,(Q68-$H68),0))))</f>
        <v> </v>
      </c>
      <c r="AA68" s="318" t="str">
        <f aca="false">IF($A68="N/A"," ",IF(VLOOKUP(MONTH(A68),ManualTable,2)=1,(IF(0&lt;&gt;R68,IF(Pricetype=1,(xSPRDOPT(I68,$E68,$CI68,0,($CD68+IF(Smile=TRUE(),VLOOKUP(MAX(-5,$H68-I68),Volsmile,2),0)),$CG68,$CH68,($A68-DateToday)+15,1,1))*(8*$HD68),8*$HD68),0)),0))</f>
        <v> </v>
      </c>
      <c r="AB68" s="318" t="str">
        <f aca="false">IF($A68="N/A"," ",IF(VLOOKUP(MONTH(A68),ManualTable,3)=1,(IF(S68&lt;&gt;0,IF(Pricetype=1,(xSPRDOPT(J68,$E68,$CI68,0,($CD68+IF(Smile=TRUE(),VLOOKUP(MAX(-5,$H68-J68),Volsmile,2),0)),$CG68,$CH68,($A68-DateToday)+15,1,1))*(8*$HD68),8*$HD68),0)),0))</f>
        <v> </v>
      </c>
      <c r="AC68" s="318" t="str">
        <f aca="false">IF($A68="N/A"," ",IF(VLOOKUP(MONTH(A68),ManualTable,4)=1,(IF(T68&lt;&gt;0,(8*$HD68),0)),0))</f>
        <v> </v>
      </c>
      <c r="AD68" s="318" t="str">
        <f aca="false">IF($A68="N/A"," ",IF(VLOOKUP(MONTH(A68),ManualTable,5)=1,(IF(U68&lt;&gt;0,IF(Pricetype=1,(xSPRDOPT(L68,$E68,$CI68,0,($CD68+IF(Smile=TRUE(),VLOOKUP(MAX(-5,$H68-L68),Volsmile,2),0)),$CG68,$CH68,($A68-DateToday)+15,1,1))*(8*$HE68),8*$HE68),0)),0))</f>
        <v> </v>
      </c>
      <c r="AE68" s="318" t="str">
        <f aca="false">IF($A68="N/A"," ",IF(VLOOKUP(MONTH(A68),ManualTable,6)=1,(IF(V68&lt;&gt;0,IF(Pricetype=1,(xSPRDOPT(M68,$E68,$CI68,0,($CD68+IF(Smile=TRUE(),VLOOKUP(MAX(-5,$H68-M68),Volsmile,2),0)),$CG68,$CH68,($A68-DateToday)+15,1,1))*(8*$HE68),8*$HE68),0)),0))</f>
        <v> </v>
      </c>
      <c r="AF68" s="318" t="str">
        <f aca="false">IF($A68="N/A"," ",IF(VLOOKUP(MONTH(A68),ManualTable,7)=1,(IF(W68&lt;&gt;0,(8*$HE68),0)),0))</f>
        <v> </v>
      </c>
      <c r="AG68" s="318" t="str">
        <f aca="false">IF($A68="N/A"," ",IF(VLOOKUP(MONTH(A68),ManualTable,8)=1,(IF(X68&lt;&gt;0,IF(Pricetype=1,(xSPRDOPT(O68,$E68,$CI68,0,($CD68+IF(Smile=TRUE(),VLOOKUP(MAX(-5,$H68-O68),Volsmile,2),0)),$CG68,$CH68,($A68-DateToday)+15,1,1))*(8*$HF68),8*$HF68),0)),0))</f>
        <v> </v>
      </c>
      <c r="AH68" s="318" t="str">
        <f aca="false">IF($A68="N/A"," ",IF(VLOOKUP(MONTH(A68),ManualTable,9)=1,(IF(Y68&lt;&gt;0,IF(Pricetype=1,(xSPRDOPT(P68,$E68,$CI68,0,($CD68+IF(Smile=TRUE(),VLOOKUP(MAX(-5,$H68-P68),Volsmile,2),0)),$CG68,$CH68,($A68-DateToday)+15,1,1))*(8*$HF68),8*$HF68),0)),0))</f>
        <v> </v>
      </c>
      <c r="AI68" s="318" t="str">
        <f aca="false">IF($A68="N/A"," ",IF(VLOOKUP(MONTH(A68),ManualTable,10)=1,(IF(Z68&lt;&gt;0,(8*($HF68)),0)),0))</f>
        <v> </v>
      </c>
      <c r="AJ68" s="344" t="str">
        <f aca="false">IF($A68="N/A"," ",RANK(R68,$R$64:$Z$75))</f>
        <v> </v>
      </c>
      <c r="AK68" s="321" t="str">
        <f aca="false">IF($A68="N/A"," ",RANK(S68,$R$64:$Z$75))</f>
        <v> </v>
      </c>
      <c r="AL68" s="321" t="str">
        <f aca="false">IF($A68="N/A"," ",RANK(T68,$R$64:$Z$75))</f>
        <v> </v>
      </c>
      <c r="AM68" s="321" t="str">
        <f aca="false">IF($A68="N/A"," ",RANK(U68,$R$64:$Z$75))</f>
        <v> </v>
      </c>
      <c r="AN68" s="321" t="str">
        <f aca="false">IF($A68="N/A"," ",RANK(V68,$R$64:$Z$75))</f>
        <v> </v>
      </c>
      <c r="AO68" s="321" t="str">
        <f aca="false">IF($A68="N/A"," ",RANK(W68,$R$64:$Z$75))</f>
        <v> </v>
      </c>
      <c r="AP68" s="321" t="str">
        <f aca="false">IF($A68="N/A"," ",RANK(X68,$R$64:$Z$75))</f>
        <v> </v>
      </c>
      <c r="AQ68" s="321" t="str">
        <f aca="false">IF($A68="N/A"," ",RANK(Y68,$R$64:$Z$75))</f>
        <v> </v>
      </c>
      <c r="AR68" s="345" t="str">
        <f aca="false">IF($A68="N/A"," ",RANK(Z68,$R$64:$Z$75))</f>
        <v> </v>
      </c>
      <c r="AS68" s="323" t="str">
        <f aca="false">IF($A68="N/A"," ",IF(AJ68&lt;=$AR$2,AA68,0))</f>
        <v> </v>
      </c>
      <c r="AT68" s="325" t="str">
        <f aca="false">IF($A68="N/A"," ",IF(AK68&lt;=$AR$2,AB68,0))</f>
        <v> </v>
      </c>
      <c r="AU68" s="325" t="str">
        <f aca="false">IF($A68="N/A"," ",IF(AL68&lt;=$AR$2,AC68,0))</f>
        <v> </v>
      </c>
      <c r="AV68" s="325" t="str">
        <f aca="false">IF($A68="N/A"," ",IF(AM68&lt;=$AR$2,AD68,0))</f>
        <v> </v>
      </c>
      <c r="AW68" s="325" t="str">
        <f aca="false">IF($A68="N/A"," ",IF(AN68&lt;=$AR$2,AE68,0))</f>
        <v> </v>
      </c>
      <c r="AX68" s="325" t="str">
        <f aca="false">IF($A68="N/A"," ",IF(AO68&lt;=$AR$2,AF68,0))</f>
        <v> </v>
      </c>
      <c r="AY68" s="325" t="str">
        <f aca="false">IF($A68="N/A"," ",IF(AP68&lt;=$AR$2,AG68,0))</f>
        <v> </v>
      </c>
      <c r="AZ68" s="325" t="str">
        <f aca="false">IF($A68="N/A"," ",IF(AQ68&lt;=$AR$2,AH68,0))</f>
        <v> </v>
      </c>
      <c r="BA68" s="325" t="str">
        <f aca="false">IF($A68="N/A"," ",IF(AR68&lt;=$AR$2,AI68,0))</f>
        <v> </v>
      </c>
      <c r="BB68" s="345"/>
      <c r="BC68" s="326" t="str">
        <f aca="false">IF($A68="N/A"," ",IF(AND(AJ68=$AR$2+1,AS68=0),MIN($BB$75,AA68),0))</f>
        <v> </v>
      </c>
      <c r="BD68" s="346" t="str">
        <f aca="false">IF($A68="N/A"," ",IF(AND(AK68=$AR$2+1,AT68=0),MIN($BB$75,AB68),0))</f>
        <v> </v>
      </c>
      <c r="BE68" s="346" t="str">
        <f aca="false">IF($A68="N/A"," ",IF(AND(AL68=$AR$2+1,AU68=0),MIN($BB$75,AC68),0))</f>
        <v> </v>
      </c>
      <c r="BF68" s="346" t="str">
        <f aca="false">IF($A68="N/A"," ",IF(AND(AM68=$AR$2+1,AV68=0),MIN($BB$75,AD68),0))</f>
        <v> </v>
      </c>
      <c r="BG68" s="346" t="str">
        <f aca="false">IF($A68="N/A"," ",IF(AND(AN68=$AR$2+1,AW68=0),MIN($BB$75,AE68),0))</f>
        <v> </v>
      </c>
      <c r="BH68" s="346" t="str">
        <f aca="false">IF($A68="N/A"," ",IF(AND(AO68=$AR$2+1,AX68=0),MIN($BB$75,AF68),0))</f>
        <v> </v>
      </c>
      <c r="BI68" s="346" t="str">
        <f aca="false">IF($A68="N/A"," ",IF(AND(AP68=$AR$2+1,AY68=0),MIN($BB$75,AG68),0))</f>
        <v> </v>
      </c>
      <c r="BJ68" s="346" t="str">
        <f aca="false">IF($A68="N/A"," ",IF(AND(AQ68=$AR$2+1,AZ68=0),MIN($BB$75,AH68),0))</f>
        <v> </v>
      </c>
      <c r="BK68" s="346" t="str">
        <f aca="false">IF($A68="N/A"," ",IF(AND(AR68=$AR$2+1,BA68=0),MIN($BB$75,AI68),0))</f>
        <v> </v>
      </c>
      <c r="BL68" s="345"/>
      <c r="BM68" s="329" t="str">
        <f aca="false">IF($A68="N/A"," ",(IF(MONTH(A68)&gt;=4,IF(MONTH(A68)&lt;=10,Inputs!$F$13-Inputs!$G$13,Inputs!$F$14-Inputs!$G$14),Inputs!$F$14-Inputs!$G$14))*$CK68*Availability)</f>
        <v> </v>
      </c>
      <c r="BN68" s="330" t="str">
        <f aca="false">IF($A68="N/A"," ",(IF(AS68&gt;0,($BM68*(8*($HD68))*R68),0)+IF(BC68&gt;0,($BM68*((BC68/AA68)*8*$HD68)*R68),0)))</f>
        <v> </v>
      </c>
      <c r="BO68" s="330" t="str">
        <f aca="false">IF($A68="N/A"," ",(IF(AT68&gt;0,($BM68*(8*($HD68))*S68),0)+IF(BD68&gt;0,($BM68*((BD68/AB68)*8*$HD68)*S68),0)))</f>
        <v> </v>
      </c>
      <c r="BP68" s="330" t="str">
        <f aca="false">IF($A68="N/A"," ",(IF(AU68&gt;0,($BM68*(8*($HD68))*T68),0)+IF(BE68&gt;0,($BM68*((BE68))*T68),0)))</f>
        <v> </v>
      </c>
      <c r="BQ68" s="330" t="str">
        <f aca="false">IF($A68="N/A"," ",(IF(AV68&gt;0,($BM68*(8*($HE68))*U68),0)+IF(BF68&gt;0,($BM68*((BF68/AD68)*8*$HE68)*U68),0)))</f>
        <v> </v>
      </c>
      <c r="BR68" s="330" t="str">
        <f aca="false">IF($A68="N/A"," ",(IF(AW68&gt;0,($BM68*(8*($HE68))*V68),0)+IF(BG68&gt;0,($BM68*((BG68/AE68)*8*$HE68)*V68),0)))</f>
        <v> </v>
      </c>
      <c r="BS68" s="330" t="str">
        <f aca="false">IF($A68="N/A"," ",(IF(AX68&gt;0,($BM68*(8*($HE68))*W68),0)+IF(BH68&gt;0,($BM68*((BH68))*W68),0)))</f>
        <v> </v>
      </c>
      <c r="BT68" s="330" t="str">
        <f aca="false">IF($A68="N/A"," ",(IF(AY68&gt;0,($BM68*(8*($HF68))*X68),0)+IF(BI68&gt;0,($BM68*((BI68/AG68)*8*$HF68)*X68),0)))</f>
        <v> </v>
      </c>
      <c r="BU68" s="330" t="str">
        <f aca="false">IF($A68="N/A"," ",(IF(AZ68&gt;0,($BM68*(8*($HF68))*Y68),0)+IF(BJ68&gt;0,($BM68*((BJ68/AH68)*8*$HF68)*Y68),0)))</f>
        <v> </v>
      </c>
      <c r="BV68" s="330" t="str">
        <f aca="false">IF($A68="N/A"," ",(IF(BA68&gt;0,($BM68*(8*($HF68))*Z68),0)+IF(BK68&gt;0,($BM68*((BK68))*Z68),0)))</f>
        <v> </v>
      </c>
      <c r="BW68" s="330" t="str">
        <f aca="false">IF($A68="N/A"," ",SUM(BN68:BV68))</f>
        <v> </v>
      </c>
      <c r="BX68" s="331" t="str">
        <f aca="false">IF($A68="N/A"," ",(H68*(SUM(AS68:BA68)+SUM(BC68:BK68))*BM68))</f>
        <v> </v>
      </c>
      <c r="BY68" s="332" t="str">
        <f aca="false">IF($A68="N/A"," ",((C68*D68)*(SUM($AS68:$BA68)+SUM($BC68:$BK68))*$BM68))</f>
        <v> </v>
      </c>
      <c r="BZ68" s="332" t="str">
        <f aca="false">IF($A68="N/A"," ",(F68*(SUM($AS68:$BA68)+SUM($BC68:$BK68))*$BM68))</f>
        <v> </v>
      </c>
      <c r="CA68" s="333" t="str">
        <f aca="false">IF($A68="N/A"," ",(G68*(SUM($AS68:$BA68)+SUM($BC68:$BK68))*$BM68))</f>
        <v> </v>
      </c>
      <c r="CB68" s="334" t="str">
        <f aca="false">IF(A68="N/A"," ",(VLOOKUP(A68,PowerVolTable,(IF(BMO=2,7,IF(BMO=1,6,8))),FALSE())))</f>
        <v> </v>
      </c>
      <c r="CC68" s="334" t="str">
        <f aca="false">IF(A68="N/A"," ",(VLOOKUP(A68,IntraPowerVol,(IF(BMO=2,3,IF(BMO=1,2,4))),FALSE())*VLOOKUP(MONTH($A68),Volscale,2)))</f>
        <v> </v>
      </c>
      <c r="CD68" s="335" t="str">
        <f aca="false">IF($A68="N/A"," ",(IF(DateToday&gt;$A68,$CC68,((($CB68^2)*((($A68-1)-DateToday)/((EOMONTH($A68,0)+1)-DateToday-15)))+((($CC68)^2)*((15)/((EOMONTH($A68,0)+1)-DateToday-15))))^0.5)))</f>
        <v> </v>
      </c>
      <c r="CE68" s="334" t="str">
        <f aca="false">IF($A68="N/A"," ",(VLOOKUP($A68,GasVolTable,(IF(BMO=2,6,IF(BMO=1,7,5))),FALSE())))</f>
        <v> </v>
      </c>
      <c r="CF68" s="334" t="str">
        <f aca="false">IF($A68="N/A"," ",(VLOOKUP($A68,OmicronVol,(IF(BMO=2,3,IF(BMO=1,4,2))),FALSE())))</f>
        <v> </v>
      </c>
      <c r="CG68" s="335" t="str">
        <f aca="false">IF($A68="N/A"," ",(IF(DateToday&gt;$A68,$CF68,((($CE68^2)*((($A68-1)-DateToday)/((EOMONTH($A68,0)+1)-DateToday-15)))+((($CF68)^2)*((15)/((EOMONTH($A68,0)+1)-DateToday-15))))^0.5)))</f>
        <v> </v>
      </c>
      <c r="CH68" s="334" t="str">
        <f aca="false">IF($A68="N/A"," ",VLOOKUP($A68,CorrelationTable,2,FALSE()))</f>
        <v> </v>
      </c>
      <c r="CI68" s="336" t="str">
        <f aca="false">IF($A68="N/A"," ",F68+G68+(D68*('Pricing Inputs'!T101)))</f>
        <v> </v>
      </c>
      <c r="CJ68" s="334" t="str">
        <f aca="false">IF($A68="N/A"," ",IF(PV=1,0,'Pricing Inputs'!U101))</f>
        <v> </v>
      </c>
      <c r="CK68" s="337" t="str">
        <f aca="false">IF($A68="N/A"," ",(1+CJ68/2)^(-2*((EOMONTH(A68,0)+20)-DateToday)/365.25))</f>
        <v> </v>
      </c>
      <c r="CL68" s="338" t="str">
        <f aca="false">IF(A68="N/A"," ",IF(CC=2,(VLOOKUP(MONTH($A68),Hrtable,3))/1000,0))</f>
        <v> </v>
      </c>
      <c r="CM68" s="339" t="str">
        <f aca="false">IF(A68="N/A"," ",IF(CC=2,(CL68*C68)+F68,0))</f>
        <v> </v>
      </c>
      <c r="CN68" s="340" t="str">
        <f aca="false">IF($A68="N/A"," ",IF(CC=2,(VLOOKUP(A68,ScaledPrice,(IF(AND(Dayrun&gt;=1,Dayrun&lt;=6),2,4)))-((IF(R68&lt;&gt;0,$D68,$CL68)*$C68)+$F68+$G68)),0))</f>
        <v> </v>
      </c>
      <c r="CO68" s="340" t="str">
        <f aca="false">IF($A68="N/A"," ",IF(CC=2,(IF(AND(Dayrun&gt;=1,Dayrun&lt;=6),I68,(VLOOKUP(A68,ScaledPrice,2))*(2-(VLOOKUP(A68,ScaledPrice,3))))-((IF(S68&lt;&gt;0,$D68,$CL68)*$C68)+$F68+$G68)),0))</f>
        <v> </v>
      </c>
      <c r="CP68" s="340" t="str">
        <f aca="false">IF(A68="N/A"," ",IF(CC=2,(VLOOKUP(A68,ScaledPrice,9)-((IF(T68&lt;&gt;0,$D68,$CL68)*$C68)+$F68+$G68)),0))</f>
        <v> </v>
      </c>
      <c r="CQ68" s="340" t="str">
        <f aca="false">IF(A68="N/A"," ",IF(CC=2,(IF(OR(Dayrun=2,Dayrun=3,Dayrun=5,Dayrun=6,Dayrun=8,Dayrun=9),VLOOKUP(A68,ScaledPrice,IF(AND(Dayrun&gt;=2,Dayrun&lt;=6),5,6)),0)-((IF(U68&lt;&gt;0,$D68,$CL68)*$C68)+$F68+$G68)),0))</f>
        <v> </v>
      </c>
      <c r="CR68" s="340" t="str">
        <f aca="false">IF(A68="N/A"," ",IF(CC=2,(IF(OR(Dayrun=2,Dayrun=3,Dayrun=5,Dayrun=6,Dayrun=8,Dayrun=9),IF(AND(Dayrun&gt;=2,Dayrun&lt;=6),L68,(VLOOKUP(A68,ScaledPrice,5))*(2-(VLOOKUP(A68,ScaledPrice,3)))),0)-((IF(V68&lt;&gt;0,$D68,$CL68)*$C68)+$F68+$G68)),0))</f>
        <v> </v>
      </c>
      <c r="CS68" s="340" t="str">
        <f aca="false">IF(A68="N/A"," ",IF(CC=2,(VLOOKUP(A68,ScaledPrice,9)-((IF(W68&lt;&gt;0,$D68,$CL68)*$C68)+$F68+$G68)),0))</f>
        <v> </v>
      </c>
      <c r="CT68" s="340" t="str">
        <f aca="false">IF(A68="N/A"," ",IF(CC=2,(IF(OR(Dayrun=3,Dayrun=6,Dayrun=9),(VLOOKUP(A68,ScaledPrice,IF(AND(Dayrun&gt;=3,Dayrun&lt;=6),7,8))),0)-((IF(X68&lt;&gt;0,$D68,$CL68)*$C68)+$F68+$G68)),0))</f>
        <v> </v>
      </c>
      <c r="CU68" s="340" t="str">
        <f aca="false">IF(A68="N/A"," ",IF(CC=2,(IF(OR(Dayrun=3,Dayrun=6,Dayrun=9),IF(AND(Dayrun&gt;=3,Dayrun&lt;=6),O68,(VLOOKUP(A68,ScaledPrice,7))*(2-(VLOOKUP(A68,ScaledPrice,3)))),0)-((IF(Y68&lt;&gt;0,$D68,$CL68)*$C68)+$F68+$G68)),0))</f>
        <v> </v>
      </c>
      <c r="CV68" s="340" t="str">
        <f aca="false">IF(A68="N/A"," ",IF(CC=2,(VLOOKUP(A68,ScaledPrice,9)-((IF(Z68&lt;&gt;0,$D68,$CL68)*$C68)+$F68+$G68)),0))</f>
        <v> </v>
      </c>
      <c r="CW68" s="318" t="str">
        <f aca="false">IF($A68="N/A"," ",IF(0&lt;&gt;CN68,IF(CC=2,8*$HD68,0),0))</f>
        <v> </v>
      </c>
      <c r="CX68" s="318" t="str">
        <f aca="false">IF($A68="N/A"," ",IF(0&lt;&gt;CO68,IF(CC=2,8*$HD68,0),0))</f>
        <v> </v>
      </c>
      <c r="CY68" s="318" t="str">
        <f aca="false">IF($A68="N/A"," ",IF(0&lt;&gt;CP68,IF(CC=2,8*$HD68,0),0))</f>
        <v> </v>
      </c>
      <c r="CZ68" s="318" t="str">
        <f aca="false">IF($A68="N/A"," ",IF(0&lt;&gt;CQ68,IF(CC=2,8*$HE68,0),0))</f>
        <v> </v>
      </c>
      <c r="DA68" s="318" t="str">
        <f aca="false">IF($A68="N/A"," ",IF(0&lt;&gt;CR68,IF(CC=2,8*$HE68,0),0))</f>
        <v> </v>
      </c>
      <c r="DB68" s="318" t="str">
        <f aca="false">IF($A68="N/A"," ",IF(0&lt;&gt;CS68,IF(CC=2,8*$HE68,0),0))</f>
        <v> </v>
      </c>
      <c r="DC68" s="318" t="str">
        <f aca="false">IF($A68="N/A"," ",IF(0&lt;&gt;CT68,IF(CC=2,8*$HF68,0),0))</f>
        <v> </v>
      </c>
      <c r="DD68" s="318" t="str">
        <f aca="false">IF($A68="N/A"," ",IF(0&lt;&gt;CU68,IF(CC=2,8*$HF68,0),0))</f>
        <v> </v>
      </c>
      <c r="DE68" s="318" t="str">
        <f aca="false">IF($A68="N/A"," ",IF(0&lt;&gt;CV68,IF(CC=2,8*$HF68,0),0))</f>
        <v> </v>
      </c>
      <c r="DF68" s="341" t="str">
        <f aca="false">IF($A68="N/A"," ",IF(CC=2,(IF(MONTH(A68)&gt;=4,IF(MONTH(A68)&lt;=10,Inputs!$G$13,Inputs!$G$14),Inputs!$G$14))*$CK68,0))</f>
        <v> </v>
      </c>
      <c r="DG68" s="342" t="str">
        <f aca="false">IF($A68="N/A"," ",IF(CC=2,$DF68*CW68*CN68,0))</f>
        <v> </v>
      </c>
      <c r="DH68" s="342" t="str">
        <f aca="false">IF($A68="N/A"," ",IF(CC=2,$DF68*CX68*CO68,0))</f>
        <v> </v>
      </c>
      <c r="DI68" s="342" t="str">
        <f aca="false">IF($A68="N/A"," ",IF(CC=2,$DF68*CY68*CP68,0))</f>
        <v> </v>
      </c>
      <c r="DJ68" s="342" t="str">
        <f aca="false">IF($A68="N/A"," ",IF(CC=2,$DF68*CZ68*CQ68,0))</f>
        <v> </v>
      </c>
      <c r="DK68" s="342" t="str">
        <f aca="false">IF($A68="N/A"," ",IF(CC=2,$DF68*DA68*CR68,0))</f>
        <v> </v>
      </c>
      <c r="DL68" s="342" t="str">
        <f aca="false">IF($A68="N/A"," ",IF(CC=2,$DF68*DB68*CS68,0))</f>
        <v> </v>
      </c>
      <c r="DM68" s="342" t="str">
        <f aca="false">IF($A68="N/A"," ",IF(CC=2,$DF68*DC68*CT68,0))</f>
        <v> </v>
      </c>
      <c r="DN68" s="342" t="str">
        <f aca="false">IF($A68="N/A"," ",IF(CC=2,$DF68*DD68*CU68,0))</f>
        <v> </v>
      </c>
      <c r="DO68" s="342" t="str">
        <f aca="false">IF($A68="N/A"," ",IF(CC=2,$DF68*DE68*CV68,0))</f>
        <v> </v>
      </c>
      <c r="DP68" s="343" t="str">
        <f aca="false">IF($A68="N/A"," ",IF(CC=2,SUM(DG68:DO68),0))</f>
        <v> </v>
      </c>
      <c r="DQ68" s="0" t="str">
        <f aca="false">IF(A68="N/A"," ",Perstart)</f>
        <v> </v>
      </c>
      <c r="HD68" s="0" t="str">
        <f aca="false">IF($A68="N/A"," ",VLOOKUP($A68,NumberofDaysTable,2))</f>
        <v> </v>
      </c>
      <c r="HE68" s="0" t="str">
        <f aca="false">IF($A68="N/A"," ",VLOOKUP($A68,NumberofDaysTable,3))</f>
        <v> </v>
      </c>
      <c r="HF68" s="0" t="str">
        <f aca="false">IF($A68="N/A"," ",VLOOKUP($A68,NumberofDaysTable,4))</f>
        <v> </v>
      </c>
    </row>
    <row r="69" customFormat="false" ht="12.75" hidden="false" customHeight="false" outlineLevel="0" collapsed="false">
      <c r="A69" s="308" t="str">
        <f aca="false">IF(A68="N/A","N/A",IF(EDATE(A68,1)&gt;Inputs!$K$3,"N/A",EDATE(A68,1)))</f>
        <v>N/A</v>
      </c>
      <c r="B69" s="309" t="str">
        <f aca="false">IF(A69="N/A"," ",YEAR(A69))</f>
        <v> </v>
      </c>
      <c r="C69" s="310" t="str">
        <f aca="false">IF(A69="N/A"," ",VLOOKUP(A69,ScaledPrice,10))</f>
        <v> </v>
      </c>
      <c r="D69" s="311" t="str">
        <f aca="false">IF(A69="N/A"," ",(VLOOKUP(MONTH($A69),Hrtable,2))/1000)</f>
        <v> </v>
      </c>
      <c r="E69" s="312" t="str">
        <f aca="false">IF($A69="N/A"," ",(C69-'Pricing Inputs'!T102)*D69)</f>
        <v> </v>
      </c>
      <c r="F69" s="313" t="str">
        <f aca="false">IF(A69="N/A"," ",$F57*(1+VOMesc))</f>
        <v> </v>
      </c>
      <c r="G69" s="313" t="str">
        <f aca="false">IF(A69="N/A"," ",Perstart/IF(AND(Dayrun&gt;=4,Dayrun&lt;=6),16,IF(AND(Dayrun&gt;=7,Dayrun&lt;=9),8,24))/(BM69/CK69))</f>
        <v> </v>
      </c>
      <c r="H69" s="314" t="str">
        <f aca="false">IF(A69="N/A"," ",(C69*D69)+F69+G69)</f>
        <v> </v>
      </c>
      <c r="I69" s="315" t="str">
        <f aca="false">VLOOKUP(A69,ScaledPrice,(IF(AND(Dayrun&gt;=1,Dayrun&lt;=6),2,4)))</f>
        <v> </v>
      </c>
      <c r="J69" s="315" t="str">
        <f aca="false">IF(A69="N/A"," ",IF(AND(Dayrun&gt;=1,Dayrun&lt;=6),I69,(VLOOKUP(A69,ScaledPrice,2))*(2-(VLOOKUP(A69,ScaledPrice,3)))))</f>
        <v> </v>
      </c>
      <c r="K69" s="315" t="str">
        <f aca="false">IF(A69="N/A"," ",IF(AND(Dayrun&gt;=1,Dayrun&lt;=3),VLOOKUP(A69,ScaledPrice,9),0))</f>
        <v> </v>
      </c>
      <c r="L69" s="315" t="str">
        <f aca="false">IF(A69="N/A"," ",IF(OR(Dayrun=2,Dayrun=3,Dayrun=5,Dayrun=6,Dayrun=8,Dayrun=9),VLOOKUP(A69,ScaledPrice,IF(AND(Dayrun&gt;=2,Dayrun&lt;=6),5,6)),0))</f>
        <v> </v>
      </c>
      <c r="M69" s="315" t="str">
        <f aca="false">IF(A69="N/A"," ",IF(OR(Dayrun=2,Dayrun=3,Dayrun=5,Dayrun=6,Dayrun=8,Dayrun=9),IF(AND(Dayrun&gt;=2,Dayrun&lt;=6),L69,(VLOOKUP(A69,ScaledPrice,5))*(2-(VLOOKUP(A69,ScaledPrice,3)))),0))</f>
        <v> </v>
      </c>
      <c r="N69" s="315" t="str">
        <f aca="false">IF(A69="N/A"," ",IF(AND(Dayrun&gt;1,Dayrun&lt;=3),VLOOKUP(A69,ScaledPrice,9),0))</f>
        <v> </v>
      </c>
      <c r="O69" s="315" t="str">
        <f aca="false">IF(A69="N/A"," ",IF(OR(Dayrun=3,Dayrun=6,Dayrun=9),(VLOOKUP(A69,ScaledPrice,IF(AND(Dayrun&gt;=3,Dayrun&lt;=6),7,8))),0))</f>
        <v> </v>
      </c>
      <c r="P69" s="315" t="str">
        <f aca="false">IF(A69="N/A"," ",IF(OR(Dayrun=3,Dayrun=6,Dayrun=9),IF(AND(Dayrun&gt;=3,Dayrun&lt;=6),O69,(VLOOKUP(A69,ScaledPrice,7))*(2-(VLOOKUP(A69,ScaledPrice,3)))),0))</f>
        <v> </v>
      </c>
      <c r="Q69" s="315" t="str">
        <f aca="false">IF(A69="N/A"," ",IF(AND(Dayrun&gt;2,Dayrun&lt;=3),VLOOKUP(A69,ScaledPrice,9),0))</f>
        <v> </v>
      </c>
      <c r="R69" s="316" t="str">
        <f aca="false">IF($A69="N/A"," ",IF(Pricetype=2,MAX(I69-$H69,0),IF(Pricetype=1,(xSPRDOPT(I69,$E69,$CI69,0,($CD69+IF(Smile=TRUE(),VLOOKUP(MAX(-5,$H69-I69),Volsmile,2),0)),$CG69,$CH69,($A69-DateToday)+15,1,0)),I69-$H69)))</f>
        <v> </v>
      </c>
      <c r="S69" s="316" t="str">
        <f aca="false">IF($A69="N/A"," ",IF(Pricetype=2,MAX(J69-$H69,0),IF(Pricetype=1,(xSPRDOPT(J69,$E69,$CI69,0,($CD69+IF(Smile=TRUE(),VLOOKUP(MAX(-5,$H69-J69),Volsmile,2),0)),$CG69,$CH69,($A69-DateToday)+15,1,0)),J69-$H69)))</f>
        <v> </v>
      </c>
      <c r="T69" s="317" t="str">
        <f aca="false">IF($A69="N/A"," ",(IF(Pricetype=2,IF((K69-$H69)&lt;=0,0,(K69-$H69)),IF(K69&lt;&gt;0,(K69-$H69),0))))</f>
        <v> </v>
      </c>
      <c r="U69" s="316" t="str">
        <f aca="false">IF($A69="N/A"," ",IF(Pricetype=2,MAX(L69-$H69,0),IF(L69&lt;&gt;0,IF(Pricetype=1,(xSPRDOPT(L69,$E69,$CI69,0,($CD69+IF(Smile=TRUE(),VLOOKUP(MAX(-5,$H69-L69),Volsmile,2),0)),$CG69,$CH69,($A69-DateToday)+15,1,0)),L69-$H69),0)))</f>
        <v> </v>
      </c>
      <c r="V69" s="316" t="str">
        <f aca="false">IF($A69="N/A"," ",IF(Pricetype=2,MAX(M69-$H69,0),IF(M69&lt;&gt;0,IF(Pricetype=1,(xSPRDOPT(M69,$E69,$CI69,0,($CD69+IF(Smile=TRUE(),VLOOKUP(MAX(-5,$H69-M69),Volsmile,2),0)),$CG69,$CH69,($A69-DateToday)+15,1,0)),M69-$H69),0)))</f>
        <v> </v>
      </c>
      <c r="W69" s="317" t="str">
        <f aca="false">IF($A69="N/A"," ",(IF(Pricetype=2,IF((N69-$H69)&lt;=0,0,(N69-$H69)),IF(N69&lt;&gt;0,(N69-$H69),0))))</f>
        <v> </v>
      </c>
      <c r="X69" s="316" t="str">
        <f aca="false">IF($A69="N/A"," ",IF(Pricetype=2,MAX(O69-$H69,0),IF(O69&lt;&gt;0,IF(Pricetype=1,(xSPRDOPT(O69,$E69,$CI69,0,($CD69+IF(Smile=TRUE(),VLOOKUP(MAX(-5,$H69-O69),Volsmile,2),0)),$CG69,$CH69,($A69-DateToday)+15,1,0)),O69-$H69),0)))</f>
        <v> </v>
      </c>
      <c r="Y69" s="316" t="str">
        <f aca="false">IF($A69="N/A"," ",IF(Pricetype=2,MAX(P69-$H69,0),IF(P69&lt;&gt;0,IF(Pricetype=1,(xSPRDOPT(P69,$E69,$CI69,0,($CD69+IF(Smile=TRUE(),VLOOKUP(MAX(-5,$H69-P69),Volsmile,2),0)),$CG69,$CH69,($A69-DateToday)+15,1,0)),P69-$H69),0)))</f>
        <v> </v>
      </c>
      <c r="Z69" s="317" t="str">
        <f aca="false">IF($A69="N/A"," ",(IF(Pricetype=2,IF((Q69-$H69)&lt;=0,0,(Q69-$H69)),IF(Q69&lt;&gt;0,(Q69-$H69),0))))</f>
        <v> </v>
      </c>
      <c r="AA69" s="318" t="str">
        <f aca="false">IF($A69="N/A"," ",IF(VLOOKUP(MONTH(A69),ManualTable,2)=1,(IF(0&lt;&gt;R69,IF(Pricetype=1,(xSPRDOPT(I69,$E69,$CI69,0,($CD69+IF(Smile=TRUE(),VLOOKUP(MAX(-5,$H69-I69),Volsmile,2),0)),$CG69,$CH69,($A69-DateToday)+15,1,1))*(8*$HD69),8*$HD69),0)),0))</f>
        <v> </v>
      </c>
      <c r="AB69" s="318" t="str">
        <f aca="false">IF($A69="N/A"," ",IF(VLOOKUP(MONTH(A69),ManualTable,3)=1,(IF(S69&lt;&gt;0,IF(Pricetype=1,(xSPRDOPT(J69,$E69,$CI69,0,($CD69+IF(Smile=TRUE(),VLOOKUP(MAX(-5,$H69-J69),Volsmile,2),0)),$CG69,$CH69,($A69-DateToday)+15,1,1))*(8*$HD69),8*$HD69),0)),0))</f>
        <v> </v>
      </c>
      <c r="AC69" s="318" t="str">
        <f aca="false">IF($A69="N/A"," ",IF(VLOOKUP(MONTH(A69),ManualTable,4)=1,(IF(T69&lt;&gt;0,(8*$HD69),0)),0))</f>
        <v> </v>
      </c>
      <c r="AD69" s="318" t="str">
        <f aca="false">IF($A69="N/A"," ",IF(VLOOKUP(MONTH(A69),ManualTable,5)=1,(IF(U69&lt;&gt;0,IF(Pricetype=1,(xSPRDOPT(L69,$E69,$CI69,0,($CD69+IF(Smile=TRUE(),VLOOKUP(MAX(-5,$H69-L69),Volsmile,2),0)),$CG69,$CH69,($A69-DateToday)+15,1,1))*(8*$HE69),8*$HE69),0)),0))</f>
        <v> </v>
      </c>
      <c r="AE69" s="318" t="str">
        <f aca="false">IF($A69="N/A"," ",IF(VLOOKUP(MONTH(A69),ManualTable,6)=1,(IF(V69&lt;&gt;0,IF(Pricetype=1,(xSPRDOPT(M69,$E69,$CI69,0,($CD69+IF(Smile=TRUE(),VLOOKUP(MAX(-5,$H69-M69),Volsmile,2),0)),$CG69,$CH69,($A69-DateToday)+15,1,1))*(8*$HE69),8*$HE69),0)),0))</f>
        <v> </v>
      </c>
      <c r="AF69" s="318" t="str">
        <f aca="false">IF($A69="N/A"," ",IF(VLOOKUP(MONTH(A69),ManualTable,7)=1,(IF(W69&lt;&gt;0,(8*$HE69),0)),0))</f>
        <v> </v>
      </c>
      <c r="AG69" s="318" t="str">
        <f aca="false">IF($A69="N/A"," ",IF(VLOOKUP(MONTH(A69),ManualTable,8)=1,(IF(X69&lt;&gt;0,IF(Pricetype=1,(xSPRDOPT(O69,$E69,$CI69,0,($CD69+IF(Smile=TRUE(),VLOOKUP(MAX(-5,$H69-O69),Volsmile,2),0)),$CG69,$CH69,($A69-DateToday)+15,1,1))*(8*$HF69),8*$HF69),0)),0))</f>
        <v> </v>
      </c>
      <c r="AH69" s="318" t="str">
        <f aca="false">IF($A69="N/A"," ",IF(VLOOKUP(MONTH(A69),ManualTable,9)=1,(IF(Y69&lt;&gt;0,IF(Pricetype=1,(xSPRDOPT(P69,$E69,$CI69,0,($CD69+IF(Smile=TRUE(),VLOOKUP(MAX(-5,$H69-P69),Volsmile,2),0)),$CG69,$CH69,($A69-DateToday)+15,1,1))*(8*$HF69),8*$HF69),0)),0))</f>
        <v> </v>
      </c>
      <c r="AI69" s="318" t="str">
        <f aca="false">IF($A69="N/A"," ",IF(VLOOKUP(MONTH(A69),ManualTable,10)=1,(IF(Z69&lt;&gt;0,(8*($HF69)),0)),0))</f>
        <v> </v>
      </c>
      <c r="AJ69" s="344" t="str">
        <f aca="false">IF($A69="N/A"," ",RANK(R69,$R$64:$Z$75))</f>
        <v> </v>
      </c>
      <c r="AK69" s="321" t="str">
        <f aca="false">IF($A69="N/A"," ",RANK(S69,$R$64:$Z$75))</f>
        <v> </v>
      </c>
      <c r="AL69" s="321" t="str">
        <f aca="false">IF($A69="N/A"," ",RANK(T69,$R$64:$Z$75))</f>
        <v> </v>
      </c>
      <c r="AM69" s="321" t="str">
        <f aca="false">IF($A69="N/A"," ",RANK(U69,$R$64:$Z$75))</f>
        <v> </v>
      </c>
      <c r="AN69" s="321" t="str">
        <f aca="false">IF($A69="N/A"," ",RANK(V69,$R$64:$Z$75))</f>
        <v> </v>
      </c>
      <c r="AO69" s="321" t="str">
        <f aca="false">IF($A69="N/A"," ",RANK(W69,$R$64:$Z$75))</f>
        <v> </v>
      </c>
      <c r="AP69" s="321" t="str">
        <f aca="false">IF($A69="N/A"," ",RANK(X69,$R$64:$Z$75))</f>
        <v> </v>
      </c>
      <c r="AQ69" s="321" t="str">
        <f aca="false">IF($A69="N/A"," ",RANK(Y69,$R$64:$Z$75))</f>
        <v> </v>
      </c>
      <c r="AR69" s="345" t="str">
        <f aca="false">IF($A69="N/A"," ",RANK(Z69,$R$64:$Z$75))</f>
        <v> </v>
      </c>
      <c r="AS69" s="323" t="str">
        <f aca="false">IF($A69="N/A"," ",IF(AJ69&lt;=$AR$2,AA69,0))</f>
        <v> </v>
      </c>
      <c r="AT69" s="325" t="str">
        <f aca="false">IF($A69="N/A"," ",IF(AK69&lt;=$AR$2,AB69,0))</f>
        <v> </v>
      </c>
      <c r="AU69" s="325" t="str">
        <f aca="false">IF($A69="N/A"," ",IF(AL69&lt;=$AR$2,AC69,0))</f>
        <v> </v>
      </c>
      <c r="AV69" s="325" t="str">
        <f aca="false">IF($A69="N/A"," ",IF(AM69&lt;=$AR$2,AD69,0))</f>
        <v> </v>
      </c>
      <c r="AW69" s="325" t="str">
        <f aca="false">IF($A69="N/A"," ",IF(AN69&lt;=$AR$2,AE69,0))</f>
        <v> </v>
      </c>
      <c r="AX69" s="325" t="str">
        <f aca="false">IF($A69="N/A"," ",IF(AO69&lt;=$AR$2,AF69,0))</f>
        <v> </v>
      </c>
      <c r="AY69" s="325" t="str">
        <f aca="false">IF($A69="N/A"," ",IF(AP69&lt;=$AR$2,AG69,0))</f>
        <v> </v>
      </c>
      <c r="AZ69" s="325" t="str">
        <f aca="false">IF($A69="N/A"," ",IF(AQ69&lt;=$AR$2,AH69,0))</f>
        <v> </v>
      </c>
      <c r="BA69" s="325" t="str">
        <f aca="false">IF($A69="N/A"," ",IF(AR69&lt;=$AR$2,AI69,0))</f>
        <v> </v>
      </c>
      <c r="BB69" s="345"/>
      <c r="BC69" s="326" t="str">
        <f aca="false">IF($A69="N/A"," ",IF(AND(AJ69=$AR$2+1,AS69=0),MIN($BB$75,AA69),0))</f>
        <v> </v>
      </c>
      <c r="BD69" s="346" t="str">
        <f aca="false">IF($A69="N/A"," ",IF(AND(AK69=$AR$2+1,AT69=0),MIN($BB$75,AB69),0))</f>
        <v> </v>
      </c>
      <c r="BE69" s="346" t="str">
        <f aca="false">IF($A69="N/A"," ",IF(AND(AL69=$AR$2+1,AU69=0),MIN($BB$75,AC69),0))</f>
        <v> </v>
      </c>
      <c r="BF69" s="346" t="str">
        <f aca="false">IF($A69="N/A"," ",IF(AND(AM69=$AR$2+1,AV69=0),MIN($BB$75,AD69),0))</f>
        <v> </v>
      </c>
      <c r="BG69" s="346" t="str">
        <f aca="false">IF($A69="N/A"," ",IF(AND(AN69=$AR$2+1,AW69=0),MIN($BB$75,AE69),0))</f>
        <v> </v>
      </c>
      <c r="BH69" s="346" t="str">
        <f aca="false">IF($A69="N/A"," ",IF(AND(AO69=$AR$2+1,AX69=0),MIN($BB$75,AF69),0))</f>
        <v> </v>
      </c>
      <c r="BI69" s="346" t="str">
        <f aca="false">IF($A69="N/A"," ",IF(AND(AP69=$AR$2+1,AY69=0),MIN($BB$75,AG69),0))</f>
        <v> </v>
      </c>
      <c r="BJ69" s="346" t="str">
        <f aca="false">IF($A69="N/A"," ",IF(AND(AQ69=$AR$2+1,AZ69=0),MIN($BB$75,AH69),0))</f>
        <v> </v>
      </c>
      <c r="BK69" s="346" t="str">
        <f aca="false">IF($A69="N/A"," ",IF(AND(AR69=$AR$2+1,BA69=0),MIN($BB$75,AI69),0))</f>
        <v> </v>
      </c>
      <c r="BL69" s="345"/>
      <c r="BM69" s="329" t="str">
        <f aca="false">IF($A69="N/A"," ",(IF(MONTH(A69)&gt;=4,IF(MONTH(A69)&lt;=10,Inputs!$F$13-Inputs!$G$13,Inputs!$F$14-Inputs!$G$14),Inputs!$F$14-Inputs!$G$14))*$CK69*Availability)</f>
        <v> </v>
      </c>
      <c r="BN69" s="330" t="str">
        <f aca="false">IF($A69="N/A"," ",(IF(AS69&gt;0,($BM69*(8*($HD69))*R69),0)+IF(BC69&gt;0,($BM69*((BC69/AA69)*8*$HD69)*R69),0)))</f>
        <v> </v>
      </c>
      <c r="BO69" s="330" t="str">
        <f aca="false">IF($A69="N/A"," ",(IF(AT69&gt;0,($BM69*(8*($HD69))*S69),0)+IF(BD69&gt;0,($BM69*((BD69/AB69)*8*$HD69)*S69),0)))</f>
        <v> </v>
      </c>
      <c r="BP69" s="330" t="str">
        <f aca="false">IF($A69="N/A"," ",(IF(AU69&gt;0,($BM69*(8*($HD69))*T69),0)+IF(BE69&gt;0,($BM69*((BE69))*T69),0)))</f>
        <v> </v>
      </c>
      <c r="BQ69" s="330" t="str">
        <f aca="false">IF($A69="N/A"," ",(IF(AV69&gt;0,($BM69*(8*($HE69))*U69),0)+IF(BF69&gt;0,($BM69*((BF69/AD69)*8*$HE69)*U69),0)))</f>
        <v> </v>
      </c>
      <c r="BR69" s="330" t="str">
        <f aca="false">IF($A69="N/A"," ",(IF(AW69&gt;0,($BM69*(8*($HE69))*V69),0)+IF(BG69&gt;0,($BM69*((BG69/AE69)*8*$HE69)*V69),0)))</f>
        <v> </v>
      </c>
      <c r="BS69" s="330" t="str">
        <f aca="false">IF($A69="N/A"," ",(IF(AX69&gt;0,($BM69*(8*($HE69))*W69),0)+IF(BH69&gt;0,($BM69*((BH69))*W69),0)))</f>
        <v> </v>
      </c>
      <c r="BT69" s="330" t="str">
        <f aca="false">IF($A69="N/A"," ",(IF(AY69&gt;0,($BM69*(8*($HF69))*X69),0)+IF(BI69&gt;0,($BM69*((BI69/AG69)*8*$HF69)*X69),0)))</f>
        <v> </v>
      </c>
      <c r="BU69" s="330" t="str">
        <f aca="false">IF($A69="N/A"," ",(IF(AZ69&gt;0,($BM69*(8*($HF69))*Y69),0)+IF(BJ69&gt;0,($BM69*((BJ69/AH69)*8*$HF69)*Y69),0)))</f>
        <v> </v>
      </c>
      <c r="BV69" s="330" t="str">
        <f aca="false">IF($A69="N/A"," ",(IF(BA69&gt;0,($BM69*(8*($HF69))*Z69),0)+IF(BK69&gt;0,($BM69*((BK69))*Z69),0)))</f>
        <v> </v>
      </c>
      <c r="BW69" s="330" t="str">
        <f aca="false">IF($A69="N/A"," ",SUM(BN69:BV69))</f>
        <v> </v>
      </c>
      <c r="BX69" s="331" t="str">
        <f aca="false">IF($A69="N/A"," ",(H69*(SUM(AS69:BA69)+SUM(BC69:BK69))*BM69))</f>
        <v> </v>
      </c>
      <c r="BY69" s="332" t="str">
        <f aca="false">IF($A69="N/A"," ",((C69*D69)*(SUM($AS69:$BA69)+SUM($BC69:$BK69))*$BM69))</f>
        <v> </v>
      </c>
      <c r="BZ69" s="332" t="str">
        <f aca="false">IF($A69="N/A"," ",(F69*(SUM($AS69:$BA69)+SUM($BC69:$BK69))*$BM69))</f>
        <v> </v>
      </c>
      <c r="CA69" s="333" t="str">
        <f aca="false">IF($A69="N/A"," ",(G69*(SUM($AS69:$BA69)+SUM($BC69:$BK69))*$BM69))</f>
        <v> </v>
      </c>
      <c r="CB69" s="334" t="str">
        <f aca="false">IF(A69="N/A"," ",(VLOOKUP(A69,PowerVolTable,(IF(BMO=2,7,IF(BMO=1,6,8))),FALSE())))</f>
        <v> </v>
      </c>
      <c r="CC69" s="334" t="str">
        <f aca="false">IF(A69="N/A"," ",(VLOOKUP(A69,IntraPowerVol,(IF(BMO=2,3,IF(BMO=1,2,4))),FALSE())*VLOOKUP(MONTH($A69),Volscale,2)))</f>
        <v> </v>
      </c>
      <c r="CD69" s="335" t="str">
        <f aca="false">IF($A69="N/A"," ",(IF(DateToday&gt;$A69,$CC69,((($CB69^2)*((($A69-1)-DateToday)/((EOMONTH($A69,0)+1)-DateToday-15)))+((($CC69)^2)*((15)/((EOMONTH($A69,0)+1)-DateToday-15))))^0.5)))</f>
        <v> </v>
      </c>
      <c r="CE69" s="334" t="str">
        <f aca="false">IF($A69="N/A"," ",(VLOOKUP($A69,GasVolTable,(IF(BMO=2,6,IF(BMO=1,7,5))),FALSE())))</f>
        <v> </v>
      </c>
      <c r="CF69" s="334" t="str">
        <f aca="false">IF($A69="N/A"," ",(VLOOKUP($A69,OmicronVol,(IF(BMO=2,3,IF(BMO=1,4,2))),FALSE())))</f>
        <v> </v>
      </c>
      <c r="CG69" s="335" t="str">
        <f aca="false">IF($A69="N/A"," ",(IF(DateToday&gt;$A69,$CF69,((($CE69^2)*((($A69-1)-DateToday)/((EOMONTH($A69,0)+1)-DateToday-15)))+((($CF69)^2)*((15)/((EOMONTH($A69,0)+1)-DateToday-15))))^0.5)))</f>
        <v> </v>
      </c>
      <c r="CH69" s="334" t="str">
        <f aca="false">IF($A69="N/A"," ",VLOOKUP($A69,CorrelationTable,2,FALSE()))</f>
        <v> </v>
      </c>
      <c r="CI69" s="336" t="str">
        <f aca="false">IF($A69="N/A"," ",F69+G69+(D69*('Pricing Inputs'!T102)))</f>
        <v> </v>
      </c>
      <c r="CJ69" s="334" t="str">
        <f aca="false">IF($A69="N/A"," ",IF(PV=1,0,'Pricing Inputs'!U102))</f>
        <v> </v>
      </c>
      <c r="CK69" s="337" t="str">
        <f aca="false">IF($A69="N/A"," ",(1+CJ69/2)^(-2*((EOMONTH(A69,0)+20)-DateToday)/365.25))</f>
        <v> </v>
      </c>
      <c r="CL69" s="338" t="str">
        <f aca="false">IF(A69="N/A"," ",IF(CC=2,(VLOOKUP(MONTH($A69),Hrtable,3))/1000,0))</f>
        <v> </v>
      </c>
      <c r="CM69" s="339" t="str">
        <f aca="false">IF(A69="N/A"," ",IF(CC=2,(CL69*C69)+F69,0))</f>
        <v> </v>
      </c>
      <c r="CN69" s="340" t="str">
        <f aca="false">IF($A69="N/A"," ",IF(CC=2,(VLOOKUP(A69,ScaledPrice,(IF(AND(Dayrun&gt;=1,Dayrun&lt;=6),2,4)))-((IF(R69&lt;&gt;0,$D69,$CL69)*$C69)+$F69+$G69)),0))</f>
        <v> </v>
      </c>
      <c r="CO69" s="340" t="str">
        <f aca="false">IF($A69="N/A"," ",IF(CC=2,(IF(AND(Dayrun&gt;=1,Dayrun&lt;=6),I69,(VLOOKUP(A69,ScaledPrice,2))*(2-(VLOOKUP(A69,ScaledPrice,3))))-((IF(S69&lt;&gt;0,$D69,$CL69)*$C69)+$F69+$G69)),0))</f>
        <v> </v>
      </c>
      <c r="CP69" s="340" t="str">
        <f aca="false">IF(A69="N/A"," ",IF(CC=2,(VLOOKUP(A69,ScaledPrice,9)-((IF(T69&lt;&gt;0,$D69,$CL69)*$C69)+$F69+$G69)),0))</f>
        <v> </v>
      </c>
      <c r="CQ69" s="340" t="str">
        <f aca="false">IF(A69="N/A"," ",IF(CC=2,(IF(OR(Dayrun=2,Dayrun=3,Dayrun=5,Dayrun=6,Dayrun=8,Dayrun=9),VLOOKUP(A69,ScaledPrice,IF(AND(Dayrun&gt;=2,Dayrun&lt;=6),5,6)),0)-((IF(U69&lt;&gt;0,$D69,$CL69)*$C69)+$F69+$G69)),0))</f>
        <v> </v>
      </c>
      <c r="CR69" s="340" t="str">
        <f aca="false">IF(A69="N/A"," ",IF(CC=2,(IF(OR(Dayrun=2,Dayrun=3,Dayrun=5,Dayrun=6,Dayrun=8,Dayrun=9),IF(AND(Dayrun&gt;=2,Dayrun&lt;=6),L69,(VLOOKUP(A69,ScaledPrice,5))*(2-(VLOOKUP(A69,ScaledPrice,3)))),0)-((IF(V69&lt;&gt;0,$D69,$CL69)*$C69)+$F69+$G69)),0))</f>
        <v> </v>
      </c>
      <c r="CS69" s="340" t="str">
        <f aca="false">IF(A69="N/A"," ",IF(CC=2,(VLOOKUP(A69,ScaledPrice,9)-((IF(W69&lt;&gt;0,$D69,$CL69)*$C69)+$F69+$G69)),0))</f>
        <v> </v>
      </c>
      <c r="CT69" s="340" t="str">
        <f aca="false">IF(A69="N/A"," ",IF(CC=2,(IF(OR(Dayrun=3,Dayrun=6,Dayrun=9),(VLOOKUP(A69,ScaledPrice,IF(AND(Dayrun&gt;=3,Dayrun&lt;=6),7,8))),0)-((IF(X69&lt;&gt;0,$D69,$CL69)*$C69)+$F69+$G69)),0))</f>
        <v> </v>
      </c>
      <c r="CU69" s="340" t="str">
        <f aca="false">IF(A69="N/A"," ",IF(CC=2,(IF(OR(Dayrun=3,Dayrun=6,Dayrun=9),IF(AND(Dayrun&gt;=3,Dayrun&lt;=6),O69,(VLOOKUP(A69,ScaledPrice,7))*(2-(VLOOKUP(A69,ScaledPrice,3)))),0)-((IF(Y69&lt;&gt;0,$D69,$CL69)*$C69)+$F69+$G69)),0))</f>
        <v> </v>
      </c>
      <c r="CV69" s="340" t="str">
        <f aca="false">IF(A69="N/A"," ",IF(CC=2,(VLOOKUP(A69,ScaledPrice,9)-((IF(Z69&lt;&gt;0,$D69,$CL69)*$C69)+$F69+$G69)),0))</f>
        <v> </v>
      </c>
      <c r="CW69" s="318" t="str">
        <f aca="false">IF($A69="N/A"," ",IF(0&lt;&gt;CN69,IF(CC=2,8*$HD69,0),0))</f>
        <v> </v>
      </c>
      <c r="CX69" s="318" t="str">
        <f aca="false">IF($A69="N/A"," ",IF(0&lt;&gt;CO69,IF(CC=2,8*$HD69,0),0))</f>
        <v> </v>
      </c>
      <c r="CY69" s="318" t="str">
        <f aca="false">IF($A69="N/A"," ",IF(0&lt;&gt;CP69,IF(CC=2,8*$HD69,0),0))</f>
        <v> </v>
      </c>
      <c r="CZ69" s="318" t="str">
        <f aca="false">IF($A69="N/A"," ",IF(0&lt;&gt;CQ69,IF(CC=2,8*$HE69,0),0))</f>
        <v> </v>
      </c>
      <c r="DA69" s="318" t="str">
        <f aca="false">IF($A69="N/A"," ",IF(0&lt;&gt;CR69,IF(CC=2,8*$HE69,0),0))</f>
        <v> </v>
      </c>
      <c r="DB69" s="318" t="str">
        <f aca="false">IF($A69="N/A"," ",IF(0&lt;&gt;CS69,IF(CC=2,8*$HE69,0),0))</f>
        <v> </v>
      </c>
      <c r="DC69" s="318" t="str">
        <f aca="false">IF($A69="N/A"," ",IF(0&lt;&gt;CT69,IF(CC=2,8*$HF69,0),0))</f>
        <v> </v>
      </c>
      <c r="DD69" s="318" t="str">
        <f aca="false">IF($A69="N/A"," ",IF(0&lt;&gt;CU69,IF(CC=2,8*$HF69,0),0))</f>
        <v> </v>
      </c>
      <c r="DE69" s="318" t="str">
        <f aca="false">IF($A69="N/A"," ",IF(0&lt;&gt;CV69,IF(CC=2,8*$HF69,0),0))</f>
        <v> </v>
      </c>
      <c r="DF69" s="341" t="str">
        <f aca="false">IF($A69="N/A"," ",IF(CC=2,(IF(MONTH(A69)&gt;=4,IF(MONTH(A69)&lt;=10,Inputs!$G$13,Inputs!$G$14),Inputs!$G$14))*$CK69,0))</f>
        <v> </v>
      </c>
      <c r="DG69" s="342" t="str">
        <f aca="false">IF($A69="N/A"," ",IF(CC=2,$DF69*CW69*CN69,0))</f>
        <v> </v>
      </c>
      <c r="DH69" s="342" t="str">
        <f aca="false">IF($A69="N/A"," ",IF(CC=2,$DF69*CX69*CO69,0))</f>
        <v> </v>
      </c>
      <c r="DI69" s="342" t="str">
        <f aca="false">IF($A69="N/A"," ",IF(CC=2,$DF69*CY69*CP69,0))</f>
        <v> </v>
      </c>
      <c r="DJ69" s="342" t="str">
        <f aca="false">IF($A69="N/A"," ",IF(CC=2,$DF69*CZ69*CQ69,0))</f>
        <v> </v>
      </c>
      <c r="DK69" s="342" t="str">
        <f aca="false">IF($A69="N/A"," ",IF(CC=2,$DF69*DA69*CR69,0))</f>
        <v> </v>
      </c>
      <c r="DL69" s="342" t="str">
        <f aca="false">IF($A69="N/A"," ",IF(CC=2,$DF69*DB69*CS69,0))</f>
        <v> </v>
      </c>
      <c r="DM69" s="342" t="str">
        <f aca="false">IF($A69="N/A"," ",IF(CC=2,$DF69*DC69*CT69,0))</f>
        <v> </v>
      </c>
      <c r="DN69" s="342" t="str">
        <f aca="false">IF($A69="N/A"," ",IF(CC=2,$DF69*DD69*CU69,0))</f>
        <v> </v>
      </c>
      <c r="DO69" s="342" t="str">
        <f aca="false">IF($A69="N/A"," ",IF(CC=2,$DF69*DE69*CV69,0))</f>
        <v> </v>
      </c>
      <c r="DP69" s="343" t="str">
        <f aca="false">IF($A69="N/A"," ",IF(CC=2,SUM(DG69:DO69),0))</f>
        <v> </v>
      </c>
      <c r="DQ69" s="0" t="str">
        <f aca="false">IF(A69="N/A"," ",Perstart)</f>
        <v> </v>
      </c>
      <c r="HD69" s="0" t="str">
        <f aca="false">IF($A69="N/A"," ",VLOOKUP($A69,NumberofDaysTable,2))</f>
        <v> </v>
      </c>
      <c r="HE69" s="0" t="str">
        <f aca="false">IF($A69="N/A"," ",VLOOKUP($A69,NumberofDaysTable,3))</f>
        <v> </v>
      </c>
      <c r="HF69" s="0" t="str">
        <f aca="false">IF($A69="N/A"," ",VLOOKUP($A69,NumberofDaysTable,4))</f>
        <v> </v>
      </c>
    </row>
    <row r="70" customFormat="false" ht="12.75" hidden="false" customHeight="false" outlineLevel="0" collapsed="false">
      <c r="A70" s="308" t="str">
        <f aca="false">IF(A69="N/A","N/A",IF(EDATE(A69,1)&gt;Inputs!$K$3,"N/A",EDATE(A69,1)))</f>
        <v>N/A</v>
      </c>
      <c r="B70" s="309" t="str">
        <f aca="false">IF(A70="N/A"," ",YEAR(A70))</f>
        <v> </v>
      </c>
      <c r="C70" s="310" t="str">
        <f aca="false">IF(A70="N/A"," ",VLOOKUP(A70,ScaledPrice,10))</f>
        <v> </v>
      </c>
      <c r="D70" s="311" t="str">
        <f aca="false">IF(A70="N/A"," ",(VLOOKUP(MONTH($A70),Hrtable,2))/1000)</f>
        <v> </v>
      </c>
      <c r="E70" s="312" t="str">
        <f aca="false">IF($A70="N/A"," ",(C70-'Pricing Inputs'!T103)*D70)</f>
        <v> </v>
      </c>
      <c r="F70" s="313" t="str">
        <f aca="false">IF(A70="N/A"," ",$F58*(1+VOMesc))</f>
        <v> </v>
      </c>
      <c r="G70" s="313" t="str">
        <f aca="false">IF(A70="N/A"," ",Perstart/IF(AND(Dayrun&gt;=4,Dayrun&lt;=6),16,IF(AND(Dayrun&gt;=7,Dayrun&lt;=9),8,24))/(BM70/CK70))</f>
        <v> </v>
      </c>
      <c r="H70" s="314" t="str">
        <f aca="false">IF(A70="N/A"," ",(C70*D70)+F70+G70)</f>
        <v> </v>
      </c>
      <c r="I70" s="315" t="str">
        <f aca="false">VLOOKUP(A70,ScaledPrice,(IF(AND(Dayrun&gt;=1,Dayrun&lt;=6),2,4)))</f>
        <v> </v>
      </c>
      <c r="J70" s="315" t="str">
        <f aca="false">IF(A70="N/A"," ",IF(AND(Dayrun&gt;=1,Dayrun&lt;=6),I70,(VLOOKUP(A70,ScaledPrice,2))*(2-(VLOOKUP(A70,ScaledPrice,3)))))</f>
        <v> </v>
      </c>
      <c r="K70" s="315" t="str">
        <f aca="false">IF(A70="N/A"," ",IF(AND(Dayrun&gt;=1,Dayrun&lt;=3),VLOOKUP(A70,ScaledPrice,9),0))</f>
        <v> </v>
      </c>
      <c r="L70" s="315" t="str">
        <f aca="false">IF(A70="N/A"," ",IF(OR(Dayrun=2,Dayrun=3,Dayrun=5,Dayrun=6,Dayrun=8,Dayrun=9),VLOOKUP(A70,ScaledPrice,IF(AND(Dayrun&gt;=2,Dayrun&lt;=6),5,6)),0))</f>
        <v> </v>
      </c>
      <c r="M70" s="315" t="str">
        <f aca="false">IF(A70="N/A"," ",IF(OR(Dayrun=2,Dayrun=3,Dayrun=5,Dayrun=6,Dayrun=8,Dayrun=9),IF(AND(Dayrun&gt;=2,Dayrun&lt;=6),L70,(VLOOKUP(A70,ScaledPrice,5))*(2-(VLOOKUP(A70,ScaledPrice,3)))),0))</f>
        <v> </v>
      </c>
      <c r="N70" s="315" t="str">
        <f aca="false">IF(A70="N/A"," ",IF(AND(Dayrun&gt;1,Dayrun&lt;=3),VLOOKUP(A70,ScaledPrice,9),0))</f>
        <v> </v>
      </c>
      <c r="O70" s="315" t="str">
        <f aca="false">IF(A70="N/A"," ",IF(OR(Dayrun=3,Dayrun=6,Dayrun=9),(VLOOKUP(A70,ScaledPrice,IF(AND(Dayrun&gt;=3,Dayrun&lt;=6),7,8))),0))</f>
        <v> </v>
      </c>
      <c r="P70" s="315" t="str">
        <f aca="false">IF(A70="N/A"," ",IF(OR(Dayrun=3,Dayrun=6,Dayrun=9),IF(AND(Dayrun&gt;=3,Dayrun&lt;=6),O70,(VLOOKUP(A70,ScaledPrice,7))*(2-(VLOOKUP(A70,ScaledPrice,3)))),0))</f>
        <v> </v>
      </c>
      <c r="Q70" s="315" t="str">
        <f aca="false">IF(A70="N/A"," ",IF(AND(Dayrun&gt;2,Dayrun&lt;=3),VLOOKUP(A70,ScaledPrice,9),0))</f>
        <v> </v>
      </c>
      <c r="R70" s="316" t="str">
        <f aca="false">IF($A70="N/A"," ",IF(Pricetype=2,MAX(I70-$H70,0),IF(Pricetype=1,(xSPRDOPT(I70,$E70,$CI70,0,($CD70+IF(Smile=TRUE(),VLOOKUP(MAX(-5,$H70-I70),Volsmile,2),0)),$CG70,$CH70,($A70-DateToday)+15,1,0)),I70-$H70)))</f>
        <v> </v>
      </c>
      <c r="S70" s="316" t="str">
        <f aca="false">IF($A70="N/A"," ",IF(Pricetype=2,MAX(J70-$H70,0),IF(Pricetype=1,(xSPRDOPT(J70,$E70,$CI70,0,($CD70+IF(Smile=TRUE(),VLOOKUP(MAX(-5,$H70-J70),Volsmile,2),0)),$CG70,$CH70,($A70-DateToday)+15,1,0)),J70-$H70)))</f>
        <v> </v>
      </c>
      <c r="T70" s="317" t="str">
        <f aca="false">IF($A70="N/A"," ",(IF(Pricetype=2,IF((K70-$H70)&lt;=0,0,(K70-$H70)),IF(K70&lt;&gt;0,(K70-$H70),0))))</f>
        <v> </v>
      </c>
      <c r="U70" s="316" t="str">
        <f aca="false">IF($A70="N/A"," ",IF(Pricetype=2,MAX(L70-$H70,0),IF(L70&lt;&gt;0,IF(Pricetype=1,(xSPRDOPT(L70,$E70,$CI70,0,($CD70+IF(Smile=TRUE(),VLOOKUP(MAX(-5,$H70-L70),Volsmile,2),0)),$CG70,$CH70,($A70-DateToday)+15,1,0)),L70-$H70),0)))</f>
        <v> </v>
      </c>
      <c r="V70" s="316" t="str">
        <f aca="false">IF($A70="N/A"," ",IF(Pricetype=2,MAX(M70-$H70,0),IF(M70&lt;&gt;0,IF(Pricetype=1,(xSPRDOPT(M70,$E70,$CI70,0,($CD70+IF(Smile=TRUE(),VLOOKUP(MAX(-5,$H70-M70),Volsmile,2),0)),$CG70,$CH70,($A70-DateToday)+15,1,0)),M70-$H70),0)))</f>
        <v> </v>
      </c>
      <c r="W70" s="317" t="str">
        <f aca="false">IF($A70="N/A"," ",(IF(Pricetype=2,IF((N70-$H70)&lt;=0,0,(N70-$H70)),IF(N70&lt;&gt;0,(N70-$H70),0))))</f>
        <v> </v>
      </c>
      <c r="X70" s="316" t="str">
        <f aca="false">IF($A70="N/A"," ",IF(Pricetype=2,MAX(O70-$H70,0),IF(O70&lt;&gt;0,IF(Pricetype=1,(xSPRDOPT(O70,$E70,$CI70,0,($CD70+IF(Smile=TRUE(),VLOOKUP(MAX(-5,$H70-O70),Volsmile,2),0)),$CG70,$CH70,($A70-DateToday)+15,1,0)),O70-$H70),0)))</f>
        <v> </v>
      </c>
      <c r="Y70" s="316" t="str">
        <f aca="false">IF($A70="N/A"," ",IF(Pricetype=2,MAX(P70-$H70,0),IF(P70&lt;&gt;0,IF(Pricetype=1,(xSPRDOPT(P70,$E70,$CI70,0,($CD70+IF(Smile=TRUE(),VLOOKUP(MAX(-5,$H70-P70),Volsmile,2),0)),$CG70,$CH70,($A70-DateToday)+15,1,0)),P70-$H70),0)))</f>
        <v> </v>
      </c>
      <c r="Z70" s="317" t="str">
        <f aca="false">IF($A70="N/A"," ",(IF(Pricetype=2,IF((Q70-$H70)&lt;=0,0,(Q70-$H70)),IF(Q70&lt;&gt;0,(Q70-$H70),0))))</f>
        <v> </v>
      </c>
      <c r="AA70" s="318" t="str">
        <f aca="false">IF($A70="N/A"," ",IF(VLOOKUP(MONTH(A70),ManualTable,2)=1,(IF(0&lt;&gt;R70,IF(Pricetype=1,(xSPRDOPT(I70,$E70,$CI70,0,($CD70+IF(Smile=TRUE(),VLOOKUP(MAX(-5,$H70-I70),Volsmile,2),0)),$CG70,$CH70,($A70-DateToday)+15,1,1))*(8*$HD70),8*$HD70),0)),0))</f>
        <v> </v>
      </c>
      <c r="AB70" s="318" t="str">
        <f aca="false">IF($A70="N/A"," ",IF(VLOOKUP(MONTH(A70),ManualTable,3)=1,(IF(S70&lt;&gt;0,IF(Pricetype=1,(xSPRDOPT(J70,$E70,$CI70,0,($CD70+IF(Smile=TRUE(),VLOOKUP(MAX(-5,$H70-J70),Volsmile,2),0)),$CG70,$CH70,($A70-DateToday)+15,1,1))*(8*$HD70),8*$HD70),0)),0))</f>
        <v> </v>
      </c>
      <c r="AC70" s="318" t="str">
        <f aca="false">IF($A70="N/A"," ",IF(VLOOKUP(MONTH(A70),ManualTable,4)=1,(IF(T70&lt;&gt;0,(8*$HD70),0)),0))</f>
        <v> </v>
      </c>
      <c r="AD70" s="318" t="str">
        <f aca="false">IF($A70="N/A"," ",IF(VLOOKUP(MONTH(A70),ManualTable,5)=1,(IF(U70&lt;&gt;0,IF(Pricetype=1,(xSPRDOPT(L70,$E70,$CI70,0,($CD70+IF(Smile=TRUE(),VLOOKUP(MAX(-5,$H70-L70),Volsmile,2),0)),$CG70,$CH70,($A70-DateToday)+15,1,1))*(8*$HE70),8*$HE70),0)),0))</f>
        <v> </v>
      </c>
      <c r="AE70" s="318" t="str">
        <f aca="false">IF($A70="N/A"," ",IF(VLOOKUP(MONTH(A70),ManualTable,6)=1,(IF(V70&lt;&gt;0,IF(Pricetype=1,(xSPRDOPT(M70,$E70,$CI70,0,($CD70+IF(Smile=TRUE(),VLOOKUP(MAX(-5,$H70-M70),Volsmile,2),0)),$CG70,$CH70,($A70-DateToday)+15,1,1))*(8*$HE70),8*$HE70),0)),0))</f>
        <v> </v>
      </c>
      <c r="AF70" s="318" t="str">
        <f aca="false">IF($A70="N/A"," ",IF(VLOOKUP(MONTH(A70),ManualTable,7)=1,(IF(W70&lt;&gt;0,(8*$HE70),0)),0))</f>
        <v> </v>
      </c>
      <c r="AG70" s="318" t="str">
        <f aca="false">IF($A70="N/A"," ",IF(VLOOKUP(MONTH(A70),ManualTable,8)=1,(IF(X70&lt;&gt;0,IF(Pricetype=1,(xSPRDOPT(O70,$E70,$CI70,0,($CD70+IF(Smile=TRUE(),VLOOKUP(MAX(-5,$H70-O70),Volsmile,2),0)),$CG70,$CH70,($A70-DateToday)+15,1,1))*(8*$HF70),8*$HF70),0)),0))</f>
        <v> </v>
      </c>
      <c r="AH70" s="318" t="str">
        <f aca="false">IF($A70="N/A"," ",IF(VLOOKUP(MONTH(A70),ManualTable,9)=1,(IF(Y70&lt;&gt;0,IF(Pricetype=1,(xSPRDOPT(P70,$E70,$CI70,0,($CD70+IF(Smile=TRUE(),VLOOKUP(MAX(-5,$H70-P70),Volsmile,2),0)),$CG70,$CH70,($A70-DateToday)+15,1,1))*(8*$HF70),8*$HF70),0)),0))</f>
        <v> </v>
      </c>
      <c r="AI70" s="318" t="str">
        <f aca="false">IF($A70="N/A"," ",IF(VLOOKUP(MONTH(A70),ManualTable,10)=1,(IF(Z70&lt;&gt;0,(8*($HF70)),0)),0))</f>
        <v> </v>
      </c>
      <c r="AJ70" s="344" t="str">
        <f aca="false">IF($A70="N/A"," ",RANK(R70,$R$64:$Z$75))</f>
        <v> </v>
      </c>
      <c r="AK70" s="321" t="str">
        <f aca="false">IF($A70="N/A"," ",RANK(S70,$R$64:$Z$75))</f>
        <v> </v>
      </c>
      <c r="AL70" s="321" t="str">
        <f aca="false">IF($A70="N/A"," ",RANK(T70,$R$64:$Z$75))</f>
        <v> </v>
      </c>
      <c r="AM70" s="321" t="str">
        <f aca="false">IF($A70="N/A"," ",RANK(U70,$R$64:$Z$75))</f>
        <v> </v>
      </c>
      <c r="AN70" s="321" t="str">
        <f aca="false">IF($A70="N/A"," ",RANK(V70,$R$64:$Z$75))</f>
        <v> </v>
      </c>
      <c r="AO70" s="321" t="str">
        <f aca="false">IF($A70="N/A"," ",RANK(W70,$R$64:$Z$75))</f>
        <v> </v>
      </c>
      <c r="AP70" s="321" t="str">
        <f aca="false">IF($A70="N/A"," ",RANK(X70,$R$64:$Z$75))</f>
        <v> </v>
      </c>
      <c r="AQ70" s="321" t="str">
        <f aca="false">IF($A70="N/A"," ",RANK(Y70,$R$64:$Z$75))</f>
        <v> </v>
      </c>
      <c r="AR70" s="345" t="str">
        <f aca="false">IF($A70="N/A"," ",RANK(Z70,$R$64:$Z$75))</f>
        <v> </v>
      </c>
      <c r="AS70" s="323" t="str">
        <f aca="false">IF($A70="N/A"," ",IF(AJ70&lt;=$AR$2,AA70,0))</f>
        <v> </v>
      </c>
      <c r="AT70" s="325" t="str">
        <f aca="false">IF($A70="N/A"," ",IF(AK70&lt;=$AR$2,AB70,0))</f>
        <v> </v>
      </c>
      <c r="AU70" s="325" t="str">
        <f aca="false">IF($A70="N/A"," ",IF(AL70&lt;=$AR$2,AC70,0))</f>
        <v> </v>
      </c>
      <c r="AV70" s="325" t="str">
        <f aca="false">IF($A70="N/A"," ",IF(AM70&lt;=$AR$2,AD70,0))</f>
        <v> </v>
      </c>
      <c r="AW70" s="325" t="str">
        <f aca="false">IF($A70="N/A"," ",IF(AN70&lt;=$AR$2,AE70,0))</f>
        <v> </v>
      </c>
      <c r="AX70" s="325" t="str">
        <f aca="false">IF($A70="N/A"," ",IF(AO70&lt;=$AR$2,AF70,0))</f>
        <v> </v>
      </c>
      <c r="AY70" s="325" t="str">
        <f aca="false">IF($A70="N/A"," ",IF(AP70&lt;=$AR$2,AG70,0))</f>
        <v> </v>
      </c>
      <c r="AZ70" s="325" t="str">
        <f aca="false">IF($A70="N/A"," ",IF(AQ70&lt;=$AR$2,AH70,0))</f>
        <v> </v>
      </c>
      <c r="BA70" s="325" t="str">
        <f aca="false">IF($A70="N/A"," ",IF(AR70&lt;=$AR$2,AI70,0))</f>
        <v> </v>
      </c>
      <c r="BB70" s="345"/>
      <c r="BC70" s="326" t="str">
        <f aca="false">IF($A70="N/A"," ",IF(AND(AJ70=$AR$2+1,AS70=0),MIN($BB$75,AA70),0))</f>
        <v> </v>
      </c>
      <c r="BD70" s="346" t="str">
        <f aca="false">IF($A70="N/A"," ",IF(AND(AK70=$AR$2+1,AT70=0),MIN($BB$75,AB70),0))</f>
        <v> </v>
      </c>
      <c r="BE70" s="346" t="str">
        <f aca="false">IF($A70="N/A"," ",IF(AND(AL70=$AR$2+1,AU70=0),MIN($BB$75,AC70),0))</f>
        <v> </v>
      </c>
      <c r="BF70" s="346" t="str">
        <f aca="false">IF($A70="N/A"," ",IF(AND(AM70=$AR$2+1,AV70=0),MIN($BB$75,AD70),0))</f>
        <v> </v>
      </c>
      <c r="BG70" s="346" t="str">
        <f aca="false">IF($A70="N/A"," ",IF(AND(AN70=$AR$2+1,AW70=0),MIN($BB$75,AE70),0))</f>
        <v> </v>
      </c>
      <c r="BH70" s="346" t="str">
        <f aca="false">IF($A70="N/A"," ",IF(AND(AO70=$AR$2+1,AX70=0),MIN($BB$75,AF70),0))</f>
        <v> </v>
      </c>
      <c r="BI70" s="346" t="str">
        <f aca="false">IF($A70="N/A"," ",IF(AND(AP70=$AR$2+1,AY70=0),MIN($BB$75,AG70),0))</f>
        <v> </v>
      </c>
      <c r="BJ70" s="346" t="str">
        <f aca="false">IF($A70="N/A"," ",IF(AND(AQ70=$AR$2+1,AZ70=0),MIN($BB$75,AH70),0))</f>
        <v> </v>
      </c>
      <c r="BK70" s="346" t="str">
        <f aca="false">IF($A70="N/A"," ",IF(AND(AR70=$AR$2+1,BA70=0),MIN($BB$75,AI70),0))</f>
        <v> </v>
      </c>
      <c r="BL70" s="345"/>
      <c r="BM70" s="329" t="str">
        <f aca="false">IF($A70="N/A"," ",(IF(MONTH(A70)&gt;=4,IF(MONTH(A70)&lt;=10,Inputs!$F$13-Inputs!$G$13,Inputs!$F$14-Inputs!$G$14),Inputs!$F$14-Inputs!$G$14))*$CK70*Availability)</f>
        <v> </v>
      </c>
      <c r="BN70" s="330" t="str">
        <f aca="false">IF($A70="N/A"," ",(IF(AS70&gt;0,($BM70*(8*($HD70))*R70),0)+IF(BC70&gt;0,($BM70*((BC70/AA70)*8*$HD70)*R70),0)))</f>
        <v> </v>
      </c>
      <c r="BO70" s="330" t="str">
        <f aca="false">IF($A70="N/A"," ",(IF(AT70&gt;0,($BM70*(8*($HD70))*S70),0)+IF(BD70&gt;0,($BM70*((BD70/AB70)*8*$HD70)*S70),0)))</f>
        <v> </v>
      </c>
      <c r="BP70" s="330" t="str">
        <f aca="false">IF($A70="N/A"," ",(IF(AU70&gt;0,($BM70*(8*($HD70))*T70),0)+IF(BE70&gt;0,($BM70*((BE70))*T70),0)))</f>
        <v> </v>
      </c>
      <c r="BQ70" s="330" t="str">
        <f aca="false">IF($A70="N/A"," ",(IF(AV70&gt;0,($BM70*(8*($HE70))*U70),0)+IF(BF70&gt;0,($BM70*((BF70/AD70)*8*$HE70)*U70),0)))</f>
        <v> </v>
      </c>
      <c r="BR70" s="330" t="str">
        <f aca="false">IF($A70="N/A"," ",(IF(AW70&gt;0,($BM70*(8*($HE70))*V70),0)+IF(BG70&gt;0,($BM70*((BG70/AE70)*8*$HE70)*V70),0)))</f>
        <v> </v>
      </c>
      <c r="BS70" s="330" t="str">
        <f aca="false">IF($A70="N/A"," ",(IF(AX70&gt;0,($BM70*(8*($HE70))*W70),0)+IF(BH70&gt;0,($BM70*((BH70))*W70),0)))</f>
        <v> </v>
      </c>
      <c r="BT70" s="330" t="str">
        <f aca="false">IF($A70="N/A"," ",(IF(AY70&gt;0,($BM70*(8*($HF70))*X70),0)+IF(BI70&gt;0,($BM70*((BI70/AG70)*8*$HF70)*X70),0)))</f>
        <v> </v>
      </c>
      <c r="BU70" s="330" t="str">
        <f aca="false">IF($A70="N/A"," ",(IF(AZ70&gt;0,($BM70*(8*($HF70))*Y70),0)+IF(BJ70&gt;0,($BM70*((BJ70/AH70)*8*$HF70)*Y70),0)))</f>
        <v> </v>
      </c>
      <c r="BV70" s="330" t="str">
        <f aca="false">IF($A70="N/A"," ",(IF(BA70&gt;0,($BM70*(8*($HF70))*Z70),0)+IF(BK70&gt;0,($BM70*((BK70))*Z70),0)))</f>
        <v> </v>
      </c>
      <c r="BW70" s="330" t="str">
        <f aca="false">IF($A70="N/A"," ",SUM(BN70:BV70))</f>
        <v> </v>
      </c>
      <c r="BX70" s="331" t="str">
        <f aca="false">IF($A70="N/A"," ",(H70*(SUM(AS70:BA70)+SUM(BC70:BK70))*BM70))</f>
        <v> </v>
      </c>
      <c r="BY70" s="332" t="str">
        <f aca="false">IF($A70="N/A"," ",((C70*D70)*(SUM($AS70:$BA70)+SUM($BC70:$BK70))*$BM70))</f>
        <v> </v>
      </c>
      <c r="BZ70" s="332" t="str">
        <f aca="false">IF($A70="N/A"," ",(F70*(SUM($AS70:$BA70)+SUM($BC70:$BK70))*$BM70))</f>
        <v> </v>
      </c>
      <c r="CA70" s="333" t="str">
        <f aca="false">IF($A70="N/A"," ",(G70*(SUM($AS70:$BA70)+SUM($BC70:$BK70))*$BM70))</f>
        <v> </v>
      </c>
      <c r="CB70" s="334" t="str">
        <f aca="false">IF(A70="N/A"," ",(VLOOKUP(A70,PowerVolTable,(IF(BMO=2,7,IF(BMO=1,6,8))),FALSE())))</f>
        <v> </v>
      </c>
      <c r="CC70" s="334" t="str">
        <f aca="false">IF(A70="N/A"," ",(VLOOKUP(A70,IntraPowerVol,(IF(BMO=2,3,IF(BMO=1,2,4))),FALSE())*VLOOKUP(MONTH($A70),Volscale,2)))</f>
        <v> </v>
      </c>
      <c r="CD70" s="335" t="str">
        <f aca="false">IF($A70="N/A"," ",(IF(DateToday&gt;$A70,$CC70,((($CB70^2)*((($A70-1)-DateToday)/((EOMONTH($A70,0)+1)-DateToday-15)))+((($CC70)^2)*((15)/((EOMONTH($A70,0)+1)-DateToday-15))))^0.5)))</f>
        <v> </v>
      </c>
      <c r="CE70" s="334" t="str">
        <f aca="false">IF($A70="N/A"," ",(VLOOKUP($A70,GasVolTable,(IF(BMO=2,6,IF(BMO=1,7,5))),FALSE())))</f>
        <v> </v>
      </c>
      <c r="CF70" s="334" t="str">
        <f aca="false">IF($A70="N/A"," ",(VLOOKUP($A70,OmicronVol,(IF(BMO=2,3,IF(BMO=1,4,2))),FALSE())))</f>
        <v> </v>
      </c>
      <c r="CG70" s="335" t="str">
        <f aca="false">IF($A70="N/A"," ",(IF(DateToday&gt;$A70,$CF70,((($CE70^2)*((($A70-1)-DateToday)/((EOMONTH($A70,0)+1)-DateToday-15)))+((($CF70)^2)*((15)/((EOMONTH($A70,0)+1)-DateToday-15))))^0.5)))</f>
        <v> </v>
      </c>
      <c r="CH70" s="334" t="str">
        <f aca="false">IF($A70="N/A"," ",VLOOKUP($A70,CorrelationTable,2,FALSE()))</f>
        <v> </v>
      </c>
      <c r="CI70" s="336" t="str">
        <f aca="false">IF($A70="N/A"," ",F70+G70+(D70*('Pricing Inputs'!T103)))</f>
        <v> </v>
      </c>
      <c r="CJ70" s="334" t="str">
        <f aca="false">IF($A70="N/A"," ",IF(PV=1,0,'Pricing Inputs'!U103))</f>
        <v> </v>
      </c>
      <c r="CK70" s="337" t="str">
        <f aca="false">IF($A70="N/A"," ",(1+CJ70/2)^(-2*((EOMONTH(A70,0)+20)-DateToday)/365.25))</f>
        <v> </v>
      </c>
      <c r="CL70" s="338" t="str">
        <f aca="false">IF(A70="N/A"," ",IF(CC=2,(VLOOKUP(MONTH($A70),Hrtable,3))/1000,0))</f>
        <v> </v>
      </c>
      <c r="CM70" s="339" t="str">
        <f aca="false">IF(A70="N/A"," ",IF(CC=2,(CL70*C70)+F70,0))</f>
        <v> </v>
      </c>
      <c r="CN70" s="340" t="str">
        <f aca="false">IF($A70="N/A"," ",IF(CC=2,(VLOOKUP(A70,ScaledPrice,(IF(AND(Dayrun&gt;=1,Dayrun&lt;=6),2,4)))-((IF(R70&lt;&gt;0,$D70,$CL70)*$C70)+$F70+$G70)),0))</f>
        <v> </v>
      </c>
      <c r="CO70" s="340" t="str">
        <f aca="false">IF($A70="N/A"," ",IF(CC=2,(IF(AND(Dayrun&gt;=1,Dayrun&lt;=6),I70,(VLOOKUP(A70,ScaledPrice,2))*(2-(VLOOKUP(A70,ScaledPrice,3))))-((IF(S70&lt;&gt;0,$D70,$CL70)*$C70)+$F70+$G70)),0))</f>
        <v> </v>
      </c>
      <c r="CP70" s="340" t="str">
        <f aca="false">IF(A70="N/A"," ",IF(CC=2,(VLOOKUP(A70,ScaledPrice,9)-((IF(T70&lt;&gt;0,$D70,$CL70)*$C70)+$F70+$G70)),0))</f>
        <v> </v>
      </c>
      <c r="CQ70" s="340" t="str">
        <f aca="false">IF(A70="N/A"," ",IF(CC=2,(IF(OR(Dayrun=2,Dayrun=3,Dayrun=5,Dayrun=6,Dayrun=8,Dayrun=9),VLOOKUP(A70,ScaledPrice,IF(AND(Dayrun&gt;=2,Dayrun&lt;=6),5,6)),0)-((IF(U70&lt;&gt;0,$D70,$CL70)*$C70)+$F70+$G70)),0))</f>
        <v> </v>
      </c>
      <c r="CR70" s="340" t="str">
        <f aca="false">IF(A70="N/A"," ",IF(CC=2,(IF(OR(Dayrun=2,Dayrun=3,Dayrun=5,Dayrun=6,Dayrun=8,Dayrun=9),IF(AND(Dayrun&gt;=2,Dayrun&lt;=6),L70,(VLOOKUP(A70,ScaledPrice,5))*(2-(VLOOKUP(A70,ScaledPrice,3)))),0)-((IF(V70&lt;&gt;0,$D70,$CL70)*$C70)+$F70+$G70)),0))</f>
        <v> </v>
      </c>
      <c r="CS70" s="340" t="str">
        <f aca="false">IF(A70="N/A"," ",IF(CC=2,(VLOOKUP(A70,ScaledPrice,9)-((IF(W70&lt;&gt;0,$D70,$CL70)*$C70)+$F70+$G70)),0))</f>
        <v> </v>
      </c>
      <c r="CT70" s="340" t="str">
        <f aca="false">IF(A70="N/A"," ",IF(CC=2,(IF(OR(Dayrun=3,Dayrun=6,Dayrun=9),(VLOOKUP(A70,ScaledPrice,IF(AND(Dayrun&gt;=3,Dayrun&lt;=6),7,8))),0)-((IF(X70&lt;&gt;0,$D70,$CL70)*$C70)+$F70+$G70)),0))</f>
        <v> </v>
      </c>
      <c r="CU70" s="340" t="str">
        <f aca="false">IF(A70="N/A"," ",IF(CC=2,(IF(OR(Dayrun=3,Dayrun=6,Dayrun=9),IF(AND(Dayrun&gt;=3,Dayrun&lt;=6),O70,(VLOOKUP(A70,ScaledPrice,7))*(2-(VLOOKUP(A70,ScaledPrice,3)))),0)-((IF(Y70&lt;&gt;0,$D70,$CL70)*$C70)+$F70+$G70)),0))</f>
        <v> </v>
      </c>
      <c r="CV70" s="340" t="str">
        <f aca="false">IF(A70="N/A"," ",IF(CC=2,(VLOOKUP(A70,ScaledPrice,9)-((IF(Z70&lt;&gt;0,$D70,$CL70)*$C70)+$F70+$G70)),0))</f>
        <v> </v>
      </c>
      <c r="CW70" s="318" t="str">
        <f aca="false">IF($A70="N/A"," ",IF(0&lt;&gt;CN70,IF(CC=2,8*$HD70,0),0))</f>
        <v> </v>
      </c>
      <c r="CX70" s="318" t="str">
        <f aca="false">IF($A70="N/A"," ",IF(0&lt;&gt;CO70,IF(CC=2,8*$HD70,0),0))</f>
        <v> </v>
      </c>
      <c r="CY70" s="318" t="str">
        <f aca="false">IF($A70="N/A"," ",IF(0&lt;&gt;CP70,IF(CC=2,8*$HD70,0),0))</f>
        <v> </v>
      </c>
      <c r="CZ70" s="318" t="str">
        <f aca="false">IF($A70="N/A"," ",IF(0&lt;&gt;CQ70,IF(CC=2,8*$HE70,0),0))</f>
        <v> </v>
      </c>
      <c r="DA70" s="318" t="str">
        <f aca="false">IF($A70="N/A"," ",IF(0&lt;&gt;CR70,IF(CC=2,8*$HE70,0),0))</f>
        <v> </v>
      </c>
      <c r="DB70" s="318" t="str">
        <f aca="false">IF($A70="N/A"," ",IF(0&lt;&gt;CS70,IF(CC=2,8*$HE70,0),0))</f>
        <v> </v>
      </c>
      <c r="DC70" s="318" t="str">
        <f aca="false">IF($A70="N/A"," ",IF(0&lt;&gt;CT70,IF(CC=2,8*$HF70,0),0))</f>
        <v> </v>
      </c>
      <c r="DD70" s="318" t="str">
        <f aca="false">IF($A70="N/A"," ",IF(0&lt;&gt;CU70,IF(CC=2,8*$HF70,0),0))</f>
        <v> </v>
      </c>
      <c r="DE70" s="318" t="str">
        <f aca="false">IF($A70="N/A"," ",IF(0&lt;&gt;CV70,IF(CC=2,8*$HF70,0),0))</f>
        <v> </v>
      </c>
      <c r="DF70" s="341" t="str">
        <f aca="false">IF($A70="N/A"," ",IF(CC=2,(IF(MONTH(A70)&gt;=4,IF(MONTH(A70)&lt;=10,Inputs!$G$13,Inputs!$G$14),Inputs!$G$14))*$CK70,0))</f>
        <v> </v>
      </c>
      <c r="DG70" s="342" t="str">
        <f aca="false">IF($A70="N/A"," ",IF(CC=2,$DF70*CW70*CN70,0))</f>
        <v> </v>
      </c>
      <c r="DH70" s="342" t="str">
        <f aca="false">IF($A70="N/A"," ",IF(CC=2,$DF70*CX70*CO70,0))</f>
        <v> </v>
      </c>
      <c r="DI70" s="342" t="str">
        <f aca="false">IF($A70="N/A"," ",IF(CC=2,$DF70*CY70*CP70,0))</f>
        <v> </v>
      </c>
      <c r="DJ70" s="342" t="str">
        <f aca="false">IF($A70="N/A"," ",IF(CC=2,$DF70*CZ70*CQ70,0))</f>
        <v> </v>
      </c>
      <c r="DK70" s="342" t="str">
        <f aca="false">IF($A70="N/A"," ",IF(CC=2,$DF70*DA70*CR70,0))</f>
        <v> </v>
      </c>
      <c r="DL70" s="342" t="str">
        <f aca="false">IF($A70="N/A"," ",IF(CC=2,$DF70*DB70*CS70,0))</f>
        <v> </v>
      </c>
      <c r="DM70" s="342" t="str">
        <f aca="false">IF($A70="N/A"," ",IF(CC=2,$DF70*DC70*CT70,0))</f>
        <v> </v>
      </c>
      <c r="DN70" s="342" t="str">
        <f aca="false">IF($A70="N/A"," ",IF(CC=2,$DF70*DD70*CU70,0))</f>
        <v> </v>
      </c>
      <c r="DO70" s="342" t="str">
        <f aca="false">IF($A70="N/A"," ",IF(CC=2,$DF70*DE70*CV70,0))</f>
        <v> </v>
      </c>
      <c r="DP70" s="343" t="str">
        <f aca="false">IF($A70="N/A"," ",IF(CC=2,SUM(DG70:DO70),0))</f>
        <v> </v>
      </c>
      <c r="DQ70" s="0" t="str">
        <f aca="false">IF(A70="N/A"," ",Perstart)</f>
        <v> </v>
      </c>
      <c r="HD70" s="0" t="str">
        <f aca="false">IF($A70="N/A"," ",VLOOKUP($A70,NumberofDaysTable,2))</f>
        <v> </v>
      </c>
      <c r="HE70" s="0" t="str">
        <f aca="false">IF($A70="N/A"," ",VLOOKUP($A70,NumberofDaysTable,3))</f>
        <v> </v>
      </c>
      <c r="HF70" s="0" t="str">
        <f aca="false">IF($A70="N/A"," ",VLOOKUP($A70,NumberofDaysTable,4))</f>
        <v> </v>
      </c>
    </row>
    <row r="71" customFormat="false" ht="12.75" hidden="false" customHeight="false" outlineLevel="0" collapsed="false">
      <c r="A71" s="308" t="str">
        <f aca="false">IF(A70="N/A","N/A",IF(EDATE(A70,1)&gt;Inputs!$K$3,"N/A",EDATE(A70,1)))</f>
        <v>N/A</v>
      </c>
      <c r="B71" s="309" t="str">
        <f aca="false">IF(A71="N/A"," ",YEAR(A71))</f>
        <v> </v>
      </c>
      <c r="C71" s="310" t="str">
        <f aca="false">IF(A71="N/A"," ",VLOOKUP(A71,ScaledPrice,10))</f>
        <v> </v>
      </c>
      <c r="D71" s="311" t="str">
        <f aca="false">IF(A71="N/A"," ",(VLOOKUP(MONTH($A71),Hrtable,2))/1000)</f>
        <v> </v>
      </c>
      <c r="E71" s="312" t="str">
        <f aca="false">IF($A71="N/A"," ",(C71-'Pricing Inputs'!T104)*D71)</f>
        <v> </v>
      </c>
      <c r="F71" s="313" t="str">
        <f aca="false">IF(A71="N/A"," ",$F59*(1+VOMesc))</f>
        <v> </v>
      </c>
      <c r="G71" s="313" t="str">
        <f aca="false">IF(A71="N/A"," ",Perstart/IF(AND(Dayrun&gt;=4,Dayrun&lt;=6),16,IF(AND(Dayrun&gt;=7,Dayrun&lt;=9),8,24))/(BM71/CK71))</f>
        <v> </v>
      </c>
      <c r="H71" s="314" t="str">
        <f aca="false">IF(A71="N/A"," ",(C71*D71)+F71+G71)</f>
        <v> </v>
      </c>
      <c r="I71" s="315" t="str">
        <f aca="false">VLOOKUP(A71,ScaledPrice,(IF(AND(Dayrun&gt;=1,Dayrun&lt;=6),2,4)))</f>
        <v> </v>
      </c>
      <c r="J71" s="315" t="str">
        <f aca="false">IF(A71="N/A"," ",IF(AND(Dayrun&gt;=1,Dayrun&lt;=6),I71,(VLOOKUP(A71,ScaledPrice,2))*(2-(VLOOKUP(A71,ScaledPrice,3)))))</f>
        <v> </v>
      </c>
      <c r="K71" s="315" t="str">
        <f aca="false">IF(A71="N/A"," ",IF(AND(Dayrun&gt;=1,Dayrun&lt;=3),VLOOKUP(A71,ScaledPrice,9),0))</f>
        <v> </v>
      </c>
      <c r="L71" s="315" t="str">
        <f aca="false">IF(A71="N/A"," ",IF(OR(Dayrun=2,Dayrun=3,Dayrun=5,Dayrun=6,Dayrun=8,Dayrun=9),VLOOKUP(A71,ScaledPrice,IF(AND(Dayrun&gt;=2,Dayrun&lt;=6),5,6)),0))</f>
        <v> </v>
      </c>
      <c r="M71" s="315" t="str">
        <f aca="false">IF(A71="N/A"," ",IF(OR(Dayrun=2,Dayrun=3,Dayrun=5,Dayrun=6,Dayrun=8,Dayrun=9),IF(AND(Dayrun&gt;=2,Dayrun&lt;=6),L71,(VLOOKUP(A71,ScaledPrice,5))*(2-(VLOOKUP(A71,ScaledPrice,3)))),0))</f>
        <v> </v>
      </c>
      <c r="N71" s="315" t="str">
        <f aca="false">IF(A71="N/A"," ",IF(AND(Dayrun&gt;1,Dayrun&lt;=3),VLOOKUP(A71,ScaledPrice,9),0))</f>
        <v> </v>
      </c>
      <c r="O71" s="315" t="str">
        <f aca="false">IF(A71="N/A"," ",IF(OR(Dayrun=3,Dayrun=6,Dayrun=9),(VLOOKUP(A71,ScaledPrice,IF(AND(Dayrun&gt;=3,Dayrun&lt;=6),7,8))),0))</f>
        <v> </v>
      </c>
      <c r="P71" s="315" t="str">
        <f aca="false">IF(A71="N/A"," ",IF(OR(Dayrun=3,Dayrun=6,Dayrun=9),IF(AND(Dayrun&gt;=3,Dayrun&lt;=6),O71,(VLOOKUP(A71,ScaledPrice,7))*(2-(VLOOKUP(A71,ScaledPrice,3)))),0))</f>
        <v> </v>
      </c>
      <c r="Q71" s="315" t="str">
        <f aca="false">IF(A71="N/A"," ",IF(AND(Dayrun&gt;2,Dayrun&lt;=3),VLOOKUP(A71,ScaledPrice,9),0))</f>
        <v> </v>
      </c>
      <c r="R71" s="316" t="str">
        <f aca="false">IF($A71="N/A"," ",IF(Pricetype=2,MAX(I71-$H71,0),IF(Pricetype=1,(xSPRDOPT(I71,$E71,$CI71,0,($CD71+IF(Smile=TRUE(),VLOOKUP(MAX(-5,$H71-I71),Volsmile,2),0)),$CG71,$CH71,($A71-DateToday)+15,1,0)),I71-$H71)))</f>
        <v> </v>
      </c>
      <c r="S71" s="316" t="str">
        <f aca="false">IF($A71="N/A"," ",IF(Pricetype=2,MAX(J71-$H71,0),IF(Pricetype=1,(xSPRDOPT(J71,$E71,$CI71,0,($CD71+IF(Smile=TRUE(),VLOOKUP(MAX(-5,$H71-J71),Volsmile,2),0)),$CG71,$CH71,($A71-DateToday)+15,1,0)),J71-$H71)))</f>
        <v> </v>
      </c>
      <c r="T71" s="317" t="str">
        <f aca="false">IF($A71="N/A"," ",(IF(Pricetype=2,IF((K71-$H71)&lt;=0,0,(K71-$H71)),IF(K71&lt;&gt;0,(K71-$H71),0))))</f>
        <v> </v>
      </c>
      <c r="U71" s="316" t="str">
        <f aca="false">IF($A71="N/A"," ",IF(Pricetype=2,MAX(L71-$H71,0),IF(L71&lt;&gt;0,IF(Pricetype=1,(xSPRDOPT(L71,$E71,$CI71,0,($CD71+IF(Smile=TRUE(),VLOOKUP(MAX(-5,$H71-L71),Volsmile,2),0)),$CG71,$CH71,($A71-DateToday)+15,1,0)),L71-$H71),0)))</f>
        <v> </v>
      </c>
      <c r="V71" s="316" t="str">
        <f aca="false">IF($A71="N/A"," ",IF(Pricetype=2,MAX(M71-$H71,0),IF(M71&lt;&gt;0,IF(Pricetype=1,(xSPRDOPT(M71,$E71,$CI71,0,($CD71+IF(Smile=TRUE(),VLOOKUP(MAX(-5,$H71-M71),Volsmile,2),0)),$CG71,$CH71,($A71-DateToday)+15,1,0)),M71-$H71),0)))</f>
        <v> </v>
      </c>
      <c r="W71" s="317" t="str">
        <f aca="false">IF($A71="N/A"," ",(IF(Pricetype=2,IF((N71-$H71)&lt;=0,0,(N71-$H71)),IF(N71&lt;&gt;0,(N71-$H71),0))))</f>
        <v> </v>
      </c>
      <c r="X71" s="316" t="str">
        <f aca="false">IF($A71="N/A"," ",IF(Pricetype=2,MAX(O71-$H71,0),IF(O71&lt;&gt;0,IF(Pricetype=1,(xSPRDOPT(O71,$E71,$CI71,0,($CD71+IF(Smile=TRUE(),VLOOKUP(MAX(-5,$H71-O71),Volsmile,2),0)),$CG71,$CH71,($A71-DateToday)+15,1,0)),O71-$H71),0)))</f>
        <v> </v>
      </c>
      <c r="Y71" s="316" t="str">
        <f aca="false">IF($A71="N/A"," ",IF(Pricetype=2,MAX(P71-$H71,0),IF(P71&lt;&gt;0,IF(Pricetype=1,(xSPRDOPT(P71,$E71,$CI71,0,($CD71+IF(Smile=TRUE(),VLOOKUP(MAX(-5,$H71-P71),Volsmile,2),0)),$CG71,$CH71,($A71-DateToday)+15,1,0)),P71-$H71),0)))</f>
        <v> </v>
      </c>
      <c r="Z71" s="317" t="str">
        <f aca="false">IF($A71="N/A"," ",(IF(Pricetype=2,IF((Q71-$H71)&lt;=0,0,(Q71-$H71)),IF(Q71&lt;&gt;0,(Q71-$H71),0))))</f>
        <v> </v>
      </c>
      <c r="AA71" s="318" t="str">
        <f aca="false">IF($A71="N/A"," ",IF(VLOOKUP(MONTH(A71),ManualTable,2)=1,(IF(0&lt;&gt;R71,IF(Pricetype=1,(xSPRDOPT(I71,$E71,$CI71,0,($CD71+IF(Smile=TRUE(),VLOOKUP(MAX(-5,$H71-I71),Volsmile,2),0)),$CG71,$CH71,($A71-DateToday)+15,1,1))*(8*$HD71),8*$HD71),0)),0))</f>
        <v> </v>
      </c>
      <c r="AB71" s="318" t="str">
        <f aca="false">IF($A71="N/A"," ",IF(VLOOKUP(MONTH(A71),ManualTable,3)=1,(IF(S71&lt;&gt;0,IF(Pricetype=1,(xSPRDOPT(J71,$E71,$CI71,0,($CD71+IF(Smile=TRUE(),VLOOKUP(MAX(-5,$H71-J71),Volsmile,2),0)),$CG71,$CH71,($A71-DateToday)+15,1,1))*(8*$HD71),8*$HD71),0)),0))</f>
        <v> </v>
      </c>
      <c r="AC71" s="318" t="str">
        <f aca="false">IF($A71="N/A"," ",IF(VLOOKUP(MONTH(A71),ManualTable,4)=1,(IF(T71&lt;&gt;0,(8*$HD71),0)),0))</f>
        <v> </v>
      </c>
      <c r="AD71" s="318" t="str">
        <f aca="false">IF($A71="N/A"," ",IF(VLOOKUP(MONTH(A71),ManualTable,5)=1,(IF(U71&lt;&gt;0,IF(Pricetype=1,(xSPRDOPT(L71,$E71,$CI71,0,($CD71+IF(Smile=TRUE(),VLOOKUP(MAX(-5,$H71-L71),Volsmile,2),0)),$CG71,$CH71,($A71-DateToday)+15,1,1))*(8*$HE71),8*$HE71),0)),0))</f>
        <v> </v>
      </c>
      <c r="AE71" s="318" t="str">
        <f aca="false">IF($A71="N/A"," ",IF(VLOOKUP(MONTH(A71),ManualTable,6)=1,(IF(V71&lt;&gt;0,IF(Pricetype=1,(xSPRDOPT(M71,$E71,$CI71,0,($CD71+IF(Smile=TRUE(),VLOOKUP(MAX(-5,$H71-M71),Volsmile,2),0)),$CG71,$CH71,($A71-DateToday)+15,1,1))*(8*$HE71),8*$HE71),0)),0))</f>
        <v> </v>
      </c>
      <c r="AF71" s="318" t="str">
        <f aca="false">IF($A71="N/A"," ",IF(VLOOKUP(MONTH(A71),ManualTable,7)=1,(IF(W71&lt;&gt;0,(8*$HE71),0)),0))</f>
        <v> </v>
      </c>
      <c r="AG71" s="318" t="str">
        <f aca="false">IF($A71="N/A"," ",IF(VLOOKUP(MONTH(A71),ManualTable,8)=1,(IF(X71&lt;&gt;0,IF(Pricetype=1,(xSPRDOPT(O71,$E71,$CI71,0,($CD71+IF(Smile=TRUE(),VLOOKUP(MAX(-5,$H71-O71),Volsmile,2),0)),$CG71,$CH71,($A71-DateToday)+15,1,1))*(8*$HF71),8*$HF71),0)),0))</f>
        <v> </v>
      </c>
      <c r="AH71" s="318" t="str">
        <f aca="false">IF($A71="N/A"," ",IF(VLOOKUP(MONTH(A71),ManualTable,9)=1,(IF(Y71&lt;&gt;0,IF(Pricetype=1,(xSPRDOPT(P71,$E71,$CI71,0,($CD71+IF(Smile=TRUE(),VLOOKUP(MAX(-5,$H71-P71),Volsmile,2),0)),$CG71,$CH71,($A71-DateToday)+15,1,1))*(8*$HF71),8*$HF71),0)),0))</f>
        <v> </v>
      </c>
      <c r="AI71" s="318" t="str">
        <f aca="false">IF($A71="N/A"," ",IF(VLOOKUP(MONTH(A71),ManualTable,10)=1,(IF(Z71&lt;&gt;0,(8*($HF71)),0)),0))</f>
        <v> </v>
      </c>
      <c r="AJ71" s="344" t="str">
        <f aca="false">IF($A71="N/A"," ",RANK(R71,$R$64:$Z$75))</f>
        <v> </v>
      </c>
      <c r="AK71" s="321" t="str">
        <f aca="false">IF($A71="N/A"," ",RANK(S71,$R$64:$Z$75))</f>
        <v> </v>
      </c>
      <c r="AL71" s="321" t="str">
        <f aca="false">IF($A71="N/A"," ",RANK(T71,$R$64:$Z$75))</f>
        <v> </v>
      </c>
      <c r="AM71" s="321" t="str">
        <f aca="false">IF($A71="N/A"," ",RANK(U71,$R$64:$Z$75))</f>
        <v> </v>
      </c>
      <c r="AN71" s="321" t="str">
        <f aca="false">IF($A71="N/A"," ",RANK(V71,$R$64:$Z$75))</f>
        <v> </v>
      </c>
      <c r="AO71" s="321" t="str">
        <f aca="false">IF($A71="N/A"," ",RANK(W71,$R$64:$Z$75))</f>
        <v> </v>
      </c>
      <c r="AP71" s="321" t="str">
        <f aca="false">IF($A71="N/A"," ",RANK(X71,$R$64:$Z$75))</f>
        <v> </v>
      </c>
      <c r="AQ71" s="321" t="str">
        <f aca="false">IF($A71="N/A"," ",RANK(Y71,$R$64:$Z$75))</f>
        <v> </v>
      </c>
      <c r="AR71" s="345" t="str">
        <f aca="false">IF($A71="N/A"," ",RANK(Z71,$R$64:$Z$75))</f>
        <v> </v>
      </c>
      <c r="AS71" s="323" t="str">
        <f aca="false">IF($A71="N/A"," ",IF(AJ71&lt;=$AR$2,AA71,0))</f>
        <v> </v>
      </c>
      <c r="AT71" s="325" t="str">
        <f aca="false">IF($A71="N/A"," ",IF(AK71&lt;=$AR$2,AB71,0))</f>
        <v> </v>
      </c>
      <c r="AU71" s="325" t="str">
        <f aca="false">IF($A71="N/A"," ",IF(AL71&lt;=$AR$2,AC71,0))</f>
        <v> </v>
      </c>
      <c r="AV71" s="325" t="str">
        <f aca="false">IF($A71="N/A"," ",IF(AM71&lt;=$AR$2,AD71,0))</f>
        <v> </v>
      </c>
      <c r="AW71" s="325" t="str">
        <f aca="false">IF($A71="N/A"," ",IF(AN71&lt;=$AR$2,AE71,0))</f>
        <v> </v>
      </c>
      <c r="AX71" s="325" t="str">
        <f aca="false">IF($A71="N/A"," ",IF(AO71&lt;=$AR$2,AF71,0))</f>
        <v> </v>
      </c>
      <c r="AY71" s="325" t="str">
        <f aca="false">IF($A71="N/A"," ",IF(AP71&lt;=$AR$2,AG71,0))</f>
        <v> </v>
      </c>
      <c r="AZ71" s="325" t="str">
        <f aca="false">IF($A71="N/A"," ",IF(AQ71&lt;=$AR$2,AH71,0))</f>
        <v> </v>
      </c>
      <c r="BA71" s="325" t="str">
        <f aca="false">IF($A71="N/A"," ",IF(AR71&lt;=$AR$2,AI71,0))</f>
        <v> </v>
      </c>
      <c r="BB71" s="345"/>
      <c r="BC71" s="326" t="str">
        <f aca="false">IF($A71="N/A"," ",IF(AND(AJ71=$AR$2+1,AS71=0),MIN($BB$75,AA71),0))</f>
        <v> </v>
      </c>
      <c r="BD71" s="346" t="str">
        <f aca="false">IF($A71="N/A"," ",IF(AND(AK71=$AR$2+1,AT71=0),MIN($BB$75,AB71),0))</f>
        <v> </v>
      </c>
      <c r="BE71" s="346" t="str">
        <f aca="false">IF($A71="N/A"," ",IF(AND(AL71=$AR$2+1,AU71=0),MIN($BB$75,AC71),0))</f>
        <v> </v>
      </c>
      <c r="BF71" s="346" t="str">
        <f aca="false">IF($A71="N/A"," ",IF(AND(AM71=$AR$2+1,AV71=0),MIN($BB$75,AD71),0))</f>
        <v> </v>
      </c>
      <c r="BG71" s="346" t="str">
        <f aca="false">IF($A71="N/A"," ",IF(AND(AN71=$AR$2+1,AW71=0),MIN($BB$75,AE71),0))</f>
        <v> </v>
      </c>
      <c r="BH71" s="346" t="str">
        <f aca="false">IF($A71="N/A"," ",IF(AND(AO71=$AR$2+1,AX71=0),MIN($BB$75,AF71),0))</f>
        <v> </v>
      </c>
      <c r="BI71" s="346" t="str">
        <f aca="false">IF($A71="N/A"," ",IF(AND(AP71=$AR$2+1,AY71=0),MIN($BB$75,AG71),0))</f>
        <v> </v>
      </c>
      <c r="BJ71" s="346" t="str">
        <f aca="false">IF($A71="N/A"," ",IF(AND(AQ71=$AR$2+1,AZ71=0),MIN($BB$75,AH71),0))</f>
        <v> </v>
      </c>
      <c r="BK71" s="346" t="str">
        <f aca="false">IF($A71="N/A"," ",IF(AND(AR71=$AR$2+1,BA71=0),MIN($BB$75,AI71),0))</f>
        <v> </v>
      </c>
      <c r="BL71" s="345"/>
      <c r="BM71" s="329" t="str">
        <f aca="false">IF($A71="N/A"," ",(IF(MONTH(A71)&gt;=4,IF(MONTH(A71)&lt;=10,Inputs!$F$13-Inputs!$G$13,Inputs!$F$14-Inputs!$G$14),Inputs!$F$14-Inputs!$G$14))*$CK71*Availability)</f>
        <v> </v>
      </c>
      <c r="BN71" s="330" t="str">
        <f aca="false">IF($A71="N/A"," ",(IF(AS71&gt;0,($BM71*(8*($HD71))*R71),0)+IF(BC71&gt;0,($BM71*((BC71/AA71)*8*$HD71)*R71),0)))</f>
        <v> </v>
      </c>
      <c r="BO71" s="330" t="str">
        <f aca="false">IF($A71="N/A"," ",(IF(AT71&gt;0,($BM71*(8*($HD71))*S71),0)+IF(BD71&gt;0,($BM71*((BD71/AB71)*8*$HD71)*S71),0)))</f>
        <v> </v>
      </c>
      <c r="BP71" s="330" t="str">
        <f aca="false">IF($A71="N/A"," ",(IF(AU71&gt;0,($BM71*(8*($HD71))*T71),0)+IF(BE71&gt;0,($BM71*((BE71))*T71),0)))</f>
        <v> </v>
      </c>
      <c r="BQ71" s="330" t="str">
        <f aca="false">IF($A71="N/A"," ",(IF(AV71&gt;0,($BM71*(8*($HE71))*U71),0)+IF(BF71&gt;0,($BM71*((BF71/AD71)*8*$HE71)*U71),0)))</f>
        <v> </v>
      </c>
      <c r="BR71" s="330" t="str">
        <f aca="false">IF($A71="N/A"," ",(IF(AW71&gt;0,($BM71*(8*($HE71))*V71),0)+IF(BG71&gt;0,($BM71*((BG71/AE71)*8*$HE71)*V71),0)))</f>
        <v> </v>
      </c>
      <c r="BS71" s="330" t="str">
        <f aca="false">IF($A71="N/A"," ",(IF(AX71&gt;0,($BM71*(8*($HE71))*W71),0)+IF(BH71&gt;0,($BM71*((BH71))*W71),0)))</f>
        <v> </v>
      </c>
      <c r="BT71" s="330" t="str">
        <f aca="false">IF($A71="N/A"," ",(IF(AY71&gt;0,($BM71*(8*($HF71))*X71),0)+IF(BI71&gt;0,($BM71*((BI71/AG71)*8*$HF71)*X71),0)))</f>
        <v> </v>
      </c>
      <c r="BU71" s="330" t="str">
        <f aca="false">IF($A71="N/A"," ",(IF(AZ71&gt;0,($BM71*(8*($HF71))*Y71),0)+IF(BJ71&gt;0,($BM71*((BJ71/AH71)*8*$HF71)*Y71),0)))</f>
        <v> </v>
      </c>
      <c r="BV71" s="330" t="str">
        <f aca="false">IF($A71="N/A"," ",(IF(BA71&gt;0,($BM71*(8*($HF71))*Z71),0)+IF(BK71&gt;0,($BM71*((BK71))*Z71),0)))</f>
        <v> </v>
      </c>
      <c r="BW71" s="330" t="str">
        <f aca="false">IF($A71="N/A"," ",SUM(BN71:BV71))</f>
        <v> </v>
      </c>
      <c r="BX71" s="331" t="str">
        <f aca="false">IF($A71="N/A"," ",(H71*(SUM(AS71:BA71)+SUM(BC71:BK71))*BM71))</f>
        <v> </v>
      </c>
      <c r="BY71" s="332" t="str">
        <f aca="false">IF($A71="N/A"," ",((C71*D71)*(SUM($AS71:$BA71)+SUM($BC71:$BK71))*$BM71))</f>
        <v> </v>
      </c>
      <c r="BZ71" s="332" t="str">
        <f aca="false">IF($A71="N/A"," ",(F71*(SUM($AS71:$BA71)+SUM($BC71:$BK71))*$BM71))</f>
        <v> </v>
      </c>
      <c r="CA71" s="333" t="str">
        <f aca="false">IF($A71="N/A"," ",(G71*(SUM($AS71:$BA71)+SUM($BC71:$BK71))*$BM71))</f>
        <v> </v>
      </c>
      <c r="CB71" s="334" t="str">
        <f aca="false">IF(A71="N/A"," ",(VLOOKUP(A71,PowerVolTable,(IF(BMO=2,7,IF(BMO=1,6,8))),FALSE())))</f>
        <v> </v>
      </c>
      <c r="CC71" s="334" t="str">
        <f aca="false">IF(A71="N/A"," ",(VLOOKUP(A71,IntraPowerVol,(IF(BMO=2,3,IF(BMO=1,2,4))),FALSE())*VLOOKUP(MONTH($A71),Volscale,2)))</f>
        <v> </v>
      </c>
      <c r="CD71" s="335" t="str">
        <f aca="false">IF($A71="N/A"," ",(IF(DateToday&gt;$A71,$CC71,((($CB71^2)*((($A71-1)-DateToday)/((EOMONTH($A71,0)+1)-DateToday-15)))+((($CC71)^2)*((15)/((EOMONTH($A71,0)+1)-DateToday-15))))^0.5)))</f>
        <v> </v>
      </c>
      <c r="CE71" s="334" t="str">
        <f aca="false">IF($A71="N/A"," ",(VLOOKUP($A71,GasVolTable,(IF(BMO=2,6,IF(BMO=1,7,5))),FALSE())))</f>
        <v> </v>
      </c>
      <c r="CF71" s="334" t="str">
        <f aca="false">IF($A71="N/A"," ",(VLOOKUP($A71,OmicronVol,(IF(BMO=2,3,IF(BMO=1,4,2))),FALSE())))</f>
        <v> </v>
      </c>
      <c r="CG71" s="335" t="str">
        <f aca="false">IF($A71="N/A"," ",(IF(DateToday&gt;$A71,$CF71,((($CE71^2)*((($A71-1)-DateToday)/((EOMONTH($A71,0)+1)-DateToday-15)))+((($CF71)^2)*((15)/((EOMONTH($A71,0)+1)-DateToday-15))))^0.5)))</f>
        <v> </v>
      </c>
      <c r="CH71" s="334" t="str">
        <f aca="false">IF($A71="N/A"," ",VLOOKUP($A71,CorrelationTable,2,FALSE()))</f>
        <v> </v>
      </c>
      <c r="CI71" s="336" t="str">
        <f aca="false">IF($A71="N/A"," ",F71+G71+(D71*('Pricing Inputs'!T104)))</f>
        <v> </v>
      </c>
      <c r="CJ71" s="334" t="str">
        <f aca="false">IF($A71="N/A"," ",IF(PV=1,0,'Pricing Inputs'!U104))</f>
        <v> </v>
      </c>
      <c r="CK71" s="337" t="str">
        <f aca="false">IF($A71="N/A"," ",(1+CJ71/2)^(-2*((EOMONTH(A71,0)+20)-DateToday)/365.25))</f>
        <v> </v>
      </c>
      <c r="CL71" s="338" t="str">
        <f aca="false">IF(A71="N/A"," ",IF(CC=2,(VLOOKUP(MONTH($A71),Hrtable,3))/1000,0))</f>
        <v> </v>
      </c>
      <c r="CM71" s="339" t="str">
        <f aca="false">IF(A71="N/A"," ",IF(CC=2,(CL71*C71)+F71,0))</f>
        <v> </v>
      </c>
      <c r="CN71" s="340" t="str">
        <f aca="false">IF($A71="N/A"," ",IF(CC=2,(VLOOKUP(A71,ScaledPrice,(IF(AND(Dayrun&gt;=1,Dayrun&lt;=6),2,4)))-((IF(R71&lt;&gt;0,$D71,$CL71)*$C71)+$F71+$G71)),0))</f>
        <v> </v>
      </c>
      <c r="CO71" s="340" t="str">
        <f aca="false">IF($A71="N/A"," ",IF(CC=2,(IF(AND(Dayrun&gt;=1,Dayrun&lt;=6),I71,(VLOOKUP(A71,ScaledPrice,2))*(2-(VLOOKUP(A71,ScaledPrice,3))))-((IF(S71&lt;&gt;0,$D71,$CL71)*$C71)+$F71+$G71)),0))</f>
        <v> </v>
      </c>
      <c r="CP71" s="340" t="str">
        <f aca="false">IF(A71="N/A"," ",IF(CC=2,(VLOOKUP(A71,ScaledPrice,9)-((IF(T71&lt;&gt;0,$D71,$CL71)*$C71)+$F71+$G71)),0))</f>
        <v> </v>
      </c>
      <c r="CQ71" s="340" t="str">
        <f aca="false">IF(A71="N/A"," ",IF(CC=2,(IF(OR(Dayrun=2,Dayrun=3,Dayrun=5,Dayrun=6,Dayrun=8,Dayrun=9),VLOOKUP(A71,ScaledPrice,IF(AND(Dayrun&gt;=2,Dayrun&lt;=6),5,6)),0)-((IF(U71&lt;&gt;0,$D71,$CL71)*$C71)+$F71+$G71)),0))</f>
        <v> </v>
      </c>
      <c r="CR71" s="340" t="str">
        <f aca="false">IF(A71="N/A"," ",IF(CC=2,(IF(OR(Dayrun=2,Dayrun=3,Dayrun=5,Dayrun=6,Dayrun=8,Dayrun=9),IF(AND(Dayrun&gt;=2,Dayrun&lt;=6),L71,(VLOOKUP(A71,ScaledPrice,5))*(2-(VLOOKUP(A71,ScaledPrice,3)))),0)-((IF(V71&lt;&gt;0,$D71,$CL71)*$C71)+$F71+$G71)),0))</f>
        <v> </v>
      </c>
      <c r="CS71" s="340" t="str">
        <f aca="false">IF(A71="N/A"," ",IF(CC=2,(VLOOKUP(A71,ScaledPrice,9)-((IF(W71&lt;&gt;0,$D71,$CL71)*$C71)+$F71+$G71)),0))</f>
        <v> </v>
      </c>
      <c r="CT71" s="340" t="str">
        <f aca="false">IF(A71="N/A"," ",IF(CC=2,(IF(OR(Dayrun=3,Dayrun=6,Dayrun=9),(VLOOKUP(A71,ScaledPrice,IF(AND(Dayrun&gt;=3,Dayrun&lt;=6),7,8))),0)-((IF(X71&lt;&gt;0,$D71,$CL71)*$C71)+$F71+$G71)),0))</f>
        <v> </v>
      </c>
      <c r="CU71" s="340" t="str">
        <f aca="false">IF(A71="N/A"," ",IF(CC=2,(IF(OR(Dayrun=3,Dayrun=6,Dayrun=9),IF(AND(Dayrun&gt;=3,Dayrun&lt;=6),O71,(VLOOKUP(A71,ScaledPrice,7))*(2-(VLOOKUP(A71,ScaledPrice,3)))),0)-((IF(Y71&lt;&gt;0,$D71,$CL71)*$C71)+$F71+$G71)),0))</f>
        <v> </v>
      </c>
      <c r="CV71" s="340" t="str">
        <f aca="false">IF(A71="N/A"," ",IF(CC=2,(VLOOKUP(A71,ScaledPrice,9)-((IF(Z71&lt;&gt;0,$D71,$CL71)*$C71)+$F71+$G71)),0))</f>
        <v> </v>
      </c>
      <c r="CW71" s="318" t="str">
        <f aca="false">IF($A71="N/A"," ",IF(0&lt;&gt;CN71,IF(CC=2,8*$HD71,0),0))</f>
        <v> </v>
      </c>
      <c r="CX71" s="318" t="str">
        <f aca="false">IF($A71="N/A"," ",IF(0&lt;&gt;CO71,IF(CC=2,8*$HD71,0),0))</f>
        <v> </v>
      </c>
      <c r="CY71" s="318" t="str">
        <f aca="false">IF($A71="N/A"," ",IF(0&lt;&gt;CP71,IF(CC=2,8*$HD71,0),0))</f>
        <v> </v>
      </c>
      <c r="CZ71" s="318" t="str">
        <f aca="false">IF($A71="N/A"," ",IF(0&lt;&gt;CQ71,IF(CC=2,8*$HE71,0),0))</f>
        <v> </v>
      </c>
      <c r="DA71" s="318" t="str">
        <f aca="false">IF($A71="N/A"," ",IF(0&lt;&gt;CR71,IF(CC=2,8*$HE71,0),0))</f>
        <v> </v>
      </c>
      <c r="DB71" s="318" t="str">
        <f aca="false">IF($A71="N/A"," ",IF(0&lt;&gt;CS71,IF(CC=2,8*$HE71,0),0))</f>
        <v> </v>
      </c>
      <c r="DC71" s="318" t="str">
        <f aca="false">IF($A71="N/A"," ",IF(0&lt;&gt;CT71,IF(CC=2,8*$HF71,0),0))</f>
        <v> </v>
      </c>
      <c r="DD71" s="318" t="str">
        <f aca="false">IF($A71="N/A"," ",IF(0&lt;&gt;CU71,IF(CC=2,8*$HF71,0),0))</f>
        <v> </v>
      </c>
      <c r="DE71" s="318" t="str">
        <f aca="false">IF($A71="N/A"," ",IF(0&lt;&gt;CV71,IF(CC=2,8*$HF71,0),0))</f>
        <v> </v>
      </c>
      <c r="DF71" s="341" t="str">
        <f aca="false">IF($A71="N/A"," ",IF(CC=2,(IF(MONTH(A71)&gt;=4,IF(MONTH(A71)&lt;=10,Inputs!$G$13,Inputs!$G$14),Inputs!$G$14))*$CK71,0))</f>
        <v> </v>
      </c>
      <c r="DG71" s="342" t="str">
        <f aca="false">IF($A71="N/A"," ",IF(CC=2,$DF71*CW71*CN71,0))</f>
        <v> </v>
      </c>
      <c r="DH71" s="342" t="str">
        <f aca="false">IF($A71="N/A"," ",IF(CC=2,$DF71*CX71*CO71,0))</f>
        <v> </v>
      </c>
      <c r="DI71" s="342" t="str">
        <f aca="false">IF($A71="N/A"," ",IF(CC=2,$DF71*CY71*CP71,0))</f>
        <v> </v>
      </c>
      <c r="DJ71" s="342" t="str">
        <f aca="false">IF($A71="N/A"," ",IF(CC=2,$DF71*CZ71*CQ71,0))</f>
        <v> </v>
      </c>
      <c r="DK71" s="342" t="str">
        <f aca="false">IF($A71="N/A"," ",IF(CC=2,$DF71*DA71*CR71,0))</f>
        <v> </v>
      </c>
      <c r="DL71" s="342" t="str">
        <f aca="false">IF($A71="N/A"," ",IF(CC=2,$DF71*DB71*CS71,0))</f>
        <v> </v>
      </c>
      <c r="DM71" s="342" t="str">
        <f aca="false">IF($A71="N/A"," ",IF(CC=2,$DF71*DC71*CT71,0))</f>
        <v> </v>
      </c>
      <c r="DN71" s="342" t="str">
        <f aca="false">IF($A71="N/A"," ",IF(CC=2,$DF71*DD71*CU71,0))</f>
        <v> </v>
      </c>
      <c r="DO71" s="342" t="str">
        <f aca="false">IF($A71="N/A"," ",IF(CC=2,$DF71*DE71*CV71,0))</f>
        <v> </v>
      </c>
      <c r="DP71" s="343" t="str">
        <f aca="false">IF($A71="N/A"," ",IF(CC=2,SUM(DG71:DO71),0))</f>
        <v> </v>
      </c>
      <c r="DQ71" s="0" t="str">
        <f aca="false">IF(A71="N/A"," ",Perstart)</f>
        <v> </v>
      </c>
      <c r="HD71" s="0" t="str">
        <f aca="false">IF($A71="N/A"," ",VLOOKUP($A71,NumberofDaysTable,2))</f>
        <v> </v>
      </c>
      <c r="HE71" s="0" t="str">
        <f aca="false">IF($A71="N/A"," ",VLOOKUP($A71,NumberofDaysTable,3))</f>
        <v> </v>
      </c>
      <c r="HF71" s="0" t="str">
        <f aca="false">IF($A71="N/A"," ",VLOOKUP($A71,NumberofDaysTable,4))</f>
        <v> </v>
      </c>
    </row>
    <row r="72" customFormat="false" ht="12.75" hidden="false" customHeight="false" outlineLevel="0" collapsed="false">
      <c r="A72" s="308" t="str">
        <f aca="false">IF(A71="N/A","N/A",IF(EDATE(A71,1)&gt;Inputs!$K$3,"N/A",EDATE(A71,1)))</f>
        <v>N/A</v>
      </c>
      <c r="B72" s="309" t="str">
        <f aca="false">IF(A72="N/A"," ",YEAR(A72))</f>
        <v> </v>
      </c>
      <c r="C72" s="310" t="str">
        <f aca="false">IF(A72="N/A"," ",VLOOKUP(A72,ScaledPrice,10))</f>
        <v> </v>
      </c>
      <c r="D72" s="311" t="str">
        <f aca="false">IF(A72="N/A"," ",(VLOOKUP(MONTH($A72),Hrtable,2))/1000)</f>
        <v> </v>
      </c>
      <c r="E72" s="312" t="str">
        <f aca="false">IF($A72="N/A"," ",(C72-'Pricing Inputs'!T105)*D72)</f>
        <v> </v>
      </c>
      <c r="F72" s="313" t="str">
        <f aca="false">IF(A72="N/A"," ",$F60*(1+VOMesc))</f>
        <v> </v>
      </c>
      <c r="G72" s="313" t="str">
        <f aca="false">IF(A72="N/A"," ",Perstart/IF(AND(Dayrun&gt;=4,Dayrun&lt;=6),16,IF(AND(Dayrun&gt;=7,Dayrun&lt;=9),8,24))/(BM72/CK72))</f>
        <v> </v>
      </c>
      <c r="H72" s="314" t="str">
        <f aca="false">IF(A72="N/A"," ",(C72*D72)+F72+G72)</f>
        <v> </v>
      </c>
      <c r="I72" s="315" t="str">
        <f aca="false">VLOOKUP(A72,ScaledPrice,(IF(AND(Dayrun&gt;=1,Dayrun&lt;=6),2,4)))</f>
        <v> </v>
      </c>
      <c r="J72" s="315" t="str">
        <f aca="false">IF(A72="N/A"," ",IF(AND(Dayrun&gt;=1,Dayrun&lt;=6),I72,(VLOOKUP(A72,ScaledPrice,2))*(2-(VLOOKUP(A72,ScaledPrice,3)))))</f>
        <v> </v>
      </c>
      <c r="K72" s="315" t="str">
        <f aca="false">IF(A72="N/A"," ",IF(AND(Dayrun&gt;=1,Dayrun&lt;=3),VLOOKUP(A72,ScaledPrice,9),0))</f>
        <v> </v>
      </c>
      <c r="L72" s="315" t="str">
        <f aca="false">IF(A72="N/A"," ",IF(OR(Dayrun=2,Dayrun=3,Dayrun=5,Dayrun=6,Dayrun=8,Dayrun=9),VLOOKUP(A72,ScaledPrice,IF(AND(Dayrun&gt;=2,Dayrun&lt;=6),5,6)),0))</f>
        <v> </v>
      </c>
      <c r="M72" s="315" t="str">
        <f aca="false">IF(A72="N/A"," ",IF(OR(Dayrun=2,Dayrun=3,Dayrun=5,Dayrun=6,Dayrun=8,Dayrun=9),IF(AND(Dayrun&gt;=2,Dayrun&lt;=6),L72,(VLOOKUP(A72,ScaledPrice,5))*(2-(VLOOKUP(A72,ScaledPrice,3)))),0))</f>
        <v> </v>
      </c>
      <c r="N72" s="315" t="str">
        <f aca="false">IF(A72="N/A"," ",IF(AND(Dayrun&gt;1,Dayrun&lt;=3),VLOOKUP(A72,ScaledPrice,9),0))</f>
        <v> </v>
      </c>
      <c r="O72" s="315" t="str">
        <f aca="false">IF(A72="N/A"," ",IF(OR(Dayrun=3,Dayrun=6,Dayrun=9),(VLOOKUP(A72,ScaledPrice,IF(AND(Dayrun&gt;=3,Dayrun&lt;=6),7,8))),0))</f>
        <v> </v>
      </c>
      <c r="P72" s="315" t="str">
        <f aca="false">IF(A72="N/A"," ",IF(OR(Dayrun=3,Dayrun=6,Dayrun=9),IF(AND(Dayrun&gt;=3,Dayrun&lt;=6),O72,(VLOOKUP(A72,ScaledPrice,7))*(2-(VLOOKUP(A72,ScaledPrice,3)))),0))</f>
        <v> </v>
      </c>
      <c r="Q72" s="315" t="str">
        <f aca="false">IF(A72="N/A"," ",IF(AND(Dayrun&gt;2,Dayrun&lt;=3),VLOOKUP(A72,ScaledPrice,9),0))</f>
        <v> </v>
      </c>
      <c r="R72" s="316" t="str">
        <f aca="false">IF($A72="N/A"," ",IF(Pricetype=2,MAX(I72-$H72,0),IF(Pricetype=1,(xSPRDOPT(I72,$E72,$CI72,0,($CD72+IF(Smile=TRUE(),VLOOKUP(MAX(-5,$H72-I72),Volsmile,2),0)),$CG72,$CH72,($A72-DateToday)+15,1,0)),I72-$H72)))</f>
        <v> </v>
      </c>
      <c r="S72" s="316" t="str">
        <f aca="false">IF($A72="N/A"," ",IF(Pricetype=2,MAX(J72-$H72,0),IF(Pricetype=1,(xSPRDOPT(J72,$E72,$CI72,0,($CD72+IF(Smile=TRUE(),VLOOKUP(MAX(-5,$H72-J72),Volsmile,2),0)),$CG72,$CH72,($A72-DateToday)+15,1,0)),J72-$H72)))</f>
        <v> </v>
      </c>
      <c r="T72" s="317" t="str">
        <f aca="false">IF($A72="N/A"," ",(IF(Pricetype=2,IF((K72-$H72)&lt;=0,0,(K72-$H72)),IF(K72&lt;&gt;0,(K72-$H72),0))))</f>
        <v> </v>
      </c>
      <c r="U72" s="316" t="str">
        <f aca="false">IF($A72="N/A"," ",IF(Pricetype=2,MAX(L72-$H72,0),IF(L72&lt;&gt;0,IF(Pricetype=1,(xSPRDOPT(L72,$E72,$CI72,0,($CD72+IF(Smile=TRUE(),VLOOKUP(MAX(-5,$H72-L72),Volsmile,2),0)),$CG72,$CH72,($A72-DateToday)+15,1,0)),L72-$H72),0)))</f>
        <v> </v>
      </c>
      <c r="V72" s="316" t="str">
        <f aca="false">IF($A72="N/A"," ",IF(Pricetype=2,MAX(M72-$H72,0),IF(M72&lt;&gt;0,IF(Pricetype=1,(xSPRDOPT(M72,$E72,$CI72,0,($CD72+IF(Smile=TRUE(),VLOOKUP(MAX(-5,$H72-M72),Volsmile,2),0)),$CG72,$CH72,($A72-DateToday)+15,1,0)),M72-$H72),0)))</f>
        <v> </v>
      </c>
      <c r="W72" s="317" t="str">
        <f aca="false">IF($A72="N/A"," ",(IF(Pricetype=2,IF((N72-$H72)&lt;=0,0,(N72-$H72)),IF(N72&lt;&gt;0,(N72-$H72),0))))</f>
        <v> </v>
      </c>
      <c r="X72" s="316" t="str">
        <f aca="false">IF($A72="N/A"," ",IF(Pricetype=2,MAX(O72-$H72,0),IF(O72&lt;&gt;0,IF(Pricetype=1,(xSPRDOPT(O72,$E72,$CI72,0,($CD72+IF(Smile=TRUE(),VLOOKUP(MAX(-5,$H72-O72),Volsmile,2),0)),$CG72,$CH72,($A72-DateToday)+15,1,0)),O72-$H72),0)))</f>
        <v> </v>
      </c>
      <c r="Y72" s="316" t="str">
        <f aca="false">IF($A72="N/A"," ",IF(Pricetype=2,MAX(P72-$H72,0),IF(P72&lt;&gt;0,IF(Pricetype=1,(xSPRDOPT(P72,$E72,$CI72,0,($CD72+IF(Smile=TRUE(),VLOOKUP(MAX(-5,$H72-P72),Volsmile,2),0)),$CG72,$CH72,($A72-DateToday)+15,1,0)),P72-$H72),0)))</f>
        <v> </v>
      </c>
      <c r="Z72" s="317" t="str">
        <f aca="false">IF($A72="N/A"," ",(IF(Pricetype=2,IF((Q72-$H72)&lt;=0,0,(Q72-$H72)),IF(Q72&lt;&gt;0,(Q72-$H72),0))))</f>
        <v> </v>
      </c>
      <c r="AA72" s="318" t="str">
        <f aca="false">IF($A72="N/A"," ",IF(VLOOKUP(MONTH(A72),ManualTable,2)=1,(IF(0&lt;&gt;R72,IF(Pricetype=1,(xSPRDOPT(I72,$E72,$CI72,0,($CD72+IF(Smile=TRUE(),VLOOKUP(MAX(-5,$H72-I72),Volsmile,2),0)),$CG72,$CH72,($A72-DateToday)+15,1,1))*(8*$HD72),8*$HD72),0)),0))</f>
        <v> </v>
      </c>
      <c r="AB72" s="318" t="str">
        <f aca="false">IF($A72="N/A"," ",IF(VLOOKUP(MONTH(A72),ManualTable,3)=1,(IF(S72&lt;&gt;0,IF(Pricetype=1,(xSPRDOPT(J72,$E72,$CI72,0,($CD72+IF(Smile=TRUE(),VLOOKUP(MAX(-5,$H72-J72),Volsmile,2),0)),$CG72,$CH72,($A72-DateToday)+15,1,1))*(8*$HD72),8*$HD72),0)),0))</f>
        <v> </v>
      </c>
      <c r="AC72" s="318" t="str">
        <f aca="false">IF($A72="N/A"," ",IF(VLOOKUP(MONTH(A72),ManualTable,4)=1,(IF(T72&lt;&gt;0,(8*$HD72),0)),0))</f>
        <v> </v>
      </c>
      <c r="AD72" s="318" t="str">
        <f aca="false">IF($A72="N/A"," ",IF(VLOOKUP(MONTH(A72),ManualTable,5)=1,(IF(U72&lt;&gt;0,IF(Pricetype=1,(xSPRDOPT(L72,$E72,$CI72,0,($CD72+IF(Smile=TRUE(),VLOOKUP(MAX(-5,$H72-L72),Volsmile,2),0)),$CG72,$CH72,($A72-DateToday)+15,1,1))*(8*$HE72),8*$HE72),0)),0))</f>
        <v> </v>
      </c>
      <c r="AE72" s="318" t="str">
        <f aca="false">IF($A72="N/A"," ",IF(VLOOKUP(MONTH(A72),ManualTable,6)=1,(IF(V72&lt;&gt;0,IF(Pricetype=1,(xSPRDOPT(M72,$E72,$CI72,0,($CD72+IF(Smile=TRUE(),VLOOKUP(MAX(-5,$H72-M72),Volsmile,2),0)),$CG72,$CH72,($A72-DateToday)+15,1,1))*(8*$HE72),8*$HE72),0)),0))</f>
        <v> </v>
      </c>
      <c r="AF72" s="318" t="str">
        <f aca="false">IF($A72="N/A"," ",IF(VLOOKUP(MONTH(A72),ManualTable,7)=1,(IF(W72&lt;&gt;0,(8*$HE72),0)),0))</f>
        <v> </v>
      </c>
      <c r="AG72" s="318" t="str">
        <f aca="false">IF($A72="N/A"," ",IF(VLOOKUP(MONTH(A72),ManualTable,8)=1,(IF(X72&lt;&gt;0,IF(Pricetype=1,(xSPRDOPT(O72,$E72,$CI72,0,($CD72+IF(Smile=TRUE(),VLOOKUP(MAX(-5,$H72-O72),Volsmile,2),0)),$CG72,$CH72,($A72-DateToday)+15,1,1))*(8*$HF72),8*$HF72),0)),0))</f>
        <v> </v>
      </c>
      <c r="AH72" s="318" t="str">
        <f aca="false">IF($A72="N/A"," ",IF(VLOOKUP(MONTH(A72),ManualTable,9)=1,(IF(Y72&lt;&gt;0,IF(Pricetype=1,(xSPRDOPT(P72,$E72,$CI72,0,($CD72+IF(Smile=TRUE(),VLOOKUP(MAX(-5,$H72-P72),Volsmile,2),0)),$CG72,$CH72,($A72-DateToday)+15,1,1))*(8*$HF72),8*$HF72),0)),0))</f>
        <v> </v>
      </c>
      <c r="AI72" s="318" t="str">
        <f aca="false">IF($A72="N/A"," ",IF(VLOOKUP(MONTH(A72),ManualTable,10)=1,(IF(Z72&lt;&gt;0,(8*($HF72)),0)),0))</f>
        <v> </v>
      </c>
      <c r="AJ72" s="344" t="str">
        <f aca="false">IF($A72="N/A"," ",RANK(R72,$R$64:$Z$75))</f>
        <v> </v>
      </c>
      <c r="AK72" s="321" t="str">
        <f aca="false">IF($A72="N/A"," ",RANK(S72,$R$64:$Z$75))</f>
        <v> </v>
      </c>
      <c r="AL72" s="321" t="str">
        <f aca="false">IF($A72="N/A"," ",RANK(T72,$R$64:$Z$75))</f>
        <v> </v>
      </c>
      <c r="AM72" s="321" t="str">
        <f aca="false">IF($A72="N/A"," ",RANK(U72,$R$64:$Z$75))</f>
        <v> </v>
      </c>
      <c r="AN72" s="321" t="str">
        <f aca="false">IF($A72="N/A"," ",RANK(V72,$R$64:$Z$75))</f>
        <v> </v>
      </c>
      <c r="AO72" s="321" t="str">
        <f aca="false">IF($A72="N/A"," ",RANK(W72,$R$64:$Z$75))</f>
        <v> </v>
      </c>
      <c r="AP72" s="321" t="str">
        <f aca="false">IF($A72="N/A"," ",RANK(X72,$R$64:$Z$75))</f>
        <v> </v>
      </c>
      <c r="AQ72" s="321" t="str">
        <f aca="false">IF($A72="N/A"," ",RANK(Y72,$R$64:$Z$75))</f>
        <v> </v>
      </c>
      <c r="AR72" s="345" t="str">
        <f aca="false">IF($A72="N/A"," ",RANK(Z72,$R$64:$Z$75))</f>
        <v> </v>
      </c>
      <c r="AS72" s="323" t="str">
        <f aca="false">IF($A72="N/A"," ",IF(AJ72&lt;=$AR$2,AA72,0))</f>
        <v> </v>
      </c>
      <c r="AT72" s="325" t="str">
        <f aca="false">IF($A72="N/A"," ",IF(AK72&lt;=$AR$2,AB72,0))</f>
        <v> </v>
      </c>
      <c r="AU72" s="325" t="str">
        <f aca="false">IF($A72="N/A"," ",IF(AL72&lt;=$AR$2,AC72,0))</f>
        <v> </v>
      </c>
      <c r="AV72" s="325" t="str">
        <f aca="false">IF($A72="N/A"," ",IF(AM72&lt;=$AR$2,AD72,0))</f>
        <v> </v>
      </c>
      <c r="AW72" s="325" t="str">
        <f aca="false">IF($A72="N/A"," ",IF(AN72&lt;=$AR$2,AE72,0))</f>
        <v> </v>
      </c>
      <c r="AX72" s="325" t="str">
        <f aca="false">IF($A72="N/A"," ",IF(AO72&lt;=$AR$2,AF72,0))</f>
        <v> </v>
      </c>
      <c r="AY72" s="325" t="str">
        <f aca="false">IF($A72="N/A"," ",IF(AP72&lt;=$AR$2,AG72,0))</f>
        <v> </v>
      </c>
      <c r="AZ72" s="325" t="str">
        <f aca="false">IF($A72="N/A"," ",IF(AQ72&lt;=$AR$2,AH72,0))</f>
        <v> </v>
      </c>
      <c r="BA72" s="325" t="str">
        <f aca="false">IF($A72="N/A"," ",IF(AR72&lt;=$AR$2,AI72,0))</f>
        <v> </v>
      </c>
      <c r="BB72" s="345"/>
      <c r="BC72" s="326" t="str">
        <f aca="false">IF($A72="N/A"," ",IF(AND(AJ72=$AR$2+1,AS72=0),MIN($BB$75,AA72),0))</f>
        <v> </v>
      </c>
      <c r="BD72" s="346" t="str">
        <f aca="false">IF($A72="N/A"," ",IF(AND(AK72=$AR$2+1,AT72=0),MIN($BB$75,AB72),0))</f>
        <v> </v>
      </c>
      <c r="BE72" s="346" t="str">
        <f aca="false">IF($A72="N/A"," ",IF(AND(AL72=$AR$2+1,AU72=0),MIN($BB$75,AC72),0))</f>
        <v> </v>
      </c>
      <c r="BF72" s="346" t="str">
        <f aca="false">IF($A72="N/A"," ",IF(AND(AM72=$AR$2+1,AV72=0),MIN($BB$75,AD72),0))</f>
        <v> </v>
      </c>
      <c r="BG72" s="346" t="str">
        <f aca="false">IF($A72="N/A"," ",IF(AND(AN72=$AR$2+1,AW72=0),MIN($BB$75,AE72),0))</f>
        <v> </v>
      </c>
      <c r="BH72" s="346" t="str">
        <f aca="false">IF($A72="N/A"," ",IF(AND(AO72=$AR$2+1,AX72=0),MIN($BB$75,AF72),0))</f>
        <v> </v>
      </c>
      <c r="BI72" s="346" t="str">
        <f aca="false">IF($A72="N/A"," ",IF(AND(AP72=$AR$2+1,AY72=0),MIN($BB$75,AG72),0))</f>
        <v> </v>
      </c>
      <c r="BJ72" s="346" t="str">
        <f aca="false">IF($A72="N/A"," ",IF(AND(AQ72=$AR$2+1,AZ72=0),MIN($BB$75,AH72),0))</f>
        <v> </v>
      </c>
      <c r="BK72" s="346" t="str">
        <f aca="false">IF($A72="N/A"," ",IF(AND(AR72=$AR$2+1,BA72=0),MIN($BB$75,AI72),0))</f>
        <v> </v>
      </c>
      <c r="BL72" s="345"/>
      <c r="BM72" s="329" t="str">
        <f aca="false">IF($A72="N/A"," ",(IF(MONTH(A72)&gt;=4,IF(MONTH(A72)&lt;=10,Inputs!$F$13-Inputs!$G$13,Inputs!$F$14-Inputs!$G$14),Inputs!$F$14-Inputs!$G$14))*$CK72*Availability)</f>
        <v> </v>
      </c>
      <c r="BN72" s="330" t="str">
        <f aca="false">IF($A72="N/A"," ",(IF(AS72&gt;0,($BM72*(8*($HD72))*R72),0)+IF(BC72&gt;0,($BM72*((BC72/AA72)*8*$HD72)*R72),0)))</f>
        <v> </v>
      </c>
      <c r="BO72" s="330" t="str">
        <f aca="false">IF($A72="N/A"," ",(IF(AT72&gt;0,($BM72*(8*($HD72))*S72),0)+IF(BD72&gt;0,($BM72*((BD72/AB72)*8*$HD72)*S72),0)))</f>
        <v> </v>
      </c>
      <c r="BP72" s="330" t="str">
        <f aca="false">IF($A72="N/A"," ",(IF(AU72&gt;0,($BM72*(8*($HD72))*T72),0)+IF(BE72&gt;0,($BM72*((BE72))*T72),0)))</f>
        <v> </v>
      </c>
      <c r="BQ72" s="330" t="str">
        <f aca="false">IF($A72="N/A"," ",(IF(AV72&gt;0,($BM72*(8*($HE72))*U72),0)+IF(BF72&gt;0,($BM72*((BF72/AD72)*8*$HE72)*U72),0)))</f>
        <v> </v>
      </c>
      <c r="BR72" s="330" t="str">
        <f aca="false">IF($A72="N/A"," ",(IF(AW72&gt;0,($BM72*(8*($HE72))*V72),0)+IF(BG72&gt;0,($BM72*((BG72/AE72)*8*$HE72)*V72),0)))</f>
        <v> </v>
      </c>
      <c r="BS72" s="330" t="str">
        <f aca="false">IF($A72="N/A"," ",(IF(AX72&gt;0,($BM72*(8*($HE72))*W72),0)+IF(BH72&gt;0,($BM72*((BH72))*W72),0)))</f>
        <v> </v>
      </c>
      <c r="BT72" s="330" t="str">
        <f aca="false">IF($A72="N/A"," ",(IF(AY72&gt;0,($BM72*(8*($HF72))*X72),0)+IF(BI72&gt;0,($BM72*((BI72/AG72)*8*$HF72)*X72),0)))</f>
        <v> </v>
      </c>
      <c r="BU72" s="330" t="str">
        <f aca="false">IF($A72="N/A"," ",(IF(AZ72&gt;0,($BM72*(8*($HF72))*Y72),0)+IF(BJ72&gt;0,($BM72*((BJ72/AH72)*8*$HF72)*Y72),0)))</f>
        <v> </v>
      </c>
      <c r="BV72" s="330" t="str">
        <f aca="false">IF($A72="N/A"," ",(IF(BA72&gt;0,($BM72*(8*($HF72))*Z72),0)+IF(BK72&gt;0,($BM72*((BK72))*Z72),0)))</f>
        <v> </v>
      </c>
      <c r="BW72" s="330" t="str">
        <f aca="false">IF($A72="N/A"," ",SUM(BN72:BV72))</f>
        <v> </v>
      </c>
      <c r="BX72" s="331" t="str">
        <f aca="false">IF($A72="N/A"," ",(H72*(SUM(AS72:BA72)+SUM(BC72:BK72))*BM72))</f>
        <v> </v>
      </c>
      <c r="BY72" s="332" t="str">
        <f aca="false">IF($A72="N/A"," ",((C72*D72)*(SUM($AS72:$BA72)+SUM($BC72:$BK72))*$BM72))</f>
        <v> </v>
      </c>
      <c r="BZ72" s="332" t="str">
        <f aca="false">IF($A72="N/A"," ",(F72*(SUM($AS72:$BA72)+SUM($BC72:$BK72))*$BM72))</f>
        <v> </v>
      </c>
      <c r="CA72" s="333" t="str">
        <f aca="false">IF($A72="N/A"," ",(G72*(SUM($AS72:$BA72)+SUM($BC72:$BK72))*$BM72))</f>
        <v> </v>
      </c>
      <c r="CB72" s="334" t="str">
        <f aca="false">IF(A72="N/A"," ",(VLOOKUP(A72,PowerVolTable,(IF(BMO=2,7,IF(BMO=1,6,8))),FALSE())))</f>
        <v> </v>
      </c>
      <c r="CC72" s="334" t="str">
        <f aca="false">IF(A72="N/A"," ",(VLOOKUP(A72,IntraPowerVol,(IF(BMO=2,3,IF(BMO=1,2,4))),FALSE())*VLOOKUP(MONTH($A72),Volscale,2)))</f>
        <v> </v>
      </c>
      <c r="CD72" s="335" t="str">
        <f aca="false">IF($A72="N/A"," ",(IF(DateToday&gt;$A72,$CC72,((($CB72^2)*((($A72-1)-DateToday)/((EOMONTH($A72,0)+1)-DateToday-15)))+((($CC72)^2)*((15)/((EOMONTH($A72,0)+1)-DateToday-15))))^0.5)))</f>
        <v> </v>
      </c>
      <c r="CE72" s="334" t="str">
        <f aca="false">IF($A72="N/A"," ",(VLOOKUP($A72,GasVolTable,(IF(BMO=2,6,IF(BMO=1,7,5))),FALSE())))</f>
        <v> </v>
      </c>
      <c r="CF72" s="334" t="str">
        <f aca="false">IF($A72="N/A"," ",(VLOOKUP($A72,OmicronVol,(IF(BMO=2,3,IF(BMO=1,4,2))),FALSE())))</f>
        <v> </v>
      </c>
      <c r="CG72" s="335" t="str">
        <f aca="false">IF($A72="N/A"," ",(IF(DateToday&gt;$A72,$CF72,((($CE72^2)*((($A72-1)-DateToday)/((EOMONTH($A72,0)+1)-DateToday-15)))+((($CF72)^2)*((15)/((EOMONTH($A72,0)+1)-DateToday-15))))^0.5)))</f>
        <v> </v>
      </c>
      <c r="CH72" s="334" t="str">
        <f aca="false">IF($A72="N/A"," ",VLOOKUP($A72,CorrelationTable,2,FALSE()))</f>
        <v> </v>
      </c>
      <c r="CI72" s="336" t="str">
        <f aca="false">IF($A72="N/A"," ",F72+G72+(D72*('Pricing Inputs'!T105)))</f>
        <v> </v>
      </c>
      <c r="CJ72" s="334" t="str">
        <f aca="false">IF($A72="N/A"," ",IF(PV=1,0,'Pricing Inputs'!U105))</f>
        <v> </v>
      </c>
      <c r="CK72" s="337" t="str">
        <f aca="false">IF($A72="N/A"," ",(1+CJ72/2)^(-2*((EOMONTH(A72,0)+20)-DateToday)/365.25))</f>
        <v> </v>
      </c>
      <c r="CL72" s="338" t="str">
        <f aca="false">IF(A72="N/A"," ",IF(CC=2,(VLOOKUP(MONTH($A72),Hrtable,3))/1000,0))</f>
        <v> </v>
      </c>
      <c r="CM72" s="339" t="str">
        <f aca="false">IF(A72="N/A"," ",IF(CC=2,(CL72*C72)+F72,0))</f>
        <v> </v>
      </c>
      <c r="CN72" s="340" t="str">
        <f aca="false">IF($A72="N/A"," ",IF(CC=2,(VLOOKUP(A72,ScaledPrice,(IF(AND(Dayrun&gt;=1,Dayrun&lt;=6),2,4)))-((IF(R72&lt;&gt;0,$D72,$CL72)*$C72)+$F72+$G72)),0))</f>
        <v> </v>
      </c>
      <c r="CO72" s="340" t="str">
        <f aca="false">IF($A72="N/A"," ",IF(CC=2,(IF(AND(Dayrun&gt;=1,Dayrun&lt;=6),I72,(VLOOKUP(A72,ScaledPrice,2))*(2-(VLOOKUP(A72,ScaledPrice,3))))-((IF(S72&lt;&gt;0,$D72,$CL72)*$C72)+$F72+$G72)),0))</f>
        <v> </v>
      </c>
      <c r="CP72" s="340" t="str">
        <f aca="false">IF(A72="N/A"," ",IF(CC=2,(VLOOKUP(A72,ScaledPrice,9)-((IF(T72&lt;&gt;0,$D72,$CL72)*$C72)+$F72+$G72)),0))</f>
        <v> </v>
      </c>
      <c r="CQ72" s="340" t="str">
        <f aca="false">IF(A72="N/A"," ",IF(CC=2,(IF(OR(Dayrun=2,Dayrun=3,Dayrun=5,Dayrun=6,Dayrun=8,Dayrun=9),VLOOKUP(A72,ScaledPrice,IF(AND(Dayrun&gt;=2,Dayrun&lt;=6),5,6)),0)-((IF(U72&lt;&gt;0,$D72,$CL72)*$C72)+$F72+$G72)),0))</f>
        <v> </v>
      </c>
      <c r="CR72" s="340" t="str">
        <f aca="false">IF(A72="N/A"," ",IF(CC=2,(IF(OR(Dayrun=2,Dayrun=3,Dayrun=5,Dayrun=6,Dayrun=8,Dayrun=9),IF(AND(Dayrun&gt;=2,Dayrun&lt;=6),L72,(VLOOKUP(A72,ScaledPrice,5))*(2-(VLOOKUP(A72,ScaledPrice,3)))),0)-((IF(V72&lt;&gt;0,$D72,$CL72)*$C72)+$F72+$G72)),0))</f>
        <v> </v>
      </c>
      <c r="CS72" s="340" t="str">
        <f aca="false">IF(A72="N/A"," ",IF(CC=2,(VLOOKUP(A72,ScaledPrice,9)-((IF(W72&lt;&gt;0,$D72,$CL72)*$C72)+$F72+$G72)),0))</f>
        <v> </v>
      </c>
      <c r="CT72" s="340" t="str">
        <f aca="false">IF(A72="N/A"," ",IF(CC=2,(IF(OR(Dayrun=3,Dayrun=6,Dayrun=9),(VLOOKUP(A72,ScaledPrice,IF(AND(Dayrun&gt;=3,Dayrun&lt;=6),7,8))),0)-((IF(X72&lt;&gt;0,$D72,$CL72)*$C72)+$F72+$G72)),0))</f>
        <v> </v>
      </c>
      <c r="CU72" s="340" t="str">
        <f aca="false">IF(A72="N/A"," ",IF(CC=2,(IF(OR(Dayrun=3,Dayrun=6,Dayrun=9),IF(AND(Dayrun&gt;=3,Dayrun&lt;=6),O72,(VLOOKUP(A72,ScaledPrice,7))*(2-(VLOOKUP(A72,ScaledPrice,3)))),0)-((IF(Y72&lt;&gt;0,$D72,$CL72)*$C72)+$F72+$G72)),0))</f>
        <v> </v>
      </c>
      <c r="CV72" s="340" t="str">
        <f aca="false">IF(A72="N/A"," ",IF(CC=2,(VLOOKUP(A72,ScaledPrice,9)-((IF(Z72&lt;&gt;0,$D72,$CL72)*$C72)+$F72+$G72)),0))</f>
        <v> </v>
      </c>
      <c r="CW72" s="318" t="str">
        <f aca="false">IF($A72="N/A"," ",IF(0&lt;&gt;CN72,IF(CC=2,8*$HD72,0),0))</f>
        <v> </v>
      </c>
      <c r="CX72" s="318" t="str">
        <f aca="false">IF($A72="N/A"," ",IF(0&lt;&gt;CO72,IF(CC=2,8*$HD72,0),0))</f>
        <v> </v>
      </c>
      <c r="CY72" s="318" t="str">
        <f aca="false">IF($A72="N/A"," ",IF(0&lt;&gt;CP72,IF(CC=2,8*$HD72,0),0))</f>
        <v> </v>
      </c>
      <c r="CZ72" s="318" t="str">
        <f aca="false">IF($A72="N/A"," ",IF(0&lt;&gt;CQ72,IF(CC=2,8*$HE72,0),0))</f>
        <v> </v>
      </c>
      <c r="DA72" s="318" t="str">
        <f aca="false">IF($A72="N/A"," ",IF(0&lt;&gt;CR72,IF(CC=2,8*$HE72,0),0))</f>
        <v> </v>
      </c>
      <c r="DB72" s="318" t="str">
        <f aca="false">IF($A72="N/A"," ",IF(0&lt;&gt;CS72,IF(CC=2,8*$HE72,0),0))</f>
        <v> </v>
      </c>
      <c r="DC72" s="318" t="str">
        <f aca="false">IF($A72="N/A"," ",IF(0&lt;&gt;CT72,IF(CC=2,8*$HF72,0),0))</f>
        <v> </v>
      </c>
      <c r="DD72" s="318" t="str">
        <f aca="false">IF($A72="N/A"," ",IF(0&lt;&gt;CU72,IF(CC=2,8*$HF72,0),0))</f>
        <v> </v>
      </c>
      <c r="DE72" s="318" t="str">
        <f aca="false">IF($A72="N/A"," ",IF(0&lt;&gt;CV72,IF(CC=2,8*$HF72,0),0))</f>
        <v> </v>
      </c>
      <c r="DF72" s="341" t="str">
        <f aca="false">IF($A72="N/A"," ",IF(CC=2,(IF(MONTH(A72)&gt;=4,IF(MONTH(A72)&lt;=10,Inputs!$G$13,Inputs!$G$14),Inputs!$G$14))*$CK72,0))</f>
        <v> </v>
      </c>
      <c r="DG72" s="342" t="str">
        <f aca="false">IF($A72="N/A"," ",IF(CC=2,$DF72*CW72*CN72,0))</f>
        <v> </v>
      </c>
      <c r="DH72" s="342" t="str">
        <f aca="false">IF($A72="N/A"," ",IF(CC=2,$DF72*CX72*CO72,0))</f>
        <v> </v>
      </c>
      <c r="DI72" s="342" t="str">
        <f aca="false">IF($A72="N/A"," ",IF(CC=2,$DF72*CY72*CP72,0))</f>
        <v> </v>
      </c>
      <c r="DJ72" s="342" t="str">
        <f aca="false">IF($A72="N/A"," ",IF(CC=2,$DF72*CZ72*CQ72,0))</f>
        <v> </v>
      </c>
      <c r="DK72" s="342" t="str">
        <f aca="false">IF($A72="N/A"," ",IF(CC=2,$DF72*DA72*CR72,0))</f>
        <v> </v>
      </c>
      <c r="DL72" s="342" t="str">
        <f aca="false">IF($A72="N/A"," ",IF(CC=2,$DF72*DB72*CS72,0))</f>
        <v> </v>
      </c>
      <c r="DM72" s="342" t="str">
        <f aca="false">IF($A72="N/A"," ",IF(CC=2,$DF72*DC72*CT72,0))</f>
        <v> </v>
      </c>
      <c r="DN72" s="342" t="str">
        <f aca="false">IF($A72="N/A"," ",IF(CC=2,$DF72*DD72*CU72,0))</f>
        <v> </v>
      </c>
      <c r="DO72" s="342" t="str">
        <f aca="false">IF($A72="N/A"," ",IF(CC=2,$DF72*DE72*CV72,0))</f>
        <v> </v>
      </c>
      <c r="DP72" s="343" t="str">
        <f aca="false">IF($A72="N/A"," ",IF(CC=2,SUM(DG72:DO72),0))</f>
        <v> </v>
      </c>
      <c r="DQ72" s="0" t="str">
        <f aca="false">IF(A72="N/A"," ",Perstart)</f>
        <v> </v>
      </c>
      <c r="HD72" s="0" t="str">
        <f aca="false">IF($A72="N/A"," ",VLOOKUP($A72,NumberofDaysTable,2))</f>
        <v> </v>
      </c>
      <c r="HE72" s="0" t="str">
        <f aca="false">IF($A72="N/A"," ",VLOOKUP($A72,NumberofDaysTable,3))</f>
        <v> </v>
      </c>
      <c r="HF72" s="0" t="str">
        <f aca="false">IF($A72="N/A"," ",VLOOKUP($A72,NumberofDaysTable,4))</f>
        <v> </v>
      </c>
    </row>
    <row r="73" customFormat="false" ht="12.75" hidden="false" customHeight="false" outlineLevel="0" collapsed="false">
      <c r="A73" s="308" t="str">
        <f aca="false">IF(A72="N/A","N/A",IF(EDATE(A72,1)&gt;Inputs!$K$3,"N/A",EDATE(A72,1)))</f>
        <v>N/A</v>
      </c>
      <c r="B73" s="309" t="str">
        <f aca="false">IF(A73="N/A"," ",YEAR(A73))</f>
        <v> </v>
      </c>
      <c r="C73" s="310" t="str">
        <f aca="false">IF(A73="N/A"," ",VLOOKUP(A73,ScaledPrice,10))</f>
        <v> </v>
      </c>
      <c r="D73" s="311" t="str">
        <f aca="false">IF(A73="N/A"," ",(VLOOKUP(MONTH($A73),Hrtable,2))/1000)</f>
        <v> </v>
      </c>
      <c r="E73" s="312" t="str">
        <f aca="false">IF($A73="N/A"," ",(C73-'Pricing Inputs'!T106)*D73)</f>
        <v> </v>
      </c>
      <c r="F73" s="313" t="str">
        <f aca="false">IF(A73="N/A"," ",$F61*(1+VOMesc))</f>
        <v> </v>
      </c>
      <c r="G73" s="313" t="str">
        <f aca="false">IF(A73="N/A"," ",Perstart/IF(AND(Dayrun&gt;=4,Dayrun&lt;=6),16,IF(AND(Dayrun&gt;=7,Dayrun&lt;=9),8,24))/(BM73/CK73))</f>
        <v> </v>
      </c>
      <c r="H73" s="314" t="str">
        <f aca="false">IF(A73="N/A"," ",(C73*D73)+F73+G73)</f>
        <v> </v>
      </c>
      <c r="I73" s="315" t="str">
        <f aca="false">VLOOKUP(A73,ScaledPrice,(IF(AND(Dayrun&gt;=1,Dayrun&lt;=6),2,4)))</f>
        <v> </v>
      </c>
      <c r="J73" s="315" t="str">
        <f aca="false">IF(A73="N/A"," ",IF(AND(Dayrun&gt;=1,Dayrun&lt;=6),I73,(VLOOKUP(A73,ScaledPrice,2))*(2-(VLOOKUP(A73,ScaledPrice,3)))))</f>
        <v> </v>
      </c>
      <c r="K73" s="315" t="str">
        <f aca="false">IF(A73="N/A"," ",IF(AND(Dayrun&gt;=1,Dayrun&lt;=3),VLOOKUP(A73,ScaledPrice,9),0))</f>
        <v> </v>
      </c>
      <c r="L73" s="315" t="str">
        <f aca="false">IF(A73="N/A"," ",IF(OR(Dayrun=2,Dayrun=3,Dayrun=5,Dayrun=6,Dayrun=8,Dayrun=9),VLOOKUP(A73,ScaledPrice,IF(AND(Dayrun&gt;=2,Dayrun&lt;=6),5,6)),0))</f>
        <v> </v>
      </c>
      <c r="M73" s="315" t="str">
        <f aca="false">IF(A73="N/A"," ",IF(OR(Dayrun=2,Dayrun=3,Dayrun=5,Dayrun=6,Dayrun=8,Dayrun=9),IF(AND(Dayrun&gt;=2,Dayrun&lt;=6),L73,(VLOOKUP(A73,ScaledPrice,5))*(2-(VLOOKUP(A73,ScaledPrice,3)))),0))</f>
        <v> </v>
      </c>
      <c r="N73" s="315" t="str">
        <f aca="false">IF(A73="N/A"," ",IF(AND(Dayrun&gt;1,Dayrun&lt;=3),VLOOKUP(A73,ScaledPrice,9),0))</f>
        <v> </v>
      </c>
      <c r="O73" s="315" t="str">
        <f aca="false">IF(A73="N/A"," ",IF(OR(Dayrun=3,Dayrun=6,Dayrun=9),(VLOOKUP(A73,ScaledPrice,IF(AND(Dayrun&gt;=3,Dayrun&lt;=6),7,8))),0))</f>
        <v> </v>
      </c>
      <c r="P73" s="315" t="str">
        <f aca="false">IF(A73="N/A"," ",IF(OR(Dayrun=3,Dayrun=6,Dayrun=9),IF(AND(Dayrun&gt;=3,Dayrun&lt;=6),O73,(VLOOKUP(A73,ScaledPrice,7))*(2-(VLOOKUP(A73,ScaledPrice,3)))),0))</f>
        <v> </v>
      </c>
      <c r="Q73" s="315" t="str">
        <f aca="false">IF(A73="N/A"," ",IF(AND(Dayrun&gt;2,Dayrun&lt;=3),VLOOKUP(A73,ScaledPrice,9),0))</f>
        <v> </v>
      </c>
      <c r="R73" s="316" t="str">
        <f aca="false">IF($A73="N/A"," ",IF(Pricetype=2,MAX(I73-$H73,0),IF(Pricetype=1,(xSPRDOPT(I73,$E73,$CI73,0,($CD73+IF(Smile=TRUE(),VLOOKUP(MAX(-5,$H73-I73),Volsmile,2),0)),$CG73,$CH73,($A73-DateToday)+15,1,0)),I73-$H73)))</f>
        <v> </v>
      </c>
      <c r="S73" s="316" t="str">
        <f aca="false">IF($A73="N/A"," ",IF(Pricetype=2,MAX(J73-$H73,0),IF(Pricetype=1,(xSPRDOPT(J73,$E73,$CI73,0,($CD73+IF(Smile=TRUE(),VLOOKUP(MAX(-5,$H73-J73),Volsmile,2),0)),$CG73,$CH73,($A73-DateToday)+15,1,0)),J73-$H73)))</f>
        <v> </v>
      </c>
      <c r="T73" s="317" t="str">
        <f aca="false">IF($A73="N/A"," ",(IF(Pricetype=2,IF((K73-$H73)&lt;=0,0,(K73-$H73)),IF(K73&lt;&gt;0,(K73-$H73),0))))</f>
        <v> </v>
      </c>
      <c r="U73" s="316" t="str">
        <f aca="false">IF($A73="N/A"," ",IF(Pricetype=2,MAX(L73-$H73,0),IF(L73&lt;&gt;0,IF(Pricetype=1,(xSPRDOPT(L73,$E73,$CI73,0,($CD73+IF(Smile=TRUE(),VLOOKUP(MAX(-5,$H73-L73),Volsmile,2),0)),$CG73,$CH73,($A73-DateToday)+15,1,0)),L73-$H73),0)))</f>
        <v> </v>
      </c>
      <c r="V73" s="316" t="str">
        <f aca="false">IF($A73="N/A"," ",IF(Pricetype=2,MAX(M73-$H73,0),IF(M73&lt;&gt;0,IF(Pricetype=1,(xSPRDOPT(M73,$E73,$CI73,0,($CD73+IF(Smile=TRUE(),VLOOKUP(MAX(-5,$H73-M73),Volsmile,2),0)),$CG73,$CH73,($A73-DateToday)+15,1,0)),M73-$H73),0)))</f>
        <v> </v>
      </c>
      <c r="W73" s="317" t="str">
        <f aca="false">IF($A73="N/A"," ",(IF(Pricetype=2,IF((N73-$H73)&lt;=0,0,(N73-$H73)),IF(N73&lt;&gt;0,(N73-$H73),0))))</f>
        <v> </v>
      </c>
      <c r="X73" s="316" t="str">
        <f aca="false">IF($A73="N/A"," ",IF(Pricetype=2,MAX(O73-$H73,0),IF(O73&lt;&gt;0,IF(Pricetype=1,(xSPRDOPT(O73,$E73,$CI73,0,($CD73+IF(Smile=TRUE(),VLOOKUP(MAX(-5,$H73-O73),Volsmile,2),0)),$CG73,$CH73,($A73-DateToday)+15,1,0)),O73-$H73),0)))</f>
        <v> </v>
      </c>
      <c r="Y73" s="316" t="str">
        <f aca="false">IF($A73="N/A"," ",IF(Pricetype=2,MAX(P73-$H73,0),IF(P73&lt;&gt;0,IF(Pricetype=1,(xSPRDOPT(P73,$E73,$CI73,0,($CD73+IF(Smile=TRUE(),VLOOKUP(MAX(-5,$H73-P73),Volsmile,2),0)),$CG73,$CH73,($A73-DateToday)+15,1,0)),P73-$H73),0)))</f>
        <v> </v>
      </c>
      <c r="Z73" s="317" t="str">
        <f aca="false">IF($A73="N/A"," ",(IF(Pricetype=2,IF((Q73-$H73)&lt;=0,0,(Q73-$H73)),IF(Q73&lt;&gt;0,(Q73-$H73),0))))</f>
        <v> </v>
      </c>
      <c r="AA73" s="318" t="str">
        <f aca="false">IF($A73="N/A"," ",IF(VLOOKUP(MONTH(A73),ManualTable,2)=1,(IF(0&lt;&gt;R73,IF(Pricetype=1,(xSPRDOPT(I73,$E73,$CI73,0,($CD73+IF(Smile=TRUE(),VLOOKUP(MAX(-5,$H73-I73),Volsmile,2),0)),$CG73,$CH73,($A73-DateToday)+15,1,1))*(8*$HD73),8*$HD73),0)),0))</f>
        <v> </v>
      </c>
      <c r="AB73" s="318" t="str">
        <f aca="false">IF($A73="N/A"," ",IF(VLOOKUP(MONTH(A73),ManualTable,3)=1,(IF(S73&lt;&gt;0,IF(Pricetype=1,(xSPRDOPT(J73,$E73,$CI73,0,($CD73+IF(Smile=TRUE(),VLOOKUP(MAX(-5,$H73-J73),Volsmile,2),0)),$CG73,$CH73,($A73-DateToday)+15,1,1))*(8*$HD73),8*$HD73),0)),0))</f>
        <v> </v>
      </c>
      <c r="AC73" s="318" t="str">
        <f aca="false">IF($A73="N/A"," ",IF(VLOOKUP(MONTH(A73),ManualTable,4)=1,(IF(T73&lt;&gt;0,(8*$HD73),0)),0))</f>
        <v> </v>
      </c>
      <c r="AD73" s="318" t="str">
        <f aca="false">IF($A73="N/A"," ",IF(VLOOKUP(MONTH(A73),ManualTable,5)=1,(IF(U73&lt;&gt;0,IF(Pricetype=1,(xSPRDOPT(L73,$E73,$CI73,0,($CD73+IF(Smile=TRUE(),VLOOKUP(MAX(-5,$H73-L73),Volsmile,2),0)),$CG73,$CH73,($A73-DateToday)+15,1,1))*(8*$HE73),8*$HE73),0)),0))</f>
        <v> </v>
      </c>
      <c r="AE73" s="318" t="str">
        <f aca="false">IF($A73="N/A"," ",IF(VLOOKUP(MONTH(A73),ManualTable,6)=1,(IF(V73&lt;&gt;0,IF(Pricetype=1,(xSPRDOPT(M73,$E73,$CI73,0,($CD73+IF(Smile=TRUE(),VLOOKUP(MAX(-5,$H73-M73),Volsmile,2),0)),$CG73,$CH73,($A73-DateToday)+15,1,1))*(8*$HE73),8*$HE73),0)),0))</f>
        <v> </v>
      </c>
      <c r="AF73" s="318" t="str">
        <f aca="false">IF($A73="N/A"," ",IF(VLOOKUP(MONTH(A73),ManualTable,7)=1,(IF(W73&lt;&gt;0,(8*$HE73),0)),0))</f>
        <v> </v>
      </c>
      <c r="AG73" s="318" t="str">
        <f aca="false">IF($A73="N/A"," ",IF(VLOOKUP(MONTH(A73),ManualTable,8)=1,(IF(X73&lt;&gt;0,IF(Pricetype=1,(xSPRDOPT(O73,$E73,$CI73,0,($CD73+IF(Smile=TRUE(),VLOOKUP(MAX(-5,$H73-O73),Volsmile,2),0)),$CG73,$CH73,($A73-DateToday)+15,1,1))*(8*$HF73),8*$HF73),0)),0))</f>
        <v> </v>
      </c>
      <c r="AH73" s="318" t="str">
        <f aca="false">IF($A73="N/A"," ",IF(VLOOKUP(MONTH(A73),ManualTable,9)=1,(IF(Y73&lt;&gt;0,IF(Pricetype=1,(xSPRDOPT(P73,$E73,$CI73,0,($CD73+IF(Smile=TRUE(),VLOOKUP(MAX(-5,$H73-P73),Volsmile,2),0)),$CG73,$CH73,($A73-DateToday)+15,1,1))*(8*$HF73),8*$HF73),0)),0))</f>
        <v> </v>
      </c>
      <c r="AI73" s="318" t="str">
        <f aca="false">IF($A73="N/A"," ",IF(VLOOKUP(MONTH(A73),ManualTable,10)=1,(IF(Z73&lt;&gt;0,(8*($HF73)),0)),0))</f>
        <v> </v>
      </c>
      <c r="AJ73" s="344" t="str">
        <f aca="false">IF($A73="N/A"," ",RANK(R73,$R$64:$Z$75))</f>
        <v> </v>
      </c>
      <c r="AK73" s="321" t="str">
        <f aca="false">IF($A73="N/A"," ",RANK(S73,$R$64:$Z$75))</f>
        <v> </v>
      </c>
      <c r="AL73" s="321" t="str">
        <f aca="false">IF($A73="N/A"," ",RANK(T73,$R$64:$Z$75))</f>
        <v> </v>
      </c>
      <c r="AM73" s="321" t="str">
        <f aca="false">IF($A73="N/A"," ",RANK(U73,$R$64:$Z$75))</f>
        <v> </v>
      </c>
      <c r="AN73" s="321" t="str">
        <f aca="false">IF($A73="N/A"," ",RANK(V73,$R$64:$Z$75))</f>
        <v> </v>
      </c>
      <c r="AO73" s="321" t="str">
        <f aca="false">IF($A73="N/A"," ",RANK(W73,$R$64:$Z$75))</f>
        <v> </v>
      </c>
      <c r="AP73" s="321" t="str">
        <f aca="false">IF($A73="N/A"," ",RANK(X73,$R$64:$Z$75))</f>
        <v> </v>
      </c>
      <c r="AQ73" s="321" t="str">
        <f aca="false">IF($A73="N/A"," ",RANK(Y73,$R$64:$Z$75))</f>
        <v> </v>
      </c>
      <c r="AR73" s="345" t="str">
        <f aca="false">IF($A73="N/A"," ",RANK(Z73,$R$64:$Z$75))</f>
        <v> </v>
      </c>
      <c r="AS73" s="323" t="str">
        <f aca="false">IF($A73="N/A"," ",IF(AJ73&lt;=$AR$2,AA73,0))</f>
        <v> </v>
      </c>
      <c r="AT73" s="325" t="str">
        <f aca="false">IF($A73="N/A"," ",IF(AK73&lt;=$AR$2,AB73,0))</f>
        <v> </v>
      </c>
      <c r="AU73" s="325" t="str">
        <f aca="false">IF($A73="N/A"," ",IF(AL73&lt;=$AR$2,AC73,0))</f>
        <v> </v>
      </c>
      <c r="AV73" s="325" t="str">
        <f aca="false">IF($A73="N/A"," ",IF(AM73&lt;=$AR$2,AD73,0))</f>
        <v> </v>
      </c>
      <c r="AW73" s="325" t="str">
        <f aca="false">IF($A73="N/A"," ",IF(AN73&lt;=$AR$2,AE73,0))</f>
        <v> </v>
      </c>
      <c r="AX73" s="325" t="str">
        <f aca="false">IF($A73="N/A"," ",IF(AO73&lt;=$AR$2,AF73,0))</f>
        <v> </v>
      </c>
      <c r="AY73" s="325" t="str">
        <f aca="false">IF($A73="N/A"," ",IF(AP73&lt;=$AR$2,AG73,0))</f>
        <v> </v>
      </c>
      <c r="AZ73" s="325" t="str">
        <f aca="false">IF($A73="N/A"," ",IF(AQ73&lt;=$AR$2,AH73,0))</f>
        <v> </v>
      </c>
      <c r="BA73" s="325" t="str">
        <f aca="false">IF($A73="N/A"," ",IF(AR73&lt;=$AR$2,AI73,0))</f>
        <v> </v>
      </c>
      <c r="BB73" s="348" t="s">
        <v>1319</v>
      </c>
      <c r="BC73" s="326" t="str">
        <f aca="false">IF($A73="N/A"," ",IF(AND(AJ73=$AR$2+1,AS73=0),MIN($BB$75,AA73),0))</f>
        <v> </v>
      </c>
      <c r="BD73" s="346" t="str">
        <f aca="false">IF($A73="N/A"," ",IF(AND(AK73=$AR$2+1,AT73=0),MIN($BB$75,AB73),0))</f>
        <v> </v>
      </c>
      <c r="BE73" s="346" t="str">
        <f aca="false">IF($A73="N/A"," ",IF(AND(AL73=$AR$2+1,AU73=0),MIN($BB$75,AC73),0))</f>
        <v> </v>
      </c>
      <c r="BF73" s="346" t="str">
        <f aca="false">IF($A73="N/A"," ",IF(AND(AM73=$AR$2+1,AV73=0),MIN($BB$75,AD73),0))</f>
        <v> </v>
      </c>
      <c r="BG73" s="346" t="str">
        <f aca="false">IF($A73="N/A"," ",IF(AND(AN73=$AR$2+1,AW73=0),MIN($BB$75,AE73),0))</f>
        <v> </v>
      </c>
      <c r="BH73" s="346" t="str">
        <f aca="false">IF($A73="N/A"," ",IF(AND(AO73=$AR$2+1,AX73=0),MIN($BB$75,AF73),0))</f>
        <v> </v>
      </c>
      <c r="BI73" s="346" t="str">
        <f aca="false">IF($A73="N/A"," ",IF(AND(AP73=$AR$2+1,AY73=0),MIN($BB$75,AG73),0))</f>
        <v> </v>
      </c>
      <c r="BJ73" s="346" t="str">
        <f aca="false">IF($A73="N/A"," ",IF(AND(AQ73=$AR$2+1,AZ73=0),MIN($BB$75,AH73),0))</f>
        <v> </v>
      </c>
      <c r="BK73" s="346" t="str">
        <f aca="false">IF($A73="N/A"," ",IF(AND(AR73=$AR$2+1,BA73=0),MIN($BB$75,AI73),0))</f>
        <v> </v>
      </c>
      <c r="BL73" s="347" t="s">
        <v>1359</v>
      </c>
      <c r="BM73" s="329" t="str">
        <f aca="false">IF($A73="N/A"," ",(IF(MONTH(A73)&gt;=4,IF(MONTH(A73)&lt;=10,Inputs!$F$13-Inputs!$G$13,Inputs!$F$14-Inputs!$G$14),Inputs!$F$14-Inputs!$G$14))*$CK73*Availability)</f>
        <v> </v>
      </c>
      <c r="BN73" s="330" t="str">
        <f aca="false">IF($A73="N/A"," ",(IF(AS73&gt;0,($BM73*(8*($HD73))*R73),0)+IF(BC73&gt;0,($BM73*((BC73/AA73)*8*$HD73)*R73),0)))</f>
        <v> </v>
      </c>
      <c r="BO73" s="330" t="str">
        <f aca="false">IF($A73="N/A"," ",(IF(AT73&gt;0,($BM73*(8*($HD73))*S73),0)+IF(BD73&gt;0,($BM73*((BD73/AB73)*8*$HD73)*S73),0)))</f>
        <v> </v>
      </c>
      <c r="BP73" s="330" t="str">
        <f aca="false">IF($A73="N/A"," ",(IF(AU73&gt;0,($BM73*(8*($HD73))*T73),0)+IF(BE73&gt;0,($BM73*((BE73))*T73),0)))</f>
        <v> </v>
      </c>
      <c r="BQ73" s="330" t="str">
        <f aca="false">IF($A73="N/A"," ",(IF(AV73&gt;0,($BM73*(8*($HE73))*U73),0)+IF(BF73&gt;0,($BM73*((BF73/AD73)*8*$HE73)*U73),0)))</f>
        <v> </v>
      </c>
      <c r="BR73" s="330" t="str">
        <f aca="false">IF($A73="N/A"," ",(IF(AW73&gt;0,($BM73*(8*($HE73))*V73),0)+IF(BG73&gt;0,($BM73*((BG73/AE73)*8*$HE73)*V73),0)))</f>
        <v> </v>
      </c>
      <c r="BS73" s="330" t="str">
        <f aca="false">IF($A73="N/A"," ",(IF(AX73&gt;0,($BM73*(8*($HE73))*W73),0)+IF(BH73&gt;0,($BM73*((BH73))*W73),0)))</f>
        <v> </v>
      </c>
      <c r="BT73" s="330" t="str">
        <f aca="false">IF($A73="N/A"," ",(IF(AY73&gt;0,($BM73*(8*($HF73))*X73),0)+IF(BI73&gt;0,($BM73*((BI73/AG73)*8*$HF73)*X73),0)))</f>
        <v> </v>
      </c>
      <c r="BU73" s="330" t="str">
        <f aca="false">IF($A73="N/A"," ",(IF(AZ73&gt;0,($BM73*(8*($HF73))*Y73),0)+IF(BJ73&gt;0,($BM73*((BJ73/AH73)*8*$HF73)*Y73),0)))</f>
        <v> </v>
      </c>
      <c r="BV73" s="330" t="str">
        <f aca="false">IF($A73="N/A"," ",(IF(BA73&gt;0,($BM73*(8*($HF73))*Z73),0)+IF(BK73&gt;0,($BM73*((BK73))*Z73),0)))</f>
        <v> </v>
      </c>
      <c r="BW73" s="330" t="str">
        <f aca="false">IF($A73="N/A"," ",SUM(BN73:BV73))</f>
        <v> </v>
      </c>
      <c r="BX73" s="331" t="str">
        <f aca="false">IF($A73="N/A"," ",(H73*(SUM(AS73:BA73)+SUM(BC73:BK73))*BM73))</f>
        <v> </v>
      </c>
      <c r="BY73" s="332" t="str">
        <f aca="false">IF($A73="N/A"," ",((C73*D73)*(SUM($AS73:$BA73)+SUM($BC73:$BK73))*$BM73))</f>
        <v> </v>
      </c>
      <c r="BZ73" s="332" t="str">
        <f aca="false">IF($A73="N/A"," ",(F73*(SUM($AS73:$BA73)+SUM($BC73:$BK73))*$BM73))</f>
        <v> </v>
      </c>
      <c r="CA73" s="333" t="str">
        <f aca="false">IF($A73="N/A"," ",(G73*(SUM($AS73:$BA73)+SUM($BC73:$BK73))*$BM73))</f>
        <v> </v>
      </c>
      <c r="CB73" s="334" t="str">
        <f aca="false">IF(A73="N/A"," ",(VLOOKUP(A73,PowerVolTable,(IF(BMO=2,7,IF(BMO=1,6,8))),FALSE())))</f>
        <v> </v>
      </c>
      <c r="CC73" s="334" t="str">
        <f aca="false">IF(A73="N/A"," ",(VLOOKUP(A73,IntraPowerVol,(IF(BMO=2,3,IF(BMO=1,2,4))),FALSE())*VLOOKUP(MONTH($A73),Volscale,2)))</f>
        <v> </v>
      </c>
      <c r="CD73" s="335" t="str">
        <f aca="false">IF($A73="N/A"," ",(IF(DateToday&gt;$A73,$CC73,((($CB73^2)*((($A73-1)-DateToday)/((EOMONTH($A73,0)+1)-DateToday-15)))+((($CC73)^2)*((15)/((EOMONTH($A73,0)+1)-DateToday-15))))^0.5)))</f>
        <v> </v>
      </c>
      <c r="CE73" s="334" t="str">
        <f aca="false">IF($A73="N/A"," ",(VLOOKUP($A73,GasVolTable,(IF(BMO=2,6,IF(BMO=1,7,5))),FALSE())))</f>
        <v> </v>
      </c>
      <c r="CF73" s="334" t="str">
        <f aca="false">IF($A73="N/A"," ",(VLOOKUP($A73,OmicronVol,(IF(BMO=2,3,IF(BMO=1,4,2))),FALSE())))</f>
        <v> </v>
      </c>
      <c r="CG73" s="335" t="str">
        <f aca="false">IF($A73="N/A"," ",(IF(DateToday&gt;$A73,$CF73,((($CE73^2)*((($A73-1)-DateToday)/((EOMONTH($A73,0)+1)-DateToday-15)))+((($CF73)^2)*((15)/((EOMONTH($A73,0)+1)-DateToday-15))))^0.5)))</f>
        <v> </v>
      </c>
      <c r="CH73" s="334" t="str">
        <f aca="false">IF($A73="N/A"," ",VLOOKUP($A73,CorrelationTable,2,FALSE()))</f>
        <v> </v>
      </c>
      <c r="CI73" s="336" t="str">
        <f aca="false">IF($A73="N/A"," ",F73+G73+(D73*('Pricing Inputs'!T106)))</f>
        <v> </v>
      </c>
      <c r="CJ73" s="334" t="str">
        <f aca="false">IF($A73="N/A"," ",IF(PV=1,0,'Pricing Inputs'!U106))</f>
        <v> </v>
      </c>
      <c r="CK73" s="337" t="str">
        <f aca="false">IF($A73="N/A"," ",(1+CJ73/2)^(-2*((EOMONTH(A73,0)+20)-DateToday)/365.25))</f>
        <v> </v>
      </c>
      <c r="CL73" s="338" t="str">
        <f aca="false">IF(A73="N/A"," ",IF(CC=2,(VLOOKUP(MONTH($A73),Hrtable,3))/1000,0))</f>
        <v> </v>
      </c>
      <c r="CM73" s="339" t="str">
        <f aca="false">IF(A73="N/A"," ",IF(CC=2,(CL73*C73)+F73,0))</f>
        <v> </v>
      </c>
      <c r="CN73" s="340" t="str">
        <f aca="false">IF($A73="N/A"," ",IF(CC=2,(VLOOKUP(A73,ScaledPrice,(IF(AND(Dayrun&gt;=1,Dayrun&lt;=6),2,4)))-((IF(R73&lt;&gt;0,$D73,$CL73)*$C73)+$F73+$G73)),0))</f>
        <v> </v>
      </c>
      <c r="CO73" s="340" t="str">
        <f aca="false">IF($A73="N/A"," ",IF(CC=2,(IF(AND(Dayrun&gt;=1,Dayrun&lt;=6),I73,(VLOOKUP(A73,ScaledPrice,2))*(2-(VLOOKUP(A73,ScaledPrice,3))))-((IF(S73&lt;&gt;0,$D73,$CL73)*$C73)+$F73+$G73)),0))</f>
        <v> </v>
      </c>
      <c r="CP73" s="340" t="str">
        <f aca="false">IF(A73="N/A"," ",IF(CC=2,(VLOOKUP(A73,ScaledPrice,9)-((IF(T73&lt;&gt;0,$D73,$CL73)*$C73)+$F73+$G73)),0))</f>
        <v> </v>
      </c>
      <c r="CQ73" s="340" t="str">
        <f aca="false">IF(A73="N/A"," ",IF(CC=2,(IF(OR(Dayrun=2,Dayrun=3,Dayrun=5,Dayrun=6,Dayrun=8,Dayrun=9),VLOOKUP(A73,ScaledPrice,IF(AND(Dayrun&gt;=2,Dayrun&lt;=6),5,6)),0)-((IF(U73&lt;&gt;0,$D73,$CL73)*$C73)+$F73+$G73)),0))</f>
        <v> </v>
      </c>
      <c r="CR73" s="340" t="str">
        <f aca="false">IF(A73="N/A"," ",IF(CC=2,(IF(OR(Dayrun=2,Dayrun=3,Dayrun=5,Dayrun=6,Dayrun=8,Dayrun=9),IF(AND(Dayrun&gt;=2,Dayrun&lt;=6),L73,(VLOOKUP(A73,ScaledPrice,5))*(2-(VLOOKUP(A73,ScaledPrice,3)))),0)-((IF(V73&lt;&gt;0,$D73,$CL73)*$C73)+$F73+$G73)),0))</f>
        <v> </v>
      </c>
      <c r="CS73" s="340" t="str">
        <f aca="false">IF(A73="N/A"," ",IF(CC=2,(VLOOKUP(A73,ScaledPrice,9)-((IF(W73&lt;&gt;0,$D73,$CL73)*$C73)+$F73+$G73)),0))</f>
        <v> </v>
      </c>
      <c r="CT73" s="340" t="str">
        <f aca="false">IF(A73="N/A"," ",IF(CC=2,(IF(OR(Dayrun=3,Dayrun=6,Dayrun=9),(VLOOKUP(A73,ScaledPrice,IF(AND(Dayrun&gt;=3,Dayrun&lt;=6),7,8))),0)-((IF(X73&lt;&gt;0,$D73,$CL73)*$C73)+$F73+$G73)),0))</f>
        <v> </v>
      </c>
      <c r="CU73" s="340" t="str">
        <f aca="false">IF(A73="N/A"," ",IF(CC=2,(IF(OR(Dayrun=3,Dayrun=6,Dayrun=9),IF(AND(Dayrun&gt;=3,Dayrun&lt;=6),O73,(VLOOKUP(A73,ScaledPrice,7))*(2-(VLOOKUP(A73,ScaledPrice,3)))),0)-((IF(Y73&lt;&gt;0,$D73,$CL73)*$C73)+$F73+$G73)),0))</f>
        <v> </v>
      </c>
      <c r="CV73" s="340" t="str">
        <f aca="false">IF(A73="N/A"," ",IF(CC=2,(VLOOKUP(A73,ScaledPrice,9)-((IF(Z73&lt;&gt;0,$D73,$CL73)*$C73)+$F73+$G73)),0))</f>
        <v> </v>
      </c>
      <c r="CW73" s="318" t="str">
        <f aca="false">IF($A73="N/A"," ",IF(0&lt;&gt;CN73,IF(CC=2,8*$HD73,0),0))</f>
        <v> </v>
      </c>
      <c r="CX73" s="318" t="str">
        <f aca="false">IF($A73="N/A"," ",IF(0&lt;&gt;CO73,IF(CC=2,8*$HD73,0),0))</f>
        <v> </v>
      </c>
      <c r="CY73" s="318" t="str">
        <f aca="false">IF($A73="N/A"," ",IF(0&lt;&gt;CP73,IF(CC=2,8*$HD73,0),0))</f>
        <v> </v>
      </c>
      <c r="CZ73" s="318" t="str">
        <f aca="false">IF($A73="N/A"," ",IF(0&lt;&gt;CQ73,IF(CC=2,8*$HE73,0),0))</f>
        <v> </v>
      </c>
      <c r="DA73" s="318" t="str">
        <f aca="false">IF($A73="N/A"," ",IF(0&lt;&gt;CR73,IF(CC=2,8*$HE73,0),0))</f>
        <v> </v>
      </c>
      <c r="DB73" s="318" t="str">
        <f aca="false">IF($A73="N/A"," ",IF(0&lt;&gt;CS73,IF(CC=2,8*$HE73,0),0))</f>
        <v> </v>
      </c>
      <c r="DC73" s="318" t="str">
        <f aca="false">IF($A73="N/A"," ",IF(0&lt;&gt;CT73,IF(CC=2,8*$HF73,0),0))</f>
        <v> </v>
      </c>
      <c r="DD73" s="318" t="str">
        <f aca="false">IF($A73="N/A"," ",IF(0&lt;&gt;CU73,IF(CC=2,8*$HF73,0),0))</f>
        <v> </v>
      </c>
      <c r="DE73" s="318" t="str">
        <f aca="false">IF($A73="N/A"," ",IF(0&lt;&gt;CV73,IF(CC=2,8*$HF73,0),0))</f>
        <v> </v>
      </c>
      <c r="DF73" s="341" t="str">
        <f aca="false">IF($A73="N/A"," ",IF(CC=2,(IF(MONTH(A73)&gt;=4,IF(MONTH(A73)&lt;=10,Inputs!$G$13,Inputs!$G$14),Inputs!$G$14))*$CK73,0))</f>
        <v> </v>
      </c>
      <c r="DG73" s="342" t="str">
        <f aca="false">IF($A73="N/A"," ",IF(CC=2,$DF73*CW73*CN73,0))</f>
        <v> </v>
      </c>
      <c r="DH73" s="342" t="str">
        <f aca="false">IF($A73="N/A"," ",IF(CC=2,$DF73*CX73*CO73,0))</f>
        <v> </v>
      </c>
      <c r="DI73" s="342" t="str">
        <f aca="false">IF($A73="N/A"," ",IF(CC=2,$DF73*CY73*CP73,0))</f>
        <v> </v>
      </c>
      <c r="DJ73" s="342" t="str">
        <f aca="false">IF($A73="N/A"," ",IF(CC=2,$DF73*CZ73*CQ73,0))</f>
        <v> </v>
      </c>
      <c r="DK73" s="342" t="str">
        <f aca="false">IF($A73="N/A"," ",IF(CC=2,$DF73*DA73*CR73,0))</f>
        <v> </v>
      </c>
      <c r="DL73" s="342" t="str">
        <f aca="false">IF($A73="N/A"," ",IF(CC=2,$DF73*DB73*CS73,0))</f>
        <v> </v>
      </c>
      <c r="DM73" s="342" t="str">
        <f aca="false">IF($A73="N/A"," ",IF(CC=2,$DF73*DC73*CT73,0))</f>
        <v> </v>
      </c>
      <c r="DN73" s="342" t="str">
        <f aca="false">IF($A73="N/A"," ",IF(CC=2,$DF73*DD73*CU73,0))</f>
        <v> </v>
      </c>
      <c r="DO73" s="342" t="str">
        <f aca="false">IF($A73="N/A"," ",IF(CC=2,$DF73*DE73*CV73,0))</f>
        <v> </v>
      </c>
      <c r="DP73" s="343" t="str">
        <f aca="false">IF($A73="N/A"," ",IF(CC=2,SUM(DG73:DO73),0))</f>
        <v> </v>
      </c>
      <c r="DQ73" s="0" t="str">
        <f aca="false">IF(A73="N/A"," ",Perstart)</f>
        <v> </v>
      </c>
      <c r="HD73" s="0" t="str">
        <f aca="false">IF($A73="N/A"," ",VLOOKUP($A73,NumberofDaysTable,2))</f>
        <v> </v>
      </c>
      <c r="HE73" s="0" t="str">
        <f aca="false">IF($A73="N/A"," ",VLOOKUP($A73,NumberofDaysTable,3))</f>
        <v> </v>
      </c>
      <c r="HF73" s="0" t="str">
        <f aca="false">IF($A73="N/A"," ",VLOOKUP($A73,NumberofDaysTable,4))</f>
        <v> </v>
      </c>
    </row>
    <row r="74" customFormat="false" ht="12.75" hidden="false" customHeight="false" outlineLevel="0" collapsed="false">
      <c r="A74" s="308" t="str">
        <f aca="false">IF(A73="N/A","N/A",IF(EDATE(A73,1)&gt;Inputs!$K$3,"N/A",EDATE(A73,1)))</f>
        <v>N/A</v>
      </c>
      <c r="B74" s="309" t="str">
        <f aca="false">IF(A74="N/A"," ",YEAR(A74))</f>
        <v> </v>
      </c>
      <c r="C74" s="310" t="str">
        <f aca="false">IF(A74="N/A"," ",VLOOKUP(A74,ScaledPrice,10))</f>
        <v> </v>
      </c>
      <c r="D74" s="311" t="str">
        <f aca="false">IF(A74="N/A"," ",(VLOOKUP(MONTH($A74),Hrtable,2))/1000)</f>
        <v> </v>
      </c>
      <c r="E74" s="312" t="str">
        <f aca="false">IF($A74="N/A"," ",(C74-'Pricing Inputs'!T107)*D74)</f>
        <v> </v>
      </c>
      <c r="F74" s="313" t="str">
        <f aca="false">IF(A74="N/A"," ",$F62*(1+VOMesc))</f>
        <v> </v>
      </c>
      <c r="G74" s="313" t="str">
        <f aca="false">IF(A74="N/A"," ",Perstart/IF(AND(Dayrun&gt;=4,Dayrun&lt;=6),16,IF(AND(Dayrun&gt;=7,Dayrun&lt;=9),8,24))/(BM74/CK74))</f>
        <v> </v>
      </c>
      <c r="H74" s="314" t="str">
        <f aca="false">IF(A74="N/A"," ",(C74*D74)+F74+G74)</f>
        <v> </v>
      </c>
      <c r="I74" s="315" t="str">
        <f aca="false">VLOOKUP(A74,ScaledPrice,(IF(AND(Dayrun&gt;=1,Dayrun&lt;=6),2,4)))</f>
        <v> </v>
      </c>
      <c r="J74" s="315" t="str">
        <f aca="false">IF(A74="N/A"," ",IF(AND(Dayrun&gt;=1,Dayrun&lt;=6),I74,(VLOOKUP(A74,ScaledPrice,2))*(2-(VLOOKUP(A74,ScaledPrice,3)))))</f>
        <v> </v>
      </c>
      <c r="K74" s="315" t="str">
        <f aca="false">IF(A74="N/A"," ",IF(AND(Dayrun&gt;=1,Dayrun&lt;=3),VLOOKUP(A74,ScaledPrice,9),0))</f>
        <v> </v>
      </c>
      <c r="L74" s="315" t="str">
        <f aca="false">IF(A74="N/A"," ",IF(OR(Dayrun=2,Dayrun=3,Dayrun=5,Dayrun=6,Dayrun=8,Dayrun=9),VLOOKUP(A74,ScaledPrice,IF(AND(Dayrun&gt;=2,Dayrun&lt;=6),5,6)),0))</f>
        <v> </v>
      </c>
      <c r="M74" s="315" t="str">
        <f aca="false">IF(A74="N/A"," ",IF(OR(Dayrun=2,Dayrun=3,Dayrun=5,Dayrun=6,Dayrun=8,Dayrun=9),IF(AND(Dayrun&gt;=2,Dayrun&lt;=6),L74,(VLOOKUP(A74,ScaledPrice,5))*(2-(VLOOKUP(A74,ScaledPrice,3)))),0))</f>
        <v> </v>
      </c>
      <c r="N74" s="315" t="str">
        <f aca="false">IF(A74="N/A"," ",IF(AND(Dayrun&gt;1,Dayrun&lt;=3),VLOOKUP(A74,ScaledPrice,9),0))</f>
        <v> </v>
      </c>
      <c r="O74" s="315" t="str">
        <f aca="false">IF(A74="N/A"," ",IF(OR(Dayrun=3,Dayrun=6,Dayrun=9),(VLOOKUP(A74,ScaledPrice,IF(AND(Dayrun&gt;=3,Dayrun&lt;=6),7,8))),0))</f>
        <v> </v>
      </c>
      <c r="P74" s="315" t="str">
        <f aca="false">IF(A74="N/A"," ",IF(OR(Dayrun=3,Dayrun=6,Dayrun=9),IF(AND(Dayrun&gt;=3,Dayrun&lt;=6),O74,(VLOOKUP(A74,ScaledPrice,7))*(2-(VLOOKUP(A74,ScaledPrice,3)))),0))</f>
        <v> </v>
      </c>
      <c r="Q74" s="315" t="str">
        <f aca="false">IF(A74="N/A"," ",IF(AND(Dayrun&gt;2,Dayrun&lt;=3),VLOOKUP(A74,ScaledPrice,9),0))</f>
        <v> </v>
      </c>
      <c r="R74" s="316" t="str">
        <f aca="false">IF($A74="N/A"," ",IF(Pricetype=2,MAX(I74-$H74,0),IF(Pricetype=1,(xSPRDOPT(I74,$E74,$CI74,0,($CD74+IF(Smile=TRUE(),VLOOKUP(MAX(-5,$H74-I74),Volsmile,2),0)),$CG74,$CH74,($A74-DateToday)+15,1,0)),I74-$H74)))</f>
        <v> </v>
      </c>
      <c r="S74" s="316" t="str">
        <f aca="false">IF($A74="N/A"," ",IF(Pricetype=2,MAX(J74-$H74,0),IF(Pricetype=1,(xSPRDOPT(J74,$E74,$CI74,0,($CD74+IF(Smile=TRUE(),VLOOKUP(MAX(-5,$H74-J74),Volsmile,2),0)),$CG74,$CH74,($A74-DateToday)+15,1,0)),J74-$H74)))</f>
        <v> </v>
      </c>
      <c r="T74" s="317" t="str">
        <f aca="false">IF($A74="N/A"," ",(IF(Pricetype=2,IF((K74-$H74)&lt;=0,0,(K74-$H74)),IF(K74&lt;&gt;0,(K74-$H74),0))))</f>
        <v> </v>
      </c>
      <c r="U74" s="316" t="str">
        <f aca="false">IF($A74="N/A"," ",IF(Pricetype=2,MAX(L74-$H74,0),IF(L74&lt;&gt;0,IF(Pricetype=1,(xSPRDOPT(L74,$E74,$CI74,0,($CD74+IF(Smile=TRUE(),VLOOKUP(MAX(-5,$H74-L74),Volsmile,2),0)),$CG74,$CH74,($A74-DateToday)+15,1,0)),L74-$H74),0)))</f>
        <v> </v>
      </c>
      <c r="V74" s="316" t="str">
        <f aca="false">IF($A74="N/A"," ",IF(Pricetype=2,MAX(M74-$H74,0),IF(M74&lt;&gt;0,IF(Pricetype=1,(xSPRDOPT(M74,$E74,$CI74,0,($CD74+IF(Smile=TRUE(),VLOOKUP(MAX(-5,$H74-M74),Volsmile,2),0)),$CG74,$CH74,($A74-DateToday)+15,1,0)),M74-$H74),0)))</f>
        <v> </v>
      </c>
      <c r="W74" s="317" t="str">
        <f aca="false">IF($A74="N/A"," ",(IF(Pricetype=2,IF((N74-$H74)&lt;=0,0,(N74-$H74)),IF(N74&lt;&gt;0,(N74-$H74),0))))</f>
        <v> </v>
      </c>
      <c r="X74" s="316" t="str">
        <f aca="false">IF($A74="N/A"," ",IF(Pricetype=2,MAX(O74-$H74,0),IF(O74&lt;&gt;0,IF(Pricetype=1,(xSPRDOPT(O74,$E74,$CI74,0,($CD74+IF(Smile=TRUE(),VLOOKUP(MAX(-5,$H74-O74),Volsmile,2),0)),$CG74,$CH74,($A74-DateToday)+15,1,0)),O74-$H74),0)))</f>
        <v> </v>
      </c>
      <c r="Y74" s="316" t="str">
        <f aca="false">IF($A74="N/A"," ",IF(Pricetype=2,MAX(P74-$H74,0),IF(P74&lt;&gt;0,IF(Pricetype=1,(xSPRDOPT(P74,$E74,$CI74,0,($CD74+IF(Smile=TRUE(),VLOOKUP(MAX(-5,$H74-P74),Volsmile,2),0)),$CG74,$CH74,($A74-DateToday)+15,1,0)),P74-$H74),0)))</f>
        <v> </v>
      </c>
      <c r="Z74" s="317" t="str">
        <f aca="false">IF($A74="N/A"," ",(IF(Pricetype=2,IF((Q74-$H74)&lt;=0,0,(Q74-$H74)),IF(Q74&lt;&gt;0,(Q74-$H74),0))))</f>
        <v> </v>
      </c>
      <c r="AA74" s="318" t="str">
        <f aca="false">IF($A74="N/A"," ",IF(VLOOKUP(MONTH(A74),ManualTable,2)=1,(IF(0&lt;&gt;R74,IF(Pricetype=1,(xSPRDOPT(I74,$E74,$CI74,0,($CD74+IF(Smile=TRUE(),VLOOKUP(MAX(-5,$H74-I74),Volsmile,2),0)),$CG74,$CH74,($A74-DateToday)+15,1,1))*(8*$HD74),8*$HD74),0)),0))</f>
        <v> </v>
      </c>
      <c r="AB74" s="318" t="str">
        <f aca="false">IF($A74="N/A"," ",IF(VLOOKUP(MONTH(A74),ManualTable,3)=1,(IF(S74&lt;&gt;0,IF(Pricetype=1,(xSPRDOPT(J74,$E74,$CI74,0,($CD74+IF(Smile=TRUE(),VLOOKUP(MAX(-5,$H74-J74),Volsmile,2),0)),$CG74,$CH74,($A74-DateToday)+15,1,1))*(8*$HD74),8*$HD74),0)),0))</f>
        <v> </v>
      </c>
      <c r="AC74" s="318" t="str">
        <f aca="false">IF($A74="N/A"," ",IF(VLOOKUP(MONTH(A74),ManualTable,4)=1,(IF(T74&lt;&gt;0,(8*$HD74),0)),0))</f>
        <v> </v>
      </c>
      <c r="AD74" s="318" t="str">
        <f aca="false">IF($A74="N/A"," ",IF(VLOOKUP(MONTH(A74),ManualTable,5)=1,(IF(U74&lt;&gt;0,IF(Pricetype=1,(xSPRDOPT(L74,$E74,$CI74,0,($CD74+IF(Smile=TRUE(),VLOOKUP(MAX(-5,$H74-L74),Volsmile,2),0)),$CG74,$CH74,($A74-DateToday)+15,1,1))*(8*$HE74),8*$HE74),0)),0))</f>
        <v> </v>
      </c>
      <c r="AE74" s="318" t="str">
        <f aca="false">IF($A74="N/A"," ",IF(VLOOKUP(MONTH(A74),ManualTable,6)=1,(IF(V74&lt;&gt;0,IF(Pricetype=1,(xSPRDOPT(M74,$E74,$CI74,0,($CD74+IF(Smile=TRUE(),VLOOKUP(MAX(-5,$H74-M74),Volsmile,2),0)),$CG74,$CH74,($A74-DateToday)+15,1,1))*(8*$HE74),8*$HE74),0)),0))</f>
        <v> </v>
      </c>
      <c r="AF74" s="318" t="str">
        <f aca="false">IF($A74="N/A"," ",IF(VLOOKUP(MONTH(A74),ManualTable,7)=1,(IF(W74&lt;&gt;0,(8*$HE74),0)),0))</f>
        <v> </v>
      </c>
      <c r="AG74" s="318" t="str">
        <f aca="false">IF($A74="N/A"," ",IF(VLOOKUP(MONTH(A74),ManualTable,8)=1,(IF(X74&lt;&gt;0,IF(Pricetype=1,(xSPRDOPT(O74,$E74,$CI74,0,($CD74+IF(Smile=TRUE(),VLOOKUP(MAX(-5,$H74-O74),Volsmile,2),0)),$CG74,$CH74,($A74-DateToday)+15,1,1))*(8*$HF74),8*$HF74),0)),0))</f>
        <v> </v>
      </c>
      <c r="AH74" s="318" t="str">
        <f aca="false">IF($A74="N/A"," ",IF(VLOOKUP(MONTH(A74),ManualTable,9)=1,(IF(Y74&lt;&gt;0,IF(Pricetype=1,(xSPRDOPT(P74,$E74,$CI74,0,($CD74+IF(Smile=TRUE(),VLOOKUP(MAX(-5,$H74-P74),Volsmile,2),0)),$CG74,$CH74,($A74-DateToday)+15,1,1))*(8*$HF74),8*$HF74),0)),0))</f>
        <v> </v>
      </c>
      <c r="AI74" s="318" t="str">
        <f aca="false">IF($A74="N/A"," ",IF(VLOOKUP(MONTH(A74),ManualTable,10)=1,(IF(Z74&lt;&gt;0,(8*($HF74)),0)),0))</f>
        <v> </v>
      </c>
      <c r="AJ74" s="344" t="str">
        <f aca="false">IF($A74="N/A"," ",RANK(R74,$R$64:$Z$75))</f>
        <v> </v>
      </c>
      <c r="AK74" s="321" t="str">
        <f aca="false">IF($A74="N/A"," ",RANK(S74,$R$64:$Z$75))</f>
        <v> </v>
      </c>
      <c r="AL74" s="321" t="str">
        <f aca="false">IF($A74="N/A"," ",RANK(T74,$R$64:$Z$75))</f>
        <v> </v>
      </c>
      <c r="AM74" s="321" t="str">
        <f aca="false">IF($A74="N/A"," ",RANK(U74,$R$64:$Z$75))</f>
        <v> </v>
      </c>
      <c r="AN74" s="321" t="str">
        <f aca="false">IF($A74="N/A"," ",RANK(V74,$R$64:$Z$75))</f>
        <v> </v>
      </c>
      <c r="AO74" s="321" t="str">
        <f aca="false">IF($A74="N/A"," ",RANK(W74,$R$64:$Z$75))</f>
        <v> </v>
      </c>
      <c r="AP74" s="321" t="str">
        <f aca="false">IF($A74="N/A"," ",RANK(X74,$R$64:$Z$75))</f>
        <v> </v>
      </c>
      <c r="AQ74" s="321" t="str">
        <f aca="false">IF($A74="N/A"," ",RANK(Y74,$R$64:$Z$75))</f>
        <v> </v>
      </c>
      <c r="AR74" s="345" t="str">
        <f aca="false">IF($A74="N/A"," ",RANK(Z74,$R$64:$Z$75))</f>
        <v> </v>
      </c>
      <c r="AS74" s="323" t="str">
        <f aca="false">IF($A74="N/A"," ",IF(AJ74&lt;=$AR$2,AA74,0))</f>
        <v> </v>
      </c>
      <c r="AT74" s="325" t="str">
        <f aca="false">IF($A74="N/A"," ",IF(AK74&lt;=$AR$2,AB74,0))</f>
        <v> </v>
      </c>
      <c r="AU74" s="325" t="str">
        <f aca="false">IF($A74="N/A"," ",IF(AL74&lt;=$AR$2,AC74,0))</f>
        <v> </v>
      </c>
      <c r="AV74" s="325" t="str">
        <f aca="false">IF($A74="N/A"," ",IF(AM74&lt;=$AR$2,AD74,0))</f>
        <v> </v>
      </c>
      <c r="AW74" s="325" t="str">
        <f aca="false">IF($A74="N/A"," ",IF(AN74&lt;=$AR$2,AE74,0))</f>
        <v> </v>
      </c>
      <c r="AX74" s="325" t="str">
        <f aca="false">IF($A74="N/A"," ",IF(AO74&lt;=$AR$2,AF74,0))</f>
        <v> </v>
      </c>
      <c r="AY74" s="325" t="str">
        <f aca="false">IF($A74="N/A"," ",IF(AP74&lt;=$AR$2,AG74,0))</f>
        <v> </v>
      </c>
      <c r="AZ74" s="325" t="str">
        <f aca="false">IF($A74="N/A"," ",IF(AQ74&lt;=$AR$2,AH74,0))</f>
        <v> </v>
      </c>
      <c r="BA74" s="325" t="str">
        <f aca="false">IF($A74="N/A"," ",IF(AR74&lt;=$AR$2,AI74,0))</f>
        <v> </v>
      </c>
      <c r="BB74" s="345" t="n">
        <f aca="false">SUM(AS64:BA75)</f>
        <v>0</v>
      </c>
      <c r="BC74" s="326" t="str">
        <f aca="false">IF($A74="N/A"," ",IF(AND(AJ74=$AR$2+1,AS74=0),MIN($BB$75,AA74),0))</f>
        <v> </v>
      </c>
      <c r="BD74" s="346" t="str">
        <f aca="false">IF($A74="N/A"," ",IF(AND(AK74=$AR$2+1,AT74=0),MIN($BB$75,AB74),0))</f>
        <v> </v>
      </c>
      <c r="BE74" s="346" t="str">
        <f aca="false">IF($A74="N/A"," ",IF(AND(AL74=$AR$2+1,AU74=0),MIN($BB$75,AC74),0))</f>
        <v> </v>
      </c>
      <c r="BF74" s="346" t="str">
        <f aca="false">IF($A74="N/A"," ",IF(AND(AM74=$AR$2+1,AV74=0),MIN($BB$75,AD74),0))</f>
        <v> </v>
      </c>
      <c r="BG74" s="346" t="str">
        <f aca="false">IF($A74="N/A"," ",IF(AND(AN74=$AR$2+1,AW74=0),MIN($BB$75,AE74),0))</f>
        <v> </v>
      </c>
      <c r="BH74" s="346" t="str">
        <f aca="false">IF($A74="N/A"," ",IF(AND(AO74=$AR$2+1,AX74=0),MIN($BB$75,AF74),0))</f>
        <v> </v>
      </c>
      <c r="BI74" s="346" t="str">
        <f aca="false">IF($A74="N/A"," ",IF(AND(AP74=$AR$2+1,AY74=0),MIN($BB$75,AG74),0))</f>
        <v> </v>
      </c>
      <c r="BJ74" s="346" t="str">
        <f aca="false">IF($A74="N/A"," ",IF(AND(AQ74=$AR$2+1,AZ74=0),MIN($BB$75,AH74),0))</f>
        <v> </v>
      </c>
      <c r="BK74" s="346" t="str">
        <f aca="false">IF($A74="N/A"," ",IF(AND(AR74=$AR$2+1,BA74=0),MIN($BB$75,AI74),0))</f>
        <v> </v>
      </c>
      <c r="BL74" s="345" t="n">
        <f aca="false">SUM(BC64:BK75)</f>
        <v>0</v>
      </c>
      <c r="BM74" s="329" t="str">
        <f aca="false">IF($A74="N/A"," ",(IF(MONTH(A74)&gt;=4,IF(MONTH(A74)&lt;=10,Inputs!$F$13-Inputs!$G$13,Inputs!$F$14-Inputs!$G$14),Inputs!$F$14-Inputs!$G$14))*$CK74*Availability)</f>
        <v> </v>
      </c>
      <c r="BN74" s="330" t="str">
        <f aca="false">IF($A74="N/A"," ",(IF(AS74&gt;0,($BM74*(8*($HD74))*R74),0)+IF(BC74&gt;0,($BM74*((BC74/AA74)*8*$HD74)*R74),0)))</f>
        <v> </v>
      </c>
      <c r="BO74" s="330" t="str">
        <f aca="false">IF($A74="N/A"," ",(IF(AT74&gt;0,($BM74*(8*($HD74))*S74),0)+IF(BD74&gt;0,($BM74*((BD74/AB74)*8*$HD74)*S74),0)))</f>
        <v> </v>
      </c>
      <c r="BP74" s="330" t="str">
        <f aca="false">IF($A74="N/A"," ",(IF(AU74&gt;0,($BM74*(8*($HD74))*T74),0)+IF(BE74&gt;0,($BM74*((BE74))*T74),0)))</f>
        <v> </v>
      </c>
      <c r="BQ74" s="330" t="str">
        <f aca="false">IF($A74="N/A"," ",(IF(AV74&gt;0,($BM74*(8*($HE74))*U74),0)+IF(BF74&gt;0,($BM74*((BF74/AD74)*8*$HE74)*U74),0)))</f>
        <v> </v>
      </c>
      <c r="BR74" s="330" t="str">
        <f aca="false">IF($A74="N/A"," ",(IF(AW74&gt;0,($BM74*(8*($HE74))*V74),0)+IF(BG74&gt;0,($BM74*((BG74/AE74)*8*$HE74)*V74),0)))</f>
        <v> </v>
      </c>
      <c r="BS74" s="330" t="str">
        <f aca="false">IF($A74="N/A"," ",(IF(AX74&gt;0,($BM74*(8*($HE74))*W74),0)+IF(BH74&gt;0,($BM74*((BH74))*W74),0)))</f>
        <v> </v>
      </c>
      <c r="BT74" s="330" t="str">
        <f aca="false">IF($A74="N/A"," ",(IF(AY74&gt;0,($BM74*(8*($HF74))*X74),0)+IF(BI74&gt;0,($BM74*((BI74/AG74)*8*$HF74)*X74),0)))</f>
        <v> </v>
      </c>
      <c r="BU74" s="330" t="str">
        <f aca="false">IF($A74="N/A"," ",(IF(AZ74&gt;0,($BM74*(8*($HF74))*Y74),0)+IF(BJ74&gt;0,($BM74*((BJ74/AH74)*8*$HF74)*Y74),0)))</f>
        <v> </v>
      </c>
      <c r="BV74" s="330" t="str">
        <f aca="false">IF($A74="N/A"," ",(IF(BA74&gt;0,($BM74*(8*($HF74))*Z74),0)+IF(BK74&gt;0,($BM74*((BK74))*Z74),0)))</f>
        <v> </v>
      </c>
      <c r="BW74" s="330" t="str">
        <f aca="false">IF($A74="N/A"," ",SUM(BN74:BV74))</f>
        <v> </v>
      </c>
      <c r="BX74" s="331" t="str">
        <f aca="false">IF($A74="N/A"," ",(H74*(SUM(AS74:BA74)+SUM(BC74:BK74))*BM74))</f>
        <v> </v>
      </c>
      <c r="BY74" s="332" t="str">
        <f aca="false">IF($A74="N/A"," ",((C74*D74)*(SUM($AS74:$BA74)+SUM($BC74:$BK74))*$BM74))</f>
        <v> </v>
      </c>
      <c r="BZ74" s="332" t="str">
        <f aca="false">IF($A74="N/A"," ",(F74*(SUM($AS74:$BA74)+SUM($BC74:$BK74))*$BM74))</f>
        <v> </v>
      </c>
      <c r="CA74" s="333" t="str">
        <f aca="false">IF($A74="N/A"," ",(G74*(SUM($AS74:$BA74)+SUM($BC74:$BK74))*$BM74))</f>
        <v> </v>
      </c>
      <c r="CB74" s="334" t="str">
        <f aca="false">IF(A74="N/A"," ",(VLOOKUP(A74,PowerVolTable,(IF(BMO=2,7,IF(BMO=1,6,8))),FALSE())))</f>
        <v> </v>
      </c>
      <c r="CC74" s="334" t="str">
        <f aca="false">IF(A74="N/A"," ",(VLOOKUP(A74,IntraPowerVol,(IF(BMO=2,3,IF(BMO=1,2,4))),FALSE())*VLOOKUP(MONTH($A74),Volscale,2)))</f>
        <v> </v>
      </c>
      <c r="CD74" s="335" t="str">
        <f aca="false">IF($A74="N/A"," ",(IF(DateToday&gt;$A74,$CC74,((($CB74^2)*((($A74-1)-DateToday)/((EOMONTH($A74,0)+1)-DateToday-15)))+((($CC74)^2)*((15)/((EOMONTH($A74,0)+1)-DateToday-15))))^0.5)))</f>
        <v> </v>
      </c>
      <c r="CE74" s="334" t="str">
        <f aca="false">IF($A74="N/A"," ",(VLOOKUP($A74,GasVolTable,(IF(BMO=2,6,IF(BMO=1,7,5))),FALSE())))</f>
        <v> </v>
      </c>
      <c r="CF74" s="334" t="str">
        <f aca="false">IF($A74="N/A"," ",(VLOOKUP($A74,OmicronVol,(IF(BMO=2,3,IF(BMO=1,4,2))),FALSE())))</f>
        <v> </v>
      </c>
      <c r="CG74" s="335" t="str">
        <f aca="false">IF($A74="N/A"," ",(IF(DateToday&gt;$A74,$CF74,((($CE74^2)*((($A74-1)-DateToday)/((EOMONTH($A74,0)+1)-DateToday-15)))+((($CF74)^2)*((15)/((EOMONTH($A74,0)+1)-DateToday-15))))^0.5)))</f>
        <v> </v>
      </c>
      <c r="CH74" s="334" t="str">
        <f aca="false">IF($A74="N/A"," ",VLOOKUP($A74,CorrelationTable,2,FALSE()))</f>
        <v> </v>
      </c>
      <c r="CI74" s="336" t="str">
        <f aca="false">IF($A74="N/A"," ",F74+G74+(D74*('Pricing Inputs'!T107)))</f>
        <v> </v>
      </c>
      <c r="CJ74" s="334" t="str">
        <f aca="false">IF($A74="N/A"," ",IF(PV=1,0,'Pricing Inputs'!U107))</f>
        <v> </v>
      </c>
      <c r="CK74" s="337" t="str">
        <f aca="false">IF($A74="N/A"," ",(1+CJ74/2)^(-2*((EOMONTH(A74,0)+20)-DateToday)/365.25))</f>
        <v> </v>
      </c>
      <c r="CL74" s="338" t="str">
        <f aca="false">IF(A74="N/A"," ",IF(CC=2,(VLOOKUP(MONTH($A74),Hrtable,3))/1000,0))</f>
        <v> </v>
      </c>
      <c r="CM74" s="339" t="str">
        <f aca="false">IF(A74="N/A"," ",IF(CC=2,(CL74*C74)+F74,0))</f>
        <v> </v>
      </c>
      <c r="CN74" s="340" t="str">
        <f aca="false">IF($A74="N/A"," ",IF(CC=2,(VLOOKUP(A74,ScaledPrice,(IF(AND(Dayrun&gt;=1,Dayrun&lt;=6),2,4)))-((IF(R74&lt;&gt;0,$D74,$CL74)*$C74)+$F74+$G74)),0))</f>
        <v> </v>
      </c>
      <c r="CO74" s="340" t="str">
        <f aca="false">IF($A74="N/A"," ",IF(CC=2,(IF(AND(Dayrun&gt;=1,Dayrun&lt;=6),I74,(VLOOKUP(A74,ScaledPrice,2))*(2-(VLOOKUP(A74,ScaledPrice,3))))-((IF(S74&lt;&gt;0,$D74,$CL74)*$C74)+$F74+$G74)),0))</f>
        <v> </v>
      </c>
      <c r="CP74" s="340" t="str">
        <f aca="false">IF(A74="N/A"," ",IF(CC=2,(VLOOKUP(A74,ScaledPrice,9)-((IF(T74&lt;&gt;0,$D74,$CL74)*$C74)+$F74+$G74)),0))</f>
        <v> </v>
      </c>
      <c r="CQ74" s="340" t="str">
        <f aca="false">IF(A74="N/A"," ",IF(CC=2,(IF(OR(Dayrun=2,Dayrun=3,Dayrun=5,Dayrun=6,Dayrun=8,Dayrun=9),VLOOKUP(A74,ScaledPrice,IF(AND(Dayrun&gt;=2,Dayrun&lt;=6),5,6)),0)-((IF(U74&lt;&gt;0,$D74,$CL74)*$C74)+$F74+$G74)),0))</f>
        <v> </v>
      </c>
      <c r="CR74" s="340" t="str">
        <f aca="false">IF(A74="N/A"," ",IF(CC=2,(IF(OR(Dayrun=2,Dayrun=3,Dayrun=5,Dayrun=6,Dayrun=8,Dayrun=9),IF(AND(Dayrun&gt;=2,Dayrun&lt;=6),L74,(VLOOKUP(A74,ScaledPrice,5))*(2-(VLOOKUP(A74,ScaledPrice,3)))),0)-((IF(V74&lt;&gt;0,$D74,$CL74)*$C74)+$F74+$G74)),0))</f>
        <v> </v>
      </c>
      <c r="CS74" s="340" t="str">
        <f aca="false">IF(A74="N/A"," ",IF(CC=2,(VLOOKUP(A74,ScaledPrice,9)-((IF(W74&lt;&gt;0,$D74,$CL74)*$C74)+$F74+$G74)),0))</f>
        <v> </v>
      </c>
      <c r="CT74" s="340" t="str">
        <f aca="false">IF(A74="N/A"," ",IF(CC=2,(IF(OR(Dayrun=3,Dayrun=6,Dayrun=9),(VLOOKUP(A74,ScaledPrice,IF(AND(Dayrun&gt;=3,Dayrun&lt;=6),7,8))),0)-((IF(X74&lt;&gt;0,$D74,$CL74)*$C74)+$F74+$G74)),0))</f>
        <v> </v>
      </c>
      <c r="CU74" s="340" t="str">
        <f aca="false">IF(A74="N/A"," ",IF(CC=2,(IF(OR(Dayrun=3,Dayrun=6,Dayrun=9),IF(AND(Dayrun&gt;=3,Dayrun&lt;=6),O74,(VLOOKUP(A74,ScaledPrice,7))*(2-(VLOOKUP(A74,ScaledPrice,3)))),0)-((IF(Y74&lt;&gt;0,$D74,$CL74)*$C74)+$F74+$G74)),0))</f>
        <v> </v>
      </c>
      <c r="CV74" s="340" t="str">
        <f aca="false">IF(A74="N/A"," ",IF(CC=2,(VLOOKUP(A74,ScaledPrice,9)-((IF(Z74&lt;&gt;0,$D74,$CL74)*$C74)+$F74+$G74)),0))</f>
        <v> </v>
      </c>
      <c r="CW74" s="318" t="str">
        <f aca="false">IF($A74="N/A"," ",IF(0&lt;&gt;CN74,IF(CC=2,8*$HD74,0),0))</f>
        <v> </v>
      </c>
      <c r="CX74" s="318" t="str">
        <f aca="false">IF($A74="N/A"," ",IF(0&lt;&gt;CO74,IF(CC=2,8*$HD74,0),0))</f>
        <v> </v>
      </c>
      <c r="CY74" s="318" t="str">
        <f aca="false">IF($A74="N/A"," ",IF(0&lt;&gt;CP74,IF(CC=2,8*$HD74,0),0))</f>
        <v> </v>
      </c>
      <c r="CZ74" s="318" t="str">
        <f aca="false">IF($A74="N/A"," ",IF(0&lt;&gt;CQ74,IF(CC=2,8*$HE74,0),0))</f>
        <v> </v>
      </c>
      <c r="DA74" s="318" t="str">
        <f aca="false">IF($A74="N/A"," ",IF(0&lt;&gt;CR74,IF(CC=2,8*$HE74,0),0))</f>
        <v> </v>
      </c>
      <c r="DB74" s="318" t="str">
        <f aca="false">IF($A74="N/A"," ",IF(0&lt;&gt;CS74,IF(CC=2,8*$HE74,0),0))</f>
        <v> </v>
      </c>
      <c r="DC74" s="318" t="str">
        <f aca="false">IF($A74="N/A"," ",IF(0&lt;&gt;CT74,IF(CC=2,8*$HF74,0),0))</f>
        <v> </v>
      </c>
      <c r="DD74" s="318" t="str">
        <f aca="false">IF($A74="N/A"," ",IF(0&lt;&gt;CU74,IF(CC=2,8*$HF74,0),0))</f>
        <v> </v>
      </c>
      <c r="DE74" s="318" t="str">
        <f aca="false">IF($A74="N/A"," ",IF(0&lt;&gt;CV74,IF(CC=2,8*$HF74,0),0))</f>
        <v> </v>
      </c>
      <c r="DF74" s="341" t="str">
        <f aca="false">IF($A74="N/A"," ",IF(CC=2,(IF(MONTH(A74)&gt;=4,IF(MONTH(A74)&lt;=10,Inputs!$G$13,Inputs!$G$14),Inputs!$G$14))*$CK74,0))</f>
        <v> </v>
      </c>
      <c r="DG74" s="342" t="str">
        <f aca="false">IF($A74="N/A"," ",IF(CC=2,$DF74*CW74*CN74,0))</f>
        <v> </v>
      </c>
      <c r="DH74" s="342" t="str">
        <f aca="false">IF($A74="N/A"," ",IF(CC=2,$DF74*CX74*CO74,0))</f>
        <v> </v>
      </c>
      <c r="DI74" s="342" t="str">
        <f aca="false">IF($A74="N/A"," ",IF(CC=2,$DF74*CY74*CP74,0))</f>
        <v> </v>
      </c>
      <c r="DJ74" s="342" t="str">
        <f aca="false">IF($A74="N/A"," ",IF(CC=2,$DF74*CZ74*CQ74,0))</f>
        <v> </v>
      </c>
      <c r="DK74" s="342" t="str">
        <f aca="false">IF($A74="N/A"," ",IF(CC=2,$DF74*DA74*CR74,0))</f>
        <v> </v>
      </c>
      <c r="DL74" s="342" t="str">
        <f aca="false">IF($A74="N/A"," ",IF(CC=2,$DF74*DB74*CS74,0))</f>
        <v> </v>
      </c>
      <c r="DM74" s="342" t="str">
        <f aca="false">IF($A74="N/A"," ",IF(CC=2,$DF74*DC74*CT74,0))</f>
        <v> </v>
      </c>
      <c r="DN74" s="342" t="str">
        <f aca="false">IF($A74="N/A"," ",IF(CC=2,$DF74*DD74*CU74,0))</f>
        <v> </v>
      </c>
      <c r="DO74" s="342" t="str">
        <f aca="false">IF($A74="N/A"," ",IF(CC=2,$DF74*DE74*CV74,0))</f>
        <v> </v>
      </c>
      <c r="DP74" s="343" t="str">
        <f aca="false">IF($A74="N/A"," ",IF(CC=2,SUM(DG74:DO74),0))</f>
        <v> </v>
      </c>
      <c r="DQ74" s="0" t="str">
        <f aca="false">IF(A74="N/A"," ",Perstart)</f>
        <v> </v>
      </c>
      <c r="HD74" s="0" t="str">
        <f aca="false">IF($A74="N/A"," ",VLOOKUP($A74,NumberofDaysTable,2))</f>
        <v> </v>
      </c>
      <c r="HE74" s="0" t="str">
        <f aca="false">IF($A74="N/A"," ",VLOOKUP($A74,NumberofDaysTable,3))</f>
        <v> </v>
      </c>
      <c r="HF74" s="0" t="str">
        <f aca="false">IF($A74="N/A"," ",VLOOKUP($A74,NumberofDaysTable,4))</f>
        <v> </v>
      </c>
    </row>
    <row r="75" customFormat="false" ht="12.75" hidden="false" customHeight="false" outlineLevel="0" collapsed="false">
      <c r="A75" s="308" t="str">
        <f aca="false">IF(A74="N/A","N/A",IF(EDATE(A74,1)&gt;Inputs!$K$3,"N/A",EDATE(A74,1)))</f>
        <v>N/A</v>
      </c>
      <c r="B75" s="309" t="str">
        <f aca="false">IF(A75="N/A"," ",YEAR(A75))</f>
        <v> </v>
      </c>
      <c r="C75" s="310" t="str">
        <f aca="false">IF(A75="N/A"," ",VLOOKUP(A75,ScaledPrice,10))</f>
        <v> </v>
      </c>
      <c r="D75" s="311" t="str">
        <f aca="false">IF(A75="N/A"," ",(VLOOKUP(MONTH($A75),Hrtable,2))/1000)</f>
        <v> </v>
      </c>
      <c r="E75" s="312" t="str">
        <f aca="false">IF($A75="N/A"," ",(C75-'Pricing Inputs'!T108)*D75)</f>
        <v> </v>
      </c>
      <c r="F75" s="313" t="str">
        <f aca="false">IF(A75="N/A"," ",$F63*(1+VOMesc))</f>
        <v> </v>
      </c>
      <c r="G75" s="313" t="str">
        <f aca="false">IF(A75="N/A"," ",Perstart/IF(AND(Dayrun&gt;=4,Dayrun&lt;=6),16,IF(AND(Dayrun&gt;=7,Dayrun&lt;=9),8,24))/(BM75/CK75))</f>
        <v> </v>
      </c>
      <c r="H75" s="314" t="str">
        <f aca="false">IF(A75="N/A"," ",(C75*D75)+F75+G75)</f>
        <v> </v>
      </c>
      <c r="I75" s="315" t="str">
        <f aca="false">VLOOKUP(A75,ScaledPrice,(IF(AND(Dayrun&gt;=1,Dayrun&lt;=6),2,4)))</f>
        <v> </v>
      </c>
      <c r="J75" s="315" t="str">
        <f aca="false">IF(A75="N/A"," ",IF(AND(Dayrun&gt;=1,Dayrun&lt;=6),I75,(VLOOKUP(A75,ScaledPrice,2))*(2-(VLOOKUP(A75,ScaledPrice,3)))))</f>
        <v> </v>
      </c>
      <c r="K75" s="315" t="str">
        <f aca="false">IF(A75="N/A"," ",IF(AND(Dayrun&gt;=1,Dayrun&lt;=3),VLOOKUP(A75,ScaledPrice,9),0))</f>
        <v> </v>
      </c>
      <c r="L75" s="315" t="str">
        <f aca="false">IF(A75="N/A"," ",IF(OR(Dayrun=2,Dayrun=3,Dayrun=5,Dayrun=6,Dayrun=8,Dayrun=9),VLOOKUP(A75,ScaledPrice,IF(AND(Dayrun&gt;=2,Dayrun&lt;=6),5,6)),0))</f>
        <v> </v>
      </c>
      <c r="M75" s="315" t="str">
        <f aca="false">IF(A75="N/A"," ",IF(OR(Dayrun=2,Dayrun=3,Dayrun=5,Dayrun=6,Dayrun=8,Dayrun=9),IF(AND(Dayrun&gt;=2,Dayrun&lt;=6),L75,(VLOOKUP(A75,ScaledPrice,5))*(2-(VLOOKUP(A75,ScaledPrice,3)))),0))</f>
        <v> </v>
      </c>
      <c r="N75" s="315" t="str">
        <f aca="false">IF(A75="N/A"," ",IF(AND(Dayrun&gt;1,Dayrun&lt;=3),VLOOKUP(A75,ScaledPrice,9),0))</f>
        <v> </v>
      </c>
      <c r="O75" s="315" t="str">
        <f aca="false">IF(A75="N/A"," ",IF(OR(Dayrun=3,Dayrun=6,Dayrun=9),(VLOOKUP(A75,ScaledPrice,IF(AND(Dayrun&gt;=3,Dayrun&lt;=6),7,8))),0))</f>
        <v> </v>
      </c>
      <c r="P75" s="315" t="str">
        <f aca="false">IF(A75="N/A"," ",IF(OR(Dayrun=3,Dayrun=6,Dayrun=9),IF(AND(Dayrun&gt;=3,Dayrun&lt;=6),O75,(VLOOKUP(A75,ScaledPrice,7))*(2-(VLOOKUP(A75,ScaledPrice,3)))),0))</f>
        <v> </v>
      </c>
      <c r="Q75" s="315" t="str">
        <f aca="false">IF(A75="N/A"," ",IF(AND(Dayrun&gt;2,Dayrun&lt;=3),VLOOKUP(A75,ScaledPrice,9),0))</f>
        <v> </v>
      </c>
      <c r="R75" s="316" t="str">
        <f aca="false">IF($A75="N/A"," ",IF(Pricetype=2,MAX(I75-$H75,0),IF(Pricetype=1,(xSPRDOPT(I75,$E75,$CI75,0,($CD75+IF(Smile=TRUE(),VLOOKUP(MAX(-5,$H75-I75),Volsmile,2),0)),$CG75,$CH75,($A75-DateToday)+15,1,0)),I75-$H75)))</f>
        <v> </v>
      </c>
      <c r="S75" s="316" t="str">
        <f aca="false">IF($A75="N/A"," ",IF(Pricetype=2,MAX(J75-$H75,0),IF(Pricetype=1,(xSPRDOPT(J75,$E75,$CI75,0,($CD75+IF(Smile=TRUE(),VLOOKUP(MAX(-5,$H75-J75),Volsmile,2),0)),$CG75,$CH75,($A75-DateToday)+15,1,0)),J75-$H75)))</f>
        <v> </v>
      </c>
      <c r="T75" s="317" t="str">
        <f aca="false">IF($A75="N/A"," ",(IF(Pricetype=2,IF((K75-$H75)&lt;=0,0,(K75-$H75)),IF(K75&lt;&gt;0,(K75-$H75),0))))</f>
        <v> </v>
      </c>
      <c r="U75" s="316" t="str">
        <f aca="false">IF($A75="N/A"," ",IF(Pricetype=2,MAX(L75-$H75,0),IF(L75&lt;&gt;0,IF(Pricetype=1,(xSPRDOPT(L75,$E75,$CI75,0,($CD75+IF(Smile=TRUE(),VLOOKUP(MAX(-5,$H75-L75),Volsmile,2),0)),$CG75,$CH75,($A75-DateToday)+15,1,0)),L75-$H75),0)))</f>
        <v> </v>
      </c>
      <c r="V75" s="316" t="str">
        <f aca="false">IF($A75="N/A"," ",IF(Pricetype=2,MAX(M75-$H75,0),IF(M75&lt;&gt;0,IF(Pricetype=1,(xSPRDOPT(M75,$E75,$CI75,0,($CD75+IF(Smile=TRUE(),VLOOKUP(MAX(-5,$H75-M75),Volsmile,2),0)),$CG75,$CH75,($A75-DateToday)+15,1,0)),M75-$H75),0)))</f>
        <v> </v>
      </c>
      <c r="W75" s="317" t="str">
        <f aca="false">IF($A75="N/A"," ",(IF(Pricetype=2,IF((N75-$H75)&lt;=0,0,(N75-$H75)),IF(N75&lt;&gt;0,(N75-$H75),0))))</f>
        <v> </v>
      </c>
      <c r="X75" s="316" t="str">
        <f aca="false">IF($A75="N/A"," ",IF(Pricetype=2,MAX(O75-$H75,0),IF(O75&lt;&gt;0,IF(Pricetype=1,(xSPRDOPT(O75,$E75,$CI75,0,($CD75+IF(Smile=TRUE(),VLOOKUP(MAX(-5,$H75-O75),Volsmile,2),0)),$CG75,$CH75,($A75-DateToday)+15,1,0)),O75-$H75),0)))</f>
        <v> </v>
      </c>
      <c r="Y75" s="316" t="str">
        <f aca="false">IF($A75="N/A"," ",IF(Pricetype=2,MAX(P75-$H75,0),IF(P75&lt;&gt;0,IF(Pricetype=1,(xSPRDOPT(P75,$E75,$CI75,0,($CD75+IF(Smile=TRUE(),VLOOKUP(MAX(-5,$H75-P75),Volsmile,2),0)),$CG75,$CH75,($A75-DateToday)+15,1,0)),P75-$H75),0)))</f>
        <v> </v>
      </c>
      <c r="Z75" s="317" t="str">
        <f aca="false">IF($A75="N/A"," ",(IF(Pricetype=2,IF((Q75-$H75)&lt;=0,0,(Q75-$H75)),IF(Q75&lt;&gt;0,(Q75-$H75),0))))</f>
        <v> </v>
      </c>
      <c r="AA75" s="318" t="str">
        <f aca="false">IF($A75="N/A"," ",IF(VLOOKUP(MONTH(A75),ManualTable,2)=1,(IF(0&lt;&gt;R75,IF(Pricetype=1,(xSPRDOPT(I75,$E75,$CI75,0,($CD75+IF(Smile=TRUE(),VLOOKUP(MAX(-5,$H75-I75),Volsmile,2),0)),$CG75,$CH75,($A75-DateToday)+15,1,1))*(8*$HD75),8*$HD75),0)),0))</f>
        <v> </v>
      </c>
      <c r="AB75" s="318" t="str">
        <f aca="false">IF($A75="N/A"," ",IF(VLOOKUP(MONTH(A75),ManualTable,3)=1,(IF(S75&lt;&gt;0,IF(Pricetype=1,(xSPRDOPT(J75,$E75,$CI75,0,($CD75+IF(Smile=TRUE(),VLOOKUP(MAX(-5,$H75-J75),Volsmile,2),0)),$CG75,$CH75,($A75-DateToday)+15,1,1))*(8*$HD75),8*$HD75),0)),0))</f>
        <v> </v>
      </c>
      <c r="AC75" s="318" t="str">
        <f aca="false">IF($A75="N/A"," ",IF(VLOOKUP(MONTH(A75),ManualTable,4)=1,(IF(T75&lt;&gt;0,(8*$HD75),0)),0))</f>
        <v> </v>
      </c>
      <c r="AD75" s="318" t="str">
        <f aca="false">IF($A75="N/A"," ",IF(VLOOKUP(MONTH(A75),ManualTable,5)=1,(IF(U75&lt;&gt;0,IF(Pricetype=1,(xSPRDOPT(L75,$E75,$CI75,0,($CD75+IF(Smile=TRUE(),VLOOKUP(MAX(-5,$H75-L75),Volsmile,2),0)),$CG75,$CH75,($A75-DateToday)+15,1,1))*(8*$HE75),8*$HE75),0)),0))</f>
        <v> </v>
      </c>
      <c r="AE75" s="318" t="str">
        <f aca="false">IF($A75="N/A"," ",IF(VLOOKUP(MONTH(A75),ManualTable,6)=1,(IF(V75&lt;&gt;0,IF(Pricetype=1,(xSPRDOPT(M75,$E75,$CI75,0,($CD75+IF(Smile=TRUE(),VLOOKUP(MAX(-5,$H75-M75),Volsmile,2),0)),$CG75,$CH75,($A75-DateToday)+15,1,1))*(8*$HE75),8*$HE75),0)),0))</f>
        <v> </v>
      </c>
      <c r="AF75" s="318" t="str">
        <f aca="false">IF($A75="N/A"," ",IF(VLOOKUP(MONTH(A75),ManualTable,7)=1,(IF(W75&lt;&gt;0,(8*$HE75),0)),0))</f>
        <v> </v>
      </c>
      <c r="AG75" s="318" t="str">
        <f aca="false">IF($A75="N/A"," ",IF(VLOOKUP(MONTH(A75),ManualTable,8)=1,(IF(X75&lt;&gt;0,IF(Pricetype=1,(xSPRDOPT(O75,$E75,$CI75,0,($CD75+IF(Smile=TRUE(),VLOOKUP(MAX(-5,$H75-O75),Volsmile,2),0)),$CG75,$CH75,($A75-DateToday)+15,1,1))*(8*$HF75),8*$HF75),0)),0))</f>
        <v> </v>
      </c>
      <c r="AH75" s="318" t="str">
        <f aca="false">IF($A75="N/A"," ",IF(VLOOKUP(MONTH(A75),ManualTable,9)=1,(IF(Y75&lt;&gt;0,IF(Pricetype=1,(xSPRDOPT(P75,$E75,$CI75,0,($CD75+IF(Smile=TRUE(),VLOOKUP(MAX(-5,$H75-P75),Volsmile,2),0)),$CG75,$CH75,($A75-DateToday)+15,1,1))*(8*$HF75),8*$HF75),0)),0))</f>
        <v> </v>
      </c>
      <c r="AI75" s="318" t="str">
        <f aca="false">IF($A75="N/A"," ",IF(VLOOKUP(MONTH(A75),ManualTable,10)=1,(IF(Z75&lt;&gt;0,(8*($HF75)),0)),0))</f>
        <v> </v>
      </c>
      <c r="AJ75" s="349" t="str">
        <f aca="false">IF($A75="N/A"," ",RANK(R75,$R$64:$Z$75))</f>
        <v> </v>
      </c>
      <c r="AK75" s="350" t="str">
        <f aca="false">IF($A75="N/A"," ",RANK(S75,$R$64:$Z$75))</f>
        <v> </v>
      </c>
      <c r="AL75" s="350" t="str">
        <f aca="false">IF($A75="N/A"," ",RANK(T75,$R$64:$Z$75))</f>
        <v> </v>
      </c>
      <c r="AM75" s="350" t="str">
        <f aca="false">IF($A75="N/A"," ",RANK(U75,$R$64:$Z$75))</f>
        <v> </v>
      </c>
      <c r="AN75" s="350" t="str">
        <f aca="false">IF($A75="N/A"," ",RANK(V75,$R$64:$Z$75))</f>
        <v> </v>
      </c>
      <c r="AO75" s="350" t="str">
        <f aca="false">IF($A75="N/A"," ",RANK(W75,$R$64:$Z$75))</f>
        <v> </v>
      </c>
      <c r="AP75" s="350" t="str">
        <f aca="false">IF($A75="N/A"," ",RANK(X75,$R$64:$Z$75))</f>
        <v> </v>
      </c>
      <c r="AQ75" s="350" t="str">
        <f aca="false">IF($A75="N/A"," ",RANK(Y75,$R$64:$Z$75))</f>
        <v> </v>
      </c>
      <c r="AR75" s="351" t="str">
        <f aca="false">IF($A75="N/A"," ",RANK(Z75,$R$64:$Z$75))</f>
        <v> </v>
      </c>
      <c r="AS75" s="352" t="str">
        <f aca="false">IF($A75="N/A"," ",IF(AJ75&lt;=$AR$2,AA75,0))</f>
        <v> </v>
      </c>
      <c r="AT75" s="353" t="str">
        <f aca="false">IF($A75="N/A"," ",IF(AK75&lt;=$AR$2,AB75,0))</f>
        <v> </v>
      </c>
      <c r="AU75" s="353" t="str">
        <f aca="false">IF($A75="N/A"," ",IF(AL75&lt;=$AR$2,AC75,0))</f>
        <v> </v>
      </c>
      <c r="AV75" s="353" t="str">
        <f aca="false">IF($A75="N/A"," ",IF(AM75&lt;=$AR$2,AD75,0))</f>
        <v> </v>
      </c>
      <c r="AW75" s="353" t="str">
        <f aca="false">IF($A75="N/A"," ",IF(AN75&lt;=$AR$2,AE75,0))</f>
        <v> </v>
      </c>
      <c r="AX75" s="353" t="str">
        <f aca="false">IF($A75="N/A"," ",IF(AO75&lt;=$AR$2,AF75,0))</f>
        <v> </v>
      </c>
      <c r="AY75" s="353" t="str">
        <f aca="false">IF($A75="N/A"," ",IF(AP75&lt;=$AR$2,AG75,0))</f>
        <v> </v>
      </c>
      <c r="AZ75" s="353" t="str">
        <f aca="false">IF($A75="N/A"," ",IF(AQ75&lt;=$AR$2,AH75,0))</f>
        <v> </v>
      </c>
      <c r="BA75" s="353" t="str">
        <f aca="false">IF($A75="N/A"," ",IF(AR75&lt;=$AR$2,AI75,0))</f>
        <v> </v>
      </c>
      <c r="BB75" s="351" t="n">
        <f aca="false">IF(($AZ$2-BB74)&gt;=0,$AZ$2-BB74,0)</f>
        <v>980</v>
      </c>
      <c r="BC75" s="354" t="str">
        <f aca="false">IF($A75="N/A"," ",IF(AND(AJ75=$AR$2+1,AS75=0),MIN($BB$75,AA75),0))</f>
        <v> </v>
      </c>
      <c r="BD75" s="355" t="str">
        <f aca="false">IF($A75="N/A"," ",IF(AND(AK75=$AR$2+1,AT75=0),MIN($BB$75,AB75),0))</f>
        <v> </v>
      </c>
      <c r="BE75" s="346" t="str">
        <f aca="false">IF($A75="N/A"," ",IF(AND(AL75=$AR$2+1,AU75=0),MIN($BB$75,AC75),0))</f>
        <v> </v>
      </c>
      <c r="BF75" s="355" t="str">
        <f aca="false">IF($A75="N/A"," ",IF(AND(AM75=$AR$2+1,AV75=0),MIN($BB$75,AD75),0))</f>
        <v> </v>
      </c>
      <c r="BG75" s="355" t="str">
        <f aca="false">IF($A75="N/A"," ",IF(AND(AN75=$AR$2+1,AW75=0),MIN($BB$75,AE75),0))</f>
        <v> </v>
      </c>
      <c r="BH75" s="346" t="str">
        <f aca="false">IF($A75="N/A"," ",IF(AND(AO75=$AR$2+1,AX75=0),MIN($BB$75,AF75),0))</f>
        <v> </v>
      </c>
      <c r="BI75" s="355" t="str">
        <f aca="false">IF($A75="N/A"," ",IF(AND(AP75=$AR$2+1,AY75=0),MIN($BB$75,AG75),0))</f>
        <v> </v>
      </c>
      <c r="BJ75" s="355" t="str">
        <f aca="false">IF($A75="N/A"," ",IF(AND(AQ75=$AR$2+1,AZ75=0),MIN($BB$75,AH75),0))</f>
        <v> </v>
      </c>
      <c r="BK75" s="355" t="str">
        <f aca="false">IF($A75="N/A"," ",IF(AND(AR75=$AR$2+1,BA75=0),MIN($BB$75,AI75),0))</f>
        <v> </v>
      </c>
      <c r="BL75" s="356" t="n">
        <f aca="false">BB74+BL74</f>
        <v>0</v>
      </c>
      <c r="BM75" s="329" t="str">
        <f aca="false">IF($A75="N/A"," ",(IF(MONTH(A75)&gt;=4,IF(MONTH(A75)&lt;=10,Inputs!$F$13-Inputs!$G$13,Inputs!$F$14-Inputs!$G$14),Inputs!$F$14-Inputs!$G$14))*$CK75*Availability)</f>
        <v> </v>
      </c>
      <c r="BN75" s="330" t="str">
        <f aca="false">IF($A75="N/A"," ",(IF(AS75&gt;0,($BM75*(8*($HD75))*R75),0)+IF(BC75&gt;0,($BM75*((BC75/AA75)*8*$HD75)*R75),0)))</f>
        <v> </v>
      </c>
      <c r="BO75" s="330" t="str">
        <f aca="false">IF($A75="N/A"," ",(IF(AT75&gt;0,($BM75*(8*($HD75))*S75),0)+IF(BD75&gt;0,($BM75*((BD75/AB75)*8*$HD75)*S75),0)))</f>
        <v> </v>
      </c>
      <c r="BP75" s="330" t="str">
        <f aca="false">IF($A75="N/A"," ",(IF(AU75&gt;0,($BM75*(8*($HD75))*T75),0)+IF(BE75&gt;0,($BM75*((BE75))*T75),0)))</f>
        <v> </v>
      </c>
      <c r="BQ75" s="330" t="str">
        <f aca="false">IF($A75="N/A"," ",(IF(AV75&gt;0,($BM75*(8*($HE75))*U75),0)+IF(BF75&gt;0,($BM75*((BF75/AD75)*8*$HE75)*U75),0)))</f>
        <v> </v>
      </c>
      <c r="BR75" s="330" t="str">
        <f aca="false">IF($A75="N/A"," ",(IF(AW75&gt;0,($BM75*(8*($HE75))*V75),0)+IF(BG75&gt;0,($BM75*((BG75/AE75)*8*$HE75)*V75),0)))</f>
        <v> </v>
      </c>
      <c r="BS75" s="330" t="str">
        <f aca="false">IF($A75="N/A"," ",(IF(AX75&gt;0,($BM75*(8*($HE75))*W75),0)+IF(BH75&gt;0,($BM75*((BH75))*W75),0)))</f>
        <v> </v>
      </c>
      <c r="BT75" s="330" t="str">
        <f aca="false">IF($A75="N/A"," ",(IF(AY75&gt;0,($BM75*(8*($HF75))*X75),0)+IF(BI75&gt;0,($BM75*((BI75/AG75)*8*$HF75)*X75),0)))</f>
        <v> </v>
      </c>
      <c r="BU75" s="330" t="str">
        <f aca="false">IF($A75="N/A"," ",(IF(AZ75&gt;0,($BM75*(8*($HF75))*Y75),0)+IF(BJ75&gt;0,($BM75*((BJ75/AH75)*8*$HF75)*Y75),0)))</f>
        <v> </v>
      </c>
      <c r="BV75" s="330" t="str">
        <f aca="false">IF($A75="N/A"," ",(IF(BA75&gt;0,($BM75*(8*($HF75))*Z75),0)+IF(BK75&gt;0,($BM75*((BK75))*Z75),0)))</f>
        <v> </v>
      </c>
      <c r="BW75" s="330" t="str">
        <f aca="false">IF($A75="N/A"," ",SUM(BN75:BV75))</f>
        <v> </v>
      </c>
      <c r="BX75" s="331" t="str">
        <f aca="false">IF($A75="N/A"," ",(H75*(SUM(AS75:BA75)+SUM(BC75:BK75))*BM75))</f>
        <v> </v>
      </c>
      <c r="BY75" s="332" t="str">
        <f aca="false">IF($A75="N/A"," ",((C75*D75)*(SUM($AS75:$BA75)+SUM($BC75:$BK75))*$BM75))</f>
        <v> </v>
      </c>
      <c r="BZ75" s="332" t="str">
        <f aca="false">IF($A75="N/A"," ",(F75*(SUM($AS75:$BA75)+SUM($BC75:$BK75))*$BM75))</f>
        <v> </v>
      </c>
      <c r="CA75" s="333" t="str">
        <f aca="false">IF($A75="N/A"," ",(G75*(SUM($AS75:$BA75)+SUM($BC75:$BK75))*$BM75))</f>
        <v> </v>
      </c>
      <c r="CB75" s="334" t="str">
        <f aca="false">IF(A75="N/A"," ",(VLOOKUP(A75,PowerVolTable,(IF(BMO=2,7,IF(BMO=1,6,8))),FALSE())))</f>
        <v> </v>
      </c>
      <c r="CC75" s="334" t="str">
        <f aca="false">IF(A75="N/A"," ",(VLOOKUP(A75,IntraPowerVol,(IF(BMO=2,3,IF(BMO=1,2,4))),FALSE())*VLOOKUP(MONTH($A75),Volscale,2)))</f>
        <v> </v>
      </c>
      <c r="CD75" s="335" t="str">
        <f aca="false">IF($A75="N/A"," ",(IF(DateToday&gt;$A75,$CC75,((($CB75^2)*((($A75-1)-DateToday)/((EOMONTH($A75,0)+1)-DateToday-15)))+((($CC75)^2)*((15)/((EOMONTH($A75,0)+1)-DateToday-15))))^0.5)))</f>
        <v> </v>
      </c>
      <c r="CE75" s="334" t="str">
        <f aca="false">IF($A75="N/A"," ",(VLOOKUP($A75,GasVolTable,(IF(BMO=2,6,IF(BMO=1,7,5))),FALSE())))</f>
        <v> </v>
      </c>
      <c r="CF75" s="334" t="str">
        <f aca="false">IF($A75="N/A"," ",(VLOOKUP($A75,OmicronVol,(IF(BMO=2,3,IF(BMO=1,4,2))),FALSE())))</f>
        <v> </v>
      </c>
      <c r="CG75" s="335" t="str">
        <f aca="false">IF($A75="N/A"," ",(IF(DateToday&gt;$A75,$CF75,((($CE75^2)*((($A75-1)-DateToday)/((EOMONTH($A75,0)+1)-DateToday-15)))+((($CF75)^2)*((15)/((EOMONTH($A75,0)+1)-DateToday-15))))^0.5)))</f>
        <v> </v>
      </c>
      <c r="CH75" s="334" t="str">
        <f aca="false">IF($A75="N/A"," ",VLOOKUP($A75,CorrelationTable,2,FALSE()))</f>
        <v> </v>
      </c>
      <c r="CI75" s="336" t="str">
        <f aca="false">IF($A75="N/A"," ",F75+G75+(D75*('Pricing Inputs'!T108)))</f>
        <v> </v>
      </c>
      <c r="CJ75" s="334" t="str">
        <f aca="false">IF($A75="N/A"," ",IF(PV=1,0,'Pricing Inputs'!U108))</f>
        <v> </v>
      </c>
      <c r="CK75" s="337" t="str">
        <f aca="false">IF($A75="N/A"," ",(1+CJ75/2)^(-2*((EOMONTH(A75,0)+20)-DateToday)/365.25))</f>
        <v> </v>
      </c>
      <c r="CL75" s="338" t="str">
        <f aca="false">IF(A75="N/A"," ",IF(CC=2,(VLOOKUP(MONTH($A75),Hrtable,3))/1000,0))</f>
        <v> </v>
      </c>
      <c r="CM75" s="339" t="str">
        <f aca="false">IF(A75="N/A"," ",IF(CC=2,(CL75*C75)+F75,0))</f>
        <v> </v>
      </c>
      <c r="CN75" s="340" t="str">
        <f aca="false">IF($A75="N/A"," ",IF(CC=2,(VLOOKUP(A75,ScaledPrice,(IF(AND(Dayrun&gt;=1,Dayrun&lt;=6),2,4)))-((IF(R75&lt;&gt;0,$D75,$CL75)*$C75)+$F75+$G75)),0))</f>
        <v> </v>
      </c>
      <c r="CO75" s="340" t="str">
        <f aca="false">IF($A75="N/A"," ",IF(CC=2,(IF(AND(Dayrun&gt;=1,Dayrun&lt;=6),I75,(VLOOKUP(A75,ScaledPrice,2))*(2-(VLOOKUP(A75,ScaledPrice,3))))-((IF(S75&lt;&gt;0,$D75,$CL75)*$C75)+$F75+$G75)),0))</f>
        <v> </v>
      </c>
      <c r="CP75" s="340" t="str">
        <f aca="false">IF(A75="N/A"," ",IF(CC=2,(VLOOKUP(A75,ScaledPrice,9)-((IF(T75&lt;&gt;0,$D75,$CL75)*$C75)+$F75+$G75)),0))</f>
        <v> </v>
      </c>
      <c r="CQ75" s="340" t="str">
        <f aca="false">IF(A75="N/A"," ",IF(CC=2,(IF(OR(Dayrun=2,Dayrun=3,Dayrun=5,Dayrun=6,Dayrun=8,Dayrun=9),VLOOKUP(A75,ScaledPrice,IF(AND(Dayrun&gt;=2,Dayrun&lt;=6),5,6)),0)-((IF(U75&lt;&gt;0,$D75,$CL75)*$C75)+$F75+$G75)),0))</f>
        <v> </v>
      </c>
      <c r="CR75" s="340" t="str">
        <f aca="false">IF(A75="N/A"," ",IF(CC=2,(IF(OR(Dayrun=2,Dayrun=3,Dayrun=5,Dayrun=6,Dayrun=8,Dayrun=9),IF(AND(Dayrun&gt;=2,Dayrun&lt;=6),L75,(VLOOKUP(A75,ScaledPrice,5))*(2-(VLOOKUP(A75,ScaledPrice,3)))),0)-((IF(V75&lt;&gt;0,$D75,$CL75)*$C75)+$F75+$G75)),0))</f>
        <v> </v>
      </c>
      <c r="CS75" s="340" t="str">
        <f aca="false">IF(A75="N/A"," ",IF(CC=2,(VLOOKUP(A75,ScaledPrice,9)-((IF(W75&lt;&gt;0,$D75,$CL75)*$C75)+$F75+$G75)),0))</f>
        <v> </v>
      </c>
      <c r="CT75" s="340" t="str">
        <f aca="false">IF(A75="N/A"," ",IF(CC=2,(IF(OR(Dayrun=3,Dayrun=6,Dayrun=9),(VLOOKUP(A75,ScaledPrice,IF(AND(Dayrun&gt;=3,Dayrun&lt;=6),7,8))),0)-((IF(X75&lt;&gt;0,$D75,$CL75)*$C75)+$F75+$G75)),0))</f>
        <v> </v>
      </c>
      <c r="CU75" s="340" t="str">
        <f aca="false">IF(A75="N/A"," ",IF(CC=2,(IF(OR(Dayrun=3,Dayrun=6,Dayrun=9),IF(AND(Dayrun&gt;=3,Dayrun&lt;=6),O75,(VLOOKUP(A75,ScaledPrice,7))*(2-(VLOOKUP(A75,ScaledPrice,3)))),0)-((IF(Y75&lt;&gt;0,$D75,$CL75)*$C75)+$F75+$G75)),0))</f>
        <v> </v>
      </c>
      <c r="CV75" s="340" t="str">
        <f aca="false">IF(A75="N/A"," ",IF(CC=2,(VLOOKUP(A75,ScaledPrice,9)-((IF(Z75&lt;&gt;0,$D75,$CL75)*$C75)+$F75+$G75)),0))</f>
        <v> </v>
      </c>
      <c r="CW75" s="318" t="str">
        <f aca="false">IF($A75="N/A"," ",IF(0&lt;&gt;CN75,IF(CC=2,8*$HD75,0),0))</f>
        <v> </v>
      </c>
      <c r="CX75" s="318" t="str">
        <f aca="false">IF($A75="N/A"," ",IF(0&lt;&gt;CO75,IF(CC=2,8*$HD75,0),0))</f>
        <v> </v>
      </c>
      <c r="CY75" s="318" t="str">
        <f aca="false">IF($A75="N/A"," ",IF(0&lt;&gt;CP75,IF(CC=2,8*$HD75,0),0))</f>
        <v> </v>
      </c>
      <c r="CZ75" s="318" t="str">
        <f aca="false">IF($A75="N/A"," ",IF(0&lt;&gt;CQ75,IF(CC=2,8*$HE75,0),0))</f>
        <v> </v>
      </c>
      <c r="DA75" s="318" t="str">
        <f aca="false">IF($A75="N/A"," ",IF(0&lt;&gt;CR75,IF(CC=2,8*$HE75,0),0))</f>
        <v> </v>
      </c>
      <c r="DB75" s="318" t="str">
        <f aca="false">IF($A75="N/A"," ",IF(0&lt;&gt;CS75,IF(CC=2,8*$HE75,0),0))</f>
        <v> </v>
      </c>
      <c r="DC75" s="318" t="str">
        <f aca="false">IF($A75="N/A"," ",IF(0&lt;&gt;CT75,IF(CC=2,8*$HF75,0),0))</f>
        <v> </v>
      </c>
      <c r="DD75" s="318" t="str">
        <f aca="false">IF($A75="N/A"," ",IF(0&lt;&gt;CU75,IF(CC=2,8*$HF75,0),0))</f>
        <v> </v>
      </c>
      <c r="DE75" s="318" t="str">
        <f aca="false">IF($A75="N/A"," ",IF(0&lt;&gt;CV75,IF(CC=2,8*$HF75,0),0))</f>
        <v> </v>
      </c>
      <c r="DF75" s="341" t="str">
        <f aca="false">IF($A75="N/A"," ",IF(CC=2,(IF(MONTH(A75)&gt;=4,IF(MONTH(A75)&lt;=10,Inputs!$G$13,Inputs!$G$14),Inputs!$G$14))*$CK75,0))</f>
        <v> </v>
      </c>
      <c r="DG75" s="342" t="str">
        <f aca="false">IF($A75="N/A"," ",IF(CC=2,$DF75*CW75*CN75,0))</f>
        <v> </v>
      </c>
      <c r="DH75" s="342" t="str">
        <f aca="false">IF($A75="N/A"," ",IF(CC=2,$DF75*CX75*CO75,0))</f>
        <v> </v>
      </c>
      <c r="DI75" s="342" t="str">
        <f aca="false">IF($A75="N/A"," ",IF(CC=2,$DF75*CY75*CP75,0))</f>
        <v> </v>
      </c>
      <c r="DJ75" s="342" t="str">
        <f aca="false">IF($A75="N/A"," ",IF(CC=2,$DF75*CZ75*CQ75,0))</f>
        <v> </v>
      </c>
      <c r="DK75" s="342" t="str">
        <f aca="false">IF($A75="N/A"," ",IF(CC=2,$DF75*DA75*CR75,0))</f>
        <v> </v>
      </c>
      <c r="DL75" s="342" t="str">
        <f aca="false">IF($A75="N/A"," ",IF(CC=2,$DF75*DB75*CS75,0))</f>
        <v> </v>
      </c>
      <c r="DM75" s="342" t="str">
        <f aca="false">IF($A75="N/A"," ",IF(CC=2,$DF75*DC75*CT75,0))</f>
        <v> </v>
      </c>
      <c r="DN75" s="342" t="str">
        <f aca="false">IF($A75="N/A"," ",IF(CC=2,$DF75*DD75*CU75,0))</f>
        <v> </v>
      </c>
      <c r="DO75" s="342" t="str">
        <f aca="false">IF($A75="N/A"," ",IF(CC=2,$DF75*DE75*CV75,0))</f>
        <v> </v>
      </c>
      <c r="DP75" s="343" t="str">
        <f aca="false">IF($A75="N/A"," ",IF(CC=2,SUM(DG75:DO75),0))</f>
        <v> </v>
      </c>
      <c r="DQ75" s="0" t="str">
        <f aca="false">IF(A75="N/A"," ",Perstart)</f>
        <v> </v>
      </c>
      <c r="HD75" s="0" t="str">
        <f aca="false">IF($A75="N/A"," ",VLOOKUP($A75,NumberofDaysTable,2))</f>
        <v> </v>
      </c>
      <c r="HE75" s="0" t="str">
        <f aca="false">IF($A75="N/A"," ",VLOOKUP($A75,NumberofDaysTable,3))</f>
        <v> </v>
      </c>
      <c r="HF75" s="0" t="str">
        <f aca="false">IF($A75="N/A"," ",VLOOKUP($A75,NumberofDaysTable,4))</f>
        <v> </v>
      </c>
    </row>
    <row r="76" customFormat="false" ht="12.75" hidden="false" customHeight="false" outlineLevel="0" collapsed="false">
      <c r="A76" s="308" t="str">
        <f aca="false">IF(A75="N/A","N/A",IF(EDATE(A75,1)&gt;Inputs!$K$3,"N/A",EDATE(A75,1)))</f>
        <v>N/A</v>
      </c>
      <c r="B76" s="309" t="str">
        <f aca="false">IF(A76="N/A"," ",YEAR(A76))</f>
        <v> </v>
      </c>
      <c r="C76" s="310" t="str">
        <f aca="false">IF(A76="N/A"," ",VLOOKUP(A76,ScaledPrice,10))</f>
        <v> </v>
      </c>
      <c r="D76" s="311" t="str">
        <f aca="false">IF(A76="N/A"," ",(VLOOKUP(MONTH($A76),Hrtable,2))/1000)</f>
        <v> </v>
      </c>
      <c r="E76" s="312" t="str">
        <f aca="false">IF($A76="N/A"," ",(C76-'Pricing Inputs'!T109)*D76)</f>
        <v> </v>
      </c>
      <c r="F76" s="313" t="str">
        <f aca="false">IF(A76="N/A"," ",$F64*(1+VOMesc))</f>
        <v> </v>
      </c>
      <c r="G76" s="313" t="str">
        <f aca="false">IF(A76="N/A"," ",Perstart/IF(AND(Dayrun&gt;=4,Dayrun&lt;=6),16,IF(AND(Dayrun&gt;=7,Dayrun&lt;=9),8,24))/(BM76/CK76))</f>
        <v> </v>
      </c>
      <c r="H76" s="314" t="str">
        <f aca="false">IF(A76="N/A"," ",(C76*D76)+F76+G76)</f>
        <v> </v>
      </c>
      <c r="I76" s="315" t="str">
        <f aca="false">VLOOKUP(A76,ScaledPrice,(IF(AND(Dayrun&gt;=1,Dayrun&lt;=6),2,4)))</f>
        <v> </v>
      </c>
      <c r="J76" s="315" t="str">
        <f aca="false">IF(A76="N/A"," ",IF(AND(Dayrun&gt;=1,Dayrun&lt;=6),I76,(VLOOKUP(A76,ScaledPrice,2))*(2-(VLOOKUP(A76,ScaledPrice,3)))))</f>
        <v> </v>
      </c>
      <c r="K76" s="315" t="str">
        <f aca="false">IF(A76="N/A"," ",IF(AND(Dayrun&gt;=1,Dayrun&lt;=3),VLOOKUP(A76,ScaledPrice,9),0))</f>
        <v> </v>
      </c>
      <c r="L76" s="315" t="str">
        <f aca="false">IF(A76="N/A"," ",IF(OR(Dayrun=2,Dayrun=3,Dayrun=5,Dayrun=6,Dayrun=8,Dayrun=9),VLOOKUP(A76,ScaledPrice,IF(AND(Dayrun&gt;=2,Dayrun&lt;=6),5,6)),0))</f>
        <v> </v>
      </c>
      <c r="M76" s="315" t="str">
        <f aca="false">IF(A76="N/A"," ",IF(OR(Dayrun=2,Dayrun=3,Dayrun=5,Dayrun=6,Dayrun=8,Dayrun=9),IF(AND(Dayrun&gt;=2,Dayrun&lt;=6),L76,(VLOOKUP(A76,ScaledPrice,5))*(2-(VLOOKUP(A76,ScaledPrice,3)))),0))</f>
        <v> </v>
      </c>
      <c r="N76" s="315" t="str">
        <f aca="false">IF(A76="N/A"," ",IF(AND(Dayrun&gt;1,Dayrun&lt;=3),VLOOKUP(A76,ScaledPrice,9),0))</f>
        <v> </v>
      </c>
      <c r="O76" s="315" t="str">
        <f aca="false">IF(A76="N/A"," ",IF(OR(Dayrun=3,Dayrun=6,Dayrun=9),(VLOOKUP(A76,ScaledPrice,IF(AND(Dayrun&gt;=3,Dayrun&lt;=6),7,8))),0))</f>
        <v> </v>
      </c>
      <c r="P76" s="315" t="str">
        <f aca="false">IF(A76="N/A"," ",IF(OR(Dayrun=3,Dayrun=6,Dayrun=9),IF(AND(Dayrun&gt;=3,Dayrun&lt;=6),O76,(VLOOKUP(A76,ScaledPrice,7))*(2-(VLOOKUP(A76,ScaledPrice,3)))),0))</f>
        <v> </v>
      </c>
      <c r="Q76" s="315" t="str">
        <f aca="false">IF(A76="N/A"," ",IF(AND(Dayrun&gt;2,Dayrun&lt;=3),VLOOKUP(A76,ScaledPrice,9),0))</f>
        <v> </v>
      </c>
      <c r="R76" s="316" t="str">
        <f aca="false">IF($A76="N/A"," ",IF(Pricetype=2,MAX(I76-$H76,0),IF(Pricetype=1,(xSPRDOPT(I76,$E76,$CI76,0,($CD76+IF(Smile=TRUE(),VLOOKUP(MAX(-5,$H76-I76),Volsmile,2),0)),$CG76,$CH76,($A76-DateToday)+15,1,0)),I76-$H76)))</f>
        <v> </v>
      </c>
      <c r="S76" s="316" t="str">
        <f aca="false">IF($A76="N/A"," ",IF(Pricetype=2,MAX(J76-$H76,0),IF(Pricetype=1,(xSPRDOPT(J76,$E76,$CI76,0,($CD76+IF(Smile=TRUE(),VLOOKUP(MAX(-5,$H76-J76),Volsmile,2),0)),$CG76,$CH76,($A76-DateToday)+15,1,0)),J76-$H76)))</f>
        <v> </v>
      </c>
      <c r="T76" s="317" t="str">
        <f aca="false">IF($A76="N/A"," ",(IF(Pricetype=2,IF((K76-$H76)&lt;=0,0,(K76-$H76)),IF(K76&lt;&gt;0,(K76-$H76),0))))</f>
        <v> </v>
      </c>
      <c r="U76" s="316" t="str">
        <f aca="false">IF($A76="N/A"," ",IF(Pricetype=2,MAX(L76-$H76,0),IF(L76&lt;&gt;0,IF(Pricetype=1,(xSPRDOPT(L76,$E76,$CI76,0,($CD76+IF(Smile=TRUE(),VLOOKUP(MAX(-5,$H76-L76),Volsmile,2),0)),$CG76,$CH76,($A76-DateToday)+15,1,0)),L76-$H76),0)))</f>
        <v> </v>
      </c>
      <c r="V76" s="316" t="str">
        <f aca="false">IF($A76="N/A"," ",IF(Pricetype=2,MAX(M76-$H76,0),IF(M76&lt;&gt;0,IF(Pricetype=1,(xSPRDOPT(M76,$E76,$CI76,0,($CD76+IF(Smile=TRUE(),VLOOKUP(MAX(-5,$H76-M76),Volsmile,2),0)),$CG76,$CH76,($A76-DateToday)+15,1,0)),M76-$H76),0)))</f>
        <v> </v>
      </c>
      <c r="W76" s="317" t="str">
        <f aca="false">IF($A76="N/A"," ",(IF(Pricetype=2,IF((N76-$H76)&lt;=0,0,(N76-$H76)),IF(N76&lt;&gt;0,(N76-$H76),0))))</f>
        <v> </v>
      </c>
      <c r="X76" s="316" t="str">
        <f aca="false">IF($A76="N/A"," ",IF(Pricetype=2,MAX(O76-$H76,0),IF(O76&lt;&gt;0,IF(Pricetype=1,(xSPRDOPT(O76,$E76,$CI76,0,($CD76+IF(Smile=TRUE(),VLOOKUP(MAX(-5,$H76-O76),Volsmile,2),0)),$CG76,$CH76,($A76-DateToday)+15,1,0)),O76-$H76),0)))</f>
        <v> </v>
      </c>
      <c r="Y76" s="316" t="str">
        <f aca="false">IF($A76="N/A"," ",IF(Pricetype=2,MAX(P76-$H76,0),IF(P76&lt;&gt;0,IF(Pricetype=1,(xSPRDOPT(P76,$E76,$CI76,0,($CD76+IF(Smile=TRUE(),VLOOKUP(MAX(-5,$H76-P76),Volsmile,2),0)),$CG76,$CH76,($A76-DateToday)+15,1,0)),P76-$H76),0)))</f>
        <v> </v>
      </c>
      <c r="Z76" s="317" t="str">
        <f aca="false">IF($A76="N/A"," ",(IF(Pricetype=2,IF((Q76-$H76)&lt;=0,0,(Q76-$H76)),IF(Q76&lt;&gt;0,(Q76-$H76),0))))</f>
        <v> </v>
      </c>
      <c r="AA76" s="318" t="str">
        <f aca="false">IF($A76="N/A"," ",IF(VLOOKUP(MONTH(A76),ManualTable,2)=1,(IF(0&lt;&gt;R76,IF(Pricetype=1,(xSPRDOPT(I76,$E76,$CI76,0,($CD76+IF(Smile=TRUE(),VLOOKUP(MAX(-5,$H76-I76),Volsmile,2),0)),$CG76,$CH76,($A76-DateToday)+15,1,1))*(8*$HD76),8*$HD76),0)),0))</f>
        <v> </v>
      </c>
      <c r="AB76" s="318" t="str">
        <f aca="false">IF($A76="N/A"," ",IF(VLOOKUP(MONTH(A76),ManualTable,3)=1,(IF(S76&lt;&gt;0,IF(Pricetype=1,(xSPRDOPT(J76,$E76,$CI76,0,($CD76+IF(Smile=TRUE(),VLOOKUP(MAX(-5,$H76-J76),Volsmile,2),0)),$CG76,$CH76,($A76-DateToday)+15,1,1))*(8*$HD76),8*$HD76),0)),0))</f>
        <v> </v>
      </c>
      <c r="AC76" s="318" t="str">
        <f aca="false">IF($A76="N/A"," ",IF(VLOOKUP(MONTH(A76),ManualTable,4)=1,(IF(T76&lt;&gt;0,(8*$HD76),0)),0))</f>
        <v> </v>
      </c>
      <c r="AD76" s="318" t="str">
        <f aca="false">IF($A76="N/A"," ",IF(VLOOKUP(MONTH(A76),ManualTable,5)=1,(IF(U76&lt;&gt;0,IF(Pricetype=1,(xSPRDOPT(L76,$E76,$CI76,0,($CD76+IF(Smile=TRUE(),VLOOKUP(MAX(-5,$H76-L76),Volsmile,2),0)),$CG76,$CH76,($A76-DateToday)+15,1,1))*(8*$HE76),8*$HE76),0)),0))</f>
        <v> </v>
      </c>
      <c r="AE76" s="318" t="str">
        <f aca="false">IF($A76="N/A"," ",IF(VLOOKUP(MONTH(A76),ManualTable,6)=1,(IF(V76&lt;&gt;0,IF(Pricetype=1,(xSPRDOPT(M76,$E76,$CI76,0,($CD76+IF(Smile=TRUE(),VLOOKUP(MAX(-5,$H76-M76),Volsmile,2),0)),$CG76,$CH76,($A76-DateToday)+15,1,1))*(8*$HE76),8*$HE76),0)),0))</f>
        <v> </v>
      </c>
      <c r="AF76" s="318" t="str">
        <f aca="false">IF($A76="N/A"," ",IF(VLOOKUP(MONTH(A76),ManualTable,7)=1,(IF(W76&lt;&gt;0,(8*$HE76),0)),0))</f>
        <v> </v>
      </c>
      <c r="AG76" s="318" t="str">
        <f aca="false">IF($A76="N/A"," ",IF(VLOOKUP(MONTH(A76),ManualTable,8)=1,(IF(X76&lt;&gt;0,IF(Pricetype=1,(xSPRDOPT(O76,$E76,$CI76,0,($CD76+IF(Smile=TRUE(),VLOOKUP(MAX(-5,$H76-O76),Volsmile,2),0)),$CG76,$CH76,($A76-DateToday)+15,1,1))*(8*$HF76),8*$HF76),0)),0))</f>
        <v> </v>
      </c>
      <c r="AH76" s="318" t="str">
        <f aca="false">IF($A76="N/A"," ",IF(VLOOKUP(MONTH(A76),ManualTable,9)=1,(IF(Y76&lt;&gt;0,IF(Pricetype=1,(xSPRDOPT(P76,$E76,$CI76,0,($CD76+IF(Smile=TRUE(),VLOOKUP(MAX(-5,$H76-P76),Volsmile,2),0)),$CG76,$CH76,($A76-DateToday)+15,1,1))*(8*$HF76),8*$HF76),0)),0))</f>
        <v> </v>
      </c>
      <c r="AI76" s="318" t="str">
        <f aca="false">IF($A76="N/A"," ",IF(VLOOKUP(MONTH(A76),ManualTable,10)=1,(IF(Z76&lt;&gt;0,(8*($HF76)),0)),0))</f>
        <v> </v>
      </c>
      <c r="AJ76" s="319" t="str">
        <f aca="false">IF($A76="N/A"," ",RANK(R76,$R$76:$Z$87))</f>
        <v> </v>
      </c>
      <c r="AK76" s="320" t="str">
        <f aca="false">IF($A76="N/A"," ",RANK(S76,$R$76:$Z$87))</f>
        <v> </v>
      </c>
      <c r="AL76" s="320" t="str">
        <f aca="false">IF($A76="N/A"," ",RANK(T76,$R$76:$Z$87))</f>
        <v> </v>
      </c>
      <c r="AM76" s="320" t="str">
        <f aca="false">IF($A76="N/A"," ",RANK(U76,$R$76:$Z$87))</f>
        <v> </v>
      </c>
      <c r="AN76" s="320" t="str">
        <f aca="false">IF($A76="N/A"," ",RANK(V76,$R$76:$Z$87))</f>
        <v> </v>
      </c>
      <c r="AO76" s="320" t="str">
        <f aca="false">IF($A76="N/A"," ",RANK(W76,$R$76:$Z$87))</f>
        <v> </v>
      </c>
      <c r="AP76" s="320" t="str">
        <f aca="false">IF($A76="N/A"," ",RANK(X76,$R$76:$Z$87))</f>
        <v> </v>
      </c>
      <c r="AQ76" s="320" t="str">
        <f aca="false">IF($A76="N/A"," ",RANK(Y76,$R$76:$Z$87))</f>
        <v> </v>
      </c>
      <c r="AR76" s="322" t="str">
        <f aca="false">IF($A76="N/A"," ",RANK(Z76,$R$76:$Z$87))</f>
        <v> </v>
      </c>
      <c r="AS76" s="357" t="str">
        <f aca="false">IF($A76="N/A"," ",IF(AJ76&lt;=$AR$2,AA76,0))</f>
        <v> </v>
      </c>
      <c r="AT76" s="324" t="str">
        <f aca="false">IF($A76="N/A"," ",IF(AK76&lt;=$AR$2,AB76,0))</f>
        <v> </v>
      </c>
      <c r="AU76" s="325" t="str">
        <f aca="false">IF($A76="N/A"," ",IF(AL76&lt;=$AR$2,AC76,0))</f>
        <v> </v>
      </c>
      <c r="AV76" s="325" t="str">
        <f aca="false">IF($A76="N/A"," ",IF(AM76&lt;=$AR$2,AD76,0))</f>
        <v> </v>
      </c>
      <c r="AW76" s="325" t="str">
        <f aca="false">IF($A76="N/A"," ",IF(AN76&lt;=$AR$2,AE76,0))</f>
        <v> </v>
      </c>
      <c r="AX76" s="325" t="str">
        <f aca="false">IF($A76="N/A"," ",IF(AO76&lt;=$AR$2,AF76,0))</f>
        <v> </v>
      </c>
      <c r="AY76" s="324" t="str">
        <f aca="false">IF($A76="N/A"," ",IF(AP76&lt;=$AR$2,AG76,0))</f>
        <v> </v>
      </c>
      <c r="AZ76" s="324" t="str">
        <f aca="false">IF($A76="N/A"," ",IF(AQ76&lt;=$AR$2,AH76,0))</f>
        <v> </v>
      </c>
      <c r="BA76" s="324" t="str">
        <f aca="false">IF($A76="N/A"," ",IF(AR76&lt;=$AR$2,AI76,0))</f>
        <v> </v>
      </c>
      <c r="BB76" s="322"/>
      <c r="BC76" s="358" t="str">
        <f aca="false">IF($A76="N/A"," ",IF(AND(AJ76=$AR$2+1,AS76=0),MIN($BB$87,AA76),0))</f>
        <v> </v>
      </c>
      <c r="BD76" s="327" t="str">
        <f aca="false">IF($A76="N/A"," ",IF(AND(AK76=$AR$2+1,AT76=0),MIN($BB$87,AB76),0))</f>
        <v> </v>
      </c>
      <c r="BE76" s="327" t="str">
        <f aca="false">IF($A76="N/A"," ",IF(AND(AL76=$AR$2+1,AU76=0),MIN($BB$87,AC76),0))</f>
        <v> </v>
      </c>
      <c r="BF76" s="327" t="str">
        <f aca="false">IF($A76="N/A"," ",IF(AND(AM76=$AR$2+1,AV76=0),MIN($BB$87,AD76),0))</f>
        <v> </v>
      </c>
      <c r="BG76" s="327" t="str">
        <f aca="false">IF($A76="N/A"," ",IF(AND(AN76=$AR$2+1,AW76=0),MIN($BB$87,AE76),0))</f>
        <v> </v>
      </c>
      <c r="BH76" s="327" t="str">
        <f aca="false">IF($A76="N/A"," ",IF(AND(AO76=$AR$2+1,AX76=0),MIN($BB$87,AF76),0))</f>
        <v> </v>
      </c>
      <c r="BI76" s="327" t="str">
        <f aca="false">IF($A76="N/A"," ",IF(AND(AP76=$AR$2+1,AY76=0),MIN($BB$87,AG76),0))</f>
        <v> </v>
      </c>
      <c r="BJ76" s="327" t="str">
        <f aca="false">IF($A76="N/A"," ",IF(AND(AQ76=$AR$2+1,AZ76=0),MIN($BB$87,AH76),0))</f>
        <v> </v>
      </c>
      <c r="BK76" s="327" t="str">
        <f aca="false">IF($A76="N/A"," ",IF(AND(AR76=$AR$2+1,BA76=0),MIN($BB$87,AI76),0))</f>
        <v> </v>
      </c>
      <c r="BL76" s="322"/>
      <c r="BM76" s="329" t="str">
        <f aca="false">IF($A76="N/A"," ",(IF(MONTH(A76)&gt;=4,IF(MONTH(A76)&lt;=10,Inputs!$F$13-Inputs!$G$13,Inputs!$F$14-Inputs!$G$14),Inputs!$F$14-Inputs!$G$14))*$CK76*Availability)</f>
        <v> </v>
      </c>
      <c r="BN76" s="330" t="str">
        <f aca="false">IF($A76="N/A"," ",(IF(AS76&gt;0,($BM76*(8*($HD76))*R76),0)+IF(BC76&gt;0,($BM76*((BC76/AA76)*8*$HD76)*R76),0)))</f>
        <v> </v>
      </c>
      <c r="BO76" s="330" t="str">
        <f aca="false">IF($A76="N/A"," ",(IF(AT76&gt;0,($BM76*(8*($HD76))*S76),0)+IF(BD76&gt;0,($BM76*((BD76/AB76)*8*$HD76)*S76),0)))</f>
        <v> </v>
      </c>
      <c r="BP76" s="330" t="str">
        <f aca="false">IF($A76="N/A"," ",(IF(AU76&gt;0,($BM76*(8*($HD76))*T76),0)+IF(BE76&gt;0,($BM76*((BE76))*T76),0)))</f>
        <v> </v>
      </c>
      <c r="BQ76" s="330" t="str">
        <f aca="false">IF($A76="N/A"," ",(IF(AV76&gt;0,($BM76*(8*($HE76))*U76),0)+IF(BF76&gt;0,($BM76*((BF76/AD76)*8*$HE76)*U76),0)))</f>
        <v> </v>
      </c>
      <c r="BR76" s="330" t="str">
        <f aca="false">IF($A76="N/A"," ",(IF(AW76&gt;0,($BM76*(8*($HE76))*V76),0)+IF(BG76&gt;0,($BM76*((BG76/AE76)*8*$HE76)*V76),0)))</f>
        <v> </v>
      </c>
      <c r="BS76" s="330" t="str">
        <f aca="false">IF($A76="N/A"," ",(IF(AX76&gt;0,($BM76*(8*($HE76))*W76),0)+IF(BH76&gt;0,($BM76*((BH76))*W76),0)))</f>
        <v> </v>
      </c>
      <c r="BT76" s="330" t="str">
        <f aca="false">IF($A76="N/A"," ",(IF(AY76&gt;0,($BM76*(8*($HF76))*X76),0)+IF(BI76&gt;0,($BM76*((BI76/AG76)*8*$HF76)*X76),0)))</f>
        <v> </v>
      </c>
      <c r="BU76" s="330" t="str">
        <f aca="false">IF($A76="N/A"," ",(IF(AZ76&gt;0,($BM76*(8*($HF76))*Y76),0)+IF(BJ76&gt;0,($BM76*((BJ76/AH76)*8*$HF76)*Y76),0)))</f>
        <v> </v>
      </c>
      <c r="BV76" s="330" t="str">
        <f aca="false">IF($A76="N/A"," ",(IF(BA76&gt;0,($BM76*(8*($HF76))*Z76),0)+IF(BK76&gt;0,($BM76*((BK76))*Z76),0)))</f>
        <v> </v>
      </c>
      <c r="BW76" s="330" t="str">
        <f aca="false">IF($A76="N/A"," ",SUM(BN76:BV76))</f>
        <v> </v>
      </c>
      <c r="BX76" s="331" t="str">
        <f aca="false">IF($A76="N/A"," ",(H76*(SUM(AS76:BA76)+SUM(BC76:BK76))*BM76))</f>
        <v> </v>
      </c>
      <c r="BY76" s="332" t="str">
        <f aca="false">IF($A76="N/A"," ",((C76*D76)*(SUM($AS76:$BA76)+SUM($BC76:$BK76))*$BM76))</f>
        <v> </v>
      </c>
      <c r="BZ76" s="332" t="str">
        <f aca="false">IF($A76="N/A"," ",(F76*(SUM($AS76:$BA76)+SUM($BC76:$BK76))*$BM76))</f>
        <v> </v>
      </c>
      <c r="CA76" s="333" t="str">
        <f aca="false">IF($A76="N/A"," ",(G76*(SUM($AS76:$BA76)+SUM($BC76:$BK76))*$BM76))</f>
        <v> </v>
      </c>
      <c r="CB76" s="334" t="str">
        <f aca="false">IF(A76="N/A"," ",(VLOOKUP(A76,PowerVolTable,(IF(BMO=2,7,IF(BMO=1,6,8))),FALSE())))</f>
        <v> </v>
      </c>
      <c r="CC76" s="334" t="str">
        <f aca="false">IF(A76="N/A"," ",(VLOOKUP(A76,IntraPowerVol,(IF(BMO=2,3,IF(BMO=1,2,4))),FALSE())*VLOOKUP(MONTH($A76),Volscale,2)))</f>
        <v> </v>
      </c>
      <c r="CD76" s="335" t="str">
        <f aca="false">IF($A76="N/A"," ",(IF(DateToday&gt;$A76,$CC76,((($CB76^2)*((($A76-1)-DateToday)/((EOMONTH($A76,0)+1)-DateToday-15)))+((($CC76)^2)*((15)/((EOMONTH($A76,0)+1)-DateToday-15))))^0.5)))</f>
        <v> </v>
      </c>
      <c r="CE76" s="334" t="str">
        <f aca="false">IF($A76="N/A"," ",(VLOOKUP($A76,GasVolTable,(IF(BMO=2,6,IF(BMO=1,7,5))),FALSE())))</f>
        <v> </v>
      </c>
      <c r="CF76" s="334" t="str">
        <f aca="false">IF($A76="N/A"," ",(VLOOKUP($A76,OmicronVol,(IF(BMO=2,3,IF(BMO=1,4,2))),FALSE())))</f>
        <v> </v>
      </c>
      <c r="CG76" s="335" t="str">
        <f aca="false">IF($A76="N/A"," ",(IF(DateToday&gt;$A76,$CF76,((($CE76^2)*((($A76-1)-DateToday)/((EOMONTH($A76,0)+1)-DateToday-15)))+((($CF76)^2)*((15)/((EOMONTH($A76,0)+1)-DateToday-15))))^0.5)))</f>
        <v> </v>
      </c>
      <c r="CH76" s="334" t="str">
        <f aca="false">IF($A76="N/A"," ",VLOOKUP($A76,CorrelationTable,2,FALSE()))</f>
        <v> </v>
      </c>
      <c r="CI76" s="336" t="str">
        <f aca="false">IF($A76="N/A"," ",F76+G76+(D76*('Pricing Inputs'!T109)))</f>
        <v> </v>
      </c>
      <c r="CJ76" s="334" t="str">
        <f aca="false">IF($A76="N/A"," ",IF(PV=1,0,'Pricing Inputs'!U109))</f>
        <v> </v>
      </c>
      <c r="CK76" s="337" t="str">
        <f aca="false">IF($A76="N/A"," ",(1+CJ76/2)^(-2*((EOMONTH(A76,0)+20)-DateToday)/365.25))</f>
        <v> </v>
      </c>
      <c r="CL76" s="338" t="str">
        <f aca="false">IF(A76="N/A"," ",IF(CC=2,(VLOOKUP(MONTH($A76),Hrtable,3))/1000,0))</f>
        <v> </v>
      </c>
      <c r="CM76" s="339" t="str">
        <f aca="false">IF(A76="N/A"," ",IF(CC=2,(CL76*C76)+F76,0))</f>
        <v> </v>
      </c>
      <c r="CN76" s="340" t="str">
        <f aca="false">IF($A76="N/A"," ",IF(CC=2,(VLOOKUP(A76,ScaledPrice,(IF(AND(Dayrun&gt;=1,Dayrun&lt;=6),2,4)))-((IF(R76&lt;&gt;0,$D76,$CL76)*$C76)+$F76+$G76)),0))</f>
        <v> </v>
      </c>
      <c r="CO76" s="340" t="str">
        <f aca="false">IF($A76="N/A"," ",IF(CC=2,(IF(AND(Dayrun&gt;=1,Dayrun&lt;=6),I76,(VLOOKUP(A76,ScaledPrice,2))*(2-(VLOOKUP(A76,ScaledPrice,3))))-((IF(S76&lt;&gt;0,$D76,$CL76)*$C76)+$F76+$G76)),0))</f>
        <v> </v>
      </c>
      <c r="CP76" s="340" t="str">
        <f aca="false">IF(A76="N/A"," ",IF(CC=2,(VLOOKUP(A76,ScaledPrice,9)-((IF(T76&lt;&gt;0,$D76,$CL76)*$C76)+$F76+$G76)),0))</f>
        <v> </v>
      </c>
      <c r="CQ76" s="340" t="str">
        <f aca="false">IF(A76="N/A"," ",IF(CC=2,(IF(OR(Dayrun=2,Dayrun=3,Dayrun=5,Dayrun=6,Dayrun=8,Dayrun=9),VLOOKUP(A76,ScaledPrice,IF(AND(Dayrun&gt;=2,Dayrun&lt;=6),5,6)),0)-((IF(U76&lt;&gt;0,$D76,$CL76)*$C76)+$F76+$G76)),0))</f>
        <v> </v>
      </c>
      <c r="CR76" s="340" t="str">
        <f aca="false">IF(A76="N/A"," ",IF(CC=2,(IF(OR(Dayrun=2,Dayrun=3,Dayrun=5,Dayrun=6,Dayrun=8,Dayrun=9),IF(AND(Dayrun&gt;=2,Dayrun&lt;=6),L76,(VLOOKUP(A76,ScaledPrice,5))*(2-(VLOOKUP(A76,ScaledPrice,3)))),0)-((IF(V76&lt;&gt;0,$D76,$CL76)*$C76)+$F76+$G76)),0))</f>
        <v> </v>
      </c>
      <c r="CS76" s="340" t="str">
        <f aca="false">IF(A76="N/A"," ",IF(CC=2,(VLOOKUP(A76,ScaledPrice,9)-((IF(W76&lt;&gt;0,$D76,$CL76)*$C76)+$F76+$G76)),0))</f>
        <v> </v>
      </c>
      <c r="CT76" s="340" t="str">
        <f aca="false">IF(A76="N/A"," ",IF(CC=2,(IF(OR(Dayrun=3,Dayrun=6,Dayrun=9),(VLOOKUP(A76,ScaledPrice,IF(AND(Dayrun&gt;=3,Dayrun&lt;=6),7,8))),0)-((IF(X76&lt;&gt;0,$D76,$CL76)*$C76)+$F76+$G76)),0))</f>
        <v> </v>
      </c>
      <c r="CU76" s="340" t="str">
        <f aca="false">IF(A76="N/A"," ",IF(CC=2,(IF(OR(Dayrun=3,Dayrun=6,Dayrun=9),IF(AND(Dayrun&gt;=3,Dayrun&lt;=6),O76,(VLOOKUP(A76,ScaledPrice,7))*(2-(VLOOKUP(A76,ScaledPrice,3)))),0)-((IF(Y76&lt;&gt;0,$D76,$CL76)*$C76)+$F76+$G76)),0))</f>
        <v> </v>
      </c>
      <c r="CV76" s="340" t="str">
        <f aca="false">IF(A76="N/A"," ",IF(CC=2,(VLOOKUP(A76,ScaledPrice,9)-((IF(Z76&lt;&gt;0,$D76,$CL76)*$C76)+$F76+$G76)),0))</f>
        <v> </v>
      </c>
      <c r="CW76" s="318" t="str">
        <f aca="false">IF($A76="N/A"," ",IF(0&lt;&gt;CN76,IF(CC=2,8*$HD76,0),0))</f>
        <v> </v>
      </c>
      <c r="CX76" s="318" t="str">
        <f aca="false">IF($A76="N/A"," ",IF(0&lt;&gt;CO76,IF(CC=2,8*$HD76,0),0))</f>
        <v> </v>
      </c>
      <c r="CY76" s="318" t="str">
        <f aca="false">IF($A76="N/A"," ",IF(0&lt;&gt;CP76,IF(CC=2,8*$HD76,0),0))</f>
        <v> </v>
      </c>
      <c r="CZ76" s="318" t="str">
        <f aca="false">IF($A76="N/A"," ",IF(0&lt;&gt;CQ76,IF(CC=2,8*$HE76,0),0))</f>
        <v> </v>
      </c>
      <c r="DA76" s="318" t="str">
        <f aca="false">IF($A76="N/A"," ",IF(0&lt;&gt;CR76,IF(CC=2,8*$HE76,0),0))</f>
        <v> </v>
      </c>
      <c r="DB76" s="318" t="str">
        <f aca="false">IF($A76="N/A"," ",IF(0&lt;&gt;CS76,IF(CC=2,8*$HE76,0),0))</f>
        <v> </v>
      </c>
      <c r="DC76" s="318" t="str">
        <f aca="false">IF($A76="N/A"," ",IF(0&lt;&gt;CT76,IF(CC=2,8*$HF76,0),0))</f>
        <v> </v>
      </c>
      <c r="DD76" s="318" t="str">
        <f aca="false">IF($A76="N/A"," ",IF(0&lt;&gt;CU76,IF(CC=2,8*$HF76,0),0))</f>
        <v> </v>
      </c>
      <c r="DE76" s="318" t="str">
        <f aca="false">IF($A76="N/A"," ",IF(0&lt;&gt;CV76,IF(CC=2,8*$HF76,0),0))</f>
        <v> </v>
      </c>
      <c r="DF76" s="341" t="str">
        <f aca="false">IF($A76="N/A"," ",IF(CC=2,(IF(MONTH(A76)&gt;=4,IF(MONTH(A76)&lt;=10,Inputs!$G$13,Inputs!$G$14),Inputs!$G$14))*$CK76,0))</f>
        <v> </v>
      </c>
      <c r="DG76" s="342" t="str">
        <f aca="false">IF($A76="N/A"," ",IF(CC=2,$DF76*CW76*CN76,0))</f>
        <v> </v>
      </c>
      <c r="DH76" s="342" t="str">
        <f aca="false">IF($A76="N/A"," ",IF(CC=2,$DF76*CX76*CO76,0))</f>
        <v> </v>
      </c>
      <c r="DI76" s="342" t="str">
        <f aca="false">IF($A76="N/A"," ",IF(CC=2,$DF76*CY76*CP76,0))</f>
        <v> </v>
      </c>
      <c r="DJ76" s="342" t="str">
        <f aca="false">IF($A76="N/A"," ",IF(CC=2,$DF76*CZ76*CQ76,0))</f>
        <v> </v>
      </c>
      <c r="DK76" s="342" t="str">
        <f aca="false">IF($A76="N/A"," ",IF(CC=2,$DF76*DA76*CR76,0))</f>
        <v> </v>
      </c>
      <c r="DL76" s="342" t="str">
        <f aca="false">IF($A76="N/A"," ",IF(CC=2,$DF76*DB76*CS76,0))</f>
        <v> </v>
      </c>
      <c r="DM76" s="342" t="str">
        <f aca="false">IF($A76="N/A"," ",IF(CC=2,$DF76*DC76*CT76,0))</f>
        <v> </v>
      </c>
      <c r="DN76" s="342" t="str">
        <f aca="false">IF($A76="N/A"," ",IF(CC=2,$DF76*DD76*CU76,0))</f>
        <v> </v>
      </c>
      <c r="DO76" s="342" t="str">
        <f aca="false">IF($A76="N/A"," ",IF(CC=2,$DF76*DE76*CV76,0))</f>
        <v> </v>
      </c>
      <c r="DP76" s="343" t="str">
        <f aca="false">IF($A76="N/A"," ",IF(CC=2,SUM(DG76:DO76),0))</f>
        <v> </v>
      </c>
      <c r="DQ76" s="0" t="str">
        <f aca="false">IF(A76="N/A"," ",Perstart)</f>
        <v> </v>
      </c>
      <c r="HD76" s="0" t="str">
        <f aca="false">IF($A76="N/A"," ",VLOOKUP($A76,NumberofDaysTable,2))</f>
        <v> </v>
      </c>
      <c r="HE76" s="0" t="str">
        <f aca="false">IF($A76="N/A"," ",VLOOKUP($A76,NumberofDaysTable,3))</f>
        <v> </v>
      </c>
      <c r="HF76" s="0" t="str">
        <f aca="false">IF($A76="N/A"," ",VLOOKUP($A76,NumberofDaysTable,4))</f>
        <v> </v>
      </c>
    </row>
    <row r="77" customFormat="false" ht="12.75" hidden="false" customHeight="false" outlineLevel="0" collapsed="false">
      <c r="A77" s="308" t="str">
        <f aca="false">IF(A76="N/A","N/A",IF(EDATE(A76,1)&gt;Inputs!$K$3,"N/A",EDATE(A76,1)))</f>
        <v>N/A</v>
      </c>
      <c r="B77" s="309" t="str">
        <f aca="false">IF(A77="N/A"," ",YEAR(A77))</f>
        <v> </v>
      </c>
      <c r="C77" s="310" t="str">
        <f aca="false">IF(A77="N/A"," ",VLOOKUP(A77,ScaledPrice,10))</f>
        <v> </v>
      </c>
      <c r="D77" s="311" t="str">
        <f aca="false">IF(A77="N/A"," ",(VLOOKUP(MONTH($A77),Hrtable,2))/1000)</f>
        <v> </v>
      </c>
      <c r="E77" s="312" t="str">
        <f aca="false">IF($A77="N/A"," ",(C77-'Pricing Inputs'!T110)*D77)</f>
        <v> </v>
      </c>
      <c r="F77" s="313" t="str">
        <f aca="false">IF(A77="N/A"," ",$F65*(1+VOMesc))</f>
        <v> </v>
      </c>
      <c r="G77" s="313" t="str">
        <f aca="false">IF(A77="N/A"," ",Perstart/IF(AND(Dayrun&gt;=4,Dayrun&lt;=6),16,IF(AND(Dayrun&gt;=7,Dayrun&lt;=9),8,24))/(BM77/CK77))</f>
        <v> </v>
      </c>
      <c r="H77" s="314" t="str">
        <f aca="false">IF(A77="N/A"," ",(C77*D77)+F77+G77)</f>
        <v> </v>
      </c>
      <c r="I77" s="315" t="str">
        <f aca="false">VLOOKUP(A77,ScaledPrice,(IF(AND(Dayrun&gt;=1,Dayrun&lt;=6),2,4)))</f>
        <v> </v>
      </c>
      <c r="J77" s="315" t="str">
        <f aca="false">IF(A77="N/A"," ",IF(AND(Dayrun&gt;=1,Dayrun&lt;=6),I77,(VLOOKUP(A77,ScaledPrice,2))*(2-(VLOOKUP(A77,ScaledPrice,3)))))</f>
        <v> </v>
      </c>
      <c r="K77" s="315" t="str">
        <f aca="false">IF(A77="N/A"," ",IF(AND(Dayrun&gt;=1,Dayrun&lt;=3),VLOOKUP(A77,ScaledPrice,9),0))</f>
        <v> </v>
      </c>
      <c r="L77" s="315" t="str">
        <f aca="false">IF(A77="N/A"," ",IF(OR(Dayrun=2,Dayrun=3,Dayrun=5,Dayrun=6,Dayrun=8,Dayrun=9),VLOOKUP(A77,ScaledPrice,IF(AND(Dayrun&gt;=2,Dayrun&lt;=6),5,6)),0))</f>
        <v> </v>
      </c>
      <c r="M77" s="315" t="str">
        <f aca="false">IF(A77="N/A"," ",IF(OR(Dayrun=2,Dayrun=3,Dayrun=5,Dayrun=6,Dayrun=8,Dayrun=9),IF(AND(Dayrun&gt;=2,Dayrun&lt;=6),L77,(VLOOKUP(A77,ScaledPrice,5))*(2-(VLOOKUP(A77,ScaledPrice,3)))),0))</f>
        <v> </v>
      </c>
      <c r="N77" s="315" t="str">
        <f aca="false">IF(A77="N/A"," ",IF(AND(Dayrun&gt;1,Dayrun&lt;=3),VLOOKUP(A77,ScaledPrice,9),0))</f>
        <v> </v>
      </c>
      <c r="O77" s="315" t="str">
        <f aca="false">IF(A77="N/A"," ",IF(OR(Dayrun=3,Dayrun=6,Dayrun=9),(VLOOKUP(A77,ScaledPrice,IF(AND(Dayrun&gt;=3,Dayrun&lt;=6),7,8))),0))</f>
        <v> </v>
      </c>
      <c r="P77" s="315" t="str">
        <f aca="false">IF(A77="N/A"," ",IF(OR(Dayrun=3,Dayrun=6,Dayrun=9),IF(AND(Dayrun&gt;=3,Dayrun&lt;=6),O77,(VLOOKUP(A77,ScaledPrice,7))*(2-(VLOOKUP(A77,ScaledPrice,3)))),0))</f>
        <v> </v>
      </c>
      <c r="Q77" s="315" t="str">
        <f aca="false">IF(A77="N/A"," ",IF(AND(Dayrun&gt;2,Dayrun&lt;=3),VLOOKUP(A77,ScaledPrice,9),0))</f>
        <v> </v>
      </c>
      <c r="R77" s="316" t="str">
        <f aca="false">IF($A77="N/A"," ",IF(Pricetype=2,MAX(I77-$H77,0),IF(Pricetype=1,(xSPRDOPT(I77,$E77,$CI77,0,($CD77+IF(Smile=TRUE(),VLOOKUP(MAX(-5,$H77-I77),Volsmile,2),0)),$CG77,$CH77,($A77-DateToday)+15,1,0)),I77-$H77)))</f>
        <v> </v>
      </c>
      <c r="S77" s="316" t="str">
        <f aca="false">IF($A77="N/A"," ",IF(Pricetype=2,MAX(J77-$H77,0),IF(Pricetype=1,(xSPRDOPT(J77,$E77,$CI77,0,($CD77+IF(Smile=TRUE(),VLOOKUP(MAX(-5,$H77-J77),Volsmile,2),0)),$CG77,$CH77,($A77-DateToday)+15,1,0)),J77-$H77)))</f>
        <v> </v>
      </c>
      <c r="T77" s="317" t="str">
        <f aca="false">IF($A77="N/A"," ",(IF(Pricetype=2,IF((K77-$H77)&lt;=0,0,(K77-$H77)),IF(K77&lt;&gt;0,(K77-$H77),0))))</f>
        <v> </v>
      </c>
      <c r="U77" s="316" t="str">
        <f aca="false">IF($A77="N/A"," ",IF(Pricetype=2,MAX(L77-$H77,0),IF(L77&lt;&gt;0,IF(Pricetype=1,(xSPRDOPT(L77,$E77,$CI77,0,($CD77+IF(Smile=TRUE(),VLOOKUP(MAX(-5,$H77-L77),Volsmile,2),0)),$CG77,$CH77,($A77-DateToday)+15,1,0)),L77-$H77),0)))</f>
        <v> </v>
      </c>
      <c r="V77" s="316" t="str">
        <f aca="false">IF($A77="N/A"," ",IF(Pricetype=2,MAX(M77-$H77,0),IF(M77&lt;&gt;0,IF(Pricetype=1,(xSPRDOPT(M77,$E77,$CI77,0,($CD77+IF(Smile=TRUE(),VLOOKUP(MAX(-5,$H77-M77),Volsmile,2),0)),$CG77,$CH77,($A77-DateToday)+15,1,0)),M77-$H77),0)))</f>
        <v> </v>
      </c>
      <c r="W77" s="317" t="str">
        <f aca="false">IF($A77="N/A"," ",(IF(Pricetype=2,IF((N77-$H77)&lt;=0,0,(N77-$H77)),IF(N77&lt;&gt;0,(N77-$H77),0))))</f>
        <v> </v>
      </c>
      <c r="X77" s="316" t="str">
        <f aca="false">IF($A77="N/A"," ",IF(Pricetype=2,MAX(O77-$H77,0),IF(O77&lt;&gt;0,IF(Pricetype=1,(xSPRDOPT(O77,$E77,$CI77,0,($CD77+IF(Smile=TRUE(),VLOOKUP(MAX(-5,$H77-O77),Volsmile,2),0)),$CG77,$CH77,($A77-DateToday)+15,1,0)),O77-$H77),0)))</f>
        <v> </v>
      </c>
      <c r="Y77" s="316" t="str">
        <f aca="false">IF($A77="N/A"," ",IF(Pricetype=2,MAX(P77-$H77,0),IF(P77&lt;&gt;0,IF(Pricetype=1,(xSPRDOPT(P77,$E77,$CI77,0,($CD77+IF(Smile=TRUE(),VLOOKUP(MAX(-5,$H77-P77),Volsmile,2),0)),$CG77,$CH77,($A77-DateToday)+15,1,0)),P77-$H77),0)))</f>
        <v> </v>
      </c>
      <c r="Z77" s="317" t="str">
        <f aca="false">IF($A77="N/A"," ",(IF(Pricetype=2,IF((Q77-$H77)&lt;=0,0,(Q77-$H77)),IF(Q77&lt;&gt;0,(Q77-$H77),0))))</f>
        <v> </v>
      </c>
      <c r="AA77" s="318" t="str">
        <f aca="false">IF($A77="N/A"," ",IF(VLOOKUP(MONTH(A77),ManualTable,2)=1,(IF(0&lt;&gt;R77,IF(Pricetype=1,(xSPRDOPT(I77,$E77,$CI77,0,($CD77+IF(Smile=TRUE(),VLOOKUP(MAX(-5,$H77-I77),Volsmile,2),0)),$CG77,$CH77,($A77-DateToday)+15,1,1))*(8*$HD77),8*$HD77),0)),0))</f>
        <v> </v>
      </c>
      <c r="AB77" s="318" t="str">
        <f aca="false">IF($A77="N/A"," ",IF(VLOOKUP(MONTH(A77),ManualTable,3)=1,(IF(S77&lt;&gt;0,IF(Pricetype=1,(xSPRDOPT(J77,$E77,$CI77,0,($CD77+IF(Smile=TRUE(),VLOOKUP(MAX(-5,$H77-J77),Volsmile,2),0)),$CG77,$CH77,($A77-DateToday)+15,1,1))*(8*$HD77),8*$HD77),0)),0))</f>
        <v> </v>
      </c>
      <c r="AC77" s="318" t="str">
        <f aca="false">IF($A77="N/A"," ",IF(VLOOKUP(MONTH(A77),ManualTable,4)=1,(IF(T77&lt;&gt;0,(8*$HD77),0)),0))</f>
        <v> </v>
      </c>
      <c r="AD77" s="318" t="str">
        <f aca="false">IF($A77="N/A"," ",IF(VLOOKUP(MONTH(A77),ManualTable,5)=1,(IF(U77&lt;&gt;0,IF(Pricetype=1,(xSPRDOPT(L77,$E77,$CI77,0,($CD77+IF(Smile=TRUE(),VLOOKUP(MAX(-5,$H77-L77),Volsmile,2),0)),$CG77,$CH77,($A77-DateToday)+15,1,1))*(8*$HE77),8*$HE77),0)),0))</f>
        <v> </v>
      </c>
      <c r="AE77" s="318" t="str">
        <f aca="false">IF($A77="N/A"," ",IF(VLOOKUP(MONTH(A77),ManualTable,6)=1,(IF(V77&lt;&gt;0,IF(Pricetype=1,(xSPRDOPT(M77,$E77,$CI77,0,($CD77+IF(Smile=TRUE(),VLOOKUP(MAX(-5,$H77-M77),Volsmile,2),0)),$CG77,$CH77,($A77-DateToday)+15,1,1))*(8*$HE77),8*$HE77),0)),0))</f>
        <v> </v>
      </c>
      <c r="AF77" s="318" t="str">
        <f aca="false">IF($A77="N/A"," ",IF(VLOOKUP(MONTH(A77),ManualTable,7)=1,(IF(W77&lt;&gt;0,(8*$HE77),0)),0))</f>
        <v> </v>
      </c>
      <c r="AG77" s="318" t="str">
        <f aca="false">IF($A77="N/A"," ",IF(VLOOKUP(MONTH(A77),ManualTable,8)=1,(IF(X77&lt;&gt;0,IF(Pricetype=1,(xSPRDOPT(O77,$E77,$CI77,0,($CD77+IF(Smile=TRUE(),VLOOKUP(MAX(-5,$H77-O77),Volsmile,2),0)),$CG77,$CH77,($A77-DateToday)+15,1,1))*(8*$HF77),8*$HF77),0)),0))</f>
        <v> </v>
      </c>
      <c r="AH77" s="318" t="str">
        <f aca="false">IF($A77="N/A"," ",IF(VLOOKUP(MONTH(A77),ManualTable,9)=1,(IF(Y77&lt;&gt;0,IF(Pricetype=1,(xSPRDOPT(P77,$E77,$CI77,0,($CD77+IF(Smile=TRUE(),VLOOKUP(MAX(-5,$H77-P77),Volsmile,2),0)),$CG77,$CH77,($A77-DateToday)+15,1,1))*(8*$HF77),8*$HF77),0)),0))</f>
        <v> </v>
      </c>
      <c r="AI77" s="318" t="str">
        <f aca="false">IF($A77="N/A"," ",IF(VLOOKUP(MONTH(A77),ManualTable,10)=1,(IF(Z77&lt;&gt;0,(8*($HF77)),0)),0))</f>
        <v> </v>
      </c>
      <c r="AJ77" s="344" t="str">
        <f aca="false">IF($A77="N/A"," ",RANK(R77,$R$76:$Z$87))</f>
        <v> </v>
      </c>
      <c r="AK77" s="321" t="str">
        <f aca="false">IF($A77="N/A"," ",RANK(S77,$R$76:$Z$87))</f>
        <v> </v>
      </c>
      <c r="AL77" s="321" t="str">
        <f aca="false">IF($A77="N/A"," ",RANK(T77,$R$76:$Z$87))</f>
        <v> </v>
      </c>
      <c r="AM77" s="321" t="str">
        <f aca="false">IF($A77="N/A"," ",RANK(U77,$R$76:$Z$87))</f>
        <v> </v>
      </c>
      <c r="AN77" s="321" t="str">
        <f aca="false">IF($A77="N/A"," ",RANK(V77,$R$76:$Z$87))</f>
        <v> </v>
      </c>
      <c r="AO77" s="321" t="str">
        <f aca="false">IF($A77="N/A"," ",RANK(W77,$R$76:$Z$87))</f>
        <v> </v>
      </c>
      <c r="AP77" s="321" t="str">
        <f aca="false">IF($A77="N/A"," ",RANK(X77,$R$76:$Z$87))</f>
        <v> </v>
      </c>
      <c r="AQ77" s="321" t="str">
        <f aca="false">IF($A77="N/A"," ",RANK(Y77,$R$76:$Z$87))</f>
        <v> </v>
      </c>
      <c r="AR77" s="345" t="str">
        <f aca="false">IF($A77="N/A"," ",RANK(Z77,$R$76:$Z$87))</f>
        <v> </v>
      </c>
      <c r="AS77" s="323" t="str">
        <f aca="false">IF($A77="N/A"," ",IF(AJ77&lt;=$AR$2,AA77,0))</f>
        <v> </v>
      </c>
      <c r="AT77" s="325" t="str">
        <f aca="false">IF($A77="N/A"," ",IF(AK77&lt;=$AR$2,AB77,0))</f>
        <v> </v>
      </c>
      <c r="AU77" s="325" t="str">
        <f aca="false">IF($A77="N/A"," ",IF(AL77&lt;=$AR$2,AC77,0))</f>
        <v> </v>
      </c>
      <c r="AV77" s="325" t="str">
        <f aca="false">IF($A77="N/A"," ",IF(AM77&lt;=$AR$2,AD77,0))</f>
        <v> </v>
      </c>
      <c r="AW77" s="325" t="str">
        <f aca="false">IF($A77="N/A"," ",IF(AN77&lt;=$AR$2,AE77,0))</f>
        <v> </v>
      </c>
      <c r="AX77" s="325" t="str">
        <f aca="false">IF($A77="N/A"," ",IF(AO77&lt;=$AR$2,AF77,0))</f>
        <v> </v>
      </c>
      <c r="AY77" s="325" t="str">
        <f aca="false">IF($A77="N/A"," ",IF(AP77&lt;=$AR$2,AG77,0))</f>
        <v> </v>
      </c>
      <c r="AZ77" s="325" t="str">
        <f aca="false">IF($A77="N/A"," ",IF(AQ77&lt;=$AR$2,AH77,0))</f>
        <v> </v>
      </c>
      <c r="BA77" s="325" t="str">
        <f aca="false">IF($A77="N/A"," ",IF(AR77&lt;=$AR$2,AI77,0))</f>
        <v> </v>
      </c>
      <c r="BB77" s="345"/>
      <c r="BC77" s="326" t="str">
        <f aca="false">IF($A77="N/A"," ",IF(AND(AJ77=$AR$2+1,AS77=0),MIN($BB$87,AA77),0))</f>
        <v> </v>
      </c>
      <c r="BD77" s="346" t="str">
        <f aca="false">IF($A77="N/A"," ",IF(AND(AK77=$AR$2+1,AT77=0),MIN($BB$87,AB77),0))</f>
        <v> </v>
      </c>
      <c r="BE77" s="346" t="str">
        <f aca="false">IF($A77="N/A"," ",IF(AND(AL77=$AR$2+1,AU77=0),MIN($BB$87,AC77),0))</f>
        <v> </v>
      </c>
      <c r="BF77" s="346" t="str">
        <f aca="false">IF($A77="N/A"," ",IF(AND(AM77=$AR$2+1,AV77=0),MIN($BB$87,AD77),0))</f>
        <v> </v>
      </c>
      <c r="BG77" s="346" t="str">
        <f aca="false">IF($A77="N/A"," ",IF(AND(AN77=$AR$2+1,AW77=0),MIN($BB$87,AE77),0))</f>
        <v> </v>
      </c>
      <c r="BH77" s="346" t="str">
        <f aca="false">IF($A77="N/A"," ",IF(AND(AO77=$AR$2+1,AX77=0),MIN($BB$87,AF77),0))</f>
        <v> </v>
      </c>
      <c r="BI77" s="346" t="str">
        <f aca="false">IF($A77="N/A"," ",IF(AND(AP77=$AR$2+1,AY77=0),MIN($BB$87,AG77),0))</f>
        <v> </v>
      </c>
      <c r="BJ77" s="346" t="str">
        <f aca="false">IF($A77="N/A"," ",IF(AND(AQ77=$AR$2+1,AZ77=0),MIN($BB$87,AH77),0))</f>
        <v> </v>
      </c>
      <c r="BK77" s="346" t="str">
        <f aca="false">IF($A77="N/A"," ",IF(AND(AR77=$AR$2+1,BA77=0),MIN($BB$87,AI77),0))</f>
        <v> </v>
      </c>
      <c r="BL77" s="345"/>
      <c r="BM77" s="329" t="str">
        <f aca="false">IF($A77="N/A"," ",(IF(MONTH(A77)&gt;=4,IF(MONTH(A77)&lt;=10,Inputs!$F$13-Inputs!$G$13,Inputs!$F$14-Inputs!$G$14),Inputs!$F$14-Inputs!$G$14))*$CK77*Availability)</f>
        <v> </v>
      </c>
      <c r="BN77" s="330" t="str">
        <f aca="false">IF($A77="N/A"," ",(IF(AS77&gt;0,($BM77*(8*($HD77))*R77),0)+IF(BC77&gt;0,($BM77*((BC77/AA77)*8*$HD77)*R77),0)))</f>
        <v> </v>
      </c>
      <c r="BO77" s="330" t="str">
        <f aca="false">IF($A77="N/A"," ",(IF(AT77&gt;0,($BM77*(8*($HD77))*S77),0)+IF(BD77&gt;0,($BM77*((BD77/AB77)*8*$HD77)*S77),0)))</f>
        <v> </v>
      </c>
      <c r="BP77" s="330" t="str">
        <f aca="false">IF($A77="N/A"," ",(IF(AU77&gt;0,($BM77*(8*($HD77))*T77),0)+IF(BE77&gt;0,($BM77*((BE77))*T77),0)))</f>
        <v> </v>
      </c>
      <c r="BQ77" s="330" t="str">
        <f aca="false">IF($A77="N/A"," ",(IF(AV77&gt;0,($BM77*(8*($HE77))*U77),0)+IF(BF77&gt;0,($BM77*((BF77/AD77)*8*$HE77)*U77),0)))</f>
        <v> </v>
      </c>
      <c r="BR77" s="330" t="str">
        <f aca="false">IF($A77="N/A"," ",(IF(AW77&gt;0,($BM77*(8*($HE77))*V77),0)+IF(BG77&gt;0,($BM77*((BG77/AE77)*8*$HE77)*V77),0)))</f>
        <v> </v>
      </c>
      <c r="BS77" s="330" t="str">
        <f aca="false">IF($A77="N/A"," ",(IF(AX77&gt;0,($BM77*(8*($HE77))*W77),0)+IF(BH77&gt;0,($BM77*((BH77))*W77),0)))</f>
        <v> </v>
      </c>
      <c r="BT77" s="330" t="str">
        <f aca="false">IF($A77="N/A"," ",(IF(AY77&gt;0,($BM77*(8*($HF77))*X77),0)+IF(BI77&gt;0,($BM77*((BI77/AG77)*8*$HF77)*X77),0)))</f>
        <v> </v>
      </c>
      <c r="BU77" s="330" t="str">
        <f aca="false">IF($A77="N/A"," ",(IF(AZ77&gt;0,($BM77*(8*($HF77))*Y77),0)+IF(BJ77&gt;0,($BM77*((BJ77/AH77)*8*$HF77)*Y77),0)))</f>
        <v> </v>
      </c>
      <c r="BV77" s="330" t="str">
        <f aca="false">IF($A77="N/A"," ",(IF(BA77&gt;0,($BM77*(8*($HF77))*Z77),0)+IF(BK77&gt;0,($BM77*((BK77))*Z77),0)))</f>
        <v> </v>
      </c>
      <c r="BW77" s="330" t="str">
        <f aca="false">IF($A77="N/A"," ",SUM(BN77:BV77))</f>
        <v> </v>
      </c>
      <c r="BX77" s="331" t="str">
        <f aca="false">IF($A77="N/A"," ",(H77*(SUM(AS77:BA77)+SUM(BC77:BK77))*BM77))</f>
        <v> </v>
      </c>
      <c r="BY77" s="332" t="str">
        <f aca="false">IF($A77="N/A"," ",((C77*D77)*(SUM($AS77:$BA77)+SUM($BC77:$BK77))*$BM77))</f>
        <v> </v>
      </c>
      <c r="BZ77" s="332" t="str">
        <f aca="false">IF($A77="N/A"," ",(F77*(SUM($AS77:$BA77)+SUM($BC77:$BK77))*$BM77))</f>
        <v> </v>
      </c>
      <c r="CA77" s="333" t="str">
        <f aca="false">IF($A77="N/A"," ",(G77*(SUM($AS77:$BA77)+SUM($BC77:$BK77))*$BM77))</f>
        <v> </v>
      </c>
      <c r="CB77" s="334" t="str">
        <f aca="false">IF(A77="N/A"," ",(VLOOKUP(A77,PowerVolTable,(IF(BMO=2,7,IF(BMO=1,6,8))),FALSE())))</f>
        <v> </v>
      </c>
      <c r="CC77" s="334" t="str">
        <f aca="false">IF(A77="N/A"," ",(VLOOKUP(A77,IntraPowerVol,(IF(BMO=2,3,IF(BMO=1,2,4))),FALSE())*VLOOKUP(MONTH($A77),Volscale,2)))</f>
        <v> </v>
      </c>
      <c r="CD77" s="335" t="str">
        <f aca="false">IF($A77="N/A"," ",(IF(DateToday&gt;$A77,$CC77,((($CB77^2)*((($A77-1)-DateToday)/((EOMONTH($A77,0)+1)-DateToday-15)))+((($CC77)^2)*((15)/((EOMONTH($A77,0)+1)-DateToday-15))))^0.5)))</f>
        <v> </v>
      </c>
      <c r="CE77" s="334" t="str">
        <f aca="false">IF($A77="N/A"," ",(VLOOKUP($A77,GasVolTable,(IF(BMO=2,6,IF(BMO=1,7,5))),FALSE())))</f>
        <v> </v>
      </c>
      <c r="CF77" s="334" t="str">
        <f aca="false">IF($A77="N/A"," ",(VLOOKUP($A77,OmicronVol,(IF(BMO=2,3,IF(BMO=1,4,2))),FALSE())))</f>
        <v> </v>
      </c>
      <c r="CG77" s="335" t="str">
        <f aca="false">IF($A77="N/A"," ",(IF(DateToday&gt;$A77,$CF77,((($CE77^2)*((($A77-1)-DateToday)/((EOMONTH($A77,0)+1)-DateToday-15)))+((($CF77)^2)*((15)/((EOMONTH($A77,0)+1)-DateToday-15))))^0.5)))</f>
        <v> </v>
      </c>
      <c r="CH77" s="334" t="str">
        <f aca="false">IF($A77="N/A"," ",VLOOKUP($A77,CorrelationTable,2,FALSE()))</f>
        <v> </v>
      </c>
      <c r="CI77" s="336" t="str">
        <f aca="false">IF($A77="N/A"," ",F77+G77+(D77*('Pricing Inputs'!T110)))</f>
        <v> </v>
      </c>
      <c r="CJ77" s="334" t="str">
        <f aca="false">IF($A77="N/A"," ",IF(PV=1,0,'Pricing Inputs'!U110))</f>
        <v> </v>
      </c>
      <c r="CK77" s="337" t="str">
        <f aca="false">IF($A77="N/A"," ",(1+CJ77/2)^(-2*((EOMONTH(A77,0)+20)-DateToday)/365.25))</f>
        <v> </v>
      </c>
      <c r="CL77" s="338" t="str">
        <f aca="false">IF(A77="N/A"," ",IF(CC=2,(VLOOKUP(MONTH($A77),Hrtable,3))/1000,0))</f>
        <v> </v>
      </c>
      <c r="CM77" s="339" t="str">
        <f aca="false">IF(A77="N/A"," ",IF(CC=2,(CL77*C77)+F77,0))</f>
        <v> </v>
      </c>
      <c r="CN77" s="340" t="str">
        <f aca="false">IF($A77="N/A"," ",IF(CC=2,(VLOOKUP(A77,ScaledPrice,(IF(AND(Dayrun&gt;=1,Dayrun&lt;=6),2,4)))-((IF(R77&lt;&gt;0,$D77,$CL77)*$C77)+$F77+$G77)),0))</f>
        <v> </v>
      </c>
      <c r="CO77" s="340" t="str">
        <f aca="false">IF($A77="N/A"," ",IF(CC=2,(IF(AND(Dayrun&gt;=1,Dayrun&lt;=6),I77,(VLOOKUP(A77,ScaledPrice,2))*(2-(VLOOKUP(A77,ScaledPrice,3))))-((IF(S77&lt;&gt;0,$D77,$CL77)*$C77)+$F77+$G77)),0))</f>
        <v> </v>
      </c>
      <c r="CP77" s="340" t="str">
        <f aca="false">IF(A77="N/A"," ",IF(CC=2,(VLOOKUP(A77,ScaledPrice,9)-((IF(T77&lt;&gt;0,$D77,$CL77)*$C77)+$F77+$G77)),0))</f>
        <v> </v>
      </c>
      <c r="CQ77" s="340" t="str">
        <f aca="false">IF(A77="N/A"," ",IF(CC=2,(IF(OR(Dayrun=2,Dayrun=3,Dayrun=5,Dayrun=6,Dayrun=8,Dayrun=9),VLOOKUP(A77,ScaledPrice,IF(AND(Dayrun&gt;=2,Dayrun&lt;=6),5,6)),0)-((IF(U77&lt;&gt;0,$D77,$CL77)*$C77)+$F77+$G77)),0))</f>
        <v> </v>
      </c>
      <c r="CR77" s="340" t="str">
        <f aca="false">IF(A77="N/A"," ",IF(CC=2,(IF(OR(Dayrun=2,Dayrun=3,Dayrun=5,Dayrun=6,Dayrun=8,Dayrun=9),IF(AND(Dayrun&gt;=2,Dayrun&lt;=6),L77,(VLOOKUP(A77,ScaledPrice,5))*(2-(VLOOKUP(A77,ScaledPrice,3)))),0)-((IF(V77&lt;&gt;0,$D77,$CL77)*$C77)+$F77+$G77)),0))</f>
        <v> </v>
      </c>
      <c r="CS77" s="340" t="str">
        <f aca="false">IF(A77="N/A"," ",IF(CC=2,(VLOOKUP(A77,ScaledPrice,9)-((IF(W77&lt;&gt;0,$D77,$CL77)*$C77)+$F77+$G77)),0))</f>
        <v> </v>
      </c>
      <c r="CT77" s="340" t="str">
        <f aca="false">IF(A77="N/A"," ",IF(CC=2,(IF(OR(Dayrun=3,Dayrun=6,Dayrun=9),(VLOOKUP(A77,ScaledPrice,IF(AND(Dayrun&gt;=3,Dayrun&lt;=6),7,8))),0)-((IF(X77&lt;&gt;0,$D77,$CL77)*$C77)+$F77+$G77)),0))</f>
        <v> </v>
      </c>
      <c r="CU77" s="340" t="str">
        <f aca="false">IF(A77="N/A"," ",IF(CC=2,(IF(OR(Dayrun=3,Dayrun=6,Dayrun=9),IF(AND(Dayrun&gt;=3,Dayrun&lt;=6),O77,(VLOOKUP(A77,ScaledPrice,7))*(2-(VLOOKUP(A77,ScaledPrice,3)))),0)-((IF(Y77&lt;&gt;0,$D77,$CL77)*$C77)+$F77+$G77)),0))</f>
        <v> </v>
      </c>
      <c r="CV77" s="340" t="str">
        <f aca="false">IF(A77="N/A"," ",IF(CC=2,(VLOOKUP(A77,ScaledPrice,9)-((IF(Z77&lt;&gt;0,$D77,$CL77)*$C77)+$F77+$G77)),0))</f>
        <v> </v>
      </c>
      <c r="CW77" s="318" t="str">
        <f aca="false">IF($A77="N/A"," ",IF(0&lt;&gt;CN77,IF(CC=2,8*$HD77,0),0))</f>
        <v> </v>
      </c>
      <c r="CX77" s="318" t="str">
        <f aca="false">IF($A77="N/A"," ",IF(0&lt;&gt;CO77,IF(CC=2,8*$HD77,0),0))</f>
        <v> </v>
      </c>
      <c r="CY77" s="318" t="str">
        <f aca="false">IF($A77="N/A"," ",IF(0&lt;&gt;CP77,IF(CC=2,8*$HD77,0),0))</f>
        <v> </v>
      </c>
      <c r="CZ77" s="318" t="str">
        <f aca="false">IF($A77="N/A"," ",IF(0&lt;&gt;CQ77,IF(CC=2,8*$HE77,0),0))</f>
        <v> </v>
      </c>
      <c r="DA77" s="318" t="str">
        <f aca="false">IF($A77="N/A"," ",IF(0&lt;&gt;CR77,IF(CC=2,8*$HE77,0),0))</f>
        <v> </v>
      </c>
      <c r="DB77" s="318" t="str">
        <f aca="false">IF($A77="N/A"," ",IF(0&lt;&gt;CS77,IF(CC=2,8*$HE77,0),0))</f>
        <v> </v>
      </c>
      <c r="DC77" s="318" t="str">
        <f aca="false">IF($A77="N/A"," ",IF(0&lt;&gt;CT77,IF(CC=2,8*$HF77,0),0))</f>
        <v> </v>
      </c>
      <c r="DD77" s="318" t="str">
        <f aca="false">IF($A77="N/A"," ",IF(0&lt;&gt;CU77,IF(CC=2,8*$HF77,0),0))</f>
        <v> </v>
      </c>
      <c r="DE77" s="318" t="str">
        <f aca="false">IF($A77="N/A"," ",IF(0&lt;&gt;CV77,IF(CC=2,8*$HF77,0),0))</f>
        <v> </v>
      </c>
      <c r="DF77" s="341" t="str">
        <f aca="false">IF($A77="N/A"," ",IF(CC=2,(IF(MONTH(A77)&gt;=4,IF(MONTH(A77)&lt;=10,Inputs!$G$13,Inputs!$G$14),Inputs!$G$14))*$CK77,0))</f>
        <v> </v>
      </c>
      <c r="DG77" s="342" t="str">
        <f aca="false">IF($A77="N/A"," ",IF(CC=2,$DF77*CW77*CN77,0))</f>
        <v> </v>
      </c>
      <c r="DH77" s="342" t="str">
        <f aca="false">IF($A77="N/A"," ",IF(CC=2,$DF77*CX77*CO77,0))</f>
        <v> </v>
      </c>
      <c r="DI77" s="342" t="str">
        <f aca="false">IF($A77="N/A"," ",IF(CC=2,$DF77*CY77*CP77,0))</f>
        <v> </v>
      </c>
      <c r="DJ77" s="342" t="str">
        <f aca="false">IF($A77="N/A"," ",IF(CC=2,$DF77*CZ77*CQ77,0))</f>
        <v> </v>
      </c>
      <c r="DK77" s="342" t="str">
        <f aca="false">IF($A77="N/A"," ",IF(CC=2,$DF77*DA77*CR77,0))</f>
        <v> </v>
      </c>
      <c r="DL77" s="342" t="str">
        <f aca="false">IF($A77="N/A"," ",IF(CC=2,$DF77*DB77*CS77,0))</f>
        <v> </v>
      </c>
      <c r="DM77" s="342" t="str">
        <f aca="false">IF($A77="N/A"," ",IF(CC=2,$DF77*DC77*CT77,0))</f>
        <v> </v>
      </c>
      <c r="DN77" s="342" t="str">
        <f aca="false">IF($A77="N/A"," ",IF(CC=2,$DF77*DD77*CU77,0))</f>
        <v> </v>
      </c>
      <c r="DO77" s="342" t="str">
        <f aca="false">IF($A77="N/A"," ",IF(CC=2,$DF77*DE77*CV77,0))</f>
        <v> </v>
      </c>
      <c r="DP77" s="343" t="str">
        <f aca="false">IF($A77="N/A"," ",IF(CC=2,SUM(DG77:DO77),0))</f>
        <v> </v>
      </c>
      <c r="DQ77" s="0" t="str">
        <f aca="false">IF(A77="N/A"," ",Perstart)</f>
        <v> </v>
      </c>
      <c r="HD77" s="0" t="str">
        <f aca="false">IF($A77="N/A"," ",VLOOKUP($A77,NumberofDaysTable,2))</f>
        <v> </v>
      </c>
      <c r="HE77" s="0" t="str">
        <f aca="false">IF($A77="N/A"," ",VLOOKUP($A77,NumberofDaysTable,3))</f>
        <v> </v>
      </c>
      <c r="HF77" s="0" t="str">
        <f aca="false">IF($A77="N/A"," ",VLOOKUP($A77,NumberofDaysTable,4))</f>
        <v> </v>
      </c>
    </row>
    <row r="78" customFormat="false" ht="12.75" hidden="false" customHeight="false" outlineLevel="0" collapsed="false">
      <c r="A78" s="308" t="str">
        <f aca="false">IF(A77="N/A","N/A",IF(EDATE(A77,1)&gt;Inputs!$K$3,"N/A",EDATE(A77,1)))</f>
        <v>N/A</v>
      </c>
      <c r="B78" s="309" t="str">
        <f aca="false">IF(A78="N/A"," ",YEAR(A78))</f>
        <v> </v>
      </c>
      <c r="C78" s="310" t="str">
        <f aca="false">IF(A78="N/A"," ",VLOOKUP(A78,ScaledPrice,10))</f>
        <v> </v>
      </c>
      <c r="D78" s="311" t="str">
        <f aca="false">IF(A78="N/A"," ",(VLOOKUP(MONTH($A78),Hrtable,2))/1000)</f>
        <v> </v>
      </c>
      <c r="E78" s="312" t="str">
        <f aca="false">IF($A78="N/A"," ",(C78-'Pricing Inputs'!T111)*D78)</f>
        <v> </v>
      </c>
      <c r="F78" s="313" t="str">
        <f aca="false">IF(A78="N/A"," ",$F66*(1+VOMesc))</f>
        <v> </v>
      </c>
      <c r="G78" s="313" t="str">
        <f aca="false">IF(A78="N/A"," ",Perstart/IF(AND(Dayrun&gt;=4,Dayrun&lt;=6),16,IF(AND(Dayrun&gt;=7,Dayrun&lt;=9),8,24))/(BM78/CK78))</f>
        <v> </v>
      </c>
      <c r="H78" s="314" t="str">
        <f aca="false">IF(A78="N/A"," ",(C78*D78)+F78+G78)</f>
        <v> </v>
      </c>
      <c r="I78" s="315" t="str">
        <f aca="false">VLOOKUP(A78,ScaledPrice,(IF(AND(Dayrun&gt;=1,Dayrun&lt;=6),2,4)))</f>
        <v> </v>
      </c>
      <c r="J78" s="315" t="str">
        <f aca="false">IF(A78="N/A"," ",IF(AND(Dayrun&gt;=1,Dayrun&lt;=6),I78,(VLOOKUP(A78,ScaledPrice,2))*(2-(VLOOKUP(A78,ScaledPrice,3)))))</f>
        <v> </v>
      </c>
      <c r="K78" s="315" t="str">
        <f aca="false">IF(A78="N/A"," ",IF(AND(Dayrun&gt;=1,Dayrun&lt;=3),VLOOKUP(A78,ScaledPrice,9),0))</f>
        <v> </v>
      </c>
      <c r="L78" s="315" t="str">
        <f aca="false">IF(A78="N/A"," ",IF(OR(Dayrun=2,Dayrun=3,Dayrun=5,Dayrun=6,Dayrun=8,Dayrun=9),VLOOKUP(A78,ScaledPrice,IF(AND(Dayrun&gt;=2,Dayrun&lt;=6),5,6)),0))</f>
        <v> </v>
      </c>
      <c r="M78" s="315" t="str">
        <f aca="false">IF(A78="N/A"," ",IF(OR(Dayrun=2,Dayrun=3,Dayrun=5,Dayrun=6,Dayrun=8,Dayrun=9),IF(AND(Dayrun&gt;=2,Dayrun&lt;=6),L78,(VLOOKUP(A78,ScaledPrice,5))*(2-(VLOOKUP(A78,ScaledPrice,3)))),0))</f>
        <v> </v>
      </c>
      <c r="N78" s="315" t="str">
        <f aca="false">IF(A78="N/A"," ",IF(AND(Dayrun&gt;1,Dayrun&lt;=3),VLOOKUP(A78,ScaledPrice,9),0))</f>
        <v> </v>
      </c>
      <c r="O78" s="315" t="str">
        <f aca="false">IF(A78="N/A"," ",IF(OR(Dayrun=3,Dayrun=6,Dayrun=9),(VLOOKUP(A78,ScaledPrice,IF(AND(Dayrun&gt;=3,Dayrun&lt;=6),7,8))),0))</f>
        <v> </v>
      </c>
      <c r="P78" s="315" t="str">
        <f aca="false">IF(A78="N/A"," ",IF(OR(Dayrun=3,Dayrun=6,Dayrun=9),IF(AND(Dayrun&gt;=3,Dayrun&lt;=6),O78,(VLOOKUP(A78,ScaledPrice,7))*(2-(VLOOKUP(A78,ScaledPrice,3)))),0))</f>
        <v> </v>
      </c>
      <c r="Q78" s="315" t="str">
        <f aca="false">IF(A78="N/A"," ",IF(AND(Dayrun&gt;2,Dayrun&lt;=3),VLOOKUP(A78,ScaledPrice,9),0))</f>
        <v> </v>
      </c>
      <c r="R78" s="316" t="str">
        <f aca="false">IF($A78="N/A"," ",IF(Pricetype=2,MAX(I78-$H78,0),IF(Pricetype=1,(xSPRDOPT(I78,$E78,$CI78,0,($CD78+IF(Smile=TRUE(),VLOOKUP(MAX(-5,$H78-I78),Volsmile,2),0)),$CG78,$CH78,($A78-DateToday)+15,1,0)),I78-$H78)))</f>
        <v> </v>
      </c>
      <c r="S78" s="316" t="str">
        <f aca="false">IF($A78="N/A"," ",IF(Pricetype=2,MAX(J78-$H78,0),IF(Pricetype=1,(xSPRDOPT(J78,$E78,$CI78,0,($CD78+IF(Smile=TRUE(),VLOOKUP(MAX(-5,$H78-J78),Volsmile,2),0)),$CG78,$CH78,($A78-DateToday)+15,1,0)),J78-$H78)))</f>
        <v> </v>
      </c>
      <c r="T78" s="317" t="str">
        <f aca="false">IF($A78="N/A"," ",(IF(Pricetype=2,IF((K78-$H78)&lt;=0,0,(K78-$H78)),IF(K78&lt;&gt;0,(K78-$H78),0))))</f>
        <v> </v>
      </c>
      <c r="U78" s="316" t="str">
        <f aca="false">IF($A78="N/A"," ",IF(Pricetype=2,MAX(L78-$H78,0),IF(L78&lt;&gt;0,IF(Pricetype=1,(xSPRDOPT(L78,$E78,$CI78,0,($CD78+IF(Smile=TRUE(),VLOOKUP(MAX(-5,$H78-L78),Volsmile,2),0)),$CG78,$CH78,($A78-DateToday)+15,1,0)),L78-$H78),0)))</f>
        <v> </v>
      </c>
      <c r="V78" s="316" t="str">
        <f aca="false">IF($A78="N/A"," ",IF(Pricetype=2,MAX(M78-$H78,0),IF(M78&lt;&gt;0,IF(Pricetype=1,(xSPRDOPT(M78,$E78,$CI78,0,($CD78+IF(Smile=TRUE(),VLOOKUP(MAX(-5,$H78-M78),Volsmile,2),0)),$CG78,$CH78,($A78-DateToday)+15,1,0)),M78-$H78),0)))</f>
        <v> </v>
      </c>
      <c r="W78" s="317" t="str">
        <f aca="false">IF($A78="N/A"," ",(IF(Pricetype=2,IF((N78-$H78)&lt;=0,0,(N78-$H78)),IF(N78&lt;&gt;0,(N78-$H78),0))))</f>
        <v> </v>
      </c>
      <c r="X78" s="316" t="str">
        <f aca="false">IF($A78="N/A"," ",IF(Pricetype=2,MAX(O78-$H78,0),IF(O78&lt;&gt;0,IF(Pricetype=1,(xSPRDOPT(O78,$E78,$CI78,0,($CD78+IF(Smile=TRUE(),VLOOKUP(MAX(-5,$H78-O78),Volsmile,2),0)),$CG78,$CH78,($A78-DateToday)+15,1,0)),O78-$H78),0)))</f>
        <v> </v>
      </c>
      <c r="Y78" s="316" t="str">
        <f aca="false">IF($A78="N/A"," ",IF(Pricetype=2,MAX(P78-$H78,0),IF(P78&lt;&gt;0,IF(Pricetype=1,(xSPRDOPT(P78,$E78,$CI78,0,($CD78+IF(Smile=TRUE(),VLOOKUP(MAX(-5,$H78-P78),Volsmile,2),0)),$CG78,$CH78,($A78-DateToday)+15,1,0)),P78-$H78),0)))</f>
        <v> </v>
      </c>
      <c r="Z78" s="317" t="str">
        <f aca="false">IF($A78="N/A"," ",(IF(Pricetype=2,IF((Q78-$H78)&lt;=0,0,(Q78-$H78)),IF(Q78&lt;&gt;0,(Q78-$H78),0))))</f>
        <v> </v>
      </c>
      <c r="AA78" s="318" t="str">
        <f aca="false">IF($A78="N/A"," ",IF(VLOOKUP(MONTH(A78),ManualTable,2)=1,(IF(0&lt;&gt;R78,IF(Pricetype=1,(xSPRDOPT(I78,$E78,$CI78,0,($CD78+IF(Smile=TRUE(),VLOOKUP(MAX(-5,$H78-I78),Volsmile,2),0)),$CG78,$CH78,($A78-DateToday)+15,1,1))*(8*$HD78),8*$HD78),0)),0))</f>
        <v> </v>
      </c>
      <c r="AB78" s="318" t="str">
        <f aca="false">IF($A78="N/A"," ",IF(VLOOKUP(MONTH(A78),ManualTable,3)=1,(IF(S78&lt;&gt;0,IF(Pricetype=1,(xSPRDOPT(J78,$E78,$CI78,0,($CD78+IF(Smile=TRUE(),VLOOKUP(MAX(-5,$H78-J78),Volsmile,2),0)),$CG78,$CH78,($A78-DateToday)+15,1,1))*(8*$HD78),8*$HD78),0)),0))</f>
        <v> </v>
      </c>
      <c r="AC78" s="318" t="str">
        <f aca="false">IF($A78="N/A"," ",IF(VLOOKUP(MONTH(A78),ManualTable,4)=1,(IF(T78&lt;&gt;0,(8*$HD78),0)),0))</f>
        <v> </v>
      </c>
      <c r="AD78" s="318" t="str">
        <f aca="false">IF($A78="N/A"," ",IF(VLOOKUP(MONTH(A78),ManualTable,5)=1,(IF(U78&lt;&gt;0,IF(Pricetype=1,(xSPRDOPT(L78,$E78,$CI78,0,($CD78+IF(Smile=TRUE(),VLOOKUP(MAX(-5,$H78-L78),Volsmile,2),0)),$CG78,$CH78,($A78-DateToday)+15,1,1))*(8*$HE78),8*$HE78),0)),0))</f>
        <v> </v>
      </c>
      <c r="AE78" s="318" t="str">
        <f aca="false">IF($A78="N/A"," ",IF(VLOOKUP(MONTH(A78),ManualTable,6)=1,(IF(V78&lt;&gt;0,IF(Pricetype=1,(xSPRDOPT(M78,$E78,$CI78,0,($CD78+IF(Smile=TRUE(),VLOOKUP(MAX(-5,$H78-M78),Volsmile,2),0)),$CG78,$CH78,($A78-DateToday)+15,1,1))*(8*$HE78),8*$HE78),0)),0))</f>
        <v> </v>
      </c>
      <c r="AF78" s="318" t="str">
        <f aca="false">IF($A78="N/A"," ",IF(VLOOKUP(MONTH(A78),ManualTable,7)=1,(IF(W78&lt;&gt;0,(8*$HE78),0)),0))</f>
        <v> </v>
      </c>
      <c r="AG78" s="318" t="str">
        <f aca="false">IF($A78="N/A"," ",IF(VLOOKUP(MONTH(A78),ManualTable,8)=1,(IF(X78&lt;&gt;0,IF(Pricetype=1,(xSPRDOPT(O78,$E78,$CI78,0,($CD78+IF(Smile=TRUE(),VLOOKUP(MAX(-5,$H78-O78),Volsmile,2),0)),$CG78,$CH78,($A78-DateToday)+15,1,1))*(8*$HF78),8*$HF78),0)),0))</f>
        <v> </v>
      </c>
      <c r="AH78" s="318" t="str">
        <f aca="false">IF($A78="N/A"," ",IF(VLOOKUP(MONTH(A78),ManualTable,9)=1,(IF(Y78&lt;&gt;0,IF(Pricetype=1,(xSPRDOPT(P78,$E78,$CI78,0,($CD78+IF(Smile=TRUE(),VLOOKUP(MAX(-5,$H78-P78),Volsmile,2),0)),$CG78,$CH78,($A78-DateToday)+15,1,1))*(8*$HF78),8*$HF78),0)),0))</f>
        <v> </v>
      </c>
      <c r="AI78" s="318" t="str">
        <f aca="false">IF($A78="N/A"," ",IF(VLOOKUP(MONTH(A78),ManualTable,10)=1,(IF(Z78&lt;&gt;0,(8*($HF78)),0)),0))</f>
        <v> </v>
      </c>
      <c r="AJ78" s="344" t="str">
        <f aca="false">IF($A78="N/A"," ",RANK(R78,$R$76:$Z$87))</f>
        <v> </v>
      </c>
      <c r="AK78" s="321" t="str">
        <f aca="false">IF($A78="N/A"," ",RANK(S78,$R$76:$Z$87))</f>
        <v> </v>
      </c>
      <c r="AL78" s="321" t="str">
        <f aca="false">IF($A78="N/A"," ",RANK(T78,$R$76:$Z$87))</f>
        <v> </v>
      </c>
      <c r="AM78" s="321" t="str">
        <f aca="false">IF($A78="N/A"," ",RANK(U78,$R$76:$Z$87))</f>
        <v> </v>
      </c>
      <c r="AN78" s="321" t="str">
        <f aca="false">IF($A78="N/A"," ",RANK(V78,$R$76:$Z$87))</f>
        <v> </v>
      </c>
      <c r="AO78" s="321" t="str">
        <f aca="false">IF($A78="N/A"," ",RANK(W78,$R$76:$Z$87))</f>
        <v> </v>
      </c>
      <c r="AP78" s="321" t="str">
        <f aca="false">IF($A78="N/A"," ",RANK(X78,$R$76:$Z$87))</f>
        <v> </v>
      </c>
      <c r="AQ78" s="321" t="str">
        <f aca="false">IF($A78="N/A"," ",RANK(Y78,$R$76:$Z$87))</f>
        <v> </v>
      </c>
      <c r="AR78" s="345" t="str">
        <f aca="false">IF($A78="N/A"," ",RANK(Z78,$R$76:$Z$87))</f>
        <v> </v>
      </c>
      <c r="AS78" s="323" t="str">
        <f aca="false">IF($A78="N/A"," ",IF(AJ78&lt;=$AR$2,AA78,0))</f>
        <v> </v>
      </c>
      <c r="AT78" s="325" t="str">
        <f aca="false">IF($A78="N/A"," ",IF(AK78&lt;=$AR$2,AB78,0))</f>
        <v> </v>
      </c>
      <c r="AU78" s="325" t="str">
        <f aca="false">IF($A78="N/A"," ",IF(AL78&lt;=$AR$2,AC78,0))</f>
        <v> </v>
      </c>
      <c r="AV78" s="325" t="str">
        <f aca="false">IF($A78="N/A"," ",IF(AM78&lt;=$AR$2,AD78,0))</f>
        <v> </v>
      </c>
      <c r="AW78" s="325" t="str">
        <f aca="false">IF($A78="N/A"," ",IF(AN78&lt;=$AR$2,AE78,0))</f>
        <v> </v>
      </c>
      <c r="AX78" s="325" t="str">
        <f aca="false">IF($A78="N/A"," ",IF(AO78&lt;=$AR$2,AF78,0))</f>
        <v> </v>
      </c>
      <c r="AY78" s="325" t="str">
        <f aca="false">IF($A78="N/A"," ",IF(AP78&lt;=$AR$2,AG78,0))</f>
        <v> </v>
      </c>
      <c r="AZ78" s="325" t="str">
        <f aca="false">IF($A78="N/A"," ",IF(AQ78&lt;=$AR$2,AH78,0))</f>
        <v> </v>
      </c>
      <c r="BA78" s="325" t="str">
        <f aca="false">IF($A78="N/A"," ",IF(AR78&lt;=$AR$2,AI78,0))</f>
        <v> </v>
      </c>
      <c r="BB78" s="345"/>
      <c r="BC78" s="326" t="str">
        <f aca="false">IF($A78="N/A"," ",IF(AND(AJ78=$AR$2+1,AS78=0),MIN($BB$87,AA78),0))</f>
        <v> </v>
      </c>
      <c r="BD78" s="346" t="str">
        <f aca="false">IF($A78="N/A"," ",IF(AND(AK78=$AR$2+1,AT78=0),MIN($BB$87,AB78),0))</f>
        <v> </v>
      </c>
      <c r="BE78" s="346" t="str">
        <f aca="false">IF($A78="N/A"," ",IF(AND(AL78=$AR$2+1,AU78=0),MIN($BB$87,AC78),0))</f>
        <v> </v>
      </c>
      <c r="BF78" s="346" t="str">
        <f aca="false">IF($A78="N/A"," ",IF(AND(AM78=$AR$2+1,AV78=0),MIN($BB$87,AD78),0))</f>
        <v> </v>
      </c>
      <c r="BG78" s="346" t="str">
        <f aca="false">IF($A78="N/A"," ",IF(AND(AN78=$AR$2+1,AW78=0),MIN($BB$87,AE78),0))</f>
        <v> </v>
      </c>
      <c r="BH78" s="346" t="str">
        <f aca="false">IF($A78="N/A"," ",IF(AND(AO78=$AR$2+1,AX78=0),MIN($BB$87,AF78),0))</f>
        <v> </v>
      </c>
      <c r="BI78" s="346" t="str">
        <f aca="false">IF($A78="N/A"," ",IF(AND(AP78=$AR$2+1,AY78=0),MIN($BB$87,AG78),0))</f>
        <v> </v>
      </c>
      <c r="BJ78" s="346" t="str">
        <f aca="false">IF($A78="N/A"," ",IF(AND(AQ78=$AR$2+1,AZ78=0),MIN($BB$87,AH78),0))</f>
        <v> </v>
      </c>
      <c r="BK78" s="346" t="str">
        <f aca="false">IF($A78="N/A"," ",IF(AND(AR78=$AR$2+1,BA78=0),MIN($BB$87,AI78),0))</f>
        <v> </v>
      </c>
      <c r="BL78" s="345"/>
      <c r="BM78" s="329" t="str">
        <f aca="false">IF($A78="N/A"," ",(IF(MONTH(A78)&gt;=4,IF(MONTH(A78)&lt;=10,Inputs!$F$13-Inputs!$G$13,Inputs!$F$14-Inputs!$G$14),Inputs!$F$14-Inputs!$G$14))*$CK78*Availability)</f>
        <v> </v>
      </c>
      <c r="BN78" s="330" t="str">
        <f aca="false">IF($A78="N/A"," ",(IF(AS78&gt;0,($BM78*(8*($HD78))*R78),0)+IF(BC78&gt;0,($BM78*((BC78/AA78)*8*$HD78)*R78),0)))</f>
        <v> </v>
      </c>
      <c r="BO78" s="330" t="str">
        <f aca="false">IF($A78="N/A"," ",(IF(AT78&gt;0,($BM78*(8*($HD78))*S78),0)+IF(BD78&gt;0,($BM78*((BD78/AB78)*8*$HD78)*S78),0)))</f>
        <v> </v>
      </c>
      <c r="BP78" s="330" t="str">
        <f aca="false">IF($A78="N/A"," ",(IF(AU78&gt;0,($BM78*(8*($HD78))*T78),0)+IF(BE78&gt;0,($BM78*((BE78))*T78),0)))</f>
        <v> </v>
      </c>
      <c r="BQ78" s="330" t="str">
        <f aca="false">IF($A78="N/A"," ",(IF(AV78&gt;0,($BM78*(8*($HE78))*U78),0)+IF(BF78&gt;0,($BM78*((BF78/AD78)*8*$HE78)*U78),0)))</f>
        <v> </v>
      </c>
      <c r="BR78" s="330" t="str">
        <f aca="false">IF($A78="N/A"," ",(IF(AW78&gt;0,($BM78*(8*($HE78))*V78),0)+IF(BG78&gt;0,($BM78*((BG78/AE78)*8*$HE78)*V78),0)))</f>
        <v> </v>
      </c>
      <c r="BS78" s="330" t="str">
        <f aca="false">IF($A78="N/A"," ",(IF(AX78&gt;0,($BM78*(8*($HE78))*W78),0)+IF(BH78&gt;0,($BM78*((BH78))*W78),0)))</f>
        <v> </v>
      </c>
      <c r="BT78" s="330" t="str">
        <f aca="false">IF($A78="N/A"," ",(IF(AY78&gt;0,($BM78*(8*($HF78))*X78),0)+IF(BI78&gt;0,($BM78*((BI78/AG78)*8*$HF78)*X78),0)))</f>
        <v> </v>
      </c>
      <c r="BU78" s="330" t="str">
        <f aca="false">IF($A78="N/A"," ",(IF(AZ78&gt;0,($BM78*(8*($HF78))*Y78),0)+IF(BJ78&gt;0,($BM78*((BJ78/AH78)*8*$HF78)*Y78),0)))</f>
        <v> </v>
      </c>
      <c r="BV78" s="330" t="str">
        <f aca="false">IF($A78="N/A"," ",(IF(BA78&gt;0,($BM78*(8*($HF78))*Z78),0)+IF(BK78&gt;0,($BM78*((BK78))*Z78),0)))</f>
        <v> </v>
      </c>
      <c r="BW78" s="330" t="str">
        <f aca="false">IF($A78="N/A"," ",SUM(BN78:BV78))</f>
        <v> </v>
      </c>
      <c r="BX78" s="331" t="str">
        <f aca="false">IF($A78="N/A"," ",(H78*(SUM(AS78:BA78)+SUM(BC78:BK78))*BM78))</f>
        <v> </v>
      </c>
      <c r="BY78" s="332" t="str">
        <f aca="false">IF($A78="N/A"," ",((C78*D78)*(SUM($AS78:$BA78)+SUM($BC78:$BK78))*$BM78))</f>
        <v> </v>
      </c>
      <c r="BZ78" s="332" t="str">
        <f aca="false">IF($A78="N/A"," ",(F78*(SUM($AS78:$BA78)+SUM($BC78:$BK78))*$BM78))</f>
        <v> </v>
      </c>
      <c r="CA78" s="333" t="str">
        <f aca="false">IF($A78="N/A"," ",(G78*(SUM($AS78:$BA78)+SUM($BC78:$BK78))*$BM78))</f>
        <v> </v>
      </c>
      <c r="CB78" s="334" t="str">
        <f aca="false">IF(A78="N/A"," ",(VLOOKUP(A78,PowerVolTable,(IF(BMO=2,7,IF(BMO=1,6,8))),FALSE())))</f>
        <v> </v>
      </c>
      <c r="CC78" s="334" t="str">
        <f aca="false">IF(A78="N/A"," ",(VLOOKUP(A78,IntraPowerVol,(IF(BMO=2,3,IF(BMO=1,2,4))),FALSE())*VLOOKUP(MONTH($A78),Volscale,2)))</f>
        <v> </v>
      </c>
      <c r="CD78" s="335" t="str">
        <f aca="false">IF($A78="N/A"," ",(IF(DateToday&gt;$A78,$CC78,((($CB78^2)*((($A78-1)-DateToday)/((EOMONTH($A78,0)+1)-DateToday-15)))+((($CC78)^2)*((15)/((EOMONTH($A78,0)+1)-DateToday-15))))^0.5)))</f>
        <v> </v>
      </c>
      <c r="CE78" s="334" t="str">
        <f aca="false">IF($A78="N/A"," ",(VLOOKUP($A78,GasVolTable,(IF(BMO=2,6,IF(BMO=1,7,5))),FALSE())))</f>
        <v> </v>
      </c>
      <c r="CF78" s="334" t="str">
        <f aca="false">IF($A78="N/A"," ",(VLOOKUP($A78,OmicronVol,(IF(BMO=2,3,IF(BMO=1,4,2))),FALSE())))</f>
        <v> </v>
      </c>
      <c r="CG78" s="335" t="str">
        <f aca="false">IF($A78="N/A"," ",(IF(DateToday&gt;$A78,$CF78,((($CE78^2)*((($A78-1)-DateToday)/((EOMONTH($A78,0)+1)-DateToday-15)))+((($CF78)^2)*((15)/((EOMONTH($A78,0)+1)-DateToday-15))))^0.5)))</f>
        <v> </v>
      </c>
      <c r="CH78" s="334" t="str">
        <f aca="false">IF($A78="N/A"," ",VLOOKUP($A78,CorrelationTable,2,FALSE()))</f>
        <v> </v>
      </c>
      <c r="CI78" s="336" t="str">
        <f aca="false">IF($A78="N/A"," ",F78+G78+(D78*('Pricing Inputs'!T111)))</f>
        <v> </v>
      </c>
      <c r="CJ78" s="334" t="str">
        <f aca="false">IF($A78="N/A"," ",IF(PV=1,0,'Pricing Inputs'!U111))</f>
        <v> </v>
      </c>
      <c r="CK78" s="337" t="str">
        <f aca="false">IF($A78="N/A"," ",(1+CJ78/2)^(-2*((EOMONTH(A78,0)+20)-DateToday)/365.25))</f>
        <v> </v>
      </c>
      <c r="CL78" s="338" t="str">
        <f aca="false">IF(A78="N/A"," ",IF(CC=2,(VLOOKUP(MONTH($A78),Hrtable,3))/1000,0))</f>
        <v> </v>
      </c>
      <c r="CM78" s="339" t="str">
        <f aca="false">IF(A78="N/A"," ",IF(CC=2,(CL78*C78)+F78,0))</f>
        <v> </v>
      </c>
      <c r="CN78" s="340" t="str">
        <f aca="false">IF($A78="N/A"," ",IF(CC=2,(VLOOKUP(A78,ScaledPrice,(IF(AND(Dayrun&gt;=1,Dayrun&lt;=6),2,4)))-((IF(R78&lt;&gt;0,$D78,$CL78)*$C78)+$F78+$G78)),0))</f>
        <v> </v>
      </c>
      <c r="CO78" s="340" t="str">
        <f aca="false">IF($A78="N/A"," ",IF(CC=2,(IF(AND(Dayrun&gt;=1,Dayrun&lt;=6),I78,(VLOOKUP(A78,ScaledPrice,2))*(2-(VLOOKUP(A78,ScaledPrice,3))))-((IF(S78&lt;&gt;0,$D78,$CL78)*$C78)+$F78+$G78)),0))</f>
        <v> </v>
      </c>
      <c r="CP78" s="340" t="str">
        <f aca="false">IF(A78="N/A"," ",IF(CC=2,(VLOOKUP(A78,ScaledPrice,9)-((IF(T78&lt;&gt;0,$D78,$CL78)*$C78)+$F78+$G78)),0))</f>
        <v> </v>
      </c>
      <c r="CQ78" s="340" t="str">
        <f aca="false">IF(A78="N/A"," ",IF(CC=2,(IF(OR(Dayrun=2,Dayrun=3,Dayrun=5,Dayrun=6,Dayrun=8,Dayrun=9),VLOOKUP(A78,ScaledPrice,IF(AND(Dayrun&gt;=2,Dayrun&lt;=6),5,6)),0)-((IF(U78&lt;&gt;0,$D78,$CL78)*$C78)+$F78+$G78)),0))</f>
        <v> </v>
      </c>
      <c r="CR78" s="340" t="str">
        <f aca="false">IF(A78="N/A"," ",IF(CC=2,(IF(OR(Dayrun=2,Dayrun=3,Dayrun=5,Dayrun=6,Dayrun=8,Dayrun=9),IF(AND(Dayrun&gt;=2,Dayrun&lt;=6),L78,(VLOOKUP(A78,ScaledPrice,5))*(2-(VLOOKUP(A78,ScaledPrice,3)))),0)-((IF(V78&lt;&gt;0,$D78,$CL78)*$C78)+$F78+$G78)),0))</f>
        <v> </v>
      </c>
      <c r="CS78" s="340" t="str">
        <f aca="false">IF(A78="N/A"," ",IF(CC=2,(VLOOKUP(A78,ScaledPrice,9)-((IF(W78&lt;&gt;0,$D78,$CL78)*$C78)+$F78+$G78)),0))</f>
        <v> </v>
      </c>
      <c r="CT78" s="340" t="str">
        <f aca="false">IF(A78="N/A"," ",IF(CC=2,(IF(OR(Dayrun=3,Dayrun=6,Dayrun=9),(VLOOKUP(A78,ScaledPrice,IF(AND(Dayrun&gt;=3,Dayrun&lt;=6),7,8))),0)-((IF(X78&lt;&gt;0,$D78,$CL78)*$C78)+$F78+$G78)),0))</f>
        <v> </v>
      </c>
      <c r="CU78" s="340" t="str">
        <f aca="false">IF(A78="N/A"," ",IF(CC=2,(IF(OR(Dayrun=3,Dayrun=6,Dayrun=9),IF(AND(Dayrun&gt;=3,Dayrun&lt;=6),O78,(VLOOKUP(A78,ScaledPrice,7))*(2-(VLOOKUP(A78,ScaledPrice,3)))),0)-((IF(Y78&lt;&gt;0,$D78,$CL78)*$C78)+$F78+$G78)),0))</f>
        <v> </v>
      </c>
      <c r="CV78" s="340" t="str">
        <f aca="false">IF(A78="N/A"," ",IF(CC=2,(VLOOKUP(A78,ScaledPrice,9)-((IF(Z78&lt;&gt;0,$D78,$CL78)*$C78)+$F78+$G78)),0))</f>
        <v> </v>
      </c>
      <c r="CW78" s="318" t="str">
        <f aca="false">IF($A78="N/A"," ",IF(0&lt;&gt;CN78,IF(CC=2,8*$HD78,0),0))</f>
        <v> </v>
      </c>
      <c r="CX78" s="318" t="str">
        <f aca="false">IF($A78="N/A"," ",IF(0&lt;&gt;CO78,IF(CC=2,8*$HD78,0),0))</f>
        <v> </v>
      </c>
      <c r="CY78" s="318" t="str">
        <f aca="false">IF($A78="N/A"," ",IF(0&lt;&gt;CP78,IF(CC=2,8*$HD78,0),0))</f>
        <v> </v>
      </c>
      <c r="CZ78" s="318" t="str">
        <f aca="false">IF($A78="N/A"," ",IF(0&lt;&gt;CQ78,IF(CC=2,8*$HE78,0),0))</f>
        <v> </v>
      </c>
      <c r="DA78" s="318" t="str">
        <f aca="false">IF($A78="N/A"," ",IF(0&lt;&gt;CR78,IF(CC=2,8*$HE78,0),0))</f>
        <v> </v>
      </c>
      <c r="DB78" s="318" t="str">
        <f aca="false">IF($A78="N/A"," ",IF(0&lt;&gt;CS78,IF(CC=2,8*$HE78,0),0))</f>
        <v> </v>
      </c>
      <c r="DC78" s="318" t="str">
        <f aca="false">IF($A78="N/A"," ",IF(0&lt;&gt;CT78,IF(CC=2,8*$HF78,0),0))</f>
        <v> </v>
      </c>
      <c r="DD78" s="318" t="str">
        <f aca="false">IF($A78="N/A"," ",IF(0&lt;&gt;CU78,IF(CC=2,8*$HF78,0),0))</f>
        <v> </v>
      </c>
      <c r="DE78" s="318" t="str">
        <f aca="false">IF($A78="N/A"," ",IF(0&lt;&gt;CV78,IF(CC=2,8*$HF78,0),0))</f>
        <v> </v>
      </c>
      <c r="DF78" s="341" t="str">
        <f aca="false">IF($A78="N/A"," ",IF(CC=2,(IF(MONTH(A78)&gt;=4,IF(MONTH(A78)&lt;=10,Inputs!$G$13,Inputs!$G$14),Inputs!$G$14))*$CK78,0))</f>
        <v> </v>
      </c>
      <c r="DG78" s="342" t="str">
        <f aca="false">IF($A78="N/A"," ",IF(CC=2,$DF78*CW78*CN78,0))</f>
        <v> </v>
      </c>
      <c r="DH78" s="342" t="str">
        <f aca="false">IF($A78="N/A"," ",IF(CC=2,$DF78*CX78*CO78,0))</f>
        <v> </v>
      </c>
      <c r="DI78" s="342" t="str">
        <f aca="false">IF($A78="N/A"," ",IF(CC=2,$DF78*CY78*CP78,0))</f>
        <v> </v>
      </c>
      <c r="DJ78" s="342" t="str">
        <f aca="false">IF($A78="N/A"," ",IF(CC=2,$DF78*CZ78*CQ78,0))</f>
        <v> </v>
      </c>
      <c r="DK78" s="342" t="str">
        <f aca="false">IF($A78="N/A"," ",IF(CC=2,$DF78*DA78*CR78,0))</f>
        <v> </v>
      </c>
      <c r="DL78" s="342" t="str">
        <f aca="false">IF($A78="N/A"," ",IF(CC=2,$DF78*DB78*CS78,0))</f>
        <v> </v>
      </c>
      <c r="DM78" s="342" t="str">
        <f aca="false">IF($A78="N/A"," ",IF(CC=2,$DF78*DC78*CT78,0))</f>
        <v> </v>
      </c>
      <c r="DN78" s="342" t="str">
        <f aca="false">IF($A78="N/A"," ",IF(CC=2,$DF78*DD78*CU78,0))</f>
        <v> </v>
      </c>
      <c r="DO78" s="342" t="str">
        <f aca="false">IF($A78="N/A"," ",IF(CC=2,$DF78*DE78*CV78,0))</f>
        <v> </v>
      </c>
      <c r="DP78" s="343" t="str">
        <f aca="false">IF($A78="N/A"," ",IF(CC=2,SUM(DG78:DO78),0))</f>
        <v> </v>
      </c>
      <c r="DQ78" s="0" t="str">
        <f aca="false">IF(A78="N/A"," ",Perstart)</f>
        <v> </v>
      </c>
      <c r="HD78" s="0" t="str">
        <f aca="false">IF($A78="N/A"," ",VLOOKUP($A78,NumberofDaysTable,2))</f>
        <v> </v>
      </c>
      <c r="HE78" s="0" t="str">
        <f aca="false">IF($A78="N/A"," ",VLOOKUP($A78,NumberofDaysTable,3))</f>
        <v> </v>
      </c>
      <c r="HF78" s="0" t="str">
        <f aca="false">IF($A78="N/A"," ",VLOOKUP($A78,NumberofDaysTable,4))</f>
        <v> </v>
      </c>
    </row>
    <row r="79" customFormat="false" ht="12.75" hidden="false" customHeight="false" outlineLevel="0" collapsed="false">
      <c r="A79" s="308" t="str">
        <f aca="false">IF(A78="N/A","N/A",IF(EDATE(A78,1)&gt;Inputs!$K$3,"N/A",EDATE(A78,1)))</f>
        <v>N/A</v>
      </c>
      <c r="B79" s="309" t="str">
        <f aca="false">IF(A79="N/A"," ",YEAR(A79))</f>
        <v> </v>
      </c>
      <c r="C79" s="310" t="str">
        <f aca="false">IF(A79="N/A"," ",VLOOKUP(A79,ScaledPrice,10))</f>
        <v> </v>
      </c>
      <c r="D79" s="311" t="str">
        <f aca="false">IF(A79="N/A"," ",(VLOOKUP(MONTH($A79),Hrtable,2))/1000)</f>
        <v> </v>
      </c>
      <c r="E79" s="312" t="str">
        <f aca="false">IF($A79="N/A"," ",(C79-'Pricing Inputs'!T112)*D79)</f>
        <v> </v>
      </c>
      <c r="F79" s="313" t="str">
        <f aca="false">IF(A79="N/A"," ",$F67*(1+VOMesc))</f>
        <v> </v>
      </c>
      <c r="G79" s="313" t="str">
        <f aca="false">IF(A79="N/A"," ",Perstart/IF(AND(Dayrun&gt;=4,Dayrun&lt;=6),16,IF(AND(Dayrun&gt;=7,Dayrun&lt;=9),8,24))/(BM79/CK79))</f>
        <v> </v>
      </c>
      <c r="H79" s="314" t="str">
        <f aca="false">IF(A79="N/A"," ",(C79*D79)+F79+G79)</f>
        <v> </v>
      </c>
      <c r="I79" s="315" t="str">
        <f aca="false">VLOOKUP(A79,ScaledPrice,(IF(AND(Dayrun&gt;=1,Dayrun&lt;=6),2,4)))</f>
        <v> </v>
      </c>
      <c r="J79" s="315" t="str">
        <f aca="false">IF(A79="N/A"," ",IF(AND(Dayrun&gt;=1,Dayrun&lt;=6),I79,(VLOOKUP(A79,ScaledPrice,2))*(2-(VLOOKUP(A79,ScaledPrice,3)))))</f>
        <v> </v>
      </c>
      <c r="K79" s="315" t="str">
        <f aca="false">IF(A79="N/A"," ",IF(AND(Dayrun&gt;=1,Dayrun&lt;=3),VLOOKUP(A79,ScaledPrice,9),0))</f>
        <v> </v>
      </c>
      <c r="L79" s="315" t="str">
        <f aca="false">IF(A79="N/A"," ",IF(OR(Dayrun=2,Dayrun=3,Dayrun=5,Dayrun=6,Dayrun=8,Dayrun=9),VLOOKUP(A79,ScaledPrice,IF(AND(Dayrun&gt;=2,Dayrun&lt;=6),5,6)),0))</f>
        <v> </v>
      </c>
      <c r="M79" s="315" t="str">
        <f aca="false">IF(A79="N/A"," ",IF(OR(Dayrun=2,Dayrun=3,Dayrun=5,Dayrun=6,Dayrun=8,Dayrun=9),IF(AND(Dayrun&gt;=2,Dayrun&lt;=6),L79,(VLOOKUP(A79,ScaledPrice,5))*(2-(VLOOKUP(A79,ScaledPrice,3)))),0))</f>
        <v> </v>
      </c>
      <c r="N79" s="315" t="str">
        <f aca="false">IF(A79="N/A"," ",IF(AND(Dayrun&gt;1,Dayrun&lt;=3),VLOOKUP(A79,ScaledPrice,9),0))</f>
        <v> </v>
      </c>
      <c r="O79" s="315" t="str">
        <f aca="false">IF(A79="N/A"," ",IF(OR(Dayrun=3,Dayrun=6,Dayrun=9),(VLOOKUP(A79,ScaledPrice,IF(AND(Dayrun&gt;=3,Dayrun&lt;=6),7,8))),0))</f>
        <v> </v>
      </c>
      <c r="P79" s="315" t="str">
        <f aca="false">IF(A79="N/A"," ",IF(OR(Dayrun=3,Dayrun=6,Dayrun=9),IF(AND(Dayrun&gt;=3,Dayrun&lt;=6),O79,(VLOOKUP(A79,ScaledPrice,7))*(2-(VLOOKUP(A79,ScaledPrice,3)))),0))</f>
        <v> </v>
      </c>
      <c r="Q79" s="315" t="str">
        <f aca="false">IF(A79="N/A"," ",IF(AND(Dayrun&gt;2,Dayrun&lt;=3),VLOOKUP(A79,ScaledPrice,9),0))</f>
        <v> </v>
      </c>
      <c r="R79" s="316" t="str">
        <f aca="false">IF($A79="N/A"," ",IF(Pricetype=2,MAX(I79-$H79,0),IF(Pricetype=1,(xSPRDOPT(I79,$E79,$CI79,0,($CD79+IF(Smile=TRUE(),VLOOKUP(MAX(-5,$H79-I79),Volsmile,2),0)),$CG79,$CH79,($A79-DateToday)+15,1,0)),I79-$H79)))</f>
        <v> </v>
      </c>
      <c r="S79" s="316" t="str">
        <f aca="false">IF($A79="N/A"," ",IF(Pricetype=2,MAX(J79-$H79,0),IF(Pricetype=1,(xSPRDOPT(J79,$E79,$CI79,0,($CD79+IF(Smile=TRUE(),VLOOKUP(MAX(-5,$H79-J79),Volsmile,2),0)),$CG79,$CH79,($A79-DateToday)+15,1,0)),J79-$H79)))</f>
        <v> </v>
      </c>
      <c r="T79" s="317" t="str">
        <f aca="false">IF($A79="N/A"," ",(IF(Pricetype=2,IF((K79-$H79)&lt;=0,0,(K79-$H79)),IF(K79&lt;&gt;0,(K79-$H79),0))))</f>
        <v> </v>
      </c>
      <c r="U79" s="316" t="str">
        <f aca="false">IF($A79="N/A"," ",IF(Pricetype=2,MAX(L79-$H79,0),IF(L79&lt;&gt;0,IF(Pricetype=1,(xSPRDOPT(L79,$E79,$CI79,0,($CD79+IF(Smile=TRUE(),VLOOKUP(MAX(-5,$H79-L79),Volsmile,2),0)),$CG79,$CH79,($A79-DateToday)+15,1,0)),L79-$H79),0)))</f>
        <v> </v>
      </c>
      <c r="V79" s="316" t="str">
        <f aca="false">IF($A79="N/A"," ",IF(Pricetype=2,MAX(M79-$H79,0),IF(M79&lt;&gt;0,IF(Pricetype=1,(xSPRDOPT(M79,$E79,$CI79,0,($CD79+IF(Smile=TRUE(),VLOOKUP(MAX(-5,$H79-M79),Volsmile,2),0)),$CG79,$CH79,($A79-DateToday)+15,1,0)),M79-$H79),0)))</f>
        <v> </v>
      </c>
      <c r="W79" s="317" t="str">
        <f aca="false">IF($A79="N/A"," ",(IF(Pricetype=2,IF((N79-$H79)&lt;=0,0,(N79-$H79)),IF(N79&lt;&gt;0,(N79-$H79),0))))</f>
        <v> </v>
      </c>
      <c r="X79" s="316" t="str">
        <f aca="false">IF($A79="N/A"," ",IF(Pricetype=2,MAX(O79-$H79,0),IF(O79&lt;&gt;0,IF(Pricetype=1,(xSPRDOPT(O79,$E79,$CI79,0,($CD79+IF(Smile=TRUE(),VLOOKUP(MAX(-5,$H79-O79),Volsmile,2),0)),$CG79,$CH79,($A79-DateToday)+15,1,0)),O79-$H79),0)))</f>
        <v> </v>
      </c>
      <c r="Y79" s="316" t="str">
        <f aca="false">IF($A79="N/A"," ",IF(Pricetype=2,MAX(P79-$H79,0),IF(P79&lt;&gt;0,IF(Pricetype=1,(xSPRDOPT(P79,$E79,$CI79,0,($CD79+IF(Smile=TRUE(),VLOOKUP(MAX(-5,$H79-P79),Volsmile,2),0)),$CG79,$CH79,($A79-DateToday)+15,1,0)),P79-$H79),0)))</f>
        <v> </v>
      </c>
      <c r="Z79" s="317" t="str">
        <f aca="false">IF($A79="N/A"," ",(IF(Pricetype=2,IF((Q79-$H79)&lt;=0,0,(Q79-$H79)),IF(Q79&lt;&gt;0,(Q79-$H79),0))))</f>
        <v> </v>
      </c>
      <c r="AA79" s="318" t="str">
        <f aca="false">IF($A79="N/A"," ",IF(VLOOKUP(MONTH(A79),ManualTable,2)=1,(IF(0&lt;&gt;R79,IF(Pricetype=1,(xSPRDOPT(I79,$E79,$CI79,0,($CD79+IF(Smile=TRUE(),VLOOKUP(MAX(-5,$H79-I79),Volsmile,2),0)),$CG79,$CH79,($A79-DateToday)+15,1,1))*(8*$HD79),8*$HD79),0)),0))</f>
        <v> </v>
      </c>
      <c r="AB79" s="318" t="str">
        <f aca="false">IF($A79="N/A"," ",IF(VLOOKUP(MONTH(A79),ManualTable,3)=1,(IF(S79&lt;&gt;0,IF(Pricetype=1,(xSPRDOPT(J79,$E79,$CI79,0,($CD79+IF(Smile=TRUE(),VLOOKUP(MAX(-5,$H79-J79),Volsmile,2),0)),$CG79,$CH79,($A79-DateToday)+15,1,1))*(8*$HD79),8*$HD79),0)),0))</f>
        <v> </v>
      </c>
      <c r="AC79" s="318" t="str">
        <f aca="false">IF($A79="N/A"," ",IF(VLOOKUP(MONTH(A79),ManualTable,4)=1,(IF(T79&lt;&gt;0,(8*$HD79),0)),0))</f>
        <v> </v>
      </c>
      <c r="AD79" s="318" t="str">
        <f aca="false">IF($A79="N/A"," ",IF(VLOOKUP(MONTH(A79),ManualTable,5)=1,(IF(U79&lt;&gt;0,IF(Pricetype=1,(xSPRDOPT(L79,$E79,$CI79,0,($CD79+IF(Smile=TRUE(),VLOOKUP(MAX(-5,$H79-L79),Volsmile,2),0)),$CG79,$CH79,($A79-DateToday)+15,1,1))*(8*$HE79),8*$HE79),0)),0))</f>
        <v> </v>
      </c>
      <c r="AE79" s="318" t="str">
        <f aca="false">IF($A79="N/A"," ",IF(VLOOKUP(MONTH(A79),ManualTable,6)=1,(IF(V79&lt;&gt;0,IF(Pricetype=1,(xSPRDOPT(M79,$E79,$CI79,0,($CD79+IF(Smile=TRUE(),VLOOKUP(MAX(-5,$H79-M79),Volsmile,2),0)),$CG79,$CH79,($A79-DateToday)+15,1,1))*(8*$HE79),8*$HE79),0)),0))</f>
        <v> </v>
      </c>
      <c r="AF79" s="318" t="str">
        <f aca="false">IF($A79="N/A"," ",IF(VLOOKUP(MONTH(A79),ManualTable,7)=1,(IF(W79&lt;&gt;0,(8*$HE79),0)),0))</f>
        <v> </v>
      </c>
      <c r="AG79" s="318" t="str">
        <f aca="false">IF($A79="N/A"," ",IF(VLOOKUP(MONTH(A79),ManualTable,8)=1,(IF(X79&lt;&gt;0,IF(Pricetype=1,(xSPRDOPT(O79,$E79,$CI79,0,($CD79+IF(Smile=TRUE(),VLOOKUP(MAX(-5,$H79-O79),Volsmile,2),0)),$CG79,$CH79,($A79-DateToday)+15,1,1))*(8*$HF79),8*$HF79),0)),0))</f>
        <v> </v>
      </c>
      <c r="AH79" s="318" t="str">
        <f aca="false">IF($A79="N/A"," ",IF(VLOOKUP(MONTH(A79),ManualTable,9)=1,(IF(Y79&lt;&gt;0,IF(Pricetype=1,(xSPRDOPT(P79,$E79,$CI79,0,($CD79+IF(Smile=TRUE(),VLOOKUP(MAX(-5,$H79-P79),Volsmile,2),0)),$CG79,$CH79,($A79-DateToday)+15,1,1))*(8*$HF79),8*$HF79),0)),0))</f>
        <v> </v>
      </c>
      <c r="AI79" s="318" t="str">
        <f aca="false">IF($A79="N/A"," ",IF(VLOOKUP(MONTH(A79),ManualTable,10)=1,(IF(Z79&lt;&gt;0,(8*($HF79)),0)),0))</f>
        <v> </v>
      </c>
      <c r="AJ79" s="344" t="str">
        <f aca="false">IF($A79="N/A"," ",RANK(R79,$R$76:$Z$87))</f>
        <v> </v>
      </c>
      <c r="AK79" s="321" t="str">
        <f aca="false">IF($A79="N/A"," ",RANK(S79,$R$76:$Z$87))</f>
        <v> </v>
      </c>
      <c r="AL79" s="321" t="str">
        <f aca="false">IF($A79="N/A"," ",RANK(T79,$R$76:$Z$87))</f>
        <v> </v>
      </c>
      <c r="AM79" s="321" t="str">
        <f aca="false">IF($A79="N/A"," ",RANK(U79,$R$76:$Z$87))</f>
        <v> </v>
      </c>
      <c r="AN79" s="321" t="str">
        <f aca="false">IF($A79="N/A"," ",RANK(V79,$R$76:$Z$87))</f>
        <v> </v>
      </c>
      <c r="AO79" s="321" t="str">
        <f aca="false">IF($A79="N/A"," ",RANK(W79,$R$76:$Z$87))</f>
        <v> </v>
      </c>
      <c r="AP79" s="321" t="str">
        <f aca="false">IF($A79="N/A"," ",RANK(X79,$R$76:$Z$87))</f>
        <v> </v>
      </c>
      <c r="AQ79" s="321" t="str">
        <f aca="false">IF($A79="N/A"," ",RANK(Y79,$R$76:$Z$87))</f>
        <v> </v>
      </c>
      <c r="AR79" s="345" t="str">
        <f aca="false">IF($A79="N/A"," ",RANK(Z79,$R$76:$Z$87))</f>
        <v> </v>
      </c>
      <c r="AS79" s="323" t="str">
        <f aca="false">IF($A79="N/A"," ",IF(AJ79&lt;=$AR$2,AA79,0))</f>
        <v> </v>
      </c>
      <c r="AT79" s="325" t="str">
        <f aca="false">IF($A79="N/A"," ",IF(AK79&lt;=$AR$2,AB79,0))</f>
        <v> </v>
      </c>
      <c r="AU79" s="325" t="str">
        <f aca="false">IF($A79="N/A"," ",IF(AL79&lt;=$AR$2,AC79,0))</f>
        <v> </v>
      </c>
      <c r="AV79" s="325" t="str">
        <f aca="false">IF($A79="N/A"," ",IF(AM79&lt;=$AR$2,AD79,0))</f>
        <v> </v>
      </c>
      <c r="AW79" s="325" t="str">
        <f aca="false">IF($A79="N/A"," ",IF(AN79&lt;=$AR$2,AE79,0))</f>
        <v> </v>
      </c>
      <c r="AX79" s="325" t="str">
        <f aca="false">IF($A79="N/A"," ",IF(AO79&lt;=$AR$2,AF79,0))</f>
        <v> </v>
      </c>
      <c r="AY79" s="325" t="str">
        <f aca="false">IF($A79="N/A"," ",IF(AP79&lt;=$AR$2,AG79,0))</f>
        <v> </v>
      </c>
      <c r="AZ79" s="325" t="str">
        <f aca="false">IF($A79="N/A"," ",IF(AQ79&lt;=$AR$2,AH79,0))</f>
        <v> </v>
      </c>
      <c r="BA79" s="325" t="str">
        <f aca="false">IF($A79="N/A"," ",IF(AR79&lt;=$AR$2,AI79,0))</f>
        <v> </v>
      </c>
      <c r="BB79" s="345"/>
      <c r="BC79" s="326" t="str">
        <f aca="false">IF($A79="N/A"," ",IF(AND(AJ79=$AR$2+1,AS79=0),MIN($BB$87,AA79),0))</f>
        <v> </v>
      </c>
      <c r="BD79" s="346" t="str">
        <f aca="false">IF($A79="N/A"," ",IF(AND(AK79=$AR$2+1,AT79=0),MIN($BB$87,AB79),0))</f>
        <v> </v>
      </c>
      <c r="BE79" s="346" t="str">
        <f aca="false">IF($A79="N/A"," ",IF(AND(AL79=$AR$2+1,AU79=0),MIN($BB$87,AC79),0))</f>
        <v> </v>
      </c>
      <c r="BF79" s="346" t="str">
        <f aca="false">IF($A79="N/A"," ",IF(AND(AM79=$AR$2+1,AV79=0),MIN($BB$87,AD79),0))</f>
        <v> </v>
      </c>
      <c r="BG79" s="346" t="str">
        <f aca="false">IF($A79="N/A"," ",IF(AND(AN79=$AR$2+1,AW79=0),MIN($BB$87,AE79),0))</f>
        <v> </v>
      </c>
      <c r="BH79" s="346" t="str">
        <f aca="false">IF($A79="N/A"," ",IF(AND(AO79=$AR$2+1,AX79=0),MIN($BB$87,AF79),0))</f>
        <v> </v>
      </c>
      <c r="BI79" s="346" t="str">
        <f aca="false">IF($A79="N/A"," ",IF(AND(AP79=$AR$2+1,AY79=0),MIN($BB$87,AG79),0))</f>
        <v> </v>
      </c>
      <c r="BJ79" s="346" t="str">
        <f aca="false">IF($A79="N/A"," ",IF(AND(AQ79=$AR$2+1,AZ79=0),MIN($BB$87,AH79),0))</f>
        <v> </v>
      </c>
      <c r="BK79" s="346" t="str">
        <f aca="false">IF($A79="N/A"," ",IF(AND(AR79=$AR$2+1,BA79=0),MIN($BB$87,AI79),0))</f>
        <v> </v>
      </c>
      <c r="BL79" s="345"/>
      <c r="BM79" s="329" t="str">
        <f aca="false">IF($A79="N/A"," ",(IF(MONTH(A79)&gt;=4,IF(MONTH(A79)&lt;=10,Inputs!$F$13-Inputs!$G$13,Inputs!$F$14-Inputs!$G$14),Inputs!$F$14-Inputs!$G$14))*$CK79*Availability)</f>
        <v> </v>
      </c>
      <c r="BN79" s="330" t="str">
        <f aca="false">IF($A79="N/A"," ",(IF(AS79&gt;0,($BM79*(8*($HD79))*R79),0)+IF(BC79&gt;0,($BM79*((BC79/AA79)*8*$HD79)*R79),0)))</f>
        <v> </v>
      </c>
      <c r="BO79" s="330" t="str">
        <f aca="false">IF($A79="N/A"," ",(IF(AT79&gt;0,($BM79*(8*($HD79))*S79),0)+IF(BD79&gt;0,($BM79*((BD79/AB79)*8*$HD79)*S79),0)))</f>
        <v> </v>
      </c>
      <c r="BP79" s="330" t="str">
        <f aca="false">IF($A79="N/A"," ",(IF(AU79&gt;0,($BM79*(8*($HD79))*T79),0)+IF(BE79&gt;0,($BM79*((BE79))*T79),0)))</f>
        <v> </v>
      </c>
      <c r="BQ79" s="330" t="str">
        <f aca="false">IF($A79="N/A"," ",(IF(AV79&gt;0,($BM79*(8*($HE79))*U79),0)+IF(BF79&gt;0,($BM79*((BF79/AD79)*8*$HE79)*U79),0)))</f>
        <v> </v>
      </c>
      <c r="BR79" s="330" t="str">
        <f aca="false">IF($A79="N/A"," ",(IF(AW79&gt;0,($BM79*(8*($HE79))*V79),0)+IF(BG79&gt;0,($BM79*((BG79/AE79)*8*$HE79)*V79),0)))</f>
        <v> </v>
      </c>
      <c r="BS79" s="330" t="str">
        <f aca="false">IF($A79="N/A"," ",(IF(AX79&gt;0,($BM79*(8*($HE79))*W79),0)+IF(BH79&gt;0,($BM79*((BH79))*W79),0)))</f>
        <v> </v>
      </c>
      <c r="BT79" s="330" t="str">
        <f aca="false">IF($A79="N/A"," ",(IF(AY79&gt;0,($BM79*(8*($HF79))*X79),0)+IF(BI79&gt;0,($BM79*((BI79/AG79)*8*$HF79)*X79),0)))</f>
        <v> </v>
      </c>
      <c r="BU79" s="330" t="str">
        <f aca="false">IF($A79="N/A"," ",(IF(AZ79&gt;0,($BM79*(8*($HF79))*Y79),0)+IF(BJ79&gt;0,($BM79*((BJ79/AH79)*8*$HF79)*Y79),0)))</f>
        <v> </v>
      </c>
      <c r="BV79" s="330" t="str">
        <f aca="false">IF($A79="N/A"," ",(IF(BA79&gt;0,($BM79*(8*($HF79))*Z79),0)+IF(BK79&gt;0,($BM79*((BK79))*Z79),0)))</f>
        <v> </v>
      </c>
      <c r="BW79" s="330" t="str">
        <f aca="false">IF($A79="N/A"," ",SUM(BN79:BV79))</f>
        <v> </v>
      </c>
      <c r="BX79" s="331" t="str">
        <f aca="false">IF($A79="N/A"," ",(H79*(SUM(AS79:BA79)+SUM(BC79:BK79))*BM79))</f>
        <v> </v>
      </c>
      <c r="BY79" s="332" t="str">
        <f aca="false">IF($A79="N/A"," ",((C79*D79)*(SUM($AS79:$BA79)+SUM($BC79:$BK79))*$BM79))</f>
        <v> </v>
      </c>
      <c r="BZ79" s="332" t="str">
        <f aca="false">IF($A79="N/A"," ",(F79*(SUM($AS79:$BA79)+SUM($BC79:$BK79))*$BM79))</f>
        <v> </v>
      </c>
      <c r="CA79" s="333" t="str">
        <f aca="false">IF($A79="N/A"," ",(G79*(SUM($AS79:$BA79)+SUM($BC79:$BK79))*$BM79))</f>
        <v> </v>
      </c>
      <c r="CB79" s="334" t="str">
        <f aca="false">IF(A79="N/A"," ",(VLOOKUP(A79,PowerVolTable,(IF(BMO=2,7,IF(BMO=1,6,8))),FALSE())))</f>
        <v> </v>
      </c>
      <c r="CC79" s="334" t="str">
        <f aca="false">IF(A79="N/A"," ",(VLOOKUP(A79,IntraPowerVol,(IF(BMO=2,3,IF(BMO=1,2,4))),FALSE())*VLOOKUP(MONTH($A79),Volscale,2)))</f>
        <v> </v>
      </c>
      <c r="CD79" s="335" t="str">
        <f aca="false">IF($A79="N/A"," ",(IF(DateToday&gt;$A79,$CC79,((($CB79^2)*((($A79-1)-DateToday)/((EOMONTH($A79,0)+1)-DateToday-15)))+((($CC79)^2)*((15)/((EOMONTH($A79,0)+1)-DateToday-15))))^0.5)))</f>
        <v> </v>
      </c>
      <c r="CE79" s="334" t="str">
        <f aca="false">IF($A79="N/A"," ",(VLOOKUP($A79,GasVolTable,(IF(BMO=2,6,IF(BMO=1,7,5))),FALSE())))</f>
        <v> </v>
      </c>
      <c r="CF79" s="334" t="str">
        <f aca="false">IF($A79="N/A"," ",(VLOOKUP($A79,OmicronVol,(IF(BMO=2,3,IF(BMO=1,4,2))),FALSE())))</f>
        <v> </v>
      </c>
      <c r="CG79" s="335" t="str">
        <f aca="false">IF($A79="N/A"," ",(IF(DateToday&gt;$A79,$CF79,((($CE79^2)*((($A79-1)-DateToday)/((EOMONTH($A79,0)+1)-DateToday-15)))+((($CF79)^2)*((15)/((EOMONTH($A79,0)+1)-DateToday-15))))^0.5)))</f>
        <v> </v>
      </c>
      <c r="CH79" s="334" t="str">
        <f aca="false">IF($A79="N/A"," ",VLOOKUP($A79,CorrelationTable,2,FALSE()))</f>
        <v> </v>
      </c>
      <c r="CI79" s="336" t="str">
        <f aca="false">IF($A79="N/A"," ",F79+G79+(D79*('Pricing Inputs'!T112)))</f>
        <v> </v>
      </c>
      <c r="CJ79" s="334" t="str">
        <f aca="false">IF($A79="N/A"," ",IF(PV=1,0,'Pricing Inputs'!U112))</f>
        <v> </v>
      </c>
      <c r="CK79" s="337" t="str">
        <f aca="false">IF($A79="N/A"," ",(1+CJ79/2)^(-2*((EOMONTH(A79,0)+20)-DateToday)/365.25))</f>
        <v> </v>
      </c>
      <c r="CL79" s="338" t="str">
        <f aca="false">IF(A79="N/A"," ",IF(CC=2,(VLOOKUP(MONTH($A79),Hrtable,3))/1000,0))</f>
        <v> </v>
      </c>
      <c r="CM79" s="339" t="str">
        <f aca="false">IF(A79="N/A"," ",IF(CC=2,(CL79*C79)+F79,0))</f>
        <v> </v>
      </c>
      <c r="CN79" s="340" t="str">
        <f aca="false">IF($A79="N/A"," ",IF(CC=2,(VLOOKUP(A79,ScaledPrice,(IF(AND(Dayrun&gt;=1,Dayrun&lt;=6),2,4)))-((IF(R79&lt;&gt;0,$D79,$CL79)*$C79)+$F79+$G79)),0))</f>
        <v> </v>
      </c>
      <c r="CO79" s="340" t="str">
        <f aca="false">IF($A79="N/A"," ",IF(CC=2,(IF(AND(Dayrun&gt;=1,Dayrun&lt;=6),I79,(VLOOKUP(A79,ScaledPrice,2))*(2-(VLOOKUP(A79,ScaledPrice,3))))-((IF(S79&lt;&gt;0,$D79,$CL79)*$C79)+$F79+$G79)),0))</f>
        <v> </v>
      </c>
      <c r="CP79" s="340" t="str">
        <f aca="false">IF(A79="N/A"," ",IF(CC=2,(VLOOKUP(A79,ScaledPrice,9)-((IF(T79&lt;&gt;0,$D79,$CL79)*$C79)+$F79+$G79)),0))</f>
        <v> </v>
      </c>
      <c r="CQ79" s="340" t="str">
        <f aca="false">IF(A79="N/A"," ",IF(CC=2,(IF(OR(Dayrun=2,Dayrun=3,Dayrun=5,Dayrun=6,Dayrun=8,Dayrun=9),VLOOKUP(A79,ScaledPrice,IF(AND(Dayrun&gt;=2,Dayrun&lt;=6),5,6)),0)-((IF(U79&lt;&gt;0,$D79,$CL79)*$C79)+$F79+$G79)),0))</f>
        <v> </v>
      </c>
      <c r="CR79" s="340" t="str">
        <f aca="false">IF(A79="N/A"," ",IF(CC=2,(IF(OR(Dayrun=2,Dayrun=3,Dayrun=5,Dayrun=6,Dayrun=8,Dayrun=9),IF(AND(Dayrun&gt;=2,Dayrun&lt;=6),L79,(VLOOKUP(A79,ScaledPrice,5))*(2-(VLOOKUP(A79,ScaledPrice,3)))),0)-((IF(V79&lt;&gt;0,$D79,$CL79)*$C79)+$F79+$G79)),0))</f>
        <v> </v>
      </c>
      <c r="CS79" s="340" t="str">
        <f aca="false">IF(A79="N/A"," ",IF(CC=2,(VLOOKUP(A79,ScaledPrice,9)-((IF(W79&lt;&gt;0,$D79,$CL79)*$C79)+$F79+$G79)),0))</f>
        <v> </v>
      </c>
      <c r="CT79" s="340" t="str">
        <f aca="false">IF(A79="N/A"," ",IF(CC=2,(IF(OR(Dayrun=3,Dayrun=6,Dayrun=9),(VLOOKUP(A79,ScaledPrice,IF(AND(Dayrun&gt;=3,Dayrun&lt;=6),7,8))),0)-((IF(X79&lt;&gt;0,$D79,$CL79)*$C79)+$F79+$G79)),0))</f>
        <v> </v>
      </c>
      <c r="CU79" s="340" t="str">
        <f aca="false">IF(A79="N/A"," ",IF(CC=2,(IF(OR(Dayrun=3,Dayrun=6,Dayrun=9),IF(AND(Dayrun&gt;=3,Dayrun&lt;=6),O79,(VLOOKUP(A79,ScaledPrice,7))*(2-(VLOOKUP(A79,ScaledPrice,3)))),0)-((IF(Y79&lt;&gt;0,$D79,$CL79)*$C79)+$F79+$G79)),0))</f>
        <v> </v>
      </c>
      <c r="CV79" s="340" t="str">
        <f aca="false">IF(A79="N/A"," ",IF(CC=2,(VLOOKUP(A79,ScaledPrice,9)-((IF(Z79&lt;&gt;0,$D79,$CL79)*$C79)+$F79+$G79)),0))</f>
        <v> </v>
      </c>
      <c r="CW79" s="318" t="str">
        <f aca="false">IF($A79="N/A"," ",IF(0&lt;&gt;CN79,IF(CC=2,8*$HD79,0),0))</f>
        <v> </v>
      </c>
      <c r="CX79" s="318" t="str">
        <f aca="false">IF($A79="N/A"," ",IF(0&lt;&gt;CO79,IF(CC=2,8*$HD79,0),0))</f>
        <v> </v>
      </c>
      <c r="CY79" s="318" t="str">
        <f aca="false">IF($A79="N/A"," ",IF(0&lt;&gt;CP79,IF(CC=2,8*$HD79,0),0))</f>
        <v> </v>
      </c>
      <c r="CZ79" s="318" t="str">
        <f aca="false">IF($A79="N/A"," ",IF(0&lt;&gt;CQ79,IF(CC=2,8*$HE79,0),0))</f>
        <v> </v>
      </c>
      <c r="DA79" s="318" t="str">
        <f aca="false">IF($A79="N/A"," ",IF(0&lt;&gt;CR79,IF(CC=2,8*$HE79,0),0))</f>
        <v> </v>
      </c>
      <c r="DB79" s="318" t="str">
        <f aca="false">IF($A79="N/A"," ",IF(0&lt;&gt;CS79,IF(CC=2,8*$HE79,0),0))</f>
        <v> </v>
      </c>
      <c r="DC79" s="318" t="str">
        <f aca="false">IF($A79="N/A"," ",IF(0&lt;&gt;CT79,IF(CC=2,8*$HF79,0),0))</f>
        <v> </v>
      </c>
      <c r="DD79" s="318" t="str">
        <f aca="false">IF($A79="N/A"," ",IF(0&lt;&gt;CU79,IF(CC=2,8*$HF79,0),0))</f>
        <v> </v>
      </c>
      <c r="DE79" s="318" t="str">
        <f aca="false">IF($A79="N/A"," ",IF(0&lt;&gt;CV79,IF(CC=2,8*$HF79,0),0))</f>
        <v> </v>
      </c>
      <c r="DF79" s="341" t="str">
        <f aca="false">IF($A79="N/A"," ",IF(CC=2,(IF(MONTH(A79)&gt;=4,IF(MONTH(A79)&lt;=10,Inputs!$G$13,Inputs!$G$14),Inputs!$G$14))*$CK79,0))</f>
        <v> </v>
      </c>
      <c r="DG79" s="342" t="str">
        <f aca="false">IF($A79="N/A"," ",IF(CC=2,$DF79*CW79*CN79,0))</f>
        <v> </v>
      </c>
      <c r="DH79" s="342" t="str">
        <f aca="false">IF($A79="N/A"," ",IF(CC=2,$DF79*CX79*CO79,0))</f>
        <v> </v>
      </c>
      <c r="DI79" s="342" t="str">
        <f aca="false">IF($A79="N/A"," ",IF(CC=2,$DF79*CY79*CP79,0))</f>
        <v> </v>
      </c>
      <c r="DJ79" s="342" t="str">
        <f aca="false">IF($A79="N/A"," ",IF(CC=2,$DF79*CZ79*CQ79,0))</f>
        <v> </v>
      </c>
      <c r="DK79" s="342" t="str">
        <f aca="false">IF($A79="N/A"," ",IF(CC=2,$DF79*DA79*CR79,0))</f>
        <v> </v>
      </c>
      <c r="DL79" s="342" t="str">
        <f aca="false">IF($A79="N/A"," ",IF(CC=2,$DF79*DB79*CS79,0))</f>
        <v> </v>
      </c>
      <c r="DM79" s="342" t="str">
        <f aca="false">IF($A79="N/A"," ",IF(CC=2,$DF79*DC79*CT79,0))</f>
        <v> </v>
      </c>
      <c r="DN79" s="342" t="str">
        <f aca="false">IF($A79="N/A"," ",IF(CC=2,$DF79*DD79*CU79,0))</f>
        <v> </v>
      </c>
      <c r="DO79" s="342" t="str">
        <f aca="false">IF($A79="N/A"," ",IF(CC=2,$DF79*DE79*CV79,0))</f>
        <v> </v>
      </c>
      <c r="DP79" s="343" t="str">
        <f aca="false">IF($A79="N/A"," ",IF(CC=2,SUM(DG79:DO79),0))</f>
        <v> </v>
      </c>
      <c r="DQ79" s="0" t="str">
        <f aca="false">IF(A79="N/A"," ",Perstart)</f>
        <v> </v>
      </c>
      <c r="HD79" s="0" t="str">
        <f aca="false">IF($A79="N/A"," ",VLOOKUP($A79,NumberofDaysTable,2))</f>
        <v> </v>
      </c>
      <c r="HE79" s="0" t="str">
        <f aca="false">IF($A79="N/A"," ",VLOOKUP($A79,NumberofDaysTable,3))</f>
        <v> </v>
      </c>
      <c r="HF79" s="0" t="str">
        <f aca="false">IF($A79="N/A"," ",VLOOKUP($A79,NumberofDaysTable,4))</f>
        <v> </v>
      </c>
    </row>
    <row r="80" customFormat="false" ht="12.75" hidden="false" customHeight="false" outlineLevel="0" collapsed="false">
      <c r="A80" s="308" t="str">
        <f aca="false">IF(A79="N/A","N/A",IF(EDATE(A79,1)&gt;Inputs!$K$3,"N/A",EDATE(A79,1)))</f>
        <v>N/A</v>
      </c>
      <c r="B80" s="309" t="str">
        <f aca="false">IF(A80="N/A"," ",YEAR(A80))</f>
        <v> </v>
      </c>
      <c r="C80" s="310" t="str">
        <f aca="false">IF(A80="N/A"," ",VLOOKUP(A80,ScaledPrice,10))</f>
        <v> </v>
      </c>
      <c r="D80" s="311" t="str">
        <f aca="false">IF(A80="N/A"," ",(VLOOKUP(MONTH($A80),Hrtable,2))/1000)</f>
        <v> </v>
      </c>
      <c r="E80" s="312" t="str">
        <f aca="false">IF($A80="N/A"," ",(C80-'Pricing Inputs'!T113)*D80)</f>
        <v> </v>
      </c>
      <c r="F80" s="313" t="str">
        <f aca="false">IF(A80="N/A"," ",$F68*(1+VOMesc))</f>
        <v> </v>
      </c>
      <c r="G80" s="313" t="str">
        <f aca="false">IF(A80="N/A"," ",Perstart/IF(AND(Dayrun&gt;=4,Dayrun&lt;=6),16,IF(AND(Dayrun&gt;=7,Dayrun&lt;=9),8,24))/(BM80/CK80))</f>
        <v> </v>
      </c>
      <c r="H80" s="314" t="str">
        <f aca="false">IF(A80="N/A"," ",(C80*D80)+F80+G80)</f>
        <v> </v>
      </c>
      <c r="I80" s="315" t="str">
        <f aca="false">VLOOKUP(A80,ScaledPrice,(IF(AND(Dayrun&gt;=1,Dayrun&lt;=6),2,4)))</f>
        <v> </v>
      </c>
      <c r="J80" s="315" t="str">
        <f aca="false">IF(A80="N/A"," ",IF(AND(Dayrun&gt;=1,Dayrun&lt;=6),I80,(VLOOKUP(A80,ScaledPrice,2))*(2-(VLOOKUP(A80,ScaledPrice,3)))))</f>
        <v> </v>
      </c>
      <c r="K80" s="315" t="str">
        <f aca="false">IF(A80="N/A"," ",IF(AND(Dayrun&gt;=1,Dayrun&lt;=3),VLOOKUP(A80,ScaledPrice,9),0))</f>
        <v> </v>
      </c>
      <c r="L80" s="315" t="str">
        <f aca="false">IF(A80="N/A"," ",IF(OR(Dayrun=2,Dayrun=3,Dayrun=5,Dayrun=6,Dayrun=8,Dayrun=9),VLOOKUP(A80,ScaledPrice,IF(AND(Dayrun&gt;=2,Dayrun&lt;=6),5,6)),0))</f>
        <v> </v>
      </c>
      <c r="M80" s="315" t="str">
        <f aca="false">IF(A80="N/A"," ",IF(OR(Dayrun=2,Dayrun=3,Dayrun=5,Dayrun=6,Dayrun=8,Dayrun=9),IF(AND(Dayrun&gt;=2,Dayrun&lt;=6),L80,(VLOOKUP(A80,ScaledPrice,5))*(2-(VLOOKUP(A80,ScaledPrice,3)))),0))</f>
        <v> </v>
      </c>
      <c r="N80" s="315" t="str">
        <f aca="false">IF(A80="N/A"," ",IF(AND(Dayrun&gt;1,Dayrun&lt;=3),VLOOKUP(A80,ScaledPrice,9),0))</f>
        <v> </v>
      </c>
      <c r="O80" s="315" t="str">
        <f aca="false">IF(A80="N/A"," ",IF(OR(Dayrun=3,Dayrun=6,Dayrun=9),(VLOOKUP(A80,ScaledPrice,IF(AND(Dayrun&gt;=3,Dayrun&lt;=6),7,8))),0))</f>
        <v> </v>
      </c>
      <c r="P80" s="315" t="str">
        <f aca="false">IF(A80="N/A"," ",IF(OR(Dayrun=3,Dayrun=6,Dayrun=9),IF(AND(Dayrun&gt;=3,Dayrun&lt;=6),O80,(VLOOKUP(A80,ScaledPrice,7))*(2-(VLOOKUP(A80,ScaledPrice,3)))),0))</f>
        <v> </v>
      </c>
      <c r="Q80" s="315" t="str">
        <f aca="false">IF(A80="N/A"," ",IF(AND(Dayrun&gt;2,Dayrun&lt;=3),VLOOKUP(A80,ScaledPrice,9),0))</f>
        <v> </v>
      </c>
      <c r="R80" s="316" t="str">
        <f aca="false">IF($A80="N/A"," ",IF(Pricetype=2,MAX(I80-$H80,0),IF(Pricetype=1,(xSPRDOPT(I80,$E80,$CI80,0,($CD80+IF(Smile=TRUE(),VLOOKUP(MAX(-5,$H80-I80),Volsmile,2),0)),$CG80,$CH80,($A80-DateToday)+15,1,0)),I80-$H80)))</f>
        <v> </v>
      </c>
      <c r="S80" s="316" t="str">
        <f aca="false">IF($A80="N/A"," ",IF(Pricetype=2,MAX(J80-$H80,0),IF(Pricetype=1,(xSPRDOPT(J80,$E80,$CI80,0,($CD80+IF(Smile=TRUE(),VLOOKUP(MAX(-5,$H80-J80),Volsmile,2),0)),$CG80,$CH80,($A80-DateToday)+15,1,0)),J80-$H80)))</f>
        <v> </v>
      </c>
      <c r="T80" s="317" t="str">
        <f aca="false">IF($A80="N/A"," ",(IF(Pricetype=2,IF((K80-$H80)&lt;=0,0,(K80-$H80)),IF(K80&lt;&gt;0,(K80-$H80),0))))</f>
        <v> </v>
      </c>
      <c r="U80" s="316" t="str">
        <f aca="false">IF($A80="N/A"," ",IF(Pricetype=2,MAX(L80-$H80,0),IF(L80&lt;&gt;0,IF(Pricetype=1,(xSPRDOPT(L80,$E80,$CI80,0,($CD80+IF(Smile=TRUE(),VLOOKUP(MAX(-5,$H80-L80),Volsmile,2),0)),$CG80,$CH80,($A80-DateToday)+15,1,0)),L80-$H80),0)))</f>
        <v> </v>
      </c>
      <c r="V80" s="316" t="str">
        <f aca="false">IF($A80="N/A"," ",IF(Pricetype=2,MAX(M80-$H80,0),IF(M80&lt;&gt;0,IF(Pricetype=1,(xSPRDOPT(M80,$E80,$CI80,0,($CD80+IF(Smile=TRUE(),VLOOKUP(MAX(-5,$H80-M80),Volsmile,2),0)),$CG80,$CH80,($A80-DateToday)+15,1,0)),M80-$H80),0)))</f>
        <v> </v>
      </c>
      <c r="W80" s="317" t="str">
        <f aca="false">IF($A80="N/A"," ",(IF(Pricetype=2,IF((N80-$H80)&lt;=0,0,(N80-$H80)),IF(N80&lt;&gt;0,(N80-$H80),0))))</f>
        <v> </v>
      </c>
      <c r="X80" s="316" t="str">
        <f aca="false">IF($A80="N/A"," ",IF(Pricetype=2,MAX(O80-$H80,0),IF(O80&lt;&gt;0,IF(Pricetype=1,(xSPRDOPT(O80,$E80,$CI80,0,($CD80+IF(Smile=TRUE(),VLOOKUP(MAX(-5,$H80-O80),Volsmile,2),0)),$CG80,$CH80,($A80-DateToday)+15,1,0)),O80-$H80),0)))</f>
        <v> </v>
      </c>
      <c r="Y80" s="316" t="str">
        <f aca="false">IF($A80="N/A"," ",IF(Pricetype=2,MAX(P80-$H80,0),IF(P80&lt;&gt;0,IF(Pricetype=1,(xSPRDOPT(P80,$E80,$CI80,0,($CD80+IF(Smile=TRUE(),VLOOKUP(MAX(-5,$H80-P80),Volsmile,2),0)),$CG80,$CH80,($A80-DateToday)+15,1,0)),P80-$H80),0)))</f>
        <v> </v>
      </c>
      <c r="Z80" s="317" t="str">
        <f aca="false">IF($A80="N/A"," ",(IF(Pricetype=2,IF((Q80-$H80)&lt;=0,0,(Q80-$H80)),IF(Q80&lt;&gt;0,(Q80-$H80),0))))</f>
        <v> </v>
      </c>
      <c r="AA80" s="318" t="str">
        <f aca="false">IF($A80="N/A"," ",IF(VLOOKUP(MONTH(A80),ManualTable,2)=1,(IF(0&lt;&gt;R80,IF(Pricetype=1,(xSPRDOPT(I80,$E80,$CI80,0,($CD80+IF(Smile=TRUE(),VLOOKUP(MAX(-5,$H80-I80),Volsmile,2),0)),$CG80,$CH80,($A80-DateToday)+15,1,1))*(8*$HD80),8*$HD80),0)),0))</f>
        <v> </v>
      </c>
      <c r="AB80" s="318" t="str">
        <f aca="false">IF($A80="N/A"," ",IF(VLOOKUP(MONTH(A80),ManualTable,3)=1,(IF(S80&lt;&gt;0,IF(Pricetype=1,(xSPRDOPT(J80,$E80,$CI80,0,($CD80+IF(Smile=TRUE(),VLOOKUP(MAX(-5,$H80-J80),Volsmile,2),0)),$CG80,$CH80,($A80-DateToday)+15,1,1))*(8*$HD80),8*$HD80),0)),0))</f>
        <v> </v>
      </c>
      <c r="AC80" s="318" t="str">
        <f aca="false">IF($A80="N/A"," ",IF(VLOOKUP(MONTH(A80),ManualTable,4)=1,(IF(T80&lt;&gt;0,(8*$HD80),0)),0))</f>
        <v> </v>
      </c>
      <c r="AD80" s="318" t="str">
        <f aca="false">IF($A80="N/A"," ",IF(VLOOKUP(MONTH(A80),ManualTable,5)=1,(IF(U80&lt;&gt;0,IF(Pricetype=1,(xSPRDOPT(L80,$E80,$CI80,0,($CD80+IF(Smile=TRUE(),VLOOKUP(MAX(-5,$H80-L80),Volsmile,2),0)),$CG80,$CH80,($A80-DateToday)+15,1,1))*(8*$HE80),8*$HE80),0)),0))</f>
        <v> </v>
      </c>
      <c r="AE80" s="318" t="str">
        <f aca="false">IF($A80="N/A"," ",IF(VLOOKUP(MONTH(A80),ManualTable,6)=1,(IF(V80&lt;&gt;0,IF(Pricetype=1,(xSPRDOPT(M80,$E80,$CI80,0,($CD80+IF(Smile=TRUE(),VLOOKUP(MAX(-5,$H80-M80),Volsmile,2),0)),$CG80,$CH80,($A80-DateToday)+15,1,1))*(8*$HE80),8*$HE80),0)),0))</f>
        <v> </v>
      </c>
      <c r="AF80" s="318" t="str">
        <f aca="false">IF($A80="N/A"," ",IF(VLOOKUP(MONTH(A80),ManualTable,7)=1,(IF(W80&lt;&gt;0,(8*$HE80),0)),0))</f>
        <v> </v>
      </c>
      <c r="AG80" s="318" t="str">
        <f aca="false">IF($A80="N/A"," ",IF(VLOOKUP(MONTH(A80),ManualTable,8)=1,(IF(X80&lt;&gt;0,IF(Pricetype=1,(xSPRDOPT(O80,$E80,$CI80,0,($CD80+IF(Smile=TRUE(),VLOOKUP(MAX(-5,$H80-O80),Volsmile,2),0)),$CG80,$CH80,($A80-DateToday)+15,1,1))*(8*$HF80),8*$HF80),0)),0))</f>
        <v> </v>
      </c>
      <c r="AH80" s="318" t="str">
        <f aca="false">IF($A80="N/A"," ",IF(VLOOKUP(MONTH(A80),ManualTable,9)=1,(IF(Y80&lt;&gt;0,IF(Pricetype=1,(xSPRDOPT(P80,$E80,$CI80,0,($CD80+IF(Smile=TRUE(),VLOOKUP(MAX(-5,$H80-P80),Volsmile,2),0)),$CG80,$CH80,($A80-DateToday)+15,1,1))*(8*$HF80),8*$HF80),0)),0))</f>
        <v> </v>
      </c>
      <c r="AI80" s="318" t="str">
        <f aca="false">IF($A80="N/A"," ",IF(VLOOKUP(MONTH(A80),ManualTable,10)=1,(IF(Z80&lt;&gt;0,(8*($HF80)),0)),0))</f>
        <v> </v>
      </c>
      <c r="AJ80" s="344" t="str">
        <f aca="false">IF($A80="N/A"," ",RANK(R80,$R$76:$Z$87))</f>
        <v> </v>
      </c>
      <c r="AK80" s="321" t="str">
        <f aca="false">IF($A80="N/A"," ",RANK(S80,$R$76:$Z$87))</f>
        <v> </v>
      </c>
      <c r="AL80" s="321" t="str">
        <f aca="false">IF($A80="N/A"," ",RANK(T80,$R$76:$Z$87))</f>
        <v> </v>
      </c>
      <c r="AM80" s="321" t="str">
        <f aca="false">IF($A80="N/A"," ",RANK(U80,$R$76:$Z$87))</f>
        <v> </v>
      </c>
      <c r="AN80" s="321" t="str">
        <f aca="false">IF($A80="N/A"," ",RANK(V80,$R$76:$Z$87))</f>
        <v> </v>
      </c>
      <c r="AO80" s="321" t="str">
        <f aca="false">IF($A80="N/A"," ",RANK(W80,$R$76:$Z$87))</f>
        <v> </v>
      </c>
      <c r="AP80" s="321" t="str">
        <f aca="false">IF($A80="N/A"," ",RANK(X80,$R$76:$Z$87))</f>
        <v> </v>
      </c>
      <c r="AQ80" s="321" t="str">
        <f aca="false">IF($A80="N/A"," ",RANK(Y80,$R$76:$Z$87))</f>
        <v> </v>
      </c>
      <c r="AR80" s="345" t="str">
        <f aca="false">IF($A80="N/A"," ",RANK(Z80,$R$76:$Z$87))</f>
        <v> </v>
      </c>
      <c r="AS80" s="323" t="str">
        <f aca="false">IF($A80="N/A"," ",IF(AJ80&lt;=$AR$2,AA80,0))</f>
        <v> </v>
      </c>
      <c r="AT80" s="325" t="str">
        <f aca="false">IF($A80="N/A"," ",IF(AK80&lt;=$AR$2,AB80,0))</f>
        <v> </v>
      </c>
      <c r="AU80" s="325" t="str">
        <f aca="false">IF($A80="N/A"," ",IF(AL80&lt;=$AR$2,AC80,0))</f>
        <v> </v>
      </c>
      <c r="AV80" s="325" t="str">
        <f aca="false">IF($A80="N/A"," ",IF(AM80&lt;=$AR$2,AD80,0))</f>
        <v> </v>
      </c>
      <c r="AW80" s="325" t="str">
        <f aca="false">IF($A80="N/A"," ",IF(AN80&lt;=$AR$2,AE80,0))</f>
        <v> </v>
      </c>
      <c r="AX80" s="325" t="str">
        <f aca="false">IF($A80="N/A"," ",IF(AO80&lt;=$AR$2,AF80,0))</f>
        <v> </v>
      </c>
      <c r="AY80" s="325" t="str">
        <f aca="false">IF($A80="N/A"," ",IF(AP80&lt;=$AR$2,AG80,0))</f>
        <v> </v>
      </c>
      <c r="AZ80" s="325" t="str">
        <f aca="false">IF($A80="N/A"," ",IF(AQ80&lt;=$AR$2,AH80,0))</f>
        <v> </v>
      </c>
      <c r="BA80" s="325" t="str">
        <f aca="false">IF($A80="N/A"," ",IF(AR80&lt;=$AR$2,AI80,0))</f>
        <v> </v>
      </c>
      <c r="BB80" s="345"/>
      <c r="BC80" s="326" t="str">
        <f aca="false">IF($A80="N/A"," ",IF(AND(AJ80=$AR$2+1,AS80=0),MIN($BB$87,AA80),0))</f>
        <v> </v>
      </c>
      <c r="BD80" s="346" t="str">
        <f aca="false">IF($A80="N/A"," ",IF(AND(AK80=$AR$2+1,AT80=0),MIN($BB$87,AB80),0))</f>
        <v> </v>
      </c>
      <c r="BE80" s="346" t="str">
        <f aca="false">IF($A80="N/A"," ",IF(AND(AL80=$AR$2+1,AU80=0),MIN($BB$87,AC80),0))</f>
        <v> </v>
      </c>
      <c r="BF80" s="346" t="str">
        <f aca="false">IF($A80="N/A"," ",IF(AND(AM80=$AR$2+1,AV80=0),MIN($BB$87,AD80),0))</f>
        <v> </v>
      </c>
      <c r="BG80" s="346" t="str">
        <f aca="false">IF($A80="N/A"," ",IF(AND(AN80=$AR$2+1,AW80=0),MIN($BB$87,AE80),0))</f>
        <v> </v>
      </c>
      <c r="BH80" s="346" t="str">
        <f aca="false">IF($A80="N/A"," ",IF(AND(AO80=$AR$2+1,AX80=0),MIN($BB$87,AF80),0))</f>
        <v> </v>
      </c>
      <c r="BI80" s="346" t="str">
        <f aca="false">IF($A80="N/A"," ",IF(AND(AP80=$AR$2+1,AY80=0),MIN($BB$87,AG80),0))</f>
        <v> </v>
      </c>
      <c r="BJ80" s="346" t="str">
        <f aca="false">IF($A80="N/A"," ",IF(AND(AQ80=$AR$2+1,AZ80=0),MIN($BB$87,AH80),0))</f>
        <v> </v>
      </c>
      <c r="BK80" s="346" t="str">
        <f aca="false">IF($A80="N/A"," ",IF(AND(AR80=$AR$2+1,BA80=0),MIN($BB$87,AI80),0))</f>
        <v> </v>
      </c>
      <c r="BL80" s="345"/>
      <c r="BM80" s="329" t="str">
        <f aca="false">IF($A80="N/A"," ",(IF(MONTH(A80)&gt;=4,IF(MONTH(A80)&lt;=10,Inputs!$F$13-Inputs!$G$13,Inputs!$F$14-Inputs!$G$14),Inputs!$F$14-Inputs!$G$14))*$CK80*Availability)</f>
        <v> </v>
      </c>
      <c r="BN80" s="330" t="str">
        <f aca="false">IF($A80="N/A"," ",(IF(AS80&gt;0,($BM80*(8*($HD80))*R80),0)+IF(BC80&gt;0,($BM80*((BC80/AA80)*8*$HD80)*R80),0)))</f>
        <v> </v>
      </c>
      <c r="BO80" s="330" t="str">
        <f aca="false">IF($A80="N/A"," ",(IF(AT80&gt;0,($BM80*(8*($HD80))*S80),0)+IF(BD80&gt;0,($BM80*((BD80/AB80)*8*$HD80)*S80),0)))</f>
        <v> </v>
      </c>
      <c r="BP80" s="330" t="str">
        <f aca="false">IF($A80="N/A"," ",(IF(AU80&gt;0,($BM80*(8*($HD80))*T80),0)+IF(BE80&gt;0,($BM80*((BE80))*T80),0)))</f>
        <v> </v>
      </c>
      <c r="BQ80" s="330" t="str">
        <f aca="false">IF($A80="N/A"," ",(IF(AV80&gt;0,($BM80*(8*($HE80))*U80),0)+IF(BF80&gt;0,($BM80*((BF80/AD80)*8*$HE80)*U80),0)))</f>
        <v> </v>
      </c>
      <c r="BR80" s="330" t="str">
        <f aca="false">IF($A80="N/A"," ",(IF(AW80&gt;0,($BM80*(8*($HE80))*V80),0)+IF(BG80&gt;0,($BM80*((BG80/AE80)*8*$HE80)*V80),0)))</f>
        <v> </v>
      </c>
      <c r="BS80" s="330" t="str">
        <f aca="false">IF($A80="N/A"," ",(IF(AX80&gt;0,($BM80*(8*($HE80))*W80),0)+IF(BH80&gt;0,($BM80*((BH80))*W80),0)))</f>
        <v> </v>
      </c>
      <c r="BT80" s="330" t="str">
        <f aca="false">IF($A80="N/A"," ",(IF(AY80&gt;0,($BM80*(8*($HF80))*X80),0)+IF(BI80&gt;0,($BM80*((BI80/AG80)*8*$HF80)*X80),0)))</f>
        <v> </v>
      </c>
      <c r="BU80" s="330" t="str">
        <f aca="false">IF($A80="N/A"," ",(IF(AZ80&gt;0,($BM80*(8*($HF80))*Y80),0)+IF(BJ80&gt;0,($BM80*((BJ80/AH80)*8*$HF80)*Y80),0)))</f>
        <v> </v>
      </c>
      <c r="BV80" s="330" t="str">
        <f aca="false">IF($A80="N/A"," ",(IF(BA80&gt;0,($BM80*(8*($HF80))*Z80),0)+IF(BK80&gt;0,($BM80*((BK80))*Z80),0)))</f>
        <v> </v>
      </c>
      <c r="BW80" s="330" t="str">
        <f aca="false">IF($A80="N/A"," ",SUM(BN80:BV80))</f>
        <v> </v>
      </c>
      <c r="BX80" s="331" t="str">
        <f aca="false">IF($A80="N/A"," ",(H80*(SUM(AS80:BA80)+SUM(BC80:BK80))*BM80))</f>
        <v> </v>
      </c>
      <c r="BY80" s="332" t="str">
        <f aca="false">IF($A80="N/A"," ",((C80*D80)*(SUM($AS80:$BA80)+SUM($BC80:$BK80))*$BM80))</f>
        <v> </v>
      </c>
      <c r="BZ80" s="332" t="str">
        <f aca="false">IF($A80="N/A"," ",(F80*(SUM($AS80:$BA80)+SUM($BC80:$BK80))*$BM80))</f>
        <v> </v>
      </c>
      <c r="CA80" s="333" t="str">
        <f aca="false">IF($A80="N/A"," ",(G80*(SUM($AS80:$BA80)+SUM($BC80:$BK80))*$BM80))</f>
        <v> </v>
      </c>
      <c r="CB80" s="334" t="str">
        <f aca="false">IF(A80="N/A"," ",(VLOOKUP(A80,PowerVolTable,(IF(BMO=2,7,IF(BMO=1,6,8))),FALSE())))</f>
        <v> </v>
      </c>
      <c r="CC80" s="334" t="str">
        <f aca="false">IF(A80="N/A"," ",(VLOOKUP(A80,IntraPowerVol,(IF(BMO=2,3,IF(BMO=1,2,4))),FALSE())*VLOOKUP(MONTH($A80),Volscale,2)))</f>
        <v> </v>
      </c>
      <c r="CD80" s="335" t="str">
        <f aca="false">IF($A80="N/A"," ",(IF(DateToday&gt;$A80,$CC80,((($CB80^2)*((($A80-1)-DateToday)/((EOMONTH($A80,0)+1)-DateToday-15)))+((($CC80)^2)*((15)/((EOMONTH($A80,0)+1)-DateToday-15))))^0.5)))</f>
        <v> </v>
      </c>
      <c r="CE80" s="334" t="str">
        <f aca="false">IF($A80="N/A"," ",(VLOOKUP($A80,GasVolTable,(IF(BMO=2,6,IF(BMO=1,7,5))),FALSE())))</f>
        <v> </v>
      </c>
      <c r="CF80" s="334" t="str">
        <f aca="false">IF($A80="N/A"," ",(VLOOKUP($A80,OmicronVol,(IF(BMO=2,3,IF(BMO=1,4,2))),FALSE())))</f>
        <v> </v>
      </c>
      <c r="CG80" s="335" t="str">
        <f aca="false">IF($A80="N/A"," ",(IF(DateToday&gt;$A80,$CF80,((($CE80^2)*((($A80-1)-DateToday)/((EOMONTH($A80,0)+1)-DateToday-15)))+((($CF80)^2)*((15)/((EOMONTH($A80,0)+1)-DateToday-15))))^0.5)))</f>
        <v> </v>
      </c>
      <c r="CH80" s="334" t="str">
        <f aca="false">IF($A80="N/A"," ",VLOOKUP($A80,CorrelationTable,2,FALSE()))</f>
        <v> </v>
      </c>
      <c r="CI80" s="336" t="str">
        <f aca="false">IF($A80="N/A"," ",F80+G80+(D80*('Pricing Inputs'!T113)))</f>
        <v> </v>
      </c>
      <c r="CJ80" s="334" t="str">
        <f aca="false">IF($A80="N/A"," ",IF(PV=1,0,'Pricing Inputs'!U113))</f>
        <v> </v>
      </c>
      <c r="CK80" s="337" t="str">
        <f aca="false">IF($A80="N/A"," ",(1+CJ80/2)^(-2*((EOMONTH(A80,0)+20)-DateToday)/365.25))</f>
        <v> </v>
      </c>
      <c r="CL80" s="338" t="str">
        <f aca="false">IF(A80="N/A"," ",IF(CC=2,(VLOOKUP(MONTH($A80),Hrtable,3))/1000,0))</f>
        <v> </v>
      </c>
      <c r="CM80" s="339" t="str">
        <f aca="false">IF(A80="N/A"," ",IF(CC=2,(CL80*C80)+F80,0))</f>
        <v> </v>
      </c>
      <c r="CN80" s="340" t="str">
        <f aca="false">IF($A80="N/A"," ",IF(CC=2,(VLOOKUP(A80,ScaledPrice,(IF(AND(Dayrun&gt;=1,Dayrun&lt;=6),2,4)))-((IF(R80&lt;&gt;0,$D80,$CL80)*$C80)+$F80+$G80)),0))</f>
        <v> </v>
      </c>
      <c r="CO80" s="340" t="str">
        <f aca="false">IF($A80="N/A"," ",IF(CC=2,(IF(AND(Dayrun&gt;=1,Dayrun&lt;=6),I80,(VLOOKUP(A80,ScaledPrice,2))*(2-(VLOOKUP(A80,ScaledPrice,3))))-((IF(S80&lt;&gt;0,$D80,$CL80)*$C80)+$F80+$G80)),0))</f>
        <v> </v>
      </c>
      <c r="CP80" s="340" t="str">
        <f aca="false">IF(A80="N/A"," ",IF(CC=2,(VLOOKUP(A80,ScaledPrice,9)-((IF(T80&lt;&gt;0,$D80,$CL80)*$C80)+$F80+$G80)),0))</f>
        <v> </v>
      </c>
      <c r="CQ80" s="340" t="str">
        <f aca="false">IF(A80="N/A"," ",IF(CC=2,(IF(OR(Dayrun=2,Dayrun=3,Dayrun=5,Dayrun=6,Dayrun=8,Dayrun=9),VLOOKUP(A80,ScaledPrice,IF(AND(Dayrun&gt;=2,Dayrun&lt;=6),5,6)),0)-((IF(U80&lt;&gt;0,$D80,$CL80)*$C80)+$F80+$G80)),0))</f>
        <v> </v>
      </c>
      <c r="CR80" s="340" t="str">
        <f aca="false">IF(A80="N/A"," ",IF(CC=2,(IF(OR(Dayrun=2,Dayrun=3,Dayrun=5,Dayrun=6,Dayrun=8,Dayrun=9),IF(AND(Dayrun&gt;=2,Dayrun&lt;=6),L80,(VLOOKUP(A80,ScaledPrice,5))*(2-(VLOOKUP(A80,ScaledPrice,3)))),0)-((IF(V80&lt;&gt;0,$D80,$CL80)*$C80)+$F80+$G80)),0))</f>
        <v> </v>
      </c>
      <c r="CS80" s="340" t="str">
        <f aca="false">IF(A80="N/A"," ",IF(CC=2,(VLOOKUP(A80,ScaledPrice,9)-((IF(W80&lt;&gt;0,$D80,$CL80)*$C80)+$F80+$G80)),0))</f>
        <v> </v>
      </c>
      <c r="CT80" s="340" t="str">
        <f aca="false">IF(A80="N/A"," ",IF(CC=2,(IF(OR(Dayrun=3,Dayrun=6,Dayrun=9),(VLOOKUP(A80,ScaledPrice,IF(AND(Dayrun&gt;=3,Dayrun&lt;=6),7,8))),0)-((IF(X80&lt;&gt;0,$D80,$CL80)*$C80)+$F80+$G80)),0))</f>
        <v> </v>
      </c>
      <c r="CU80" s="340" t="str">
        <f aca="false">IF(A80="N/A"," ",IF(CC=2,(IF(OR(Dayrun=3,Dayrun=6,Dayrun=9),IF(AND(Dayrun&gt;=3,Dayrun&lt;=6),O80,(VLOOKUP(A80,ScaledPrice,7))*(2-(VLOOKUP(A80,ScaledPrice,3)))),0)-((IF(Y80&lt;&gt;0,$D80,$CL80)*$C80)+$F80+$G80)),0))</f>
        <v> </v>
      </c>
      <c r="CV80" s="340" t="str">
        <f aca="false">IF(A80="N/A"," ",IF(CC=2,(VLOOKUP(A80,ScaledPrice,9)-((IF(Z80&lt;&gt;0,$D80,$CL80)*$C80)+$F80+$G80)),0))</f>
        <v> </v>
      </c>
      <c r="CW80" s="318" t="str">
        <f aca="false">IF($A80="N/A"," ",IF(0&lt;&gt;CN80,IF(CC=2,8*$HD80,0),0))</f>
        <v> </v>
      </c>
      <c r="CX80" s="318" t="str">
        <f aca="false">IF($A80="N/A"," ",IF(0&lt;&gt;CO80,IF(CC=2,8*$HD80,0),0))</f>
        <v> </v>
      </c>
      <c r="CY80" s="318" t="str">
        <f aca="false">IF($A80="N/A"," ",IF(0&lt;&gt;CP80,IF(CC=2,8*$HD80,0),0))</f>
        <v> </v>
      </c>
      <c r="CZ80" s="318" t="str">
        <f aca="false">IF($A80="N/A"," ",IF(0&lt;&gt;CQ80,IF(CC=2,8*$HE80,0),0))</f>
        <v> </v>
      </c>
      <c r="DA80" s="318" t="str">
        <f aca="false">IF($A80="N/A"," ",IF(0&lt;&gt;CR80,IF(CC=2,8*$HE80,0),0))</f>
        <v> </v>
      </c>
      <c r="DB80" s="318" t="str">
        <f aca="false">IF($A80="N/A"," ",IF(0&lt;&gt;CS80,IF(CC=2,8*$HE80,0),0))</f>
        <v> </v>
      </c>
      <c r="DC80" s="318" t="str">
        <f aca="false">IF($A80="N/A"," ",IF(0&lt;&gt;CT80,IF(CC=2,8*$HF80,0),0))</f>
        <v> </v>
      </c>
      <c r="DD80" s="318" t="str">
        <f aca="false">IF($A80="N/A"," ",IF(0&lt;&gt;CU80,IF(CC=2,8*$HF80,0),0))</f>
        <v> </v>
      </c>
      <c r="DE80" s="318" t="str">
        <f aca="false">IF($A80="N/A"," ",IF(0&lt;&gt;CV80,IF(CC=2,8*$HF80,0),0))</f>
        <v> </v>
      </c>
      <c r="DF80" s="341" t="str">
        <f aca="false">IF($A80="N/A"," ",IF(CC=2,(IF(MONTH(A80)&gt;=4,IF(MONTH(A80)&lt;=10,Inputs!$G$13,Inputs!$G$14),Inputs!$G$14))*$CK80,0))</f>
        <v> </v>
      </c>
      <c r="DG80" s="342" t="str">
        <f aca="false">IF($A80="N/A"," ",IF(CC=2,$DF80*CW80*CN80,0))</f>
        <v> </v>
      </c>
      <c r="DH80" s="342" t="str">
        <f aca="false">IF($A80="N/A"," ",IF(CC=2,$DF80*CX80*CO80,0))</f>
        <v> </v>
      </c>
      <c r="DI80" s="342" t="str">
        <f aca="false">IF($A80="N/A"," ",IF(CC=2,$DF80*CY80*CP80,0))</f>
        <v> </v>
      </c>
      <c r="DJ80" s="342" t="str">
        <f aca="false">IF($A80="N/A"," ",IF(CC=2,$DF80*CZ80*CQ80,0))</f>
        <v> </v>
      </c>
      <c r="DK80" s="342" t="str">
        <f aca="false">IF($A80="N/A"," ",IF(CC=2,$DF80*DA80*CR80,0))</f>
        <v> </v>
      </c>
      <c r="DL80" s="342" t="str">
        <f aca="false">IF($A80="N/A"," ",IF(CC=2,$DF80*DB80*CS80,0))</f>
        <v> </v>
      </c>
      <c r="DM80" s="342" t="str">
        <f aca="false">IF($A80="N/A"," ",IF(CC=2,$DF80*DC80*CT80,0))</f>
        <v> </v>
      </c>
      <c r="DN80" s="342" t="str">
        <f aca="false">IF($A80="N/A"," ",IF(CC=2,$DF80*DD80*CU80,0))</f>
        <v> </v>
      </c>
      <c r="DO80" s="342" t="str">
        <f aca="false">IF($A80="N/A"," ",IF(CC=2,$DF80*DE80*CV80,0))</f>
        <v> </v>
      </c>
      <c r="DP80" s="343" t="str">
        <f aca="false">IF($A80="N/A"," ",IF(CC=2,SUM(DG80:DO80),0))</f>
        <v> </v>
      </c>
      <c r="DQ80" s="0" t="str">
        <f aca="false">IF(A80="N/A"," ",Perstart)</f>
        <v> </v>
      </c>
      <c r="HD80" s="0" t="str">
        <f aca="false">IF($A80="N/A"," ",VLOOKUP($A80,NumberofDaysTable,2))</f>
        <v> </v>
      </c>
      <c r="HE80" s="0" t="str">
        <f aca="false">IF($A80="N/A"," ",VLOOKUP($A80,NumberofDaysTable,3))</f>
        <v> </v>
      </c>
      <c r="HF80" s="0" t="str">
        <f aca="false">IF($A80="N/A"," ",VLOOKUP($A80,NumberofDaysTable,4))</f>
        <v> </v>
      </c>
    </row>
    <row r="81" customFormat="false" ht="12.75" hidden="false" customHeight="false" outlineLevel="0" collapsed="false">
      <c r="A81" s="308" t="str">
        <f aca="false">IF(A80="N/A","N/A",IF(EDATE(A80,1)&gt;Inputs!$K$3,"N/A",EDATE(A80,1)))</f>
        <v>N/A</v>
      </c>
      <c r="B81" s="309" t="str">
        <f aca="false">IF(A81="N/A"," ",YEAR(A81))</f>
        <v> </v>
      </c>
      <c r="C81" s="310" t="str">
        <f aca="false">IF(A81="N/A"," ",VLOOKUP(A81,ScaledPrice,10))</f>
        <v> </v>
      </c>
      <c r="D81" s="311" t="str">
        <f aca="false">IF(A81="N/A"," ",(VLOOKUP(MONTH($A81),Hrtable,2))/1000)</f>
        <v> </v>
      </c>
      <c r="E81" s="312" t="str">
        <f aca="false">IF($A81="N/A"," ",(C81-'Pricing Inputs'!T114)*D81)</f>
        <v> </v>
      </c>
      <c r="F81" s="313" t="str">
        <f aca="false">IF(A81="N/A"," ",$F69*(1+VOMesc))</f>
        <v> </v>
      </c>
      <c r="G81" s="313" t="str">
        <f aca="false">IF(A81="N/A"," ",Perstart/IF(AND(Dayrun&gt;=4,Dayrun&lt;=6),16,IF(AND(Dayrun&gt;=7,Dayrun&lt;=9),8,24))/(BM81/CK81))</f>
        <v> </v>
      </c>
      <c r="H81" s="314" t="str">
        <f aca="false">IF(A81="N/A"," ",(C81*D81)+F81+G81)</f>
        <v> </v>
      </c>
      <c r="I81" s="315" t="str">
        <f aca="false">VLOOKUP(A81,ScaledPrice,(IF(AND(Dayrun&gt;=1,Dayrun&lt;=6),2,4)))</f>
        <v> </v>
      </c>
      <c r="J81" s="315" t="str">
        <f aca="false">IF(A81="N/A"," ",IF(AND(Dayrun&gt;=1,Dayrun&lt;=6),I81,(VLOOKUP(A81,ScaledPrice,2))*(2-(VLOOKUP(A81,ScaledPrice,3)))))</f>
        <v> </v>
      </c>
      <c r="K81" s="315" t="str">
        <f aca="false">IF(A81="N/A"," ",IF(AND(Dayrun&gt;=1,Dayrun&lt;=3),VLOOKUP(A81,ScaledPrice,9),0))</f>
        <v> </v>
      </c>
      <c r="L81" s="315" t="str">
        <f aca="false">IF(A81="N/A"," ",IF(OR(Dayrun=2,Dayrun=3,Dayrun=5,Dayrun=6,Dayrun=8,Dayrun=9),VLOOKUP(A81,ScaledPrice,IF(AND(Dayrun&gt;=2,Dayrun&lt;=6),5,6)),0))</f>
        <v> </v>
      </c>
      <c r="M81" s="315" t="str">
        <f aca="false">IF(A81="N/A"," ",IF(OR(Dayrun=2,Dayrun=3,Dayrun=5,Dayrun=6,Dayrun=8,Dayrun=9),IF(AND(Dayrun&gt;=2,Dayrun&lt;=6),L81,(VLOOKUP(A81,ScaledPrice,5))*(2-(VLOOKUP(A81,ScaledPrice,3)))),0))</f>
        <v> </v>
      </c>
      <c r="N81" s="315" t="str">
        <f aca="false">IF(A81="N/A"," ",IF(AND(Dayrun&gt;1,Dayrun&lt;=3),VLOOKUP(A81,ScaledPrice,9),0))</f>
        <v> </v>
      </c>
      <c r="O81" s="315" t="str">
        <f aca="false">IF(A81="N/A"," ",IF(OR(Dayrun=3,Dayrun=6,Dayrun=9),(VLOOKUP(A81,ScaledPrice,IF(AND(Dayrun&gt;=3,Dayrun&lt;=6),7,8))),0))</f>
        <v> </v>
      </c>
      <c r="P81" s="315" t="str">
        <f aca="false">IF(A81="N/A"," ",IF(OR(Dayrun=3,Dayrun=6,Dayrun=9),IF(AND(Dayrun&gt;=3,Dayrun&lt;=6),O81,(VLOOKUP(A81,ScaledPrice,7))*(2-(VLOOKUP(A81,ScaledPrice,3)))),0))</f>
        <v> </v>
      </c>
      <c r="Q81" s="315" t="str">
        <f aca="false">IF(A81="N/A"," ",IF(AND(Dayrun&gt;2,Dayrun&lt;=3),VLOOKUP(A81,ScaledPrice,9),0))</f>
        <v> </v>
      </c>
      <c r="R81" s="316" t="str">
        <f aca="false">IF($A81="N/A"," ",IF(Pricetype=2,MAX(I81-$H81,0),IF(Pricetype=1,(xSPRDOPT(I81,$E81,$CI81,0,($CD81+IF(Smile=TRUE(),VLOOKUP(MAX(-5,$H81-I81),Volsmile,2),0)),$CG81,$CH81,($A81-DateToday)+15,1,0)),I81-$H81)))</f>
        <v> </v>
      </c>
      <c r="S81" s="316" t="str">
        <f aca="false">IF($A81="N/A"," ",IF(Pricetype=2,MAX(J81-$H81,0),IF(Pricetype=1,(xSPRDOPT(J81,$E81,$CI81,0,($CD81+IF(Smile=TRUE(),VLOOKUP(MAX(-5,$H81-J81),Volsmile,2),0)),$CG81,$CH81,($A81-DateToday)+15,1,0)),J81-$H81)))</f>
        <v> </v>
      </c>
      <c r="T81" s="317" t="str">
        <f aca="false">IF($A81="N/A"," ",(IF(Pricetype=2,IF((K81-$H81)&lt;=0,0,(K81-$H81)),IF(K81&lt;&gt;0,(K81-$H81),0))))</f>
        <v> </v>
      </c>
      <c r="U81" s="316" t="str">
        <f aca="false">IF($A81="N/A"," ",IF(Pricetype=2,MAX(L81-$H81,0),IF(L81&lt;&gt;0,IF(Pricetype=1,(xSPRDOPT(L81,$E81,$CI81,0,($CD81+IF(Smile=TRUE(),VLOOKUP(MAX(-5,$H81-L81),Volsmile,2),0)),$CG81,$CH81,($A81-DateToday)+15,1,0)),L81-$H81),0)))</f>
        <v> </v>
      </c>
      <c r="V81" s="316" t="str">
        <f aca="false">IF($A81="N/A"," ",IF(Pricetype=2,MAX(M81-$H81,0),IF(M81&lt;&gt;0,IF(Pricetype=1,(xSPRDOPT(M81,$E81,$CI81,0,($CD81+IF(Smile=TRUE(),VLOOKUP(MAX(-5,$H81-M81),Volsmile,2),0)),$CG81,$CH81,($A81-DateToday)+15,1,0)),M81-$H81),0)))</f>
        <v> </v>
      </c>
      <c r="W81" s="317" t="str">
        <f aca="false">IF($A81="N/A"," ",(IF(Pricetype=2,IF((N81-$H81)&lt;=0,0,(N81-$H81)),IF(N81&lt;&gt;0,(N81-$H81),0))))</f>
        <v> </v>
      </c>
      <c r="X81" s="316" t="str">
        <f aca="false">IF($A81="N/A"," ",IF(Pricetype=2,MAX(O81-$H81,0),IF(O81&lt;&gt;0,IF(Pricetype=1,(xSPRDOPT(O81,$E81,$CI81,0,($CD81+IF(Smile=TRUE(),VLOOKUP(MAX(-5,$H81-O81),Volsmile,2),0)),$CG81,$CH81,($A81-DateToday)+15,1,0)),O81-$H81),0)))</f>
        <v> </v>
      </c>
      <c r="Y81" s="316" t="str">
        <f aca="false">IF($A81="N/A"," ",IF(Pricetype=2,MAX(P81-$H81,0),IF(P81&lt;&gt;0,IF(Pricetype=1,(xSPRDOPT(P81,$E81,$CI81,0,($CD81+IF(Smile=TRUE(),VLOOKUP(MAX(-5,$H81-P81),Volsmile,2),0)),$CG81,$CH81,($A81-DateToday)+15,1,0)),P81-$H81),0)))</f>
        <v> </v>
      </c>
      <c r="Z81" s="317" t="str">
        <f aca="false">IF($A81="N/A"," ",(IF(Pricetype=2,IF((Q81-$H81)&lt;=0,0,(Q81-$H81)),IF(Q81&lt;&gt;0,(Q81-$H81),0))))</f>
        <v> </v>
      </c>
      <c r="AA81" s="318" t="str">
        <f aca="false">IF($A81="N/A"," ",IF(VLOOKUP(MONTH(A81),ManualTable,2)=1,(IF(0&lt;&gt;R81,IF(Pricetype=1,(xSPRDOPT(I81,$E81,$CI81,0,($CD81+IF(Smile=TRUE(),VLOOKUP(MAX(-5,$H81-I81),Volsmile,2),0)),$CG81,$CH81,($A81-DateToday)+15,1,1))*(8*$HD81),8*$HD81),0)),0))</f>
        <v> </v>
      </c>
      <c r="AB81" s="318" t="str">
        <f aca="false">IF($A81="N/A"," ",IF(VLOOKUP(MONTH(A81),ManualTable,3)=1,(IF(S81&lt;&gt;0,IF(Pricetype=1,(xSPRDOPT(J81,$E81,$CI81,0,($CD81+IF(Smile=TRUE(),VLOOKUP(MAX(-5,$H81-J81),Volsmile,2),0)),$CG81,$CH81,($A81-DateToday)+15,1,1))*(8*$HD81),8*$HD81),0)),0))</f>
        <v> </v>
      </c>
      <c r="AC81" s="318" t="str">
        <f aca="false">IF($A81="N/A"," ",IF(VLOOKUP(MONTH(A81),ManualTable,4)=1,(IF(T81&lt;&gt;0,(8*$HD81),0)),0))</f>
        <v> </v>
      </c>
      <c r="AD81" s="318" t="str">
        <f aca="false">IF($A81="N/A"," ",IF(VLOOKUP(MONTH(A81),ManualTable,5)=1,(IF(U81&lt;&gt;0,IF(Pricetype=1,(xSPRDOPT(L81,$E81,$CI81,0,($CD81+IF(Smile=TRUE(),VLOOKUP(MAX(-5,$H81-L81),Volsmile,2),0)),$CG81,$CH81,($A81-DateToday)+15,1,1))*(8*$HE81),8*$HE81),0)),0))</f>
        <v> </v>
      </c>
      <c r="AE81" s="318" t="str">
        <f aca="false">IF($A81="N/A"," ",IF(VLOOKUP(MONTH(A81),ManualTable,6)=1,(IF(V81&lt;&gt;0,IF(Pricetype=1,(xSPRDOPT(M81,$E81,$CI81,0,($CD81+IF(Smile=TRUE(),VLOOKUP(MAX(-5,$H81-M81),Volsmile,2),0)),$CG81,$CH81,($A81-DateToday)+15,1,1))*(8*$HE81),8*$HE81),0)),0))</f>
        <v> </v>
      </c>
      <c r="AF81" s="318" t="str">
        <f aca="false">IF($A81="N/A"," ",IF(VLOOKUP(MONTH(A81),ManualTable,7)=1,(IF(W81&lt;&gt;0,(8*$HE81),0)),0))</f>
        <v> </v>
      </c>
      <c r="AG81" s="318" t="str">
        <f aca="false">IF($A81="N/A"," ",IF(VLOOKUP(MONTH(A81),ManualTable,8)=1,(IF(X81&lt;&gt;0,IF(Pricetype=1,(xSPRDOPT(O81,$E81,$CI81,0,($CD81+IF(Smile=TRUE(),VLOOKUP(MAX(-5,$H81-O81),Volsmile,2),0)),$CG81,$CH81,($A81-DateToday)+15,1,1))*(8*$HF81),8*$HF81),0)),0))</f>
        <v> </v>
      </c>
      <c r="AH81" s="318" t="str">
        <f aca="false">IF($A81="N/A"," ",IF(VLOOKUP(MONTH(A81),ManualTable,9)=1,(IF(Y81&lt;&gt;0,IF(Pricetype=1,(xSPRDOPT(P81,$E81,$CI81,0,($CD81+IF(Smile=TRUE(),VLOOKUP(MAX(-5,$H81-P81),Volsmile,2),0)),$CG81,$CH81,($A81-DateToday)+15,1,1))*(8*$HF81),8*$HF81),0)),0))</f>
        <v> </v>
      </c>
      <c r="AI81" s="318" t="str">
        <f aca="false">IF($A81="N/A"," ",IF(VLOOKUP(MONTH(A81),ManualTable,10)=1,(IF(Z81&lt;&gt;0,(8*($HF81)),0)),0))</f>
        <v> </v>
      </c>
      <c r="AJ81" s="344" t="str">
        <f aca="false">IF($A81="N/A"," ",RANK(R81,$R$76:$Z$87))</f>
        <v> </v>
      </c>
      <c r="AK81" s="321" t="str">
        <f aca="false">IF($A81="N/A"," ",RANK(S81,$R$76:$Z$87))</f>
        <v> </v>
      </c>
      <c r="AL81" s="321" t="str">
        <f aca="false">IF($A81="N/A"," ",RANK(T81,$R$76:$Z$87))</f>
        <v> </v>
      </c>
      <c r="AM81" s="321" t="str">
        <f aca="false">IF($A81="N/A"," ",RANK(U81,$R$76:$Z$87))</f>
        <v> </v>
      </c>
      <c r="AN81" s="321" t="str">
        <f aca="false">IF($A81="N/A"," ",RANK(V81,$R$76:$Z$87))</f>
        <v> </v>
      </c>
      <c r="AO81" s="321" t="str">
        <f aca="false">IF($A81="N/A"," ",RANK(W81,$R$76:$Z$87))</f>
        <v> </v>
      </c>
      <c r="AP81" s="321" t="str">
        <f aca="false">IF($A81="N/A"," ",RANK(X81,$R$76:$Z$87))</f>
        <v> </v>
      </c>
      <c r="AQ81" s="321" t="str">
        <f aca="false">IF($A81="N/A"," ",RANK(Y81,$R$76:$Z$87))</f>
        <v> </v>
      </c>
      <c r="AR81" s="345" t="str">
        <f aca="false">IF($A81="N/A"," ",RANK(Z81,$R$76:$Z$87))</f>
        <v> </v>
      </c>
      <c r="AS81" s="323" t="str">
        <f aca="false">IF($A81="N/A"," ",IF(AJ81&lt;=$AR$2,AA81,0))</f>
        <v> </v>
      </c>
      <c r="AT81" s="325" t="str">
        <f aca="false">IF($A81="N/A"," ",IF(AK81&lt;=$AR$2,AB81,0))</f>
        <v> </v>
      </c>
      <c r="AU81" s="325" t="str">
        <f aca="false">IF($A81="N/A"," ",IF(AL81&lt;=$AR$2,AC81,0))</f>
        <v> </v>
      </c>
      <c r="AV81" s="325" t="str">
        <f aca="false">IF($A81="N/A"," ",IF(AM81&lt;=$AR$2,AD81,0))</f>
        <v> </v>
      </c>
      <c r="AW81" s="325" t="str">
        <f aca="false">IF($A81="N/A"," ",IF(AN81&lt;=$AR$2,AE81,0))</f>
        <v> </v>
      </c>
      <c r="AX81" s="325" t="str">
        <f aca="false">IF($A81="N/A"," ",IF(AO81&lt;=$AR$2,AF81,0))</f>
        <v> </v>
      </c>
      <c r="AY81" s="325" t="str">
        <f aca="false">IF($A81="N/A"," ",IF(AP81&lt;=$AR$2,AG81,0))</f>
        <v> </v>
      </c>
      <c r="AZ81" s="325" t="str">
        <f aca="false">IF($A81="N/A"," ",IF(AQ81&lt;=$AR$2,AH81,0))</f>
        <v> </v>
      </c>
      <c r="BA81" s="325" t="str">
        <f aca="false">IF($A81="N/A"," ",IF(AR81&lt;=$AR$2,AI81,0))</f>
        <v> </v>
      </c>
      <c r="BB81" s="345"/>
      <c r="BC81" s="326" t="str">
        <f aca="false">IF($A81="N/A"," ",IF(AND(AJ81=$AR$2+1,AS81=0),MIN($BB$87,AA81),0))</f>
        <v> </v>
      </c>
      <c r="BD81" s="346" t="str">
        <f aca="false">IF($A81="N/A"," ",IF(AND(AK81=$AR$2+1,AT81=0),MIN($BB$87,AB81),0))</f>
        <v> </v>
      </c>
      <c r="BE81" s="346" t="str">
        <f aca="false">IF($A81="N/A"," ",IF(AND(AL81=$AR$2+1,AU81=0),MIN($BB$87,AC81),0))</f>
        <v> </v>
      </c>
      <c r="BF81" s="346" t="str">
        <f aca="false">IF($A81="N/A"," ",IF(AND(AM81=$AR$2+1,AV81=0),MIN($BB$87,AD81),0))</f>
        <v> </v>
      </c>
      <c r="BG81" s="346" t="str">
        <f aca="false">IF($A81="N/A"," ",IF(AND(AN81=$AR$2+1,AW81=0),MIN($BB$87,AE81),0))</f>
        <v> </v>
      </c>
      <c r="BH81" s="346" t="str">
        <f aca="false">IF($A81="N/A"," ",IF(AND(AO81=$AR$2+1,AX81=0),MIN($BB$87,AF81),0))</f>
        <v> </v>
      </c>
      <c r="BI81" s="346" t="str">
        <f aca="false">IF($A81="N/A"," ",IF(AND(AP81=$AR$2+1,AY81=0),MIN($BB$87,AG81),0))</f>
        <v> </v>
      </c>
      <c r="BJ81" s="346" t="str">
        <f aca="false">IF($A81="N/A"," ",IF(AND(AQ81=$AR$2+1,AZ81=0),MIN($BB$87,AH81),0))</f>
        <v> </v>
      </c>
      <c r="BK81" s="346" t="str">
        <f aca="false">IF($A81="N/A"," ",IF(AND(AR81=$AR$2+1,BA81=0),MIN($BB$87,AI81),0))</f>
        <v> </v>
      </c>
      <c r="BL81" s="345"/>
      <c r="BM81" s="329" t="str">
        <f aca="false">IF($A81="N/A"," ",(IF(MONTH(A81)&gt;=4,IF(MONTH(A81)&lt;=10,Inputs!$F$13-Inputs!$G$13,Inputs!$F$14-Inputs!$G$14),Inputs!$F$14-Inputs!$G$14))*$CK81*Availability)</f>
        <v> </v>
      </c>
      <c r="BN81" s="330" t="str">
        <f aca="false">IF($A81="N/A"," ",(IF(AS81&gt;0,($BM81*(8*($HD81))*R81),0)+IF(BC81&gt;0,($BM81*((BC81/AA81)*8*$HD81)*R81),0)))</f>
        <v> </v>
      </c>
      <c r="BO81" s="330" t="str">
        <f aca="false">IF($A81="N/A"," ",(IF(AT81&gt;0,($BM81*(8*($HD81))*S81),0)+IF(BD81&gt;0,($BM81*((BD81/AB81)*8*$HD81)*S81),0)))</f>
        <v> </v>
      </c>
      <c r="BP81" s="330" t="str">
        <f aca="false">IF($A81="N/A"," ",(IF(AU81&gt;0,($BM81*(8*($HD81))*T81),0)+IF(BE81&gt;0,($BM81*((BE81))*T81),0)))</f>
        <v> </v>
      </c>
      <c r="BQ81" s="330" t="str">
        <f aca="false">IF($A81="N/A"," ",(IF(AV81&gt;0,($BM81*(8*($HE81))*U81),0)+IF(BF81&gt;0,($BM81*((BF81/AD81)*8*$HE81)*U81),0)))</f>
        <v> </v>
      </c>
      <c r="BR81" s="330" t="str">
        <f aca="false">IF($A81="N/A"," ",(IF(AW81&gt;0,($BM81*(8*($HE81))*V81),0)+IF(BG81&gt;0,($BM81*((BG81/AE81)*8*$HE81)*V81),0)))</f>
        <v> </v>
      </c>
      <c r="BS81" s="330" t="str">
        <f aca="false">IF($A81="N/A"," ",(IF(AX81&gt;0,($BM81*(8*($HE81))*W81),0)+IF(BH81&gt;0,($BM81*((BH81))*W81),0)))</f>
        <v> </v>
      </c>
      <c r="BT81" s="330" t="str">
        <f aca="false">IF($A81="N/A"," ",(IF(AY81&gt;0,($BM81*(8*($HF81))*X81),0)+IF(BI81&gt;0,($BM81*((BI81/AG81)*8*$HF81)*X81),0)))</f>
        <v> </v>
      </c>
      <c r="BU81" s="330" t="str">
        <f aca="false">IF($A81="N/A"," ",(IF(AZ81&gt;0,($BM81*(8*($HF81))*Y81),0)+IF(BJ81&gt;0,($BM81*((BJ81/AH81)*8*$HF81)*Y81),0)))</f>
        <v> </v>
      </c>
      <c r="BV81" s="330" t="str">
        <f aca="false">IF($A81="N/A"," ",(IF(BA81&gt;0,($BM81*(8*($HF81))*Z81),0)+IF(BK81&gt;0,($BM81*((BK81))*Z81),0)))</f>
        <v> </v>
      </c>
      <c r="BW81" s="330" t="str">
        <f aca="false">IF($A81="N/A"," ",SUM(BN81:BV81))</f>
        <v> </v>
      </c>
      <c r="BX81" s="331" t="str">
        <f aca="false">IF($A81="N/A"," ",(H81*(SUM(AS81:BA81)+SUM(BC81:BK81))*BM81))</f>
        <v> </v>
      </c>
      <c r="BY81" s="332" t="str">
        <f aca="false">IF($A81="N/A"," ",((C81*D81)*(SUM($AS81:$BA81)+SUM($BC81:$BK81))*$BM81))</f>
        <v> </v>
      </c>
      <c r="BZ81" s="332" t="str">
        <f aca="false">IF($A81="N/A"," ",(F81*(SUM($AS81:$BA81)+SUM($BC81:$BK81))*$BM81))</f>
        <v> </v>
      </c>
      <c r="CA81" s="333" t="str">
        <f aca="false">IF($A81="N/A"," ",(G81*(SUM($AS81:$BA81)+SUM($BC81:$BK81))*$BM81))</f>
        <v> </v>
      </c>
      <c r="CB81" s="334" t="str">
        <f aca="false">IF(A81="N/A"," ",(VLOOKUP(A81,PowerVolTable,(IF(BMO=2,7,IF(BMO=1,6,8))),FALSE())))</f>
        <v> </v>
      </c>
      <c r="CC81" s="334" t="str">
        <f aca="false">IF(A81="N/A"," ",(VLOOKUP(A81,IntraPowerVol,(IF(BMO=2,3,IF(BMO=1,2,4))),FALSE())*VLOOKUP(MONTH($A81),Volscale,2)))</f>
        <v> </v>
      </c>
      <c r="CD81" s="335" t="str">
        <f aca="false">IF($A81="N/A"," ",(IF(DateToday&gt;$A81,$CC81,((($CB81^2)*((($A81-1)-DateToday)/((EOMONTH($A81,0)+1)-DateToday-15)))+((($CC81)^2)*((15)/((EOMONTH($A81,0)+1)-DateToday-15))))^0.5)))</f>
        <v> </v>
      </c>
      <c r="CE81" s="334" t="str">
        <f aca="false">IF($A81="N/A"," ",(VLOOKUP($A81,GasVolTable,(IF(BMO=2,6,IF(BMO=1,7,5))),FALSE())))</f>
        <v> </v>
      </c>
      <c r="CF81" s="334" t="str">
        <f aca="false">IF($A81="N/A"," ",(VLOOKUP($A81,OmicronVol,(IF(BMO=2,3,IF(BMO=1,4,2))),FALSE())))</f>
        <v> </v>
      </c>
      <c r="CG81" s="335" t="str">
        <f aca="false">IF($A81="N/A"," ",(IF(DateToday&gt;$A81,$CF81,((($CE81^2)*((($A81-1)-DateToday)/((EOMONTH($A81,0)+1)-DateToday-15)))+((($CF81)^2)*((15)/((EOMONTH($A81,0)+1)-DateToday-15))))^0.5)))</f>
        <v> </v>
      </c>
      <c r="CH81" s="334" t="str">
        <f aca="false">IF($A81="N/A"," ",VLOOKUP($A81,CorrelationTable,2,FALSE()))</f>
        <v> </v>
      </c>
      <c r="CI81" s="336" t="str">
        <f aca="false">IF($A81="N/A"," ",F81+G81+(D81*('Pricing Inputs'!T114)))</f>
        <v> </v>
      </c>
      <c r="CJ81" s="334" t="str">
        <f aca="false">IF($A81="N/A"," ",IF(PV=1,0,'Pricing Inputs'!U114))</f>
        <v> </v>
      </c>
      <c r="CK81" s="337" t="str">
        <f aca="false">IF($A81="N/A"," ",(1+CJ81/2)^(-2*((EOMONTH(A81,0)+20)-DateToday)/365.25))</f>
        <v> </v>
      </c>
      <c r="CL81" s="338" t="str">
        <f aca="false">IF(A81="N/A"," ",IF(CC=2,(VLOOKUP(MONTH($A81),Hrtable,3))/1000,0))</f>
        <v> </v>
      </c>
      <c r="CM81" s="339" t="str">
        <f aca="false">IF(A81="N/A"," ",IF(CC=2,(CL81*C81)+F81,0))</f>
        <v> </v>
      </c>
      <c r="CN81" s="340" t="str">
        <f aca="false">IF($A81="N/A"," ",IF(CC=2,(VLOOKUP(A81,ScaledPrice,(IF(AND(Dayrun&gt;=1,Dayrun&lt;=6),2,4)))-((IF(R81&lt;&gt;0,$D81,$CL81)*$C81)+$F81+$G81)),0))</f>
        <v> </v>
      </c>
      <c r="CO81" s="340" t="str">
        <f aca="false">IF($A81="N/A"," ",IF(CC=2,(IF(AND(Dayrun&gt;=1,Dayrun&lt;=6),I81,(VLOOKUP(A81,ScaledPrice,2))*(2-(VLOOKUP(A81,ScaledPrice,3))))-((IF(S81&lt;&gt;0,$D81,$CL81)*$C81)+$F81+$G81)),0))</f>
        <v> </v>
      </c>
      <c r="CP81" s="340" t="str">
        <f aca="false">IF(A81="N/A"," ",IF(CC=2,(VLOOKUP(A81,ScaledPrice,9)-((IF(T81&lt;&gt;0,$D81,$CL81)*$C81)+$F81+$G81)),0))</f>
        <v> </v>
      </c>
      <c r="CQ81" s="340" t="str">
        <f aca="false">IF(A81="N/A"," ",IF(CC=2,(IF(OR(Dayrun=2,Dayrun=3,Dayrun=5,Dayrun=6,Dayrun=8,Dayrun=9),VLOOKUP(A81,ScaledPrice,IF(AND(Dayrun&gt;=2,Dayrun&lt;=6),5,6)),0)-((IF(U81&lt;&gt;0,$D81,$CL81)*$C81)+$F81+$G81)),0))</f>
        <v> </v>
      </c>
      <c r="CR81" s="340" t="str">
        <f aca="false">IF(A81="N/A"," ",IF(CC=2,(IF(OR(Dayrun=2,Dayrun=3,Dayrun=5,Dayrun=6,Dayrun=8,Dayrun=9),IF(AND(Dayrun&gt;=2,Dayrun&lt;=6),L81,(VLOOKUP(A81,ScaledPrice,5))*(2-(VLOOKUP(A81,ScaledPrice,3)))),0)-((IF(V81&lt;&gt;0,$D81,$CL81)*$C81)+$F81+$G81)),0))</f>
        <v> </v>
      </c>
      <c r="CS81" s="340" t="str">
        <f aca="false">IF(A81="N/A"," ",IF(CC=2,(VLOOKUP(A81,ScaledPrice,9)-((IF(W81&lt;&gt;0,$D81,$CL81)*$C81)+$F81+$G81)),0))</f>
        <v> </v>
      </c>
      <c r="CT81" s="340" t="str">
        <f aca="false">IF(A81="N/A"," ",IF(CC=2,(IF(OR(Dayrun=3,Dayrun=6,Dayrun=9),(VLOOKUP(A81,ScaledPrice,IF(AND(Dayrun&gt;=3,Dayrun&lt;=6),7,8))),0)-((IF(X81&lt;&gt;0,$D81,$CL81)*$C81)+$F81+$G81)),0))</f>
        <v> </v>
      </c>
      <c r="CU81" s="340" t="str">
        <f aca="false">IF(A81="N/A"," ",IF(CC=2,(IF(OR(Dayrun=3,Dayrun=6,Dayrun=9),IF(AND(Dayrun&gt;=3,Dayrun&lt;=6),O81,(VLOOKUP(A81,ScaledPrice,7))*(2-(VLOOKUP(A81,ScaledPrice,3)))),0)-((IF(Y81&lt;&gt;0,$D81,$CL81)*$C81)+$F81+$G81)),0))</f>
        <v> </v>
      </c>
      <c r="CV81" s="340" t="str">
        <f aca="false">IF(A81="N/A"," ",IF(CC=2,(VLOOKUP(A81,ScaledPrice,9)-((IF(Z81&lt;&gt;0,$D81,$CL81)*$C81)+$F81+$G81)),0))</f>
        <v> </v>
      </c>
      <c r="CW81" s="318" t="str">
        <f aca="false">IF($A81="N/A"," ",IF(0&lt;&gt;CN81,IF(CC=2,8*$HD81,0),0))</f>
        <v> </v>
      </c>
      <c r="CX81" s="318" t="str">
        <f aca="false">IF($A81="N/A"," ",IF(0&lt;&gt;CO81,IF(CC=2,8*$HD81,0),0))</f>
        <v> </v>
      </c>
      <c r="CY81" s="318" t="str">
        <f aca="false">IF($A81="N/A"," ",IF(0&lt;&gt;CP81,IF(CC=2,8*$HD81,0),0))</f>
        <v> </v>
      </c>
      <c r="CZ81" s="318" t="str">
        <f aca="false">IF($A81="N/A"," ",IF(0&lt;&gt;CQ81,IF(CC=2,8*$HE81,0),0))</f>
        <v> </v>
      </c>
      <c r="DA81" s="318" t="str">
        <f aca="false">IF($A81="N/A"," ",IF(0&lt;&gt;CR81,IF(CC=2,8*$HE81,0),0))</f>
        <v> </v>
      </c>
      <c r="DB81" s="318" t="str">
        <f aca="false">IF($A81="N/A"," ",IF(0&lt;&gt;CS81,IF(CC=2,8*$HE81,0),0))</f>
        <v> </v>
      </c>
      <c r="DC81" s="318" t="str">
        <f aca="false">IF($A81="N/A"," ",IF(0&lt;&gt;CT81,IF(CC=2,8*$HF81,0),0))</f>
        <v> </v>
      </c>
      <c r="DD81" s="318" t="str">
        <f aca="false">IF($A81="N/A"," ",IF(0&lt;&gt;CU81,IF(CC=2,8*$HF81,0),0))</f>
        <v> </v>
      </c>
      <c r="DE81" s="318" t="str">
        <f aca="false">IF($A81="N/A"," ",IF(0&lt;&gt;CV81,IF(CC=2,8*$HF81,0),0))</f>
        <v> </v>
      </c>
      <c r="DF81" s="341" t="str">
        <f aca="false">IF($A81="N/A"," ",IF(CC=2,(IF(MONTH(A81)&gt;=4,IF(MONTH(A81)&lt;=10,Inputs!$G$13,Inputs!$G$14),Inputs!$G$14))*$CK81,0))</f>
        <v> </v>
      </c>
      <c r="DG81" s="342" t="str">
        <f aca="false">IF($A81="N/A"," ",IF(CC=2,$DF81*CW81*CN81,0))</f>
        <v> </v>
      </c>
      <c r="DH81" s="342" t="str">
        <f aca="false">IF($A81="N/A"," ",IF(CC=2,$DF81*CX81*CO81,0))</f>
        <v> </v>
      </c>
      <c r="DI81" s="342" t="str">
        <f aca="false">IF($A81="N/A"," ",IF(CC=2,$DF81*CY81*CP81,0))</f>
        <v> </v>
      </c>
      <c r="DJ81" s="342" t="str">
        <f aca="false">IF($A81="N/A"," ",IF(CC=2,$DF81*CZ81*CQ81,0))</f>
        <v> </v>
      </c>
      <c r="DK81" s="342" t="str">
        <f aca="false">IF($A81="N/A"," ",IF(CC=2,$DF81*DA81*CR81,0))</f>
        <v> </v>
      </c>
      <c r="DL81" s="342" t="str">
        <f aca="false">IF($A81="N/A"," ",IF(CC=2,$DF81*DB81*CS81,0))</f>
        <v> </v>
      </c>
      <c r="DM81" s="342" t="str">
        <f aca="false">IF($A81="N/A"," ",IF(CC=2,$DF81*DC81*CT81,0))</f>
        <v> </v>
      </c>
      <c r="DN81" s="342" t="str">
        <f aca="false">IF($A81="N/A"," ",IF(CC=2,$DF81*DD81*CU81,0))</f>
        <v> </v>
      </c>
      <c r="DO81" s="342" t="str">
        <f aca="false">IF($A81="N/A"," ",IF(CC=2,$DF81*DE81*CV81,0))</f>
        <v> </v>
      </c>
      <c r="DP81" s="343" t="str">
        <f aca="false">IF($A81="N/A"," ",IF(CC=2,SUM(DG81:DO81),0))</f>
        <v> </v>
      </c>
      <c r="DQ81" s="0" t="str">
        <f aca="false">IF(A81="N/A"," ",Perstart)</f>
        <v> </v>
      </c>
      <c r="HD81" s="0" t="str">
        <f aca="false">IF($A81="N/A"," ",VLOOKUP($A81,NumberofDaysTable,2))</f>
        <v> </v>
      </c>
      <c r="HE81" s="0" t="str">
        <f aca="false">IF($A81="N/A"," ",VLOOKUP($A81,NumberofDaysTable,3))</f>
        <v> </v>
      </c>
      <c r="HF81" s="0" t="str">
        <f aca="false">IF($A81="N/A"," ",VLOOKUP($A81,NumberofDaysTable,4))</f>
        <v> </v>
      </c>
    </row>
    <row r="82" customFormat="false" ht="12.75" hidden="false" customHeight="false" outlineLevel="0" collapsed="false">
      <c r="A82" s="308" t="str">
        <f aca="false">IF(A81="N/A","N/A",IF(EDATE(A81,1)&gt;Inputs!$K$3,"N/A",EDATE(A81,1)))</f>
        <v>N/A</v>
      </c>
      <c r="B82" s="309" t="str">
        <f aca="false">IF(A82="N/A"," ",YEAR(A82))</f>
        <v> </v>
      </c>
      <c r="C82" s="310" t="str">
        <f aca="false">IF(A82="N/A"," ",VLOOKUP(A82,ScaledPrice,10))</f>
        <v> </v>
      </c>
      <c r="D82" s="311" t="str">
        <f aca="false">IF(A82="N/A"," ",(VLOOKUP(MONTH($A82),Hrtable,2))/1000)</f>
        <v> </v>
      </c>
      <c r="E82" s="312" t="str">
        <f aca="false">IF($A82="N/A"," ",(C82-'Pricing Inputs'!T115)*D82)</f>
        <v> </v>
      </c>
      <c r="F82" s="313" t="str">
        <f aca="false">IF(A82="N/A"," ",$F70*(1+VOMesc))</f>
        <v> </v>
      </c>
      <c r="G82" s="313" t="str">
        <f aca="false">IF(A82="N/A"," ",Perstart/IF(AND(Dayrun&gt;=4,Dayrun&lt;=6),16,IF(AND(Dayrun&gt;=7,Dayrun&lt;=9),8,24))/(BM82/CK82))</f>
        <v> </v>
      </c>
      <c r="H82" s="314" t="str">
        <f aca="false">IF(A82="N/A"," ",(C82*D82)+F82+G82)</f>
        <v> </v>
      </c>
      <c r="I82" s="315" t="str">
        <f aca="false">VLOOKUP(A82,ScaledPrice,(IF(AND(Dayrun&gt;=1,Dayrun&lt;=6),2,4)))</f>
        <v> </v>
      </c>
      <c r="J82" s="315" t="str">
        <f aca="false">IF(A82="N/A"," ",IF(AND(Dayrun&gt;=1,Dayrun&lt;=6),I82,(VLOOKUP(A82,ScaledPrice,2))*(2-(VLOOKUP(A82,ScaledPrice,3)))))</f>
        <v> </v>
      </c>
      <c r="K82" s="315" t="str">
        <f aca="false">IF(A82="N/A"," ",IF(AND(Dayrun&gt;=1,Dayrun&lt;=3),VLOOKUP(A82,ScaledPrice,9),0))</f>
        <v> </v>
      </c>
      <c r="L82" s="315" t="str">
        <f aca="false">IF(A82="N/A"," ",IF(OR(Dayrun=2,Dayrun=3,Dayrun=5,Dayrun=6,Dayrun=8,Dayrun=9),VLOOKUP(A82,ScaledPrice,IF(AND(Dayrun&gt;=2,Dayrun&lt;=6),5,6)),0))</f>
        <v> </v>
      </c>
      <c r="M82" s="315" t="str">
        <f aca="false">IF(A82="N/A"," ",IF(OR(Dayrun=2,Dayrun=3,Dayrun=5,Dayrun=6,Dayrun=8,Dayrun=9),IF(AND(Dayrun&gt;=2,Dayrun&lt;=6),L82,(VLOOKUP(A82,ScaledPrice,5))*(2-(VLOOKUP(A82,ScaledPrice,3)))),0))</f>
        <v> </v>
      </c>
      <c r="N82" s="315" t="str">
        <f aca="false">IF(A82="N/A"," ",IF(AND(Dayrun&gt;1,Dayrun&lt;=3),VLOOKUP(A82,ScaledPrice,9),0))</f>
        <v> </v>
      </c>
      <c r="O82" s="315" t="str">
        <f aca="false">IF(A82="N/A"," ",IF(OR(Dayrun=3,Dayrun=6,Dayrun=9),(VLOOKUP(A82,ScaledPrice,IF(AND(Dayrun&gt;=3,Dayrun&lt;=6),7,8))),0))</f>
        <v> </v>
      </c>
      <c r="P82" s="315" t="str">
        <f aca="false">IF(A82="N/A"," ",IF(OR(Dayrun=3,Dayrun=6,Dayrun=9),IF(AND(Dayrun&gt;=3,Dayrun&lt;=6),O82,(VLOOKUP(A82,ScaledPrice,7))*(2-(VLOOKUP(A82,ScaledPrice,3)))),0))</f>
        <v> </v>
      </c>
      <c r="Q82" s="315" t="str">
        <f aca="false">IF(A82="N/A"," ",IF(AND(Dayrun&gt;2,Dayrun&lt;=3),VLOOKUP(A82,ScaledPrice,9),0))</f>
        <v> </v>
      </c>
      <c r="R82" s="316" t="str">
        <f aca="false">IF($A82="N/A"," ",IF(Pricetype=2,MAX(I82-$H82,0),IF(Pricetype=1,(xSPRDOPT(I82,$E82,$CI82,0,($CD82+IF(Smile=TRUE(),VLOOKUP(MAX(-5,$H82-I82),Volsmile,2),0)),$CG82,$CH82,($A82-DateToday)+15,1,0)),I82-$H82)))</f>
        <v> </v>
      </c>
      <c r="S82" s="316" t="str">
        <f aca="false">IF($A82="N/A"," ",IF(Pricetype=2,MAX(J82-$H82,0),IF(Pricetype=1,(xSPRDOPT(J82,$E82,$CI82,0,($CD82+IF(Smile=TRUE(),VLOOKUP(MAX(-5,$H82-J82),Volsmile,2),0)),$CG82,$CH82,($A82-DateToday)+15,1,0)),J82-$H82)))</f>
        <v> </v>
      </c>
      <c r="T82" s="317" t="str">
        <f aca="false">IF($A82="N/A"," ",(IF(Pricetype=2,IF((K82-$H82)&lt;=0,0,(K82-$H82)),IF(K82&lt;&gt;0,(K82-$H82),0))))</f>
        <v> </v>
      </c>
      <c r="U82" s="316" t="str">
        <f aca="false">IF($A82="N/A"," ",IF(Pricetype=2,MAX(L82-$H82,0),IF(L82&lt;&gt;0,IF(Pricetype=1,(xSPRDOPT(L82,$E82,$CI82,0,($CD82+IF(Smile=TRUE(),VLOOKUP(MAX(-5,$H82-L82),Volsmile,2),0)),$CG82,$CH82,($A82-DateToday)+15,1,0)),L82-$H82),0)))</f>
        <v> </v>
      </c>
      <c r="V82" s="316" t="str">
        <f aca="false">IF($A82="N/A"," ",IF(Pricetype=2,MAX(M82-$H82,0),IF(M82&lt;&gt;0,IF(Pricetype=1,(xSPRDOPT(M82,$E82,$CI82,0,($CD82+IF(Smile=TRUE(),VLOOKUP(MAX(-5,$H82-M82),Volsmile,2),0)),$CG82,$CH82,($A82-DateToday)+15,1,0)),M82-$H82),0)))</f>
        <v> </v>
      </c>
      <c r="W82" s="317" t="str">
        <f aca="false">IF($A82="N/A"," ",(IF(Pricetype=2,IF((N82-$H82)&lt;=0,0,(N82-$H82)),IF(N82&lt;&gt;0,(N82-$H82),0))))</f>
        <v> </v>
      </c>
      <c r="X82" s="316" t="str">
        <f aca="false">IF($A82="N/A"," ",IF(Pricetype=2,MAX(O82-$H82,0),IF(O82&lt;&gt;0,IF(Pricetype=1,(xSPRDOPT(O82,$E82,$CI82,0,($CD82+IF(Smile=TRUE(),VLOOKUP(MAX(-5,$H82-O82),Volsmile,2),0)),$CG82,$CH82,($A82-DateToday)+15,1,0)),O82-$H82),0)))</f>
        <v> </v>
      </c>
      <c r="Y82" s="316" t="str">
        <f aca="false">IF($A82="N/A"," ",IF(Pricetype=2,MAX(P82-$H82,0),IF(P82&lt;&gt;0,IF(Pricetype=1,(xSPRDOPT(P82,$E82,$CI82,0,($CD82+IF(Smile=TRUE(),VLOOKUP(MAX(-5,$H82-P82),Volsmile,2),0)),$CG82,$CH82,($A82-DateToday)+15,1,0)),P82-$H82),0)))</f>
        <v> </v>
      </c>
      <c r="Z82" s="317" t="str">
        <f aca="false">IF($A82="N/A"," ",(IF(Pricetype=2,IF((Q82-$H82)&lt;=0,0,(Q82-$H82)),IF(Q82&lt;&gt;0,(Q82-$H82),0))))</f>
        <v> </v>
      </c>
      <c r="AA82" s="318" t="str">
        <f aca="false">IF($A82="N/A"," ",IF(VLOOKUP(MONTH(A82),ManualTable,2)=1,(IF(0&lt;&gt;R82,IF(Pricetype=1,(xSPRDOPT(I82,$E82,$CI82,0,($CD82+IF(Smile=TRUE(),VLOOKUP(MAX(-5,$H82-I82),Volsmile,2),0)),$CG82,$CH82,($A82-DateToday)+15,1,1))*(8*$HD82),8*$HD82),0)),0))</f>
        <v> </v>
      </c>
      <c r="AB82" s="318" t="str">
        <f aca="false">IF($A82="N/A"," ",IF(VLOOKUP(MONTH(A82),ManualTable,3)=1,(IF(S82&lt;&gt;0,IF(Pricetype=1,(xSPRDOPT(J82,$E82,$CI82,0,($CD82+IF(Smile=TRUE(),VLOOKUP(MAX(-5,$H82-J82),Volsmile,2),0)),$CG82,$CH82,($A82-DateToday)+15,1,1))*(8*$HD82),8*$HD82),0)),0))</f>
        <v> </v>
      </c>
      <c r="AC82" s="318" t="str">
        <f aca="false">IF($A82="N/A"," ",IF(VLOOKUP(MONTH(A82),ManualTable,4)=1,(IF(T82&lt;&gt;0,(8*$HD82),0)),0))</f>
        <v> </v>
      </c>
      <c r="AD82" s="318" t="str">
        <f aca="false">IF($A82="N/A"," ",IF(VLOOKUP(MONTH(A82),ManualTable,5)=1,(IF(U82&lt;&gt;0,IF(Pricetype=1,(xSPRDOPT(L82,$E82,$CI82,0,($CD82+IF(Smile=TRUE(),VLOOKUP(MAX(-5,$H82-L82),Volsmile,2),0)),$CG82,$CH82,($A82-DateToday)+15,1,1))*(8*$HE82),8*$HE82),0)),0))</f>
        <v> </v>
      </c>
      <c r="AE82" s="318" t="str">
        <f aca="false">IF($A82="N/A"," ",IF(VLOOKUP(MONTH(A82),ManualTable,6)=1,(IF(V82&lt;&gt;0,IF(Pricetype=1,(xSPRDOPT(M82,$E82,$CI82,0,($CD82+IF(Smile=TRUE(),VLOOKUP(MAX(-5,$H82-M82),Volsmile,2),0)),$CG82,$CH82,($A82-DateToday)+15,1,1))*(8*$HE82),8*$HE82),0)),0))</f>
        <v> </v>
      </c>
      <c r="AF82" s="318" t="str">
        <f aca="false">IF($A82="N/A"," ",IF(VLOOKUP(MONTH(A82),ManualTable,7)=1,(IF(W82&lt;&gt;0,(8*$HE82),0)),0))</f>
        <v> </v>
      </c>
      <c r="AG82" s="318" t="str">
        <f aca="false">IF($A82="N/A"," ",IF(VLOOKUP(MONTH(A82),ManualTable,8)=1,(IF(X82&lt;&gt;0,IF(Pricetype=1,(xSPRDOPT(O82,$E82,$CI82,0,($CD82+IF(Smile=TRUE(),VLOOKUP(MAX(-5,$H82-O82),Volsmile,2),0)),$CG82,$CH82,($A82-DateToday)+15,1,1))*(8*$HF82),8*$HF82),0)),0))</f>
        <v> </v>
      </c>
      <c r="AH82" s="318" t="str">
        <f aca="false">IF($A82="N/A"," ",IF(VLOOKUP(MONTH(A82),ManualTable,9)=1,(IF(Y82&lt;&gt;0,IF(Pricetype=1,(xSPRDOPT(P82,$E82,$CI82,0,($CD82+IF(Smile=TRUE(),VLOOKUP(MAX(-5,$H82-P82),Volsmile,2),0)),$CG82,$CH82,($A82-DateToday)+15,1,1))*(8*$HF82),8*$HF82),0)),0))</f>
        <v> </v>
      </c>
      <c r="AI82" s="318" t="str">
        <f aca="false">IF($A82="N/A"," ",IF(VLOOKUP(MONTH(A82),ManualTable,10)=1,(IF(Z82&lt;&gt;0,(8*($HF82)),0)),0))</f>
        <v> </v>
      </c>
      <c r="AJ82" s="344" t="str">
        <f aca="false">IF($A82="N/A"," ",RANK(R82,$R$76:$Z$87))</f>
        <v> </v>
      </c>
      <c r="AK82" s="321" t="str">
        <f aca="false">IF($A82="N/A"," ",RANK(S82,$R$76:$Z$87))</f>
        <v> </v>
      </c>
      <c r="AL82" s="321" t="str">
        <f aca="false">IF($A82="N/A"," ",RANK(T82,$R$76:$Z$87))</f>
        <v> </v>
      </c>
      <c r="AM82" s="321" t="str">
        <f aca="false">IF($A82="N/A"," ",RANK(U82,$R$76:$Z$87))</f>
        <v> </v>
      </c>
      <c r="AN82" s="321" t="str">
        <f aca="false">IF($A82="N/A"," ",RANK(V82,$R$76:$Z$87))</f>
        <v> </v>
      </c>
      <c r="AO82" s="321" t="str">
        <f aca="false">IF($A82="N/A"," ",RANK(W82,$R$76:$Z$87))</f>
        <v> </v>
      </c>
      <c r="AP82" s="321" t="str">
        <f aca="false">IF($A82="N/A"," ",RANK(X82,$R$76:$Z$87))</f>
        <v> </v>
      </c>
      <c r="AQ82" s="321" t="str">
        <f aca="false">IF($A82="N/A"," ",RANK(Y82,$R$76:$Z$87))</f>
        <v> </v>
      </c>
      <c r="AR82" s="345" t="str">
        <f aca="false">IF($A82="N/A"," ",RANK(Z82,$R$76:$Z$87))</f>
        <v> </v>
      </c>
      <c r="AS82" s="323" t="str">
        <f aca="false">IF($A82="N/A"," ",IF(AJ82&lt;=$AR$2,AA82,0))</f>
        <v> </v>
      </c>
      <c r="AT82" s="325" t="str">
        <f aca="false">IF($A82="N/A"," ",IF(AK82&lt;=$AR$2,AB82,0))</f>
        <v> </v>
      </c>
      <c r="AU82" s="325" t="str">
        <f aca="false">IF($A82="N/A"," ",IF(AL82&lt;=$AR$2,AC82,0))</f>
        <v> </v>
      </c>
      <c r="AV82" s="325" t="str">
        <f aca="false">IF($A82="N/A"," ",IF(AM82&lt;=$AR$2,AD82,0))</f>
        <v> </v>
      </c>
      <c r="AW82" s="325" t="str">
        <f aca="false">IF($A82="N/A"," ",IF(AN82&lt;=$AR$2,AE82,0))</f>
        <v> </v>
      </c>
      <c r="AX82" s="325" t="str">
        <f aca="false">IF($A82="N/A"," ",IF(AO82&lt;=$AR$2,AF82,0))</f>
        <v> </v>
      </c>
      <c r="AY82" s="325" t="str">
        <f aca="false">IF($A82="N/A"," ",IF(AP82&lt;=$AR$2,AG82,0))</f>
        <v> </v>
      </c>
      <c r="AZ82" s="325" t="str">
        <f aca="false">IF($A82="N/A"," ",IF(AQ82&lt;=$AR$2,AH82,0))</f>
        <v> </v>
      </c>
      <c r="BA82" s="325" t="str">
        <f aca="false">IF($A82="N/A"," ",IF(AR82&lt;=$AR$2,AI82,0))</f>
        <v> </v>
      </c>
      <c r="BB82" s="345"/>
      <c r="BC82" s="326" t="str">
        <f aca="false">IF($A82="N/A"," ",IF(AND(AJ82=$AR$2+1,AS82=0),MIN($BB$87,AA82),0))</f>
        <v> </v>
      </c>
      <c r="BD82" s="346" t="str">
        <f aca="false">IF($A82="N/A"," ",IF(AND(AK82=$AR$2+1,AT82=0),MIN($BB$87,AB82),0))</f>
        <v> </v>
      </c>
      <c r="BE82" s="346" t="str">
        <f aca="false">IF($A82="N/A"," ",IF(AND(AL82=$AR$2+1,AU82=0),MIN($BB$87,AC82),0))</f>
        <v> </v>
      </c>
      <c r="BF82" s="346" t="str">
        <f aca="false">IF($A82="N/A"," ",IF(AND(AM82=$AR$2+1,AV82=0),MIN($BB$87,AD82),0))</f>
        <v> </v>
      </c>
      <c r="BG82" s="346" t="str">
        <f aca="false">IF($A82="N/A"," ",IF(AND(AN82=$AR$2+1,AW82=0),MIN($BB$87,AE82),0))</f>
        <v> </v>
      </c>
      <c r="BH82" s="346" t="str">
        <f aca="false">IF($A82="N/A"," ",IF(AND(AO82=$AR$2+1,AX82=0),MIN($BB$87,AF82),0))</f>
        <v> </v>
      </c>
      <c r="BI82" s="346" t="str">
        <f aca="false">IF($A82="N/A"," ",IF(AND(AP82=$AR$2+1,AY82=0),MIN($BB$87,AG82),0))</f>
        <v> </v>
      </c>
      <c r="BJ82" s="346" t="str">
        <f aca="false">IF($A82="N/A"," ",IF(AND(AQ82=$AR$2+1,AZ82=0),MIN($BB$87,AH82),0))</f>
        <v> </v>
      </c>
      <c r="BK82" s="346" t="str">
        <f aca="false">IF($A82="N/A"," ",IF(AND(AR82=$AR$2+1,BA82=0),MIN($BB$87,AI82),0))</f>
        <v> </v>
      </c>
      <c r="BL82" s="345"/>
      <c r="BM82" s="329" t="str">
        <f aca="false">IF($A82="N/A"," ",(IF(MONTH(A82)&gt;=4,IF(MONTH(A82)&lt;=10,Inputs!$F$13-Inputs!$G$13,Inputs!$F$14-Inputs!$G$14),Inputs!$F$14-Inputs!$G$14))*$CK82*Availability)</f>
        <v> </v>
      </c>
      <c r="BN82" s="330" t="str">
        <f aca="false">IF($A82="N/A"," ",(IF(AS82&gt;0,($BM82*(8*($HD82))*R82),0)+IF(BC82&gt;0,($BM82*((BC82/AA82)*8*$HD82)*R82),0)))</f>
        <v> </v>
      </c>
      <c r="BO82" s="330" t="str">
        <f aca="false">IF($A82="N/A"," ",(IF(AT82&gt;0,($BM82*(8*($HD82))*S82),0)+IF(BD82&gt;0,($BM82*((BD82/AB82)*8*$HD82)*S82),0)))</f>
        <v> </v>
      </c>
      <c r="BP82" s="330" t="str">
        <f aca="false">IF($A82="N/A"," ",(IF(AU82&gt;0,($BM82*(8*($HD82))*T82),0)+IF(BE82&gt;0,($BM82*((BE82))*T82),0)))</f>
        <v> </v>
      </c>
      <c r="BQ82" s="330" t="str">
        <f aca="false">IF($A82="N/A"," ",(IF(AV82&gt;0,($BM82*(8*($HE82))*U82),0)+IF(BF82&gt;0,($BM82*((BF82/AD82)*8*$HE82)*U82),0)))</f>
        <v> </v>
      </c>
      <c r="BR82" s="330" t="str">
        <f aca="false">IF($A82="N/A"," ",(IF(AW82&gt;0,($BM82*(8*($HE82))*V82),0)+IF(BG82&gt;0,($BM82*((BG82/AE82)*8*$HE82)*V82),0)))</f>
        <v> </v>
      </c>
      <c r="BS82" s="330" t="str">
        <f aca="false">IF($A82="N/A"," ",(IF(AX82&gt;0,($BM82*(8*($HE82))*W82),0)+IF(BH82&gt;0,($BM82*((BH82))*W82),0)))</f>
        <v> </v>
      </c>
      <c r="BT82" s="330" t="str">
        <f aca="false">IF($A82="N/A"," ",(IF(AY82&gt;0,($BM82*(8*($HF82))*X82),0)+IF(BI82&gt;0,($BM82*((BI82/AG82)*8*$HF82)*X82),0)))</f>
        <v> </v>
      </c>
      <c r="BU82" s="330" t="str">
        <f aca="false">IF($A82="N/A"," ",(IF(AZ82&gt;0,($BM82*(8*($HF82))*Y82),0)+IF(BJ82&gt;0,($BM82*((BJ82/AH82)*8*$HF82)*Y82),0)))</f>
        <v> </v>
      </c>
      <c r="BV82" s="330" t="str">
        <f aca="false">IF($A82="N/A"," ",(IF(BA82&gt;0,($BM82*(8*($HF82))*Z82),0)+IF(BK82&gt;0,($BM82*((BK82))*Z82),0)))</f>
        <v> </v>
      </c>
      <c r="BW82" s="330" t="str">
        <f aca="false">IF($A82="N/A"," ",SUM(BN82:BV82))</f>
        <v> </v>
      </c>
      <c r="BX82" s="331" t="str">
        <f aca="false">IF($A82="N/A"," ",(H82*(SUM(AS82:BA82)+SUM(BC82:BK82))*BM82))</f>
        <v> </v>
      </c>
      <c r="BY82" s="332" t="str">
        <f aca="false">IF($A82="N/A"," ",((C82*D82)*(SUM($AS82:$BA82)+SUM($BC82:$BK82))*$BM82))</f>
        <v> </v>
      </c>
      <c r="BZ82" s="332" t="str">
        <f aca="false">IF($A82="N/A"," ",(F82*(SUM($AS82:$BA82)+SUM($BC82:$BK82))*$BM82))</f>
        <v> </v>
      </c>
      <c r="CA82" s="333" t="str">
        <f aca="false">IF($A82="N/A"," ",(G82*(SUM($AS82:$BA82)+SUM($BC82:$BK82))*$BM82))</f>
        <v> </v>
      </c>
      <c r="CB82" s="334" t="str">
        <f aca="false">IF(A82="N/A"," ",(VLOOKUP(A82,PowerVolTable,(IF(BMO=2,7,IF(BMO=1,6,8))),FALSE())))</f>
        <v> </v>
      </c>
      <c r="CC82" s="334" t="str">
        <f aca="false">IF(A82="N/A"," ",(VLOOKUP(A82,IntraPowerVol,(IF(BMO=2,3,IF(BMO=1,2,4))),FALSE())*VLOOKUP(MONTH($A82),Volscale,2)))</f>
        <v> </v>
      </c>
      <c r="CD82" s="335" t="str">
        <f aca="false">IF($A82="N/A"," ",(IF(DateToday&gt;$A82,$CC82,((($CB82^2)*((($A82-1)-DateToday)/((EOMONTH($A82,0)+1)-DateToday-15)))+((($CC82)^2)*((15)/((EOMONTH($A82,0)+1)-DateToday-15))))^0.5)))</f>
        <v> </v>
      </c>
      <c r="CE82" s="334" t="str">
        <f aca="false">IF($A82="N/A"," ",(VLOOKUP($A82,GasVolTable,(IF(BMO=2,6,IF(BMO=1,7,5))),FALSE())))</f>
        <v> </v>
      </c>
      <c r="CF82" s="334" t="str">
        <f aca="false">IF($A82="N/A"," ",(VLOOKUP($A82,OmicronVol,(IF(BMO=2,3,IF(BMO=1,4,2))),FALSE())))</f>
        <v> </v>
      </c>
      <c r="CG82" s="335" t="str">
        <f aca="false">IF($A82="N/A"," ",(IF(DateToday&gt;$A82,$CF82,((($CE82^2)*((($A82-1)-DateToday)/((EOMONTH($A82,0)+1)-DateToday-15)))+((($CF82)^2)*((15)/((EOMONTH($A82,0)+1)-DateToday-15))))^0.5)))</f>
        <v> </v>
      </c>
      <c r="CH82" s="334" t="str">
        <f aca="false">IF($A82="N/A"," ",VLOOKUP($A82,CorrelationTable,2,FALSE()))</f>
        <v> </v>
      </c>
      <c r="CI82" s="336" t="str">
        <f aca="false">IF($A82="N/A"," ",F82+G82+(D82*('Pricing Inputs'!T115)))</f>
        <v> </v>
      </c>
      <c r="CJ82" s="334" t="str">
        <f aca="false">IF($A82="N/A"," ",IF(PV=1,0,'Pricing Inputs'!U115))</f>
        <v> </v>
      </c>
      <c r="CK82" s="337" t="str">
        <f aca="false">IF($A82="N/A"," ",(1+CJ82/2)^(-2*((EOMONTH(A82,0)+20)-DateToday)/365.25))</f>
        <v> </v>
      </c>
      <c r="CL82" s="338" t="str">
        <f aca="false">IF(A82="N/A"," ",IF(CC=2,(VLOOKUP(MONTH($A82),Hrtable,3))/1000,0))</f>
        <v> </v>
      </c>
      <c r="CM82" s="339" t="str">
        <f aca="false">IF(A82="N/A"," ",IF(CC=2,(CL82*C82)+F82,0))</f>
        <v> </v>
      </c>
      <c r="CN82" s="340" t="str">
        <f aca="false">IF($A82="N/A"," ",IF(CC=2,(VLOOKUP(A82,ScaledPrice,(IF(AND(Dayrun&gt;=1,Dayrun&lt;=6),2,4)))-((IF(R82&lt;&gt;0,$D82,$CL82)*$C82)+$F82+$G82)),0))</f>
        <v> </v>
      </c>
      <c r="CO82" s="340" t="str">
        <f aca="false">IF($A82="N/A"," ",IF(CC=2,(IF(AND(Dayrun&gt;=1,Dayrun&lt;=6),I82,(VLOOKUP(A82,ScaledPrice,2))*(2-(VLOOKUP(A82,ScaledPrice,3))))-((IF(S82&lt;&gt;0,$D82,$CL82)*$C82)+$F82+$G82)),0))</f>
        <v> </v>
      </c>
      <c r="CP82" s="340" t="str">
        <f aca="false">IF(A82="N/A"," ",IF(CC=2,(VLOOKUP(A82,ScaledPrice,9)-((IF(T82&lt;&gt;0,$D82,$CL82)*$C82)+$F82+$G82)),0))</f>
        <v> </v>
      </c>
      <c r="CQ82" s="340" t="str">
        <f aca="false">IF(A82="N/A"," ",IF(CC=2,(IF(OR(Dayrun=2,Dayrun=3,Dayrun=5,Dayrun=6,Dayrun=8,Dayrun=9),VLOOKUP(A82,ScaledPrice,IF(AND(Dayrun&gt;=2,Dayrun&lt;=6),5,6)),0)-((IF(U82&lt;&gt;0,$D82,$CL82)*$C82)+$F82+$G82)),0))</f>
        <v> </v>
      </c>
      <c r="CR82" s="340" t="str">
        <f aca="false">IF(A82="N/A"," ",IF(CC=2,(IF(OR(Dayrun=2,Dayrun=3,Dayrun=5,Dayrun=6,Dayrun=8,Dayrun=9),IF(AND(Dayrun&gt;=2,Dayrun&lt;=6),L82,(VLOOKUP(A82,ScaledPrice,5))*(2-(VLOOKUP(A82,ScaledPrice,3)))),0)-((IF(V82&lt;&gt;0,$D82,$CL82)*$C82)+$F82+$G82)),0))</f>
        <v> </v>
      </c>
      <c r="CS82" s="340" t="str">
        <f aca="false">IF(A82="N/A"," ",IF(CC=2,(VLOOKUP(A82,ScaledPrice,9)-((IF(W82&lt;&gt;0,$D82,$CL82)*$C82)+$F82+$G82)),0))</f>
        <v> </v>
      </c>
      <c r="CT82" s="340" t="str">
        <f aca="false">IF(A82="N/A"," ",IF(CC=2,(IF(OR(Dayrun=3,Dayrun=6,Dayrun=9),(VLOOKUP(A82,ScaledPrice,IF(AND(Dayrun&gt;=3,Dayrun&lt;=6),7,8))),0)-((IF(X82&lt;&gt;0,$D82,$CL82)*$C82)+$F82+$G82)),0))</f>
        <v> </v>
      </c>
      <c r="CU82" s="340" t="str">
        <f aca="false">IF(A82="N/A"," ",IF(CC=2,(IF(OR(Dayrun=3,Dayrun=6,Dayrun=9),IF(AND(Dayrun&gt;=3,Dayrun&lt;=6),O82,(VLOOKUP(A82,ScaledPrice,7))*(2-(VLOOKUP(A82,ScaledPrice,3)))),0)-((IF(Y82&lt;&gt;0,$D82,$CL82)*$C82)+$F82+$G82)),0))</f>
        <v> </v>
      </c>
      <c r="CV82" s="340" t="str">
        <f aca="false">IF(A82="N/A"," ",IF(CC=2,(VLOOKUP(A82,ScaledPrice,9)-((IF(Z82&lt;&gt;0,$D82,$CL82)*$C82)+$F82+$G82)),0))</f>
        <v> </v>
      </c>
      <c r="CW82" s="318" t="str">
        <f aca="false">IF($A82="N/A"," ",IF(0&lt;&gt;CN82,IF(CC=2,8*$HD82,0),0))</f>
        <v> </v>
      </c>
      <c r="CX82" s="318" t="str">
        <f aca="false">IF($A82="N/A"," ",IF(0&lt;&gt;CO82,IF(CC=2,8*$HD82,0),0))</f>
        <v> </v>
      </c>
      <c r="CY82" s="318" t="str">
        <f aca="false">IF($A82="N/A"," ",IF(0&lt;&gt;CP82,IF(CC=2,8*$HD82,0),0))</f>
        <v> </v>
      </c>
      <c r="CZ82" s="318" t="str">
        <f aca="false">IF($A82="N/A"," ",IF(0&lt;&gt;CQ82,IF(CC=2,8*$HE82,0),0))</f>
        <v> </v>
      </c>
      <c r="DA82" s="318" t="str">
        <f aca="false">IF($A82="N/A"," ",IF(0&lt;&gt;CR82,IF(CC=2,8*$HE82,0),0))</f>
        <v> </v>
      </c>
      <c r="DB82" s="318" t="str">
        <f aca="false">IF($A82="N/A"," ",IF(0&lt;&gt;CS82,IF(CC=2,8*$HE82,0),0))</f>
        <v> </v>
      </c>
      <c r="DC82" s="318" t="str">
        <f aca="false">IF($A82="N/A"," ",IF(0&lt;&gt;CT82,IF(CC=2,8*$HF82,0),0))</f>
        <v> </v>
      </c>
      <c r="DD82" s="318" t="str">
        <f aca="false">IF($A82="N/A"," ",IF(0&lt;&gt;CU82,IF(CC=2,8*$HF82,0),0))</f>
        <v> </v>
      </c>
      <c r="DE82" s="318" t="str">
        <f aca="false">IF($A82="N/A"," ",IF(0&lt;&gt;CV82,IF(CC=2,8*$HF82,0),0))</f>
        <v> </v>
      </c>
      <c r="DF82" s="341" t="str">
        <f aca="false">IF($A82="N/A"," ",IF(CC=2,(IF(MONTH(A82)&gt;=4,IF(MONTH(A82)&lt;=10,Inputs!$G$13,Inputs!$G$14),Inputs!$G$14))*$CK82,0))</f>
        <v> </v>
      </c>
      <c r="DG82" s="342" t="str">
        <f aca="false">IF($A82="N/A"," ",IF(CC=2,$DF82*CW82*CN82,0))</f>
        <v> </v>
      </c>
      <c r="DH82" s="342" t="str">
        <f aca="false">IF($A82="N/A"," ",IF(CC=2,$DF82*CX82*CO82,0))</f>
        <v> </v>
      </c>
      <c r="DI82" s="342" t="str">
        <f aca="false">IF($A82="N/A"," ",IF(CC=2,$DF82*CY82*CP82,0))</f>
        <v> </v>
      </c>
      <c r="DJ82" s="342" t="str">
        <f aca="false">IF($A82="N/A"," ",IF(CC=2,$DF82*CZ82*CQ82,0))</f>
        <v> </v>
      </c>
      <c r="DK82" s="342" t="str">
        <f aca="false">IF($A82="N/A"," ",IF(CC=2,$DF82*DA82*CR82,0))</f>
        <v> </v>
      </c>
      <c r="DL82" s="342" t="str">
        <f aca="false">IF($A82="N/A"," ",IF(CC=2,$DF82*DB82*CS82,0))</f>
        <v> </v>
      </c>
      <c r="DM82" s="342" t="str">
        <f aca="false">IF($A82="N/A"," ",IF(CC=2,$DF82*DC82*CT82,0))</f>
        <v> </v>
      </c>
      <c r="DN82" s="342" t="str">
        <f aca="false">IF($A82="N/A"," ",IF(CC=2,$DF82*DD82*CU82,0))</f>
        <v> </v>
      </c>
      <c r="DO82" s="342" t="str">
        <f aca="false">IF($A82="N/A"," ",IF(CC=2,$DF82*DE82*CV82,0))</f>
        <v> </v>
      </c>
      <c r="DP82" s="343" t="str">
        <f aca="false">IF($A82="N/A"," ",IF(CC=2,SUM(DG82:DO82),0))</f>
        <v> </v>
      </c>
      <c r="DQ82" s="0" t="str">
        <f aca="false">IF(A82="N/A"," ",Perstart)</f>
        <v> </v>
      </c>
      <c r="HD82" s="0" t="str">
        <f aca="false">IF($A82="N/A"," ",VLOOKUP($A82,NumberofDaysTable,2))</f>
        <v> </v>
      </c>
      <c r="HE82" s="0" t="str">
        <f aca="false">IF($A82="N/A"," ",VLOOKUP($A82,NumberofDaysTable,3))</f>
        <v> </v>
      </c>
      <c r="HF82" s="0" t="str">
        <f aca="false">IF($A82="N/A"," ",VLOOKUP($A82,NumberofDaysTable,4))</f>
        <v> </v>
      </c>
    </row>
    <row r="83" customFormat="false" ht="12.75" hidden="false" customHeight="false" outlineLevel="0" collapsed="false">
      <c r="A83" s="308" t="str">
        <f aca="false">IF(A82="N/A","N/A",IF(EDATE(A82,1)&gt;Inputs!$K$3,"N/A",EDATE(A82,1)))</f>
        <v>N/A</v>
      </c>
      <c r="B83" s="309" t="str">
        <f aca="false">IF(A83="N/A"," ",YEAR(A83))</f>
        <v> </v>
      </c>
      <c r="C83" s="310" t="str">
        <f aca="false">IF(A83="N/A"," ",VLOOKUP(A83,ScaledPrice,10))</f>
        <v> </v>
      </c>
      <c r="D83" s="311" t="str">
        <f aca="false">IF(A83="N/A"," ",(VLOOKUP(MONTH($A83),Hrtable,2))/1000)</f>
        <v> </v>
      </c>
      <c r="E83" s="312" t="str">
        <f aca="false">IF($A83="N/A"," ",(C83-'Pricing Inputs'!T116)*D83)</f>
        <v> </v>
      </c>
      <c r="F83" s="313" t="str">
        <f aca="false">IF(A83="N/A"," ",$F71*(1+VOMesc))</f>
        <v> </v>
      </c>
      <c r="G83" s="313" t="str">
        <f aca="false">IF(A83="N/A"," ",Perstart/IF(AND(Dayrun&gt;=4,Dayrun&lt;=6),16,IF(AND(Dayrun&gt;=7,Dayrun&lt;=9),8,24))/(BM83/CK83))</f>
        <v> </v>
      </c>
      <c r="H83" s="314" t="str">
        <f aca="false">IF(A83="N/A"," ",(C83*D83)+F83+G83)</f>
        <v> </v>
      </c>
      <c r="I83" s="315" t="str">
        <f aca="false">VLOOKUP(A83,ScaledPrice,(IF(AND(Dayrun&gt;=1,Dayrun&lt;=6),2,4)))</f>
        <v> </v>
      </c>
      <c r="J83" s="315" t="str">
        <f aca="false">IF(A83="N/A"," ",IF(AND(Dayrun&gt;=1,Dayrun&lt;=6),I83,(VLOOKUP(A83,ScaledPrice,2))*(2-(VLOOKUP(A83,ScaledPrice,3)))))</f>
        <v> </v>
      </c>
      <c r="K83" s="315" t="str">
        <f aca="false">IF(A83="N/A"," ",IF(AND(Dayrun&gt;=1,Dayrun&lt;=3),VLOOKUP(A83,ScaledPrice,9),0))</f>
        <v> </v>
      </c>
      <c r="L83" s="315" t="str">
        <f aca="false">IF(A83="N/A"," ",IF(OR(Dayrun=2,Dayrun=3,Dayrun=5,Dayrun=6,Dayrun=8,Dayrun=9),VLOOKUP(A83,ScaledPrice,IF(AND(Dayrun&gt;=2,Dayrun&lt;=6),5,6)),0))</f>
        <v> </v>
      </c>
      <c r="M83" s="315" t="str">
        <f aca="false">IF(A83="N/A"," ",IF(OR(Dayrun=2,Dayrun=3,Dayrun=5,Dayrun=6,Dayrun=8,Dayrun=9),IF(AND(Dayrun&gt;=2,Dayrun&lt;=6),L83,(VLOOKUP(A83,ScaledPrice,5))*(2-(VLOOKUP(A83,ScaledPrice,3)))),0))</f>
        <v> </v>
      </c>
      <c r="N83" s="315" t="str">
        <f aca="false">IF(A83="N/A"," ",IF(AND(Dayrun&gt;1,Dayrun&lt;=3),VLOOKUP(A83,ScaledPrice,9),0))</f>
        <v> </v>
      </c>
      <c r="O83" s="315" t="str">
        <f aca="false">IF(A83="N/A"," ",IF(OR(Dayrun=3,Dayrun=6,Dayrun=9),(VLOOKUP(A83,ScaledPrice,IF(AND(Dayrun&gt;=3,Dayrun&lt;=6),7,8))),0))</f>
        <v> </v>
      </c>
      <c r="P83" s="315" t="str">
        <f aca="false">IF(A83="N/A"," ",IF(OR(Dayrun=3,Dayrun=6,Dayrun=9),IF(AND(Dayrun&gt;=3,Dayrun&lt;=6),O83,(VLOOKUP(A83,ScaledPrice,7))*(2-(VLOOKUP(A83,ScaledPrice,3)))),0))</f>
        <v> </v>
      </c>
      <c r="Q83" s="315" t="str">
        <f aca="false">IF(A83="N/A"," ",IF(AND(Dayrun&gt;2,Dayrun&lt;=3),VLOOKUP(A83,ScaledPrice,9),0))</f>
        <v> </v>
      </c>
      <c r="R83" s="316" t="str">
        <f aca="false">IF($A83="N/A"," ",IF(Pricetype=2,MAX(I83-$H83,0),IF(Pricetype=1,(xSPRDOPT(I83,$E83,$CI83,0,($CD83+IF(Smile=TRUE(),VLOOKUP(MAX(-5,$H83-I83),Volsmile,2),0)),$CG83,$CH83,($A83-DateToday)+15,1,0)),I83-$H83)))</f>
        <v> </v>
      </c>
      <c r="S83" s="316" t="str">
        <f aca="false">IF($A83="N/A"," ",IF(Pricetype=2,MAX(J83-$H83,0),IF(Pricetype=1,(xSPRDOPT(J83,$E83,$CI83,0,($CD83+IF(Smile=TRUE(),VLOOKUP(MAX(-5,$H83-J83),Volsmile,2),0)),$CG83,$CH83,($A83-DateToday)+15,1,0)),J83-$H83)))</f>
        <v> </v>
      </c>
      <c r="T83" s="317" t="str">
        <f aca="false">IF($A83="N/A"," ",(IF(Pricetype=2,IF((K83-$H83)&lt;=0,0,(K83-$H83)),IF(K83&lt;&gt;0,(K83-$H83),0))))</f>
        <v> </v>
      </c>
      <c r="U83" s="316" t="str">
        <f aca="false">IF($A83="N/A"," ",IF(Pricetype=2,MAX(L83-$H83,0),IF(L83&lt;&gt;0,IF(Pricetype=1,(xSPRDOPT(L83,$E83,$CI83,0,($CD83+IF(Smile=TRUE(),VLOOKUP(MAX(-5,$H83-L83),Volsmile,2),0)),$CG83,$CH83,($A83-DateToday)+15,1,0)),L83-$H83),0)))</f>
        <v> </v>
      </c>
      <c r="V83" s="316" t="str">
        <f aca="false">IF($A83="N/A"," ",IF(Pricetype=2,MAX(M83-$H83,0),IF(M83&lt;&gt;0,IF(Pricetype=1,(xSPRDOPT(M83,$E83,$CI83,0,($CD83+IF(Smile=TRUE(),VLOOKUP(MAX(-5,$H83-M83),Volsmile,2),0)),$CG83,$CH83,($A83-DateToday)+15,1,0)),M83-$H83),0)))</f>
        <v> </v>
      </c>
      <c r="W83" s="317" t="str">
        <f aca="false">IF($A83="N/A"," ",(IF(Pricetype=2,IF((N83-$H83)&lt;=0,0,(N83-$H83)),IF(N83&lt;&gt;0,(N83-$H83),0))))</f>
        <v> </v>
      </c>
      <c r="X83" s="316" t="str">
        <f aca="false">IF($A83="N/A"," ",IF(Pricetype=2,MAX(O83-$H83,0),IF(O83&lt;&gt;0,IF(Pricetype=1,(xSPRDOPT(O83,$E83,$CI83,0,($CD83+IF(Smile=TRUE(),VLOOKUP(MAX(-5,$H83-O83),Volsmile,2),0)),$CG83,$CH83,($A83-DateToday)+15,1,0)),O83-$H83),0)))</f>
        <v> </v>
      </c>
      <c r="Y83" s="316" t="str">
        <f aca="false">IF($A83="N/A"," ",IF(Pricetype=2,MAX(P83-$H83,0),IF(P83&lt;&gt;0,IF(Pricetype=1,(xSPRDOPT(P83,$E83,$CI83,0,($CD83+IF(Smile=TRUE(),VLOOKUP(MAX(-5,$H83-P83),Volsmile,2),0)),$CG83,$CH83,($A83-DateToday)+15,1,0)),P83-$H83),0)))</f>
        <v> </v>
      </c>
      <c r="Z83" s="317" t="str">
        <f aca="false">IF($A83="N/A"," ",(IF(Pricetype=2,IF((Q83-$H83)&lt;=0,0,(Q83-$H83)),IF(Q83&lt;&gt;0,(Q83-$H83),0))))</f>
        <v> </v>
      </c>
      <c r="AA83" s="318" t="str">
        <f aca="false">IF($A83="N/A"," ",IF(VLOOKUP(MONTH(A83),ManualTable,2)=1,(IF(0&lt;&gt;R83,IF(Pricetype=1,(xSPRDOPT(I83,$E83,$CI83,0,($CD83+IF(Smile=TRUE(),VLOOKUP(MAX(-5,$H83-I83),Volsmile,2),0)),$CG83,$CH83,($A83-DateToday)+15,1,1))*(8*$HD83),8*$HD83),0)),0))</f>
        <v> </v>
      </c>
      <c r="AB83" s="318" t="str">
        <f aca="false">IF($A83="N/A"," ",IF(VLOOKUP(MONTH(A83),ManualTable,3)=1,(IF(S83&lt;&gt;0,IF(Pricetype=1,(xSPRDOPT(J83,$E83,$CI83,0,($CD83+IF(Smile=TRUE(),VLOOKUP(MAX(-5,$H83-J83),Volsmile,2),0)),$CG83,$CH83,($A83-DateToday)+15,1,1))*(8*$HD83),8*$HD83),0)),0))</f>
        <v> </v>
      </c>
      <c r="AC83" s="318" t="str">
        <f aca="false">IF($A83="N/A"," ",IF(VLOOKUP(MONTH(A83),ManualTable,4)=1,(IF(T83&lt;&gt;0,(8*$HD83),0)),0))</f>
        <v> </v>
      </c>
      <c r="AD83" s="318" t="str">
        <f aca="false">IF($A83="N/A"," ",IF(VLOOKUP(MONTH(A83),ManualTable,5)=1,(IF(U83&lt;&gt;0,IF(Pricetype=1,(xSPRDOPT(L83,$E83,$CI83,0,($CD83+IF(Smile=TRUE(),VLOOKUP(MAX(-5,$H83-L83),Volsmile,2),0)),$CG83,$CH83,($A83-DateToday)+15,1,1))*(8*$HE83),8*$HE83),0)),0))</f>
        <v> </v>
      </c>
      <c r="AE83" s="318" t="str">
        <f aca="false">IF($A83="N/A"," ",IF(VLOOKUP(MONTH(A83),ManualTable,6)=1,(IF(V83&lt;&gt;0,IF(Pricetype=1,(xSPRDOPT(M83,$E83,$CI83,0,($CD83+IF(Smile=TRUE(),VLOOKUP(MAX(-5,$H83-M83),Volsmile,2),0)),$CG83,$CH83,($A83-DateToday)+15,1,1))*(8*$HE83),8*$HE83),0)),0))</f>
        <v> </v>
      </c>
      <c r="AF83" s="318" t="str">
        <f aca="false">IF($A83="N/A"," ",IF(VLOOKUP(MONTH(A83),ManualTable,7)=1,(IF(W83&lt;&gt;0,(8*$HE83),0)),0))</f>
        <v> </v>
      </c>
      <c r="AG83" s="318" t="str">
        <f aca="false">IF($A83="N/A"," ",IF(VLOOKUP(MONTH(A83),ManualTable,8)=1,(IF(X83&lt;&gt;0,IF(Pricetype=1,(xSPRDOPT(O83,$E83,$CI83,0,($CD83+IF(Smile=TRUE(),VLOOKUP(MAX(-5,$H83-O83),Volsmile,2),0)),$CG83,$CH83,($A83-DateToday)+15,1,1))*(8*$HF83),8*$HF83),0)),0))</f>
        <v> </v>
      </c>
      <c r="AH83" s="318" t="str">
        <f aca="false">IF($A83="N/A"," ",IF(VLOOKUP(MONTH(A83),ManualTable,9)=1,(IF(Y83&lt;&gt;0,IF(Pricetype=1,(xSPRDOPT(P83,$E83,$CI83,0,($CD83+IF(Smile=TRUE(),VLOOKUP(MAX(-5,$H83-P83),Volsmile,2),0)),$CG83,$CH83,($A83-DateToday)+15,1,1))*(8*$HF83),8*$HF83),0)),0))</f>
        <v> </v>
      </c>
      <c r="AI83" s="318" t="str">
        <f aca="false">IF($A83="N/A"," ",IF(VLOOKUP(MONTH(A83),ManualTable,10)=1,(IF(Z83&lt;&gt;0,(8*($HF83)),0)),0))</f>
        <v> </v>
      </c>
      <c r="AJ83" s="344" t="str">
        <f aca="false">IF($A83="N/A"," ",RANK(R83,$R$76:$Z$87))</f>
        <v> </v>
      </c>
      <c r="AK83" s="321" t="str">
        <f aca="false">IF($A83="N/A"," ",RANK(S83,$R$76:$Z$87))</f>
        <v> </v>
      </c>
      <c r="AL83" s="321" t="str">
        <f aca="false">IF($A83="N/A"," ",RANK(T83,$R$76:$Z$87))</f>
        <v> </v>
      </c>
      <c r="AM83" s="321" t="str">
        <f aca="false">IF($A83="N/A"," ",RANK(U83,$R$76:$Z$87))</f>
        <v> </v>
      </c>
      <c r="AN83" s="321" t="str">
        <f aca="false">IF($A83="N/A"," ",RANK(V83,$R$76:$Z$87))</f>
        <v> </v>
      </c>
      <c r="AO83" s="321" t="str">
        <f aca="false">IF($A83="N/A"," ",RANK(W83,$R$76:$Z$87))</f>
        <v> </v>
      </c>
      <c r="AP83" s="321" t="str">
        <f aca="false">IF($A83="N/A"," ",RANK(X83,$R$76:$Z$87))</f>
        <v> </v>
      </c>
      <c r="AQ83" s="321" t="str">
        <f aca="false">IF($A83="N/A"," ",RANK(Y83,$R$76:$Z$87))</f>
        <v> </v>
      </c>
      <c r="AR83" s="345" t="str">
        <f aca="false">IF($A83="N/A"," ",RANK(Z83,$R$76:$Z$87))</f>
        <v> </v>
      </c>
      <c r="AS83" s="323" t="str">
        <f aca="false">IF($A83="N/A"," ",IF(AJ83&lt;=$AR$2,AA83,0))</f>
        <v> </v>
      </c>
      <c r="AT83" s="325" t="str">
        <f aca="false">IF($A83="N/A"," ",IF(AK83&lt;=$AR$2,AB83,0))</f>
        <v> </v>
      </c>
      <c r="AU83" s="325" t="str">
        <f aca="false">IF($A83="N/A"," ",IF(AL83&lt;=$AR$2,AC83,0))</f>
        <v> </v>
      </c>
      <c r="AV83" s="325" t="str">
        <f aca="false">IF($A83="N/A"," ",IF(AM83&lt;=$AR$2,AD83,0))</f>
        <v> </v>
      </c>
      <c r="AW83" s="325" t="str">
        <f aca="false">IF($A83="N/A"," ",IF(AN83&lt;=$AR$2,AE83,0))</f>
        <v> </v>
      </c>
      <c r="AX83" s="325" t="str">
        <f aca="false">IF($A83="N/A"," ",IF(AO83&lt;=$AR$2,AF83,0))</f>
        <v> </v>
      </c>
      <c r="AY83" s="325" t="str">
        <f aca="false">IF($A83="N/A"," ",IF(AP83&lt;=$AR$2,AG83,0))</f>
        <v> </v>
      </c>
      <c r="AZ83" s="325" t="str">
        <f aca="false">IF($A83="N/A"," ",IF(AQ83&lt;=$AR$2,AH83,0))</f>
        <v> </v>
      </c>
      <c r="BA83" s="325" t="str">
        <f aca="false">IF($A83="N/A"," ",IF(AR83&lt;=$AR$2,AI83,0))</f>
        <v> </v>
      </c>
      <c r="BB83" s="345"/>
      <c r="BC83" s="326" t="str">
        <f aca="false">IF($A83="N/A"," ",IF(AND(AJ83=$AR$2+1,AS83=0),MIN($BB$87,AA83),0))</f>
        <v> </v>
      </c>
      <c r="BD83" s="346" t="str">
        <f aca="false">IF($A83="N/A"," ",IF(AND(AK83=$AR$2+1,AT83=0),MIN($BB$87,AB83),0))</f>
        <v> </v>
      </c>
      <c r="BE83" s="346" t="str">
        <f aca="false">IF($A83="N/A"," ",IF(AND(AL83=$AR$2+1,AU83=0),MIN($BB$87,AC83),0))</f>
        <v> </v>
      </c>
      <c r="BF83" s="346" t="str">
        <f aca="false">IF($A83="N/A"," ",IF(AND(AM83=$AR$2+1,AV83=0),MIN($BB$87,AD83),0))</f>
        <v> </v>
      </c>
      <c r="BG83" s="346" t="str">
        <f aca="false">IF($A83="N/A"," ",IF(AND(AN83=$AR$2+1,AW83=0),MIN($BB$87,AE83),0))</f>
        <v> </v>
      </c>
      <c r="BH83" s="346" t="str">
        <f aca="false">IF($A83="N/A"," ",IF(AND(AO83=$AR$2+1,AX83=0),MIN($BB$87,AF83),0))</f>
        <v> </v>
      </c>
      <c r="BI83" s="346" t="str">
        <f aca="false">IF($A83="N/A"," ",IF(AND(AP83=$AR$2+1,AY83=0),MIN($BB$87,AG83),0))</f>
        <v> </v>
      </c>
      <c r="BJ83" s="346" t="str">
        <f aca="false">IF($A83="N/A"," ",IF(AND(AQ83=$AR$2+1,AZ83=0),MIN($BB$87,AH83),0))</f>
        <v> </v>
      </c>
      <c r="BK83" s="346" t="str">
        <f aca="false">IF($A83="N/A"," ",IF(AND(AR83=$AR$2+1,BA83=0),MIN($BB$87,AI83),0))</f>
        <v> </v>
      </c>
      <c r="BL83" s="345"/>
      <c r="BM83" s="329" t="str">
        <f aca="false">IF($A83="N/A"," ",(IF(MONTH(A83)&gt;=4,IF(MONTH(A83)&lt;=10,Inputs!$F$13-Inputs!$G$13,Inputs!$F$14-Inputs!$G$14),Inputs!$F$14-Inputs!$G$14))*$CK83*Availability)</f>
        <v> </v>
      </c>
      <c r="BN83" s="330" t="str">
        <f aca="false">IF($A83="N/A"," ",(IF(AS83&gt;0,($BM83*(8*($HD83))*R83),0)+IF(BC83&gt;0,($BM83*((BC83/AA83)*8*$HD83)*R83),0)))</f>
        <v> </v>
      </c>
      <c r="BO83" s="330" t="str">
        <f aca="false">IF($A83="N/A"," ",(IF(AT83&gt;0,($BM83*(8*($HD83))*S83),0)+IF(BD83&gt;0,($BM83*((BD83/AB83)*8*$HD83)*S83),0)))</f>
        <v> </v>
      </c>
      <c r="BP83" s="330" t="str">
        <f aca="false">IF($A83="N/A"," ",(IF(AU83&gt;0,($BM83*(8*($HD83))*T83),0)+IF(BE83&gt;0,($BM83*((BE83))*T83),0)))</f>
        <v> </v>
      </c>
      <c r="BQ83" s="330" t="str">
        <f aca="false">IF($A83="N/A"," ",(IF(AV83&gt;0,($BM83*(8*($HE83))*U83),0)+IF(BF83&gt;0,($BM83*((BF83/AD83)*8*$HE83)*U83),0)))</f>
        <v> </v>
      </c>
      <c r="BR83" s="330" t="str">
        <f aca="false">IF($A83="N/A"," ",(IF(AW83&gt;0,($BM83*(8*($HE83))*V83),0)+IF(BG83&gt;0,($BM83*((BG83/AE83)*8*$HE83)*V83),0)))</f>
        <v> </v>
      </c>
      <c r="BS83" s="330" t="str">
        <f aca="false">IF($A83="N/A"," ",(IF(AX83&gt;0,($BM83*(8*($HE83))*W83),0)+IF(BH83&gt;0,($BM83*((BH83))*W83),0)))</f>
        <v> </v>
      </c>
      <c r="BT83" s="330" t="str">
        <f aca="false">IF($A83="N/A"," ",(IF(AY83&gt;0,($BM83*(8*($HF83))*X83),0)+IF(BI83&gt;0,($BM83*((BI83/AG83)*8*$HF83)*X83),0)))</f>
        <v> </v>
      </c>
      <c r="BU83" s="330" t="str">
        <f aca="false">IF($A83="N/A"," ",(IF(AZ83&gt;0,($BM83*(8*($HF83))*Y83),0)+IF(BJ83&gt;0,($BM83*((BJ83/AH83)*8*$HF83)*Y83),0)))</f>
        <v> </v>
      </c>
      <c r="BV83" s="330" t="str">
        <f aca="false">IF($A83="N/A"," ",(IF(BA83&gt;0,($BM83*(8*($HF83))*Z83),0)+IF(BK83&gt;0,($BM83*((BK83))*Z83),0)))</f>
        <v> </v>
      </c>
      <c r="BW83" s="330" t="str">
        <f aca="false">IF($A83="N/A"," ",SUM(BN83:BV83))</f>
        <v> </v>
      </c>
      <c r="BX83" s="331" t="str">
        <f aca="false">IF($A83="N/A"," ",(H83*(SUM(AS83:BA83)+SUM(BC83:BK83))*BM83))</f>
        <v> </v>
      </c>
      <c r="BY83" s="332" t="str">
        <f aca="false">IF($A83="N/A"," ",((C83*D83)*(SUM($AS83:$BA83)+SUM($BC83:$BK83))*$BM83))</f>
        <v> </v>
      </c>
      <c r="BZ83" s="332" t="str">
        <f aca="false">IF($A83="N/A"," ",(F83*(SUM($AS83:$BA83)+SUM($BC83:$BK83))*$BM83))</f>
        <v> </v>
      </c>
      <c r="CA83" s="333" t="str">
        <f aca="false">IF($A83="N/A"," ",(G83*(SUM($AS83:$BA83)+SUM($BC83:$BK83))*$BM83))</f>
        <v> </v>
      </c>
      <c r="CB83" s="334" t="str">
        <f aca="false">IF(A83="N/A"," ",(VLOOKUP(A83,PowerVolTable,(IF(BMO=2,7,IF(BMO=1,6,8))),FALSE())))</f>
        <v> </v>
      </c>
      <c r="CC83" s="334" t="str">
        <f aca="false">IF(A83="N/A"," ",(VLOOKUP(A83,IntraPowerVol,(IF(BMO=2,3,IF(BMO=1,2,4))),FALSE())*VLOOKUP(MONTH($A83),Volscale,2)))</f>
        <v> </v>
      </c>
      <c r="CD83" s="335" t="str">
        <f aca="false">IF($A83="N/A"," ",(IF(DateToday&gt;$A83,$CC83,((($CB83^2)*((($A83-1)-DateToday)/((EOMONTH($A83,0)+1)-DateToday-15)))+((($CC83)^2)*((15)/((EOMONTH($A83,0)+1)-DateToday-15))))^0.5)))</f>
        <v> </v>
      </c>
      <c r="CE83" s="334" t="str">
        <f aca="false">IF($A83="N/A"," ",(VLOOKUP($A83,GasVolTable,(IF(BMO=2,6,IF(BMO=1,7,5))),FALSE())))</f>
        <v> </v>
      </c>
      <c r="CF83" s="334" t="str">
        <f aca="false">IF($A83="N/A"," ",(VLOOKUP($A83,OmicronVol,(IF(BMO=2,3,IF(BMO=1,4,2))),FALSE())))</f>
        <v> </v>
      </c>
      <c r="CG83" s="335" t="str">
        <f aca="false">IF($A83="N/A"," ",(IF(DateToday&gt;$A83,$CF83,((($CE83^2)*((($A83-1)-DateToday)/((EOMONTH($A83,0)+1)-DateToday-15)))+((($CF83)^2)*((15)/((EOMONTH($A83,0)+1)-DateToday-15))))^0.5)))</f>
        <v> </v>
      </c>
      <c r="CH83" s="334" t="str">
        <f aca="false">IF($A83="N/A"," ",VLOOKUP($A83,CorrelationTable,2,FALSE()))</f>
        <v> </v>
      </c>
      <c r="CI83" s="336" t="str">
        <f aca="false">IF($A83="N/A"," ",F83+G83+(D83*('Pricing Inputs'!T116)))</f>
        <v> </v>
      </c>
      <c r="CJ83" s="334" t="str">
        <f aca="false">IF($A83="N/A"," ",IF(PV=1,0,'Pricing Inputs'!U116))</f>
        <v> </v>
      </c>
      <c r="CK83" s="337" t="str">
        <f aca="false">IF($A83="N/A"," ",(1+CJ83/2)^(-2*((EOMONTH(A83,0)+20)-DateToday)/365.25))</f>
        <v> </v>
      </c>
      <c r="CL83" s="338" t="str">
        <f aca="false">IF(A83="N/A"," ",IF(CC=2,(VLOOKUP(MONTH($A83),Hrtable,3))/1000,0))</f>
        <v> </v>
      </c>
      <c r="CM83" s="339" t="str">
        <f aca="false">IF(A83="N/A"," ",IF(CC=2,(CL83*C83)+F83,0))</f>
        <v> </v>
      </c>
      <c r="CN83" s="340" t="str">
        <f aca="false">IF($A83="N/A"," ",IF(CC=2,(VLOOKUP(A83,ScaledPrice,(IF(AND(Dayrun&gt;=1,Dayrun&lt;=6),2,4)))-((IF(R83&lt;&gt;0,$D83,$CL83)*$C83)+$F83+$G83)),0))</f>
        <v> </v>
      </c>
      <c r="CO83" s="340" t="str">
        <f aca="false">IF($A83="N/A"," ",IF(CC=2,(IF(AND(Dayrun&gt;=1,Dayrun&lt;=6),I83,(VLOOKUP(A83,ScaledPrice,2))*(2-(VLOOKUP(A83,ScaledPrice,3))))-((IF(S83&lt;&gt;0,$D83,$CL83)*$C83)+$F83+$G83)),0))</f>
        <v> </v>
      </c>
      <c r="CP83" s="340" t="str">
        <f aca="false">IF(A83="N/A"," ",IF(CC=2,(VLOOKUP(A83,ScaledPrice,9)-((IF(T83&lt;&gt;0,$D83,$CL83)*$C83)+$F83+$G83)),0))</f>
        <v> </v>
      </c>
      <c r="CQ83" s="340" t="str">
        <f aca="false">IF(A83="N/A"," ",IF(CC=2,(IF(OR(Dayrun=2,Dayrun=3,Dayrun=5,Dayrun=6,Dayrun=8,Dayrun=9),VLOOKUP(A83,ScaledPrice,IF(AND(Dayrun&gt;=2,Dayrun&lt;=6),5,6)),0)-((IF(U83&lt;&gt;0,$D83,$CL83)*$C83)+$F83+$G83)),0))</f>
        <v> </v>
      </c>
      <c r="CR83" s="340" t="str">
        <f aca="false">IF(A83="N/A"," ",IF(CC=2,(IF(OR(Dayrun=2,Dayrun=3,Dayrun=5,Dayrun=6,Dayrun=8,Dayrun=9),IF(AND(Dayrun&gt;=2,Dayrun&lt;=6),L83,(VLOOKUP(A83,ScaledPrice,5))*(2-(VLOOKUP(A83,ScaledPrice,3)))),0)-((IF(V83&lt;&gt;0,$D83,$CL83)*$C83)+$F83+$G83)),0))</f>
        <v> </v>
      </c>
      <c r="CS83" s="340" t="str">
        <f aca="false">IF(A83="N/A"," ",IF(CC=2,(VLOOKUP(A83,ScaledPrice,9)-((IF(W83&lt;&gt;0,$D83,$CL83)*$C83)+$F83+$G83)),0))</f>
        <v> </v>
      </c>
      <c r="CT83" s="340" t="str">
        <f aca="false">IF(A83="N/A"," ",IF(CC=2,(IF(OR(Dayrun=3,Dayrun=6,Dayrun=9),(VLOOKUP(A83,ScaledPrice,IF(AND(Dayrun&gt;=3,Dayrun&lt;=6),7,8))),0)-((IF(X83&lt;&gt;0,$D83,$CL83)*$C83)+$F83+$G83)),0))</f>
        <v> </v>
      </c>
      <c r="CU83" s="340" t="str">
        <f aca="false">IF(A83="N/A"," ",IF(CC=2,(IF(OR(Dayrun=3,Dayrun=6,Dayrun=9),IF(AND(Dayrun&gt;=3,Dayrun&lt;=6),O83,(VLOOKUP(A83,ScaledPrice,7))*(2-(VLOOKUP(A83,ScaledPrice,3)))),0)-((IF(Y83&lt;&gt;0,$D83,$CL83)*$C83)+$F83+$G83)),0))</f>
        <v> </v>
      </c>
      <c r="CV83" s="340" t="str">
        <f aca="false">IF(A83="N/A"," ",IF(CC=2,(VLOOKUP(A83,ScaledPrice,9)-((IF(Z83&lt;&gt;0,$D83,$CL83)*$C83)+$F83+$G83)),0))</f>
        <v> </v>
      </c>
      <c r="CW83" s="318" t="str">
        <f aca="false">IF($A83="N/A"," ",IF(0&lt;&gt;CN83,IF(CC=2,8*$HD83,0),0))</f>
        <v> </v>
      </c>
      <c r="CX83" s="318" t="str">
        <f aca="false">IF($A83="N/A"," ",IF(0&lt;&gt;CO83,IF(CC=2,8*$HD83,0),0))</f>
        <v> </v>
      </c>
      <c r="CY83" s="318" t="str">
        <f aca="false">IF($A83="N/A"," ",IF(0&lt;&gt;CP83,IF(CC=2,8*$HD83,0),0))</f>
        <v> </v>
      </c>
      <c r="CZ83" s="318" t="str">
        <f aca="false">IF($A83="N/A"," ",IF(0&lt;&gt;CQ83,IF(CC=2,8*$HE83,0),0))</f>
        <v> </v>
      </c>
      <c r="DA83" s="318" t="str">
        <f aca="false">IF($A83="N/A"," ",IF(0&lt;&gt;CR83,IF(CC=2,8*$HE83,0),0))</f>
        <v> </v>
      </c>
      <c r="DB83" s="318" t="str">
        <f aca="false">IF($A83="N/A"," ",IF(0&lt;&gt;CS83,IF(CC=2,8*$HE83,0),0))</f>
        <v> </v>
      </c>
      <c r="DC83" s="318" t="str">
        <f aca="false">IF($A83="N/A"," ",IF(0&lt;&gt;CT83,IF(CC=2,8*$HF83,0),0))</f>
        <v> </v>
      </c>
      <c r="DD83" s="318" t="str">
        <f aca="false">IF($A83="N/A"," ",IF(0&lt;&gt;CU83,IF(CC=2,8*$HF83,0),0))</f>
        <v> </v>
      </c>
      <c r="DE83" s="318" t="str">
        <f aca="false">IF($A83="N/A"," ",IF(0&lt;&gt;CV83,IF(CC=2,8*$HF83,0),0))</f>
        <v> </v>
      </c>
      <c r="DF83" s="341" t="str">
        <f aca="false">IF($A83="N/A"," ",IF(CC=2,(IF(MONTH(A83)&gt;=4,IF(MONTH(A83)&lt;=10,Inputs!$G$13,Inputs!$G$14),Inputs!$G$14))*$CK83,0))</f>
        <v> </v>
      </c>
      <c r="DG83" s="342" t="str">
        <f aca="false">IF($A83="N/A"," ",IF(CC=2,$DF83*CW83*CN83,0))</f>
        <v> </v>
      </c>
      <c r="DH83" s="342" t="str">
        <f aca="false">IF($A83="N/A"," ",IF(CC=2,$DF83*CX83*CO83,0))</f>
        <v> </v>
      </c>
      <c r="DI83" s="342" t="str">
        <f aca="false">IF($A83="N/A"," ",IF(CC=2,$DF83*CY83*CP83,0))</f>
        <v> </v>
      </c>
      <c r="DJ83" s="342" t="str">
        <f aca="false">IF($A83="N/A"," ",IF(CC=2,$DF83*CZ83*CQ83,0))</f>
        <v> </v>
      </c>
      <c r="DK83" s="342" t="str">
        <f aca="false">IF($A83="N/A"," ",IF(CC=2,$DF83*DA83*CR83,0))</f>
        <v> </v>
      </c>
      <c r="DL83" s="342" t="str">
        <f aca="false">IF($A83="N/A"," ",IF(CC=2,$DF83*DB83*CS83,0))</f>
        <v> </v>
      </c>
      <c r="DM83" s="342" t="str">
        <f aca="false">IF($A83="N/A"," ",IF(CC=2,$DF83*DC83*CT83,0))</f>
        <v> </v>
      </c>
      <c r="DN83" s="342" t="str">
        <f aca="false">IF($A83="N/A"," ",IF(CC=2,$DF83*DD83*CU83,0))</f>
        <v> </v>
      </c>
      <c r="DO83" s="342" t="str">
        <f aca="false">IF($A83="N/A"," ",IF(CC=2,$DF83*DE83*CV83,0))</f>
        <v> </v>
      </c>
      <c r="DP83" s="343" t="str">
        <f aca="false">IF($A83="N/A"," ",IF(CC=2,SUM(DG83:DO83),0))</f>
        <v> </v>
      </c>
      <c r="DQ83" s="0" t="str">
        <f aca="false">IF(A83="N/A"," ",Perstart)</f>
        <v> </v>
      </c>
      <c r="HD83" s="0" t="str">
        <f aca="false">IF($A83="N/A"," ",VLOOKUP($A83,NumberofDaysTable,2))</f>
        <v> </v>
      </c>
      <c r="HE83" s="0" t="str">
        <f aca="false">IF($A83="N/A"," ",VLOOKUP($A83,NumberofDaysTable,3))</f>
        <v> </v>
      </c>
      <c r="HF83" s="0" t="str">
        <f aca="false">IF($A83="N/A"," ",VLOOKUP($A83,NumberofDaysTable,4))</f>
        <v> </v>
      </c>
    </row>
    <row r="84" customFormat="false" ht="12.75" hidden="false" customHeight="false" outlineLevel="0" collapsed="false">
      <c r="A84" s="308" t="str">
        <f aca="false">IF(A83="N/A","N/A",IF(EDATE(A83,1)&gt;Inputs!$K$3,"N/A",EDATE(A83,1)))</f>
        <v>N/A</v>
      </c>
      <c r="B84" s="309" t="str">
        <f aca="false">IF(A84="N/A"," ",YEAR(A84))</f>
        <v> </v>
      </c>
      <c r="C84" s="310" t="str">
        <f aca="false">IF(A84="N/A"," ",VLOOKUP(A84,ScaledPrice,10))</f>
        <v> </v>
      </c>
      <c r="D84" s="311" t="str">
        <f aca="false">IF(A84="N/A"," ",(VLOOKUP(MONTH($A84),Hrtable,2))/1000)</f>
        <v> </v>
      </c>
      <c r="E84" s="312" t="str">
        <f aca="false">IF($A84="N/A"," ",(C84-'Pricing Inputs'!T117)*D84)</f>
        <v> </v>
      </c>
      <c r="F84" s="313" t="str">
        <f aca="false">IF(A84="N/A"," ",$F72*(1+VOMesc))</f>
        <v> </v>
      </c>
      <c r="G84" s="313" t="str">
        <f aca="false">IF(A84="N/A"," ",Perstart/IF(AND(Dayrun&gt;=4,Dayrun&lt;=6),16,IF(AND(Dayrun&gt;=7,Dayrun&lt;=9),8,24))/(BM84/CK84))</f>
        <v> </v>
      </c>
      <c r="H84" s="314" t="str">
        <f aca="false">IF(A84="N/A"," ",(C84*D84)+F84+G84)</f>
        <v> </v>
      </c>
      <c r="I84" s="315" t="str">
        <f aca="false">VLOOKUP(A84,ScaledPrice,(IF(AND(Dayrun&gt;=1,Dayrun&lt;=6),2,4)))</f>
        <v> </v>
      </c>
      <c r="J84" s="315" t="str">
        <f aca="false">IF(A84="N/A"," ",IF(AND(Dayrun&gt;=1,Dayrun&lt;=6),I84,(VLOOKUP(A84,ScaledPrice,2))*(2-(VLOOKUP(A84,ScaledPrice,3)))))</f>
        <v> </v>
      </c>
      <c r="K84" s="315" t="str">
        <f aca="false">IF(A84="N/A"," ",IF(AND(Dayrun&gt;=1,Dayrun&lt;=3),VLOOKUP(A84,ScaledPrice,9),0))</f>
        <v> </v>
      </c>
      <c r="L84" s="315" t="str">
        <f aca="false">IF(A84="N/A"," ",IF(OR(Dayrun=2,Dayrun=3,Dayrun=5,Dayrun=6,Dayrun=8,Dayrun=9),VLOOKUP(A84,ScaledPrice,IF(AND(Dayrun&gt;=2,Dayrun&lt;=6),5,6)),0))</f>
        <v> </v>
      </c>
      <c r="M84" s="315" t="str">
        <f aca="false">IF(A84="N/A"," ",IF(OR(Dayrun=2,Dayrun=3,Dayrun=5,Dayrun=6,Dayrun=8,Dayrun=9),IF(AND(Dayrun&gt;=2,Dayrun&lt;=6),L84,(VLOOKUP(A84,ScaledPrice,5))*(2-(VLOOKUP(A84,ScaledPrice,3)))),0))</f>
        <v> </v>
      </c>
      <c r="N84" s="315" t="str">
        <f aca="false">IF(A84="N/A"," ",IF(AND(Dayrun&gt;1,Dayrun&lt;=3),VLOOKUP(A84,ScaledPrice,9),0))</f>
        <v> </v>
      </c>
      <c r="O84" s="315" t="str">
        <f aca="false">IF(A84="N/A"," ",IF(OR(Dayrun=3,Dayrun=6,Dayrun=9),(VLOOKUP(A84,ScaledPrice,IF(AND(Dayrun&gt;=3,Dayrun&lt;=6),7,8))),0))</f>
        <v> </v>
      </c>
      <c r="P84" s="315" t="str">
        <f aca="false">IF(A84="N/A"," ",IF(OR(Dayrun=3,Dayrun=6,Dayrun=9),IF(AND(Dayrun&gt;=3,Dayrun&lt;=6),O84,(VLOOKUP(A84,ScaledPrice,7))*(2-(VLOOKUP(A84,ScaledPrice,3)))),0))</f>
        <v> </v>
      </c>
      <c r="Q84" s="315" t="str">
        <f aca="false">IF(A84="N/A"," ",IF(AND(Dayrun&gt;2,Dayrun&lt;=3),VLOOKUP(A84,ScaledPrice,9),0))</f>
        <v> </v>
      </c>
      <c r="R84" s="316" t="str">
        <f aca="false">IF($A84="N/A"," ",IF(Pricetype=2,MAX(I84-$H84,0),IF(Pricetype=1,(xSPRDOPT(I84,$E84,$CI84,0,($CD84+IF(Smile=TRUE(),VLOOKUP(MAX(-5,$H84-I84),Volsmile,2),0)),$CG84,$CH84,($A84-DateToday)+15,1,0)),I84-$H84)))</f>
        <v> </v>
      </c>
      <c r="S84" s="316" t="str">
        <f aca="false">IF($A84="N/A"," ",IF(Pricetype=2,MAX(J84-$H84,0),IF(Pricetype=1,(xSPRDOPT(J84,$E84,$CI84,0,($CD84+IF(Smile=TRUE(),VLOOKUP(MAX(-5,$H84-J84),Volsmile,2),0)),$CG84,$CH84,($A84-DateToday)+15,1,0)),J84-$H84)))</f>
        <v> </v>
      </c>
      <c r="T84" s="317" t="str">
        <f aca="false">IF($A84="N/A"," ",(IF(Pricetype=2,IF((K84-$H84)&lt;=0,0,(K84-$H84)),IF(K84&lt;&gt;0,(K84-$H84),0))))</f>
        <v> </v>
      </c>
      <c r="U84" s="316" t="str">
        <f aca="false">IF($A84="N/A"," ",IF(Pricetype=2,MAX(L84-$H84,0),IF(L84&lt;&gt;0,IF(Pricetype=1,(xSPRDOPT(L84,$E84,$CI84,0,($CD84+IF(Smile=TRUE(),VLOOKUP(MAX(-5,$H84-L84),Volsmile,2),0)),$CG84,$CH84,($A84-DateToday)+15,1,0)),L84-$H84),0)))</f>
        <v> </v>
      </c>
      <c r="V84" s="316" t="str">
        <f aca="false">IF($A84="N/A"," ",IF(Pricetype=2,MAX(M84-$H84,0),IF(M84&lt;&gt;0,IF(Pricetype=1,(xSPRDOPT(M84,$E84,$CI84,0,($CD84+IF(Smile=TRUE(),VLOOKUP(MAX(-5,$H84-M84),Volsmile,2),0)),$CG84,$CH84,($A84-DateToday)+15,1,0)),M84-$H84),0)))</f>
        <v> </v>
      </c>
      <c r="W84" s="317" t="str">
        <f aca="false">IF($A84="N/A"," ",(IF(Pricetype=2,IF((N84-$H84)&lt;=0,0,(N84-$H84)),IF(N84&lt;&gt;0,(N84-$H84),0))))</f>
        <v> </v>
      </c>
      <c r="X84" s="316" t="str">
        <f aca="false">IF($A84="N/A"," ",IF(Pricetype=2,MAX(O84-$H84,0),IF(O84&lt;&gt;0,IF(Pricetype=1,(xSPRDOPT(O84,$E84,$CI84,0,($CD84+IF(Smile=TRUE(),VLOOKUP(MAX(-5,$H84-O84),Volsmile,2),0)),$CG84,$CH84,($A84-DateToday)+15,1,0)),O84-$H84),0)))</f>
        <v> </v>
      </c>
      <c r="Y84" s="316" t="str">
        <f aca="false">IF($A84="N/A"," ",IF(Pricetype=2,MAX(P84-$H84,0),IF(P84&lt;&gt;0,IF(Pricetype=1,(xSPRDOPT(P84,$E84,$CI84,0,($CD84+IF(Smile=TRUE(),VLOOKUP(MAX(-5,$H84-P84),Volsmile,2),0)),$CG84,$CH84,($A84-DateToday)+15,1,0)),P84-$H84),0)))</f>
        <v> </v>
      </c>
      <c r="Z84" s="317" t="str">
        <f aca="false">IF($A84="N/A"," ",(IF(Pricetype=2,IF((Q84-$H84)&lt;=0,0,(Q84-$H84)),IF(Q84&lt;&gt;0,(Q84-$H84),0))))</f>
        <v> </v>
      </c>
      <c r="AA84" s="318" t="str">
        <f aca="false">IF($A84="N/A"," ",IF(VLOOKUP(MONTH(A84),ManualTable,2)=1,(IF(0&lt;&gt;R84,IF(Pricetype=1,(xSPRDOPT(I84,$E84,$CI84,0,($CD84+IF(Smile=TRUE(),VLOOKUP(MAX(-5,$H84-I84),Volsmile,2),0)),$CG84,$CH84,($A84-DateToday)+15,1,1))*(8*$HD84),8*$HD84),0)),0))</f>
        <v> </v>
      </c>
      <c r="AB84" s="318" t="str">
        <f aca="false">IF($A84="N/A"," ",IF(VLOOKUP(MONTH(A84),ManualTable,3)=1,(IF(S84&lt;&gt;0,IF(Pricetype=1,(xSPRDOPT(J84,$E84,$CI84,0,($CD84+IF(Smile=TRUE(),VLOOKUP(MAX(-5,$H84-J84),Volsmile,2),0)),$CG84,$CH84,($A84-DateToday)+15,1,1))*(8*$HD84),8*$HD84),0)),0))</f>
        <v> </v>
      </c>
      <c r="AC84" s="318" t="str">
        <f aca="false">IF($A84="N/A"," ",IF(VLOOKUP(MONTH(A84),ManualTable,4)=1,(IF(T84&lt;&gt;0,(8*$HD84),0)),0))</f>
        <v> </v>
      </c>
      <c r="AD84" s="318" t="str">
        <f aca="false">IF($A84="N/A"," ",IF(VLOOKUP(MONTH(A84),ManualTable,5)=1,(IF(U84&lt;&gt;0,IF(Pricetype=1,(xSPRDOPT(L84,$E84,$CI84,0,($CD84+IF(Smile=TRUE(),VLOOKUP(MAX(-5,$H84-L84),Volsmile,2),0)),$CG84,$CH84,($A84-DateToday)+15,1,1))*(8*$HE84),8*$HE84),0)),0))</f>
        <v> </v>
      </c>
      <c r="AE84" s="318" t="str">
        <f aca="false">IF($A84="N/A"," ",IF(VLOOKUP(MONTH(A84),ManualTable,6)=1,(IF(V84&lt;&gt;0,IF(Pricetype=1,(xSPRDOPT(M84,$E84,$CI84,0,($CD84+IF(Smile=TRUE(),VLOOKUP(MAX(-5,$H84-M84),Volsmile,2),0)),$CG84,$CH84,($A84-DateToday)+15,1,1))*(8*$HE84),8*$HE84),0)),0))</f>
        <v> </v>
      </c>
      <c r="AF84" s="318" t="str">
        <f aca="false">IF($A84="N/A"," ",IF(VLOOKUP(MONTH(A84),ManualTable,7)=1,(IF(W84&lt;&gt;0,(8*$HE84),0)),0))</f>
        <v> </v>
      </c>
      <c r="AG84" s="318" t="str">
        <f aca="false">IF($A84="N/A"," ",IF(VLOOKUP(MONTH(A84),ManualTable,8)=1,(IF(X84&lt;&gt;0,IF(Pricetype=1,(xSPRDOPT(O84,$E84,$CI84,0,($CD84+IF(Smile=TRUE(),VLOOKUP(MAX(-5,$H84-O84),Volsmile,2),0)),$CG84,$CH84,($A84-DateToday)+15,1,1))*(8*$HF84),8*$HF84),0)),0))</f>
        <v> </v>
      </c>
      <c r="AH84" s="318" t="str">
        <f aca="false">IF($A84="N/A"," ",IF(VLOOKUP(MONTH(A84),ManualTable,9)=1,(IF(Y84&lt;&gt;0,IF(Pricetype=1,(xSPRDOPT(P84,$E84,$CI84,0,($CD84+IF(Smile=TRUE(),VLOOKUP(MAX(-5,$H84-P84),Volsmile,2),0)),$CG84,$CH84,($A84-DateToday)+15,1,1))*(8*$HF84),8*$HF84),0)),0))</f>
        <v> </v>
      </c>
      <c r="AI84" s="318" t="str">
        <f aca="false">IF($A84="N/A"," ",IF(VLOOKUP(MONTH(A84),ManualTable,10)=1,(IF(Z84&lt;&gt;0,(8*($HF84)),0)),0))</f>
        <v> </v>
      </c>
      <c r="AJ84" s="344" t="str">
        <f aca="false">IF($A84="N/A"," ",RANK(R84,$R$76:$Z$87))</f>
        <v> </v>
      </c>
      <c r="AK84" s="321" t="str">
        <f aca="false">IF($A84="N/A"," ",RANK(S84,$R$76:$Z$87))</f>
        <v> </v>
      </c>
      <c r="AL84" s="321" t="str">
        <f aca="false">IF($A84="N/A"," ",RANK(T84,$R$76:$Z$87))</f>
        <v> </v>
      </c>
      <c r="AM84" s="321" t="str">
        <f aca="false">IF($A84="N/A"," ",RANK(U84,$R$76:$Z$87))</f>
        <v> </v>
      </c>
      <c r="AN84" s="321" t="str">
        <f aca="false">IF($A84="N/A"," ",RANK(V84,$R$76:$Z$87))</f>
        <v> </v>
      </c>
      <c r="AO84" s="321" t="str">
        <f aca="false">IF($A84="N/A"," ",RANK(W84,$R$76:$Z$87))</f>
        <v> </v>
      </c>
      <c r="AP84" s="321" t="str">
        <f aca="false">IF($A84="N/A"," ",RANK(X84,$R$76:$Z$87))</f>
        <v> </v>
      </c>
      <c r="AQ84" s="321" t="str">
        <f aca="false">IF($A84="N/A"," ",RANK(Y84,$R$76:$Z$87))</f>
        <v> </v>
      </c>
      <c r="AR84" s="345" t="str">
        <f aca="false">IF($A84="N/A"," ",RANK(Z84,$R$76:$Z$87))</f>
        <v> </v>
      </c>
      <c r="AS84" s="323" t="str">
        <f aca="false">IF($A84="N/A"," ",IF(AJ84&lt;=$AR$2,AA84,0))</f>
        <v> </v>
      </c>
      <c r="AT84" s="325" t="str">
        <f aca="false">IF($A84="N/A"," ",IF(AK84&lt;=$AR$2,AB84,0))</f>
        <v> </v>
      </c>
      <c r="AU84" s="325" t="str">
        <f aca="false">IF($A84="N/A"," ",IF(AL84&lt;=$AR$2,AC84,0))</f>
        <v> </v>
      </c>
      <c r="AV84" s="325" t="str">
        <f aca="false">IF($A84="N/A"," ",IF(AM84&lt;=$AR$2,AD84,0))</f>
        <v> </v>
      </c>
      <c r="AW84" s="325" t="str">
        <f aca="false">IF($A84="N/A"," ",IF(AN84&lt;=$AR$2,AE84,0))</f>
        <v> </v>
      </c>
      <c r="AX84" s="325" t="str">
        <f aca="false">IF($A84="N/A"," ",IF(AO84&lt;=$AR$2,AF84,0))</f>
        <v> </v>
      </c>
      <c r="AY84" s="325" t="str">
        <f aca="false">IF($A84="N/A"," ",IF(AP84&lt;=$AR$2,AG84,0))</f>
        <v> </v>
      </c>
      <c r="AZ84" s="325" t="str">
        <f aca="false">IF($A84="N/A"," ",IF(AQ84&lt;=$AR$2,AH84,0))</f>
        <v> </v>
      </c>
      <c r="BA84" s="325" t="str">
        <f aca="false">IF($A84="N/A"," ",IF(AR84&lt;=$AR$2,AI84,0))</f>
        <v> </v>
      </c>
      <c r="BB84" s="345"/>
      <c r="BC84" s="326" t="str">
        <f aca="false">IF($A84="N/A"," ",IF(AND(AJ84=$AR$2+1,AS84=0),MIN($BB$87,AA84),0))</f>
        <v> </v>
      </c>
      <c r="BD84" s="346" t="str">
        <f aca="false">IF($A84="N/A"," ",IF(AND(AK84=$AR$2+1,AT84=0),MIN($BB$87,AB84),0))</f>
        <v> </v>
      </c>
      <c r="BE84" s="346" t="str">
        <f aca="false">IF($A84="N/A"," ",IF(AND(AL84=$AR$2+1,AU84=0),MIN($BB$87,AC84),0))</f>
        <v> </v>
      </c>
      <c r="BF84" s="346" t="str">
        <f aca="false">IF($A84="N/A"," ",IF(AND(AM84=$AR$2+1,AV84=0),MIN($BB$87,AD84),0))</f>
        <v> </v>
      </c>
      <c r="BG84" s="346" t="str">
        <f aca="false">IF($A84="N/A"," ",IF(AND(AN84=$AR$2+1,AW84=0),MIN($BB$87,AE84),0))</f>
        <v> </v>
      </c>
      <c r="BH84" s="346" t="str">
        <f aca="false">IF($A84="N/A"," ",IF(AND(AO84=$AR$2+1,AX84=0),MIN($BB$87,AF84),0))</f>
        <v> </v>
      </c>
      <c r="BI84" s="346" t="str">
        <f aca="false">IF($A84="N/A"," ",IF(AND(AP84=$AR$2+1,AY84=0),MIN($BB$87,AG84),0))</f>
        <v> </v>
      </c>
      <c r="BJ84" s="346" t="str">
        <f aca="false">IF($A84="N/A"," ",IF(AND(AQ84=$AR$2+1,AZ84=0),MIN($BB$87,AH84),0))</f>
        <v> </v>
      </c>
      <c r="BK84" s="346" t="str">
        <f aca="false">IF($A84="N/A"," ",IF(AND(AR84=$AR$2+1,BA84=0),MIN($BB$87,AI84),0))</f>
        <v> </v>
      </c>
      <c r="BL84" s="345"/>
      <c r="BM84" s="329" t="str">
        <f aca="false">IF($A84="N/A"," ",(IF(MONTH(A84)&gt;=4,IF(MONTH(A84)&lt;=10,Inputs!$F$13-Inputs!$G$13,Inputs!$F$14-Inputs!$G$14),Inputs!$F$14-Inputs!$G$14))*$CK84*Availability)</f>
        <v> </v>
      </c>
      <c r="BN84" s="330" t="str">
        <f aca="false">IF($A84="N/A"," ",(IF(AS84&gt;0,($BM84*(8*($HD84))*R84),0)+IF(BC84&gt;0,($BM84*((BC84/AA84)*8*$HD84)*R84),0)))</f>
        <v> </v>
      </c>
      <c r="BO84" s="330" t="str">
        <f aca="false">IF($A84="N/A"," ",(IF(AT84&gt;0,($BM84*(8*($HD84))*S84),0)+IF(BD84&gt;0,($BM84*((BD84/AB84)*8*$HD84)*S84),0)))</f>
        <v> </v>
      </c>
      <c r="BP84" s="330" t="str">
        <f aca="false">IF($A84="N/A"," ",(IF(AU84&gt;0,($BM84*(8*($HD84))*T84),0)+IF(BE84&gt;0,($BM84*((BE84))*T84),0)))</f>
        <v> </v>
      </c>
      <c r="BQ84" s="330" t="str">
        <f aca="false">IF($A84="N/A"," ",(IF(AV84&gt;0,($BM84*(8*($HE84))*U84),0)+IF(BF84&gt;0,($BM84*((BF84/AD84)*8*$HE84)*U84),0)))</f>
        <v> </v>
      </c>
      <c r="BR84" s="330" t="str">
        <f aca="false">IF($A84="N/A"," ",(IF(AW84&gt;0,($BM84*(8*($HE84))*V84),0)+IF(BG84&gt;0,($BM84*((BG84/AE84)*8*$HE84)*V84),0)))</f>
        <v> </v>
      </c>
      <c r="BS84" s="330" t="str">
        <f aca="false">IF($A84="N/A"," ",(IF(AX84&gt;0,($BM84*(8*($HE84))*W84),0)+IF(BH84&gt;0,($BM84*((BH84))*W84),0)))</f>
        <v> </v>
      </c>
      <c r="BT84" s="330" t="str">
        <f aca="false">IF($A84="N/A"," ",(IF(AY84&gt;0,($BM84*(8*($HF84))*X84),0)+IF(BI84&gt;0,($BM84*((BI84/AG84)*8*$HF84)*X84),0)))</f>
        <v> </v>
      </c>
      <c r="BU84" s="330" t="str">
        <f aca="false">IF($A84="N/A"," ",(IF(AZ84&gt;0,($BM84*(8*($HF84))*Y84),0)+IF(BJ84&gt;0,($BM84*((BJ84/AH84)*8*$HF84)*Y84),0)))</f>
        <v> </v>
      </c>
      <c r="BV84" s="330" t="str">
        <f aca="false">IF($A84="N/A"," ",(IF(BA84&gt;0,($BM84*(8*($HF84))*Z84),0)+IF(BK84&gt;0,($BM84*((BK84))*Z84),0)))</f>
        <v> </v>
      </c>
      <c r="BW84" s="330" t="str">
        <f aca="false">IF($A84="N/A"," ",SUM(BN84:BV84))</f>
        <v> </v>
      </c>
      <c r="BX84" s="331" t="str">
        <f aca="false">IF($A84="N/A"," ",(H84*(SUM(AS84:BA84)+SUM(BC84:BK84))*BM84))</f>
        <v> </v>
      </c>
      <c r="BY84" s="332" t="str">
        <f aca="false">IF($A84="N/A"," ",((C84*D84)*(SUM($AS84:$BA84)+SUM($BC84:$BK84))*$BM84))</f>
        <v> </v>
      </c>
      <c r="BZ84" s="332" t="str">
        <f aca="false">IF($A84="N/A"," ",(F84*(SUM($AS84:$BA84)+SUM($BC84:$BK84))*$BM84))</f>
        <v> </v>
      </c>
      <c r="CA84" s="333" t="str">
        <f aca="false">IF($A84="N/A"," ",(G84*(SUM($AS84:$BA84)+SUM($BC84:$BK84))*$BM84))</f>
        <v> </v>
      </c>
      <c r="CB84" s="334" t="str">
        <f aca="false">IF(A84="N/A"," ",(VLOOKUP(A84,PowerVolTable,(IF(BMO=2,7,IF(BMO=1,6,8))),FALSE())))</f>
        <v> </v>
      </c>
      <c r="CC84" s="334" t="str">
        <f aca="false">IF(A84="N/A"," ",(VLOOKUP(A84,IntraPowerVol,(IF(BMO=2,3,IF(BMO=1,2,4))),FALSE())*VLOOKUP(MONTH($A84),Volscale,2)))</f>
        <v> </v>
      </c>
      <c r="CD84" s="335" t="str">
        <f aca="false">IF($A84="N/A"," ",(IF(DateToday&gt;$A84,$CC84,((($CB84^2)*((($A84-1)-DateToday)/((EOMONTH($A84,0)+1)-DateToday-15)))+((($CC84)^2)*((15)/((EOMONTH($A84,0)+1)-DateToday-15))))^0.5)))</f>
        <v> </v>
      </c>
      <c r="CE84" s="334" t="str">
        <f aca="false">IF($A84="N/A"," ",(VLOOKUP($A84,GasVolTable,(IF(BMO=2,6,IF(BMO=1,7,5))),FALSE())))</f>
        <v> </v>
      </c>
      <c r="CF84" s="334" t="str">
        <f aca="false">IF($A84="N/A"," ",(VLOOKUP($A84,OmicronVol,(IF(BMO=2,3,IF(BMO=1,4,2))),FALSE())))</f>
        <v> </v>
      </c>
      <c r="CG84" s="335" t="str">
        <f aca="false">IF($A84="N/A"," ",(IF(DateToday&gt;$A84,$CF84,((($CE84^2)*((($A84-1)-DateToday)/((EOMONTH($A84,0)+1)-DateToday-15)))+((($CF84)^2)*((15)/((EOMONTH($A84,0)+1)-DateToday-15))))^0.5)))</f>
        <v> </v>
      </c>
      <c r="CH84" s="334" t="str">
        <f aca="false">IF($A84="N/A"," ",VLOOKUP($A84,CorrelationTable,2,FALSE()))</f>
        <v> </v>
      </c>
      <c r="CI84" s="336" t="str">
        <f aca="false">IF($A84="N/A"," ",F84+G84+(D84*('Pricing Inputs'!T117)))</f>
        <v> </v>
      </c>
      <c r="CJ84" s="334" t="str">
        <f aca="false">IF($A84="N/A"," ",IF(PV=1,0,'Pricing Inputs'!U117))</f>
        <v> </v>
      </c>
      <c r="CK84" s="337" t="str">
        <f aca="false">IF($A84="N/A"," ",(1+CJ84/2)^(-2*((EOMONTH(A84,0)+20)-DateToday)/365.25))</f>
        <v> </v>
      </c>
      <c r="CL84" s="338" t="str">
        <f aca="false">IF(A84="N/A"," ",IF(CC=2,(VLOOKUP(MONTH($A84),Hrtable,3))/1000,0))</f>
        <v> </v>
      </c>
      <c r="CM84" s="339" t="str">
        <f aca="false">IF(A84="N/A"," ",IF(CC=2,(CL84*C84)+F84,0))</f>
        <v> </v>
      </c>
      <c r="CN84" s="340" t="str">
        <f aca="false">IF($A84="N/A"," ",IF(CC=2,(VLOOKUP(A84,ScaledPrice,(IF(AND(Dayrun&gt;=1,Dayrun&lt;=6),2,4)))-((IF(R84&lt;&gt;0,$D84,$CL84)*$C84)+$F84+$G84)),0))</f>
        <v> </v>
      </c>
      <c r="CO84" s="340" t="str">
        <f aca="false">IF($A84="N/A"," ",IF(CC=2,(IF(AND(Dayrun&gt;=1,Dayrun&lt;=6),I84,(VLOOKUP(A84,ScaledPrice,2))*(2-(VLOOKUP(A84,ScaledPrice,3))))-((IF(S84&lt;&gt;0,$D84,$CL84)*$C84)+$F84+$G84)),0))</f>
        <v> </v>
      </c>
      <c r="CP84" s="340" t="str">
        <f aca="false">IF(A84="N/A"," ",IF(CC=2,(VLOOKUP(A84,ScaledPrice,9)-((IF(T84&lt;&gt;0,$D84,$CL84)*$C84)+$F84+$G84)),0))</f>
        <v> </v>
      </c>
      <c r="CQ84" s="340" t="str">
        <f aca="false">IF(A84="N/A"," ",IF(CC=2,(IF(OR(Dayrun=2,Dayrun=3,Dayrun=5,Dayrun=6,Dayrun=8,Dayrun=9),VLOOKUP(A84,ScaledPrice,IF(AND(Dayrun&gt;=2,Dayrun&lt;=6),5,6)),0)-((IF(U84&lt;&gt;0,$D84,$CL84)*$C84)+$F84+$G84)),0))</f>
        <v> </v>
      </c>
      <c r="CR84" s="340" t="str">
        <f aca="false">IF(A84="N/A"," ",IF(CC=2,(IF(OR(Dayrun=2,Dayrun=3,Dayrun=5,Dayrun=6,Dayrun=8,Dayrun=9),IF(AND(Dayrun&gt;=2,Dayrun&lt;=6),L84,(VLOOKUP(A84,ScaledPrice,5))*(2-(VLOOKUP(A84,ScaledPrice,3)))),0)-((IF(V84&lt;&gt;0,$D84,$CL84)*$C84)+$F84+$G84)),0))</f>
        <v> </v>
      </c>
      <c r="CS84" s="340" t="str">
        <f aca="false">IF(A84="N/A"," ",IF(CC=2,(VLOOKUP(A84,ScaledPrice,9)-((IF(W84&lt;&gt;0,$D84,$CL84)*$C84)+$F84+$G84)),0))</f>
        <v> </v>
      </c>
      <c r="CT84" s="340" t="str">
        <f aca="false">IF(A84="N/A"," ",IF(CC=2,(IF(OR(Dayrun=3,Dayrun=6,Dayrun=9),(VLOOKUP(A84,ScaledPrice,IF(AND(Dayrun&gt;=3,Dayrun&lt;=6),7,8))),0)-((IF(X84&lt;&gt;0,$D84,$CL84)*$C84)+$F84+$G84)),0))</f>
        <v> </v>
      </c>
      <c r="CU84" s="340" t="str">
        <f aca="false">IF(A84="N/A"," ",IF(CC=2,(IF(OR(Dayrun=3,Dayrun=6,Dayrun=9),IF(AND(Dayrun&gt;=3,Dayrun&lt;=6),O84,(VLOOKUP(A84,ScaledPrice,7))*(2-(VLOOKUP(A84,ScaledPrice,3)))),0)-((IF(Y84&lt;&gt;0,$D84,$CL84)*$C84)+$F84+$G84)),0))</f>
        <v> </v>
      </c>
      <c r="CV84" s="340" t="str">
        <f aca="false">IF(A84="N/A"," ",IF(CC=2,(VLOOKUP(A84,ScaledPrice,9)-((IF(Z84&lt;&gt;0,$D84,$CL84)*$C84)+$F84+$G84)),0))</f>
        <v> </v>
      </c>
      <c r="CW84" s="318" t="str">
        <f aca="false">IF($A84="N/A"," ",IF(0&lt;&gt;CN84,IF(CC=2,8*$HD84,0),0))</f>
        <v> </v>
      </c>
      <c r="CX84" s="318" t="str">
        <f aca="false">IF($A84="N/A"," ",IF(0&lt;&gt;CO84,IF(CC=2,8*$HD84,0),0))</f>
        <v> </v>
      </c>
      <c r="CY84" s="318" t="str">
        <f aca="false">IF($A84="N/A"," ",IF(0&lt;&gt;CP84,IF(CC=2,8*$HD84,0),0))</f>
        <v> </v>
      </c>
      <c r="CZ84" s="318" t="str">
        <f aca="false">IF($A84="N/A"," ",IF(0&lt;&gt;CQ84,IF(CC=2,8*$HE84,0),0))</f>
        <v> </v>
      </c>
      <c r="DA84" s="318" t="str">
        <f aca="false">IF($A84="N/A"," ",IF(0&lt;&gt;CR84,IF(CC=2,8*$HE84,0),0))</f>
        <v> </v>
      </c>
      <c r="DB84" s="318" t="str">
        <f aca="false">IF($A84="N/A"," ",IF(0&lt;&gt;CS84,IF(CC=2,8*$HE84,0),0))</f>
        <v> </v>
      </c>
      <c r="DC84" s="318" t="str">
        <f aca="false">IF($A84="N/A"," ",IF(0&lt;&gt;CT84,IF(CC=2,8*$HF84,0),0))</f>
        <v> </v>
      </c>
      <c r="DD84" s="318" t="str">
        <f aca="false">IF($A84="N/A"," ",IF(0&lt;&gt;CU84,IF(CC=2,8*$HF84,0),0))</f>
        <v> </v>
      </c>
      <c r="DE84" s="318" t="str">
        <f aca="false">IF($A84="N/A"," ",IF(0&lt;&gt;CV84,IF(CC=2,8*$HF84,0),0))</f>
        <v> </v>
      </c>
      <c r="DF84" s="341" t="str">
        <f aca="false">IF($A84="N/A"," ",IF(CC=2,(IF(MONTH(A84)&gt;=4,IF(MONTH(A84)&lt;=10,Inputs!$G$13,Inputs!$G$14),Inputs!$G$14))*$CK84,0))</f>
        <v> </v>
      </c>
      <c r="DG84" s="342" t="str">
        <f aca="false">IF($A84="N/A"," ",IF(CC=2,$DF84*CW84*CN84,0))</f>
        <v> </v>
      </c>
      <c r="DH84" s="342" t="str">
        <f aca="false">IF($A84="N/A"," ",IF(CC=2,$DF84*CX84*CO84,0))</f>
        <v> </v>
      </c>
      <c r="DI84" s="342" t="str">
        <f aca="false">IF($A84="N/A"," ",IF(CC=2,$DF84*CY84*CP84,0))</f>
        <v> </v>
      </c>
      <c r="DJ84" s="342" t="str">
        <f aca="false">IF($A84="N/A"," ",IF(CC=2,$DF84*CZ84*CQ84,0))</f>
        <v> </v>
      </c>
      <c r="DK84" s="342" t="str">
        <f aca="false">IF($A84="N/A"," ",IF(CC=2,$DF84*DA84*CR84,0))</f>
        <v> </v>
      </c>
      <c r="DL84" s="342" t="str">
        <f aca="false">IF($A84="N/A"," ",IF(CC=2,$DF84*DB84*CS84,0))</f>
        <v> </v>
      </c>
      <c r="DM84" s="342" t="str">
        <f aca="false">IF($A84="N/A"," ",IF(CC=2,$DF84*DC84*CT84,0))</f>
        <v> </v>
      </c>
      <c r="DN84" s="342" t="str">
        <f aca="false">IF($A84="N/A"," ",IF(CC=2,$DF84*DD84*CU84,0))</f>
        <v> </v>
      </c>
      <c r="DO84" s="342" t="str">
        <f aca="false">IF($A84="N/A"," ",IF(CC=2,$DF84*DE84*CV84,0))</f>
        <v> </v>
      </c>
      <c r="DP84" s="343" t="str">
        <f aca="false">IF($A84="N/A"," ",IF(CC=2,SUM(DG84:DO84),0))</f>
        <v> </v>
      </c>
      <c r="DQ84" s="0" t="str">
        <f aca="false">IF(A84="N/A"," ",Perstart)</f>
        <v> </v>
      </c>
      <c r="HD84" s="0" t="str">
        <f aca="false">IF($A84="N/A"," ",VLOOKUP($A84,NumberofDaysTable,2))</f>
        <v> </v>
      </c>
      <c r="HE84" s="0" t="str">
        <f aca="false">IF($A84="N/A"," ",VLOOKUP($A84,NumberofDaysTable,3))</f>
        <v> </v>
      </c>
      <c r="HF84" s="0" t="str">
        <f aca="false">IF($A84="N/A"," ",VLOOKUP($A84,NumberofDaysTable,4))</f>
        <v> </v>
      </c>
    </row>
    <row r="85" customFormat="false" ht="12.75" hidden="false" customHeight="false" outlineLevel="0" collapsed="false">
      <c r="A85" s="308" t="str">
        <f aca="false">IF(A84="N/A","N/A",IF(EDATE(A84,1)&gt;Inputs!$K$3,"N/A",EDATE(A84,1)))</f>
        <v>N/A</v>
      </c>
      <c r="B85" s="309" t="str">
        <f aca="false">IF(A85="N/A"," ",YEAR(A85))</f>
        <v> </v>
      </c>
      <c r="C85" s="310" t="str">
        <f aca="false">IF(A85="N/A"," ",VLOOKUP(A85,ScaledPrice,10))</f>
        <v> </v>
      </c>
      <c r="D85" s="311" t="str">
        <f aca="false">IF(A85="N/A"," ",(VLOOKUP(MONTH($A85),Hrtable,2))/1000)</f>
        <v> </v>
      </c>
      <c r="E85" s="312" t="str">
        <f aca="false">IF($A85="N/A"," ",(C85-'Pricing Inputs'!T118)*D85)</f>
        <v> </v>
      </c>
      <c r="F85" s="313" t="str">
        <f aca="false">IF(A85="N/A"," ",$F73*(1+VOMesc))</f>
        <v> </v>
      </c>
      <c r="G85" s="313" t="str">
        <f aca="false">IF(A85="N/A"," ",Perstart/IF(AND(Dayrun&gt;=4,Dayrun&lt;=6),16,IF(AND(Dayrun&gt;=7,Dayrun&lt;=9),8,24))/(BM85/CK85))</f>
        <v> </v>
      </c>
      <c r="H85" s="314" t="str">
        <f aca="false">IF(A85="N/A"," ",(C85*D85)+F85+G85)</f>
        <v> </v>
      </c>
      <c r="I85" s="315" t="str">
        <f aca="false">VLOOKUP(A85,ScaledPrice,(IF(AND(Dayrun&gt;=1,Dayrun&lt;=6),2,4)))</f>
        <v> </v>
      </c>
      <c r="J85" s="315" t="str">
        <f aca="false">IF(A85="N/A"," ",IF(AND(Dayrun&gt;=1,Dayrun&lt;=6),I85,(VLOOKUP(A85,ScaledPrice,2))*(2-(VLOOKUP(A85,ScaledPrice,3)))))</f>
        <v> </v>
      </c>
      <c r="K85" s="315" t="str">
        <f aca="false">IF(A85="N/A"," ",IF(AND(Dayrun&gt;=1,Dayrun&lt;=3),VLOOKUP(A85,ScaledPrice,9),0))</f>
        <v> </v>
      </c>
      <c r="L85" s="315" t="str">
        <f aca="false">IF(A85="N/A"," ",IF(OR(Dayrun=2,Dayrun=3,Dayrun=5,Dayrun=6,Dayrun=8,Dayrun=9),VLOOKUP(A85,ScaledPrice,IF(AND(Dayrun&gt;=2,Dayrun&lt;=6),5,6)),0))</f>
        <v> </v>
      </c>
      <c r="M85" s="315" t="str">
        <f aca="false">IF(A85="N/A"," ",IF(OR(Dayrun=2,Dayrun=3,Dayrun=5,Dayrun=6,Dayrun=8,Dayrun=9),IF(AND(Dayrun&gt;=2,Dayrun&lt;=6),L85,(VLOOKUP(A85,ScaledPrice,5))*(2-(VLOOKUP(A85,ScaledPrice,3)))),0))</f>
        <v> </v>
      </c>
      <c r="N85" s="315" t="str">
        <f aca="false">IF(A85="N/A"," ",IF(AND(Dayrun&gt;1,Dayrun&lt;=3),VLOOKUP(A85,ScaledPrice,9),0))</f>
        <v> </v>
      </c>
      <c r="O85" s="315" t="str">
        <f aca="false">IF(A85="N/A"," ",IF(OR(Dayrun=3,Dayrun=6,Dayrun=9),(VLOOKUP(A85,ScaledPrice,IF(AND(Dayrun&gt;=3,Dayrun&lt;=6),7,8))),0))</f>
        <v> </v>
      </c>
      <c r="P85" s="315" t="str">
        <f aca="false">IF(A85="N/A"," ",IF(OR(Dayrun=3,Dayrun=6,Dayrun=9),IF(AND(Dayrun&gt;=3,Dayrun&lt;=6),O85,(VLOOKUP(A85,ScaledPrice,7))*(2-(VLOOKUP(A85,ScaledPrice,3)))),0))</f>
        <v> </v>
      </c>
      <c r="Q85" s="315" t="str">
        <f aca="false">IF(A85="N/A"," ",IF(AND(Dayrun&gt;2,Dayrun&lt;=3),VLOOKUP(A85,ScaledPrice,9),0))</f>
        <v> </v>
      </c>
      <c r="R85" s="316" t="str">
        <f aca="false">IF($A85="N/A"," ",IF(Pricetype=2,MAX(I85-$H85,0),IF(Pricetype=1,(xSPRDOPT(I85,$E85,$CI85,0,($CD85+IF(Smile=TRUE(),VLOOKUP(MAX(-5,$H85-I85),Volsmile,2),0)),$CG85,$CH85,($A85-DateToday)+15,1,0)),I85-$H85)))</f>
        <v> </v>
      </c>
      <c r="S85" s="316" t="str">
        <f aca="false">IF($A85="N/A"," ",IF(Pricetype=2,MAX(J85-$H85,0),IF(Pricetype=1,(xSPRDOPT(J85,$E85,$CI85,0,($CD85+IF(Smile=TRUE(),VLOOKUP(MAX(-5,$H85-J85),Volsmile,2),0)),$CG85,$CH85,($A85-DateToday)+15,1,0)),J85-$H85)))</f>
        <v> </v>
      </c>
      <c r="T85" s="317" t="str">
        <f aca="false">IF($A85="N/A"," ",(IF(Pricetype=2,IF((K85-$H85)&lt;=0,0,(K85-$H85)),IF(K85&lt;&gt;0,(K85-$H85),0))))</f>
        <v> </v>
      </c>
      <c r="U85" s="316" t="str">
        <f aca="false">IF($A85="N/A"," ",IF(Pricetype=2,MAX(L85-$H85,0),IF(L85&lt;&gt;0,IF(Pricetype=1,(xSPRDOPT(L85,$E85,$CI85,0,($CD85+IF(Smile=TRUE(),VLOOKUP(MAX(-5,$H85-L85),Volsmile,2),0)),$CG85,$CH85,($A85-DateToday)+15,1,0)),L85-$H85),0)))</f>
        <v> </v>
      </c>
      <c r="V85" s="316" t="str">
        <f aca="false">IF($A85="N/A"," ",IF(Pricetype=2,MAX(M85-$H85,0),IF(M85&lt;&gt;0,IF(Pricetype=1,(xSPRDOPT(M85,$E85,$CI85,0,($CD85+IF(Smile=TRUE(),VLOOKUP(MAX(-5,$H85-M85),Volsmile,2),0)),$CG85,$CH85,($A85-DateToday)+15,1,0)),M85-$H85),0)))</f>
        <v> </v>
      </c>
      <c r="W85" s="317" t="str">
        <f aca="false">IF($A85="N/A"," ",(IF(Pricetype=2,IF((N85-$H85)&lt;=0,0,(N85-$H85)),IF(N85&lt;&gt;0,(N85-$H85),0))))</f>
        <v> </v>
      </c>
      <c r="X85" s="316" t="str">
        <f aca="false">IF($A85="N/A"," ",IF(Pricetype=2,MAX(O85-$H85,0),IF(O85&lt;&gt;0,IF(Pricetype=1,(xSPRDOPT(O85,$E85,$CI85,0,($CD85+IF(Smile=TRUE(),VLOOKUP(MAX(-5,$H85-O85),Volsmile,2),0)),$CG85,$CH85,($A85-DateToday)+15,1,0)),O85-$H85),0)))</f>
        <v> </v>
      </c>
      <c r="Y85" s="316" t="str">
        <f aca="false">IF($A85="N/A"," ",IF(Pricetype=2,MAX(P85-$H85,0),IF(P85&lt;&gt;0,IF(Pricetype=1,(xSPRDOPT(P85,$E85,$CI85,0,($CD85+IF(Smile=TRUE(),VLOOKUP(MAX(-5,$H85-P85),Volsmile,2),0)),$CG85,$CH85,($A85-DateToday)+15,1,0)),P85-$H85),0)))</f>
        <v> </v>
      </c>
      <c r="Z85" s="317" t="str">
        <f aca="false">IF($A85="N/A"," ",(IF(Pricetype=2,IF((Q85-$H85)&lt;=0,0,(Q85-$H85)),IF(Q85&lt;&gt;0,(Q85-$H85),0))))</f>
        <v> </v>
      </c>
      <c r="AA85" s="318" t="str">
        <f aca="false">IF($A85="N/A"," ",IF(VLOOKUP(MONTH(A85),ManualTable,2)=1,(IF(0&lt;&gt;R85,IF(Pricetype=1,(xSPRDOPT(I85,$E85,$CI85,0,($CD85+IF(Smile=TRUE(),VLOOKUP(MAX(-5,$H85-I85),Volsmile,2),0)),$CG85,$CH85,($A85-DateToday)+15,1,1))*(8*$HD85),8*$HD85),0)),0))</f>
        <v> </v>
      </c>
      <c r="AB85" s="318" t="str">
        <f aca="false">IF($A85="N/A"," ",IF(VLOOKUP(MONTH(A85),ManualTable,3)=1,(IF(S85&lt;&gt;0,IF(Pricetype=1,(xSPRDOPT(J85,$E85,$CI85,0,($CD85+IF(Smile=TRUE(),VLOOKUP(MAX(-5,$H85-J85),Volsmile,2),0)),$CG85,$CH85,($A85-DateToday)+15,1,1))*(8*$HD85),8*$HD85),0)),0))</f>
        <v> </v>
      </c>
      <c r="AC85" s="318" t="str">
        <f aca="false">IF($A85="N/A"," ",IF(VLOOKUP(MONTH(A85),ManualTable,4)=1,(IF(T85&lt;&gt;0,(8*$HD85),0)),0))</f>
        <v> </v>
      </c>
      <c r="AD85" s="318" t="str">
        <f aca="false">IF($A85="N/A"," ",IF(VLOOKUP(MONTH(A85),ManualTable,5)=1,(IF(U85&lt;&gt;0,IF(Pricetype=1,(xSPRDOPT(L85,$E85,$CI85,0,($CD85+IF(Smile=TRUE(),VLOOKUP(MAX(-5,$H85-L85),Volsmile,2),0)),$CG85,$CH85,($A85-DateToday)+15,1,1))*(8*$HE85),8*$HE85),0)),0))</f>
        <v> </v>
      </c>
      <c r="AE85" s="318" t="str">
        <f aca="false">IF($A85="N/A"," ",IF(VLOOKUP(MONTH(A85),ManualTable,6)=1,(IF(V85&lt;&gt;0,IF(Pricetype=1,(xSPRDOPT(M85,$E85,$CI85,0,($CD85+IF(Smile=TRUE(),VLOOKUP(MAX(-5,$H85-M85),Volsmile,2),0)),$CG85,$CH85,($A85-DateToday)+15,1,1))*(8*$HE85),8*$HE85),0)),0))</f>
        <v> </v>
      </c>
      <c r="AF85" s="318" t="str">
        <f aca="false">IF($A85="N/A"," ",IF(VLOOKUP(MONTH(A85),ManualTable,7)=1,(IF(W85&lt;&gt;0,(8*$HE85),0)),0))</f>
        <v> </v>
      </c>
      <c r="AG85" s="318" t="str">
        <f aca="false">IF($A85="N/A"," ",IF(VLOOKUP(MONTH(A85),ManualTable,8)=1,(IF(X85&lt;&gt;0,IF(Pricetype=1,(xSPRDOPT(O85,$E85,$CI85,0,($CD85+IF(Smile=TRUE(),VLOOKUP(MAX(-5,$H85-O85),Volsmile,2),0)),$CG85,$CH85,($A85-DateToday)+15,1,1))*(8*$HF85),8*$HF85),0)),0))</f>
        <v> </v>
      </c>
      <c r="AH85" s="318" t="str">
        <f aca="false">IF($A85="N/A"," ",IF(VLOOKUP(MONTH(A85),ManualTable,9)=1,(IF(Y85&lt;&gt;0,IF(Pricetype=1,(xSPRDOPT(P85,$E85,$CI85,0,($CD85+IF(Smile=TRUE(),VLOOKUP(MAX(-5,$H85-P85),Volsmile,2),0)),$CG85,$CH85,($A85-DateToday)+15,1,1))*(8*$HF85),8*$HF85),0)),0))</f>
        <v> </v>
      </c>
      <c r="AI85" s="318" t="str">
        <f aca="false">IF($A85="N/A"," ",IF(VLOOKUP(MONTH(A85),ManualTable,10)=1,(IF(Z85&lt;&gt;0,(8*($HF85)),0)),0))</f>
        <v> </v>
      </c>
      <c r="AJ85" s="344" t="str">
        <f aca="false">IF($A85="N/A"," ",RANK(R85,$R$76:$Z$87))</f>
        <v> </v>
      </c>
      <c r="AK85" s="321" t="str">
        <f aca="false">IF($A85="N/A"," ",RANK(S85,$R$76:$Z$87))</f>
        <v> </v>
      </c>
      <c r="AL85" s="321" t="str">
        <f aca="false">IF($A85="N/A"," ",RANK(T85,$R$76:$Z$87))</f>
        <v> </v>
      </c>
      <c r="AM85" s="321" t="str">
        <f aca="false">IF($A85="N/A"," ",RANK(U85,$R$76:$Z$87))</f>
        <v> </v>
      </c>
      <c r="AN85" s="321" t="str">
        <f aca="false">IF($A85="N/A"," ",RANK(V85,$R$76:$Z$87))</f>
        <v> </v>
      </c>
      <c r="AO85" s="321" t="str">
        <f aca="false">IF($A85="N/A"," ",RANK(W85,$R$76:$Z$87))</f>
        <v> </v>
      </c>
      <c r="AP85" s="321" t="str">
        <f aca="false">IF($A85="N/A"," ",RANK(X85,$R$76:$Z$87))</f>
        <v> </v>
      </c>
      <c r="AQ85" s="321" t="str">
        <f aca="false">IF($A85="N/A"," ",RANK(Y85,$R$76:$Z$87))</f>
        <v> </v>
      </c>
      <c r="AR85" s="345" t="str">
        <f aca="false">IF($A85="N/A"," ",RANK(Z85,$R$76:$Z$87))</f>
        <v> </v>
      </c>
      <c r="AS85" s="323" t="str">
        <f aca="false">IF($A85="N/A"," ",IF(AJ85&lt;=$AR$2,AA85,0))</f>
        <v> </v>
      </c>
      <c r="AT85" s="325" t="str">
        <f aca="false">IF($A85="N/A"," ",IF(AK85&lt;=$AR$2,AB85,0))</f>
        <v> </v>
      </c>
      <c r="AU85" s="325" t="str">
        <f aca="false">IF($A85="N/A"," ",IF(AL85&lt;=$AR$2,AC85,0))</f>
        <v> </v>
      </c>
      <c r="AV85" s="325" t="str">
        <f aca="false">IF($A85="N/A"," ",IF(AM85&lt;=$AR$2,AD85,0))</f>
        <v> </v>
      </c>
      <c r="AW85" s="325" t="str">
        <f aca="false">IF($A85="N/A"," ",IF(AN85&lt;=$AR$2,AE85,0))</f>
        <v> </v>
      </c>
      <c r="AX85" s="325" t="str">
        <f aca="false">IF($A85="N/A"," ",IF(AO85&lt;=$AR$2,AF85,0))</f>
        <v> </v>
      </c>
      <c r="AY85" s="325" t="str">
        <f aca="false">IF($A85="N/A"," ",IF(AP85&lt;=$AR$2,AG85,0))</f>
        <v> </v>
      </c>
      <c r="AZ85" s="325" t="str">
        <f aca="false">IF($A85="N/A"," ",IF(AQ85&lt;=$AR$2,AH85,0))</f>
        <v> </v>
      </c>
      <c r="BA85" s="325" t="str">
        <f aca="false">IF($A85="N/A"," ",IF(AR85&lt;=$AR$2,AI85,0))</f>
        <v> </v>
      </c>
      <c r="BB85" s="348" t="s">
        <v>1319</v>
      </c>
      <c r="BC85" s="326" t="str">
        <f aca="false">IF($A85="N/A"," ",IF(AND(AJ85=$AR$2+1,AS85=0),MIN($BB$87,AA85),0))</f>
        <v> </v>
      </c>
      <c r="BD85" s="346" t="str">
        <f aca="false">IF($A85="N/A"," ",IF(AND(AK85=$AR$2+1,AT85=0),MIN($BB$87,AB85),0))</f>
        <v> </v>
      </c>
      <c r="BE85" s="346" t="str">
        <f aca="false">IF($A85="N/A"," ",IF(AND(AL85=$AR$2+1,AU85=0),MIN($BB$87,AC85),0))</f>
        <v> </v>
      </c>
      <c r="BF85" s="346" t="str">
        <f aca="false">IF($A85="N/A"," ",IF(AND(AM85=$AR$2+1,AV85=0),MIN($BB$87,AD85),0))</f>
        <v> </v>
      </c>
      <c r="BG85" s="346" t="str">
        <f aca="false">IF($A85="N/A"," ",IF(AND(AN85=$AR$2+1,AW85=0),MIN($BB$87,AE85),0))</f>
        <v> </v>
      </c>
      <c r="BH85" s="346" t="str">
        <f aca="false">IF($A85="N/A"," ",IF(AND(AO85=$AR$2+1,AX85=0),MIN($BB$87,AF85),0))</f>
        <v> </v>
      </c>
      <c r="BI85" s="346" t="str">
        <f aca="false">IF($A85="N/A"," ",IF(AND(AP85=$AR$2+1,AY85=0),MIN($BB$87,AG85),0))</f>
        <v> </v>
      </c>
      <c r="BJ85" s="346" t="str">
        <f aca="false">IF($A85="N/A"," ",IF(AND(AQ85=$AR$2+1,AZ85=0),MIN($BB$87,AH85),0))</f>
        <v> </v>
      </c>
      <c r="BK85" s="346" t="str">
        <f aca="false">IF($A85="N/A"," ",IF(AND(AR85=$AR$2+1,BA85=0),MIN($BB$87,AI85),0))</f>
        <v> </v>
      </c>
      <c r="BL85" s="347" t="s">
        <v>1359</v>
      </c>
      <c r="BM85" s="329" t="str">
        <f aca="false">IF($A85="N/A"," ",(IF(MONTH(A85)&gt;=4,IF(MONTH(A85)&lt;=10,Inputs!$F$13-Inputs!$G$13,Inputs!$F$14-Inputs!$G$14),Inputs!$F$14-Inputs!$G$14))*$CK85*Availability)</f>
        <v> </v>
      </c>
      <c r="BN85" s="330" t="str">
        <f aca="false">IF($A85="N/A"," ",(IF(AS85&gt;0,($BM85*(8*($HD85))*R85),0)+IF(BC85&gt;0,($BM85*((BC85/AA85)*8*$HD85)*R85),0)))</f>
        <v> </v>
      </c>
      <c r="BO85" s="330" t="str">
        <f aca="false">IF($A85="N/A"," ",(IF(AT85&gt;0,($BM85*(8*($HD85))*S85),0)+IF(BD85&gt;0,($BM85*((BD85/AB85)*8*$HD85)*S85),0)))</f>
        <v> </v>
      </c>
      <c r="BP85" s="330" t="str">
        <f aca="false">IF($A85="N/A"," ",(IF(AU85&gt;0,($BM85*(8*($HD85))*T85),0)+IF(BE85&gt;0,($BM85*((BE85))*T85),0)))</f>
        <v> </v>
      </c>
      <c r="BQ85" s="330" t="str">
        <f aca="false">IF($A85="N/A"," ",(IF(AV85&gt;0,($BM85*(8*($HE85))*U85),0)+IF(BF85&gt;0,($BM85*((BF85/AD85)*8*$HE85)*U85),0)))</f>
        <v> </v>
      </c>
      <c r="BR85" s="330" t="str">
        <f aca="false">IF($A85="N/A"," ",(IF(AW85&gt;0,($BM85*(8*($HE85))*V85),0)+IF(BG85&gt;0,($BM85*((BG85/AE85)*8*$HE85)*V85),0)))</f>
        <v> </v>
      </c>
      <c r="BS85" s="330" t="str">
        <f aca="false">IF($A85="N/A"," ",(IF(AX85&gt;0,($BM85*(8*($HE85))*W85),0)+IF(BH85&gt;0,($BM85*((BH85))*W85),0)))</f>
        <v> </v>
      </c>
      <c r="BT85" s="330" t="str">
        <f aca="false">IF($A85="N/A"," ",(IF(AY85&gt;0,($BM85*(8*($HF85))*X85),0)+IF(BI85&gt;0,($BM85*((BI85/AG85)*8*$HF85)*X85),0)))</f>
        <v> </v>
      </c>
      <c r="BU85" s="330" t="str">
        <f aca="false">IF($A85="N/A"," ",(IF(AZ85&gt;0,($BM85*(8*($HF85))*Y85),0)+IF(BJ85&gt;0,($BM85*((BJ85/AH85)*8*$HF85)*Y85),0)))</f>
        <v> </v>
      </c>
      <c r="BV85" s="330" t="str">
        <f aca="false">IF($A85="N/A"," ",(IF(BA85&gt;0,($BM85*(8*($HF85))*Z85),0)+IF(BK85&gt;0,($BM85*((BK85))*Z85),0)))</f>
        <v> </v>
      </c>
      <c r="BW85" s="330" t="str">
        <f aca="false">IF($A85="N/A"," ",SUM(BN85:BV85))</f>
        <v> </v>
      </c>
      <c r="BX85" s="331" t="str">
        <f aca="false">IF($A85="N/A"," ",(H85*(SUM(AS85:BA85)+SUM(BC85:BK85))*BM85))</f>
        <v> </v>
      </c>
      <c r="BY85" s="332" t="str">
        <f aca="false">IF($A85="N/A"," ",((C85*D85)*(SUM($AS85:$BA85)+SUM($BC85:$BK85))*$BM85))</f>
        <v> </v>
      </c>
      <c r="BZ85" s="332" t="str">
        <f aca="false">IF($A85="N/A"," ",(F85*(SUM($AS85:$BA85)+SUM($BC85:$BK85))*$BM85))</f>
        <v> </v>
      </c>
      <c r="CA85" s="333" t="str">
        <f aca="false">IF($A85="N/A"," ",(G85*(SUM($AS85:$BA85)+SUM($BC85:$BK85))*$BM85))</f>
        <v> </v>
      </c>
      <c r="CB85" s="334" t="str">
        <f aca="false">IF(A85="N/A"," ",(VLOOKUP(A85,PowerVolTable,(IF(BMO=2,7,IF(BMO=1,6,8))),FALSE())))</f>
        <v> </v>
      </c>
      <c r="CC85" s="334" t="str">
        <f aca="false">IF(A85="N/A"," ",(VLOOKUP(A85,IntraPowerVol,(IF(BMO=2,3,IF(BMO=1,2,4))),FALSE())*VLOOKUP(MONTH($A85),Volscale,2)))</f>
        <v> </v>
      </c>
      <c r="CD85" s="335" t="str">
        <f aca="false">IF($A85="N/A"," ",(IF(DateToday&gt;$A85,$CC85,((($CB85^2)*((($A85-1)-DateToday)/((EOMONTH($A85,0)+1)-DateToday-15)))+((($CC85)^2)*((15)/((EOMONTH($A85,0)+1)-DateToday-15))))^0.5)))</f>
        <v> </v>
      </c>
      <c r="CE85" s="334" t="str">
        <f aca="false">IF($A85="N/A"," ",(VLOOKUP($A85,GasVolTable,(IF(BMO=2,6,IF(BMO=1,7,5))),FALSE())))</f>
        <v> </v>
      </c>
      <c r="CF85" s="334" t="str">
        <f aca="false">IF($A85="N/A"," ",(VLOOKUP($A85,OmicronVol,(IF(BMO=2,3,IF(BMO=1,4,2))),FALSE())))</f>
        <v> </v>
      </c>
      <c r="CG85" s="335" t="str">
        <f aca="false">IF($A85="N/A"," ",(IF(DateToday&gt;$A85,$CF85,((($CE85^2)*((($A85-1)-DateToday)/((EOMONTH($A85,0)+1)-DateToday-15)))+((($CF85)^2)*((15)/((EOMONTH($A85,0)+1)-DateToday-15))))^0.5)))</f>
        <v> </v>
      </c>
      <c r="CH85" s="334" t="str">
        <f aca="false">IF($A85="N/A"," ",VLOOKUP($A85,CorrelationTable,2,FALSE()))</f>
        <v> </v>
      </c>
      <c r="CI85" s="336" t="str">
        <f aca="false">IF($A85="N/A"," ",F85+G85+(D85*('Pricing Inputs'!T118)))</f>
        <v> </v>
      </c>
      <c r="CJ85" s="334" t="str">
        <f aca="false">IF($A85="N/A"," ",IF(PV=1,0,'Pricing Inputs'!U118))</f>
        <v> </v>
      </c>
      <c r="CK85" s="337" t="str">
        <f aca="false">IF($A85="N/A"," ",(1+CJ85/2)^(-2*((EOMONTH(A85,0)+20)-DateToday)/365.25))</f>
        <v> </v>
      </c>
      <c r="CL85" s="338" t="str">
        <f aca="false">IF(A85="N/A"," ",IF(CC=2,(VLOOKUP(MONTH($A85),Hrtable,3))/1000,0))</f>
        <v> </v>
      </c>
      <c r="CM85" s="339" t="str">
        <f aca="false">IF(A85="N/A"," ",IF(CC=2,(CL85*C85)+F85,0))</f>
        <v> </v>
      </c>
      <c r="CN85" s="340" t="str">
        <f aca="false">IF($A85="N/A"," ",IF(CC=2,(VLOOKUP(A85,ScaledPrice,(IF(AND(Dayrun&gt;=1,Dayrun&lt;=6),2,4)))-((IF(R85&lt;&gt;0,$D85,$CL85)*$C85)+$F85+$G85)),0))</f>
        <v> </v>
      </c>
      <c r="CO85" s="340" t="str">
        <f aca="false">IF($A85="N/A"," ",IF(CC=2,(IF(AND(Dayrun&gt;=1,Dayrun&lt;=6),I85,(VLOOKUP(A85,ScaledPrice,2))*(2-(VLOOKUP(A85,ScaledPrice,3))))-((IF(S85&lt;&gt;0,$D85,$CL85)*$C85)+$F85+$G85)),0))</f>
        <v> </v>
      </c>
      <c r="CP85" s="340" t="str">
        <f aca="false">IF(A85="N/A"," ",IF(CC=2,(VLOOKUP(A85,ScaledPrice,9)-((IF(T85&lt;&gt;0,$D85,$CL85)*$C85)+$F85+$G85)),0))</f>
        <v> </v>
      </c>
      <c r="CQ85" s="340" t="str">
        <f aca="false">IF(A85="N/A"," ",IF(CC=2,(IF(OR(Dayrun=2,Dayrun=3,Dayrun=5,Dayrun=6,Dayrun=8,Dayrun=9),VLOOKUP(A85,ScaledPrice,IF(AND(Dayrun&gt;=2,Dayrun&lt;=6),5,6)),0)-((IF(U85&lt;&gt;0,$D85,$CL85)*$C85)+$F85+$G85)),0))</f>
        <v> </v>
      </c>
      <c r="CR85" s="340" t="str">
        <f aca="false">IF(A85="N/A"," ",IF(CC=2,(IF(OR(Dayrun=2,Dayrun=3,Dayrun=5,Dayrun=6,Dayrun=8,Dayrun=9),IF(AND(Dayrun&gt;=2,Dayrun&lt;=6),L85,(VLOOKUP(A85,ScaledPrice,5))*(2-(VLOOKUP(A85,ScaledPrice,3)))),0)-((IF(V85&lt;&gt;0,$D85,$CL85)*$C85)+$F85+$G85)),0))</f>
        <v> </v>
      </c>
      <c r="CS85" s="340" t="str">
        <f aca="false">IF(A85="N/A"," ",IF(CC=2,(VLOOKUP(A85,ScaledPrice,9)-((IF(W85&lt;&gt;0,$D85,$CL85)*$C85)+$F85+$G85)),0))</f>
        <v> </v>
      </c>
      <c r="CT85" s="340" t="str">
        <f aca="false">IF(A85="N/A"," ",IF(CC=2,(IF(OR(Dayrun=3,Dayrun=6,Dayrun=9),(VLOOKUP(A85,ScaledPrice,IF(AND(Dayrun&gt;=3,Dayrun&lt;=6),7,8))),0)-((IF(X85&lt;&gt;0,$D85,$CL85)*$C85)+$F85+$G85)),0))</f>
        <v> </v>
      </c>
      <c r="CU85" s="340" t="str">
        <f aca="false">IF(A85="N/A"," ",IF(CC=2,(IF(OR(Dayrun=3,Dayrun=6,Dayrun=9),IF(AND(Dayrun&gt;=3,Dayrun&lt;=6),O85,(VLOOKUP(A85,ScaledPrice,7))*(2-(VLOOKUP(A85,ScaledPrice,3)))),0)-((IF(Y85&lt;&gt;0,$D85,$CL85)*$C85)+$F85+$G85)),0))</f>
        <v> </v>
      </c>
      <c r="CV85" s="340" t="str">
        <f aca="false">IF(A85="N/A"," ",IF(CC=2,(VLOOKUP(A85,ScaledPrice,9)-((IF(Z85&lt;&gt;0,$D85,$CL85)*$C85)+$F85+$G85)),0))</f>
        <v> </v>
      </c>
      <c r="CW85" s="318" t="str">
        <f aca="false">IF($A85="N/A"," ",IF(0&lt;&gt;CN85,IF(CC=2,8*$HD85,0),0))</f>
        <v> </v>
      </c>
      <c r="CX85" s="318" t="str">
        <f aca="false">IF($A85="N/A"," ",IF(0&lt;&gt;CO85,IF(CC=2,8*$HD85,0),0))</f>
        <v> </v>
      </c>
      <c r="CY85" s="318" t="str">
        <f aca="false">IF($A85="N/A"," ",IF(0&lt;&gt;CP85,IF(CC=2,8*$HD85,0),0))</f>
        <v> </v>
      </c>
      <c r="CZ85" s="318" t="str">
        <f aca="false">IF($A85="N/A"," ",IF(0&lt;&gt;CQ85,IF(CC=2,8*$HE85,0),0))</f>
        <v> </v>
      </c>
      <c r="DA85" s="318" t="str">
        <f aca="false">IF($A85="N/A"," ",IF(0&lt;&gt;CR85,IF(CC=2,8*$HE85,0),0))</f>
        <v> </v>
      </c>
      <c r="DB85" s="318" t="str">
        <f aca="false">IF($A85="N/A"," ",IF(0&lt;&gt;CS85,IF(CC=2,8*$HE85,0),0))</f>
        <v> </v>
      </c>
      <c r="DC85" s="318" t="str">
        <f aca="false">IF($A85="N/A"," ",IF(0&lt;&gt;CT85,IF(CC=2,8*$HF85,0),0))</f>
        <v> </v>
      </c>
      <c r="DD85" s="318" t="str">
        <f aca="false">IF($A85="N/A"," ",IF(0&lt;&gt;CU85,IF(CC=2,8*$HF85,0),0))</f>
        <v> </v>
      </c>
      <c r="DE85" s="318" t="str">
        <f aca="false">IF($A85="N/A"," ",IF(0&lt;&gt;CV85,IF(CC=2,8*$HF85,0),0))</f>
        <v> </v>
      </c>
      <c r="DF85" s="341" t="str">
        <f aca="false">IF($A85="N/A"," ",IF(CC=2,(IF(MONTH(A85)&gt;=4,IF(MONTH(A85)&lt;=10,Inputs!$G$13,Inputs!$G$14),Inputs!$G$14))*$CK85,0))</f>
        <v> </v>
      </c>
      <c r="DG85" s="342" t="str">
        <f aca="false">IF($A85="N/A"," ",IF(CC=2,$DF85*CW85*CN85,0))</f>
        <v> </v>
      </c>
      <c r="DH85" s="342" t="str">
        <f aca="false">IF($A85="N/A"," ",IF(CC=2,$DF85*CX85*CO85,0))</f>
        <v> </v>
      </c>
      <c r="DI85" s="342" t="str">
        <f aca="false">IF($A85="N/A"," ",IF(CC=2,$DF85*CY85*CP85,0))</f>
        <v> </v>
      </c>
      <c r="DJ85" s="342" t="str">
        <f aca="false">IF($A85="N/A"," ",IF(CC=2,$DF85*CZ85*CQ85,0))</f>
        <v> </v>
      </c>
      <c r="DK85" s="342" t="str">
        <f aca="false">IF($A85="N/A"," ",IF(CC=2,$DF85*DA85*CR85,0))</f>
        <v> </v>
      </c>
      <c r="DL85" s="342" t="str">
        <f aca="false">IF($A85="N/A"," ",IF(CC=2,$DF85*DB85*CS85,0))</f>
        <v> </v>
      </c>
      <c r="DM85" s="342" t="str">
        <f aca="false">IF($A85="N/A"," ",IF(CC=2,$DF85*DC85*CT85,0))</f>
        <v> </v>
      </c>
      <c r="DN85" s="342" t="str">
        <f aca="false">IF($A85="N/A"," ",IF(CC=2,$DF85*DD85*CU85,0))</f>
        <v> </v>
      </c>
      <c r="DO85" s="342" t="str">
        <f aca="false">IF($A85="N/A"," ",IF(CC=2,$DF85*DE85*CV85,0))</f>
        <v> </v>
      </c>
      <c r="DP85" s="343" t="str">
        <f aca="false">IF($A85="N/A"," ",IF(CC=2,SUM(DG85:DO85),0))</f>
        <v> </v>
      </c>
      <c r="DQ85" s="0" t="str">
        <f aca="false">IF(A85="N/A"," ",Perstart)</f>
        <v> </v>
      </c>
      <c r="HD85" s="0" t="str">
        <f aca="false">IF($A85="N/A"," ",VLOOKUP($A85,NumberofDaysTable,2))</f>
        <v> </v>
      </c>
      <c r="HE85" s="0" t="str">
        <f aca="false">IF($A85="N/A"," ",VLOOKUP($A85,NumberofDaysTable,3))</f>
        <v> </v>
      </c>
      <c r="HF85" s="0" t="str">
        <f aca="false">IF($A85="N/A"," ",VLOOKUP($A85,NumberofDaysTable,4))</f>
        <v> </v>
      </c>
    </row>
    <row r="86" customFormat="false" ht="12.75" hidden="false" customHeight="false" outlineLevel="0" collapsed="false">
      <c r="A86" s="308" t="str">
        <f aca="false">IF(A85="N/A","N/A",IF(EDATE(A85,1)&gt;Inputs!$K$3,"N/A",EDATE(A85,1)))</f>
        <v>N/A</v>
      </c>
      <c r="B86" s="309" t="str">
        <f aca="false">IF(A86="N/A"," ",YEAR(A86))</f>
        <v> </v>
      </c>
      <c r="C86" s="310" t="str">
        <f aca="false">IF(A86="N/A"," ",VLOOKUP(A86,ScaledPrice,10))</f>
        <v> </v>
      </c>
      <c r="D86" s="311" t="str">
        <f aca="false">IF(A86="N/A"," ",(VLOOKUP(MONTH($A86),Hrtable,2))/1000)</f>
        <v> </v>
      </c>
      <c r="E86" s="312" t="str">
        <f aca="false">IF($A86="N/A"," ",(C86-'Pricing Inputs'!T119)*D86)</f>
        <v> </v>
      </c>
      <c r="F86" s="313" t="str">
        <f aca="false">IF(A86="N/A"," ",$F74*(1+VOMesc))</f>
        <v> </v>
      </c>
      <c r="G86" s="313" t="str">
        <f aca="false">IF(A86="N/A"," ",Perstart/IF(AND(Dayrun&gt;=4,Dayrun&lt;=6),16,IF(AND(Dayrun&gt;=7,Dayrun&lt;=9),8,24))/(BM86/CK86))</f>
        <v> </v>
      </c>
      <c r="H86" s="314" t="str">
        <f aca="false">IF(A86="N/A"," ",(C86*D86)+F86+G86)</f>
        <v> </v>
      </c>
      <c r="I86" s="315" t="str">
        <f aca="false">VLOOKUP(A86,ScaledPrice,(IF(AND(Dayrun&gt;=1,Dayrun&lt;=6),2,4)))</f>
        <v> </v>
      </c>
      <c r="J86" s="315" t="str">
        <f aca="false">IF(A86="N/A"," ",IF(AND(Dayrun&gt;=1,Dayrun&lt;=6),I86,(VLOOKUP(A86,ScaledPrice,2))*(2-(VLOOKUP(A86,ScaledPrice,3)))))</f>
        <v> </v>
      </c>
      <c r="K86" s="315" t="str">
        <f aca="false">IF(A86="N/A"," ",IF(AND(Dayrun&gt;=1,Dayrun&lt;=3),VLOOKUP(A86,ScaledPrice,9),0))</f>
        <v> </v>
      </c>
      <c r="L86" s="315" t="str">
        <f aca="false">IF(A86="N/A"," ",IF(OR(Dayrun=2,Dayrun=3,Dayrun=5,Dayrun=6,Dayrun=8,Dayrun=9),VLOOKUP(A86,ScaledPrice,IF(AND(Dayrun&gt;=2,Dayrun&lt;=6),5,6)),0))</f>
        <v> </v>
      </c>
      <c r="M86" s="315" t="str">
        <f aca="false">IF(A86="N/A"," ",IF(OR(Dayrun=2,Dayrun=3,Dayrun=5,Dayrun=6,Dayrun=8,Dayrun=9),IF(AND(Dayrun&gt;=2,Dayrun&lt;=6),L86,(VLOOKUP(A86,ScaledPrice,5))*(2-(VLOOKUP(A86,ScaledPrice,3)))),0))</f>
        <v> </v>
      </c>
      <c r="N86" s="315" t="str">
        <f aca="false">IF(A86="N/A"," ",IF(AND(Dayrun&gt;1,Dayrun&lt;=3),VLOOKUP(A86,ScaledPrice,9),0))</f>
        <v> </v>
      </c>
      <c r="O86" s="315" t="str">
        <f aca="false">IF(A86="N/A"," ",IF(OR(Dayrun=3,Dayrun=6,Dayrun=9),(VLOOKUP(A86,ScaledPrice,IF(AND(Dayrun&gt;=3,Dayrun&lt;=6),7,8))),0))</f>
        <v> </v>
      </c>
      <c r="P86" s="315" t="str">
        <f aca="false">IF(A86="N/A"," ",IF(OR(Dayrun=3,Dayrun=6,Dayrun=9),IF(AND(Dayrun&gt;=3,Dayrun&lt;=6),O86,(VLOOKUP(A86,ScaledPrice,7))*(2-(VLOOKUP(A86,ScaledPrice,3)))),0))</f>
        <v> </v>
      </c>
      <c r="Q86" s="315" t="str">
        <f aca="false">IF(A86="N/A"," ",IF(AND(Dayrun&gt;2,Dayrun&lt;=3),VLOOKUP(A86,ScaledPrice,9),0))</f>
        <v> </v>
      </c>
      <c r="R86" s="316" t="str">
        <f aca="false">IF($A86="N/A"," ",IF(Pricetype=2,MAX(I86-$H86,0),IF(Pricetype=1,(xSPRDOPT(I86,$E86,$CI86,0,($CD86+IF(Smile=TRUE(),VLOOKUP(MAX(-5,$H86-I86),Volsmile,2),0)),$CG86,$CH86,($A86-DateToday)+15,1,0)),I86-$H86)))</f>
        <v> </v>
      </c>
      <c r="S86" s="316" t="str">
        <f aca="false">IF($A86="N/A"," ",IF(Pricetype=2,MAX(J86-$H86,0),IF(Pricetype=1,(xSPRDOPT(J86,$E86,$CI86,0,($CD86+IF(Smile=TRUE(),VLOOKUP(MAX(-5,$H86-J86),Volsmile,2),0)),$CG86,$CH86,($A86-DateToday)+15,1,0)),J86-$H86)))</f>
        <v> </v>
      </c>
      <c r="T86" s="317" t="str">
        <f aca="false">IF($A86="N/A"," ",(IF(Pricetype=2,IF((K86-$H86)&lt;=0,0,(K86-$H86)),IF(K86&lt;&gt;0,(K86-$H86),0))))</f>
        <v> </v>
      </c>
      <c r="U86" s="316" t="str">
        <f aca="false">IF($A86="N/A"," ",IF(Pricetype=2,MAX(L86-$H86,0),IF(L86&lt;&gt;0,IF(Pricetype=1,(xSPRDOPT(L86,$E86,$CI86,0,($CD86+IF(Smile=TRUE(),VLOOKUP(MAX(-5,$H86-L86),Volsmile,2),0)),$CG86,$CH86,($A86-DateToday)+15,1,0)),L86-$H86),0)))</f>
        <v> </v>
      </c>
      <c r="V86" s="316" t="str">
        <f aca="false">IF($A86="N/A"," ",IF(Pricetype=2,MAX(M86-$H86,0),IF(M86&lt;&gt;0,IF(Pricetype=1,(xSPRDOPT(M86,$E86,$CI86,0,($CD86+IF(Smile=TRUE(),VLOOKUP(MAX(-5,$H86-M86),Volsmile,2),0)),$CG86,$CH86,($A86-DateToday)+15,1,0)),M86-$H86),0)))</f>
        <v> </v>
      </c>
      <c r="W86" s="317" t="str">
        <f aca="false">IF($A86="N/A"," ",(IF(Pricetype=2,IF((N86-$H86)&lt;=0,0,(N86-$H86)),IF(N86&lt;&gt;0,(N86-$H86),0))))</f>
        <v> </v>
      </c>
      <c r="X86" s="316" t="str">
        <f aca="false">IF($A86="N/A"," ",IF(Pricetype=2,MAX(O86-$H86,0),IF(O86&lt;&gt;0,IF(Pricetype=1,(xSPRDOPT(O86,$E86,$CI86,0,($CD86+IF(Smile=TRUE(),VLOOKUP(MAX(-5,$H86-O86),Volsmile,2),0)),$CG86,$CH86,($A86-DateToday)+15,1,0)),O86-$H86),0)))</f>
        <v> </v>
      </c>
      <c r="Y86" s="316" t="str">
        <f aca="false">IF($A86="N/A"," ",IF(Pricetype=2,MAX(P86-$H86,0),IF(P86&lt;&gt;0,IF(Pricetype=1,(xSPRDOPT(P86,$E86,$CI86,0,($CD86+IF(Smile=TRUE(),VLOOKUP(MAX(-5,$H86-P86),Volsmile,2),0)),$CG86,$CH86,($A86-DateToday)+15,1,0)),P86-$H86),0)))</f>
        <v> </v>
      </c>
      <c r="Z86" s="317" t="str">
        <f aca="false">IF($A86="N/A"," ",(IF(Pricetype=2,IF((Q86-$H86)&lt;=0,0,(Q86-$H86)),IF(Q86&lt;&gt;0,(Q86-$H86),0))))</f>
        <v> </v>
      </c>
      <c r="AA86" s="318" t="str">
        <f aca="false">IF($A86="N/A"," ",IF(VLOOKUP(MONTH(A86),ManualTable,2)=1,(IF(0&lt;&gt;R86,IF(Pricetype=1,(xSPRDOPT(I86,$E86,$CI86,0,($CD86+IF(Smile=TRUE(),VLOOKUP(MAX(-5,$H86-I86),Volsmile,2),0)),$CG86,$CH86,($A86-DateToday)+15,1,1))*(8*$HD86),8*$HD86),0)),0))</f>
        <v> </v>
      </c>
      <c r="AB86" s="318" t="str">
        <f aca="false">IF($A86="N/A"," ",IF(VLOOKUP(MONTH(A86),ManualTable,3)=1,(IF(S86&lt;&gt;0,IF(Pricetype=1,(xSPRDOPT(J86,$E86,$CI86,0,($CD86+IF(Smile=TRUE(),VLOOKUP(MAX(-5,$H86-J86),Volsmile,2),0)),$CG86,$CH86,($A86-DateToday)+15,1,1))*(8*$HD86),8*$HD86),0)),0))</f>
        <v> </v>
      </c>
      <c r="AC86" s="318" t="str">
        <f aca="false">IF($A86="N/A"," ",IF(VLOOKUP(MONTH(A86),ManualTable,4)=1,(IF(T86&lt;&gt;0,(8*$HD86),0)),0))</f>
        <v> </v>
      </c>
      <c r="AD86" s="318" t="str">
        <f aca="false">IF($A86="N/A"," ",IF(VLOOKUP(MONTH(A86),ManualTable,5)=1,(IF(U86&lt;&gt;0,IF(Pricetype=1,(xSPRDOPT(L86,$E86,$CI86,0,($CD86+IF(Smile=TRUE(),VLOOKUP(MAX(-5,$H86-L86),Volsmile,2),0)),$CG86,$CH86,($A86-DateToday)+15,1,1))*(8*$HE86),8*$HE86),0)),0))</f>
        <v> </v>
      </c>
      <c r="AE86" s="318" t="str">
        <f aca="false">IF($A86="N/A"," ",IF(VLOOKUP(MONTH(A86),ManualTable,6)=1,(IF(V86&lt;&gt;0,IF(Pricetype=1,(xSPRDOPT(M86,$E86,$CI86,0,($CD86+IF(Smile=TRUE(),VLOOKUP(MAX(-5,$H86-M86),Volsmile,2),0)),$CG86,$CH86,($A86-DateToday)+15,1,1))*(8*$HE86),8*$HE86),0)),0))</f>
        <v> </v>
      </c>
      <c r="AF86" s="318" t="str">
        <f aca="false">IF($A86="N/A"," ",IF(VLOOKUP(MONTH(A86),ManualTable,7)=1,(IF(W86&lt;&gt;0,(8*$HE86),0)),0))</f>
        <v> </v>
      </c>
      <c r="AG86" s="318" t="str">
        <f aca="false">IF($A86="N/A"," ",IF(VLOOKUP(MONTH(A86),ManualTable,8)=1,(IF(X86&lt;&gt;0,IF(Pricetype=1,(xSPRDOPT(O86,$E86,$CI86,0,($CD86+IF(Smile=TRUE(),VLOOKUP(MAX(-5,$H86-O86),Volsmile,2),0)),$CG86,$CH86,($A86-DateToday)+15,1,1))*(8*$HF86),8*$HF86),0)),0))</f>
        <v> </v>
      </c>
      <c r="AH86" s="318" t="str">
        <f aca="false">IF($A86="N/A"," ",IF(VLOOKUP(MONTH(A86),ManualTable,9)=1,(IF(Y86&lt;&gt;0,IF(Pricetype=1,(xSPRDOPT(P86,$E86,$CI86,0,($CD86+IF(Smile=TRUE(),VLOOKUP(MAX(-5,$H86-P86),Volsmile,2),0)),$CG86,$CH86,($A86-DateToday)+15,1,1))*(8*$HF86),8*$HF86),0)),0))</f>
        <v> </v>
      </c>
      <c r="AI86" s="318" t="str">
        <f aca="false">IF($A86="N/A"," ",IF(VLOOKUP(MONTH(A86),ManualTable,10)=1,(IF(Z86&lt;&gt;0,(8*($HF86)),0)),0))</f>
        <v> </v>
      </c>
      <c r="AJ86" s="344" t="str">
        <f aca="false">IF($A86="N/A"," ",RANK(R86,$R$76:$Z$87))</f>
        <v> </v>
      </c>
      <c r="AK86" s="321" t="str">
        <f aca="false">IF($A86="N/A"," ",RANK(S86,$R$76:$Z$87))</f>
        <v> </v>
      </c>
      <c r="AL86" s="321" t="str">
        <f aca="false">IF($A86="N/A"," ",RANK(T86,$R$76:$Z$87))</f>
        <v> </v>
      </c>
      <c r="AM86" s="321" t="str">
        <f aca="false">IF($A86="N/A"," ",RANK(U86,$R$76:$Z$87))</f>
        <v> </v>
      </c>
      <c r="AN86" s="321" t="str">
        <f aca="false">IF($A86="N/A"," ",RANK(V86,$R$76:$Z$87))</f>
        <v> </v>
      </c>
      <c r="AO86" s="321" t="str">
        <f aca="false">IF($A86="N/A"," ",RANK(W86,$R$76:$Z$87))</f>
        <v> </v>
      </c>
      <c r="AP86" s="321" t="str">
        <f aca="false">IF($A86="N/A"," ",RANK(X86,$R$76:$Z$87))</f>
        <v> </v>
      </c>
      <c r="AQ86" s="321" t="str">
        <f aca="false">IF($A86="N/A"," ",RANK(Y86,$R$76:$Z$87))</f>
        <v> </v>
      </c>
      <c r="AR86" s="345" t="str">
        <f aca="false">IF($A86="N/A"," ",RANK(Z86,$R$76:$Z$87))</f>
        <v> </v>
      </c>
      <c r="AS86" s="323" t="str">
        <f aca="false">IF($A86="N/A"," ",IF(AJ86&lt;=$AR$2,AA86,0))</f>
        <v> </v>
      </c>
      <c r="AT86" s="325" t="str">
        <f aca="false">IF($A86="N/A"," ",IF(AK86&lt;=$AR$2,AB86,0))</f>
        <v> </v>
      </c>
      <c r="AU86" s="325" t="str">
        <f aca="false">IF($A86="N/A"," ",IF(AL86&lt;=$AR$2,AC86,0))</f>
        <v> </v>
      </c>
      <c r="AV86" s="325" t="str">
        <f aca="false">IF($A86="N/A"," ",IF(AM86&lt;=$AR$2,AD86,0))</f>
        <v> </v>
      </c>
      <c r="AW86" s="325" t="str">
        <f aca="false">IF($A86="N/A"," ",IF(AN86&lt;=$AR$2,AE86,0))</f>
        <v> </v>
      </c>
      <c r="AX86" s="325" t="str">
        <f aca="false">IF($A86="N/A"," ",IF(AO86&lt;=$AR$2,AF86,0))</f>
        <v> </v>
      </c>
      <c r="AY86" s="325" t="str">
        <f aca="false">IF($A86="N/A"," ",IF(AP86&lt;=$AR$2,AG86,0))</f>
        <v> </v>
      </c>
      <c r="AZ86" s="325" t="str">
        <f aca="false">IF($A86="N/A"," ",IF(AQ86&lt;=$AR$2,AH86,0))</f>
        <v> </v>
      </c>
      <c r="BA86" s="325" t="str">
        <f aca="false">IF($A86="N/A"," ",IF(AR86&lt;=$AR$2,AI86,0))</f>
        <v> </v>
      </c>
      <c r="BB86" s="345" t="n">
        <f aca="false">SUM(AS76:BA87)</f>
        <v>0</v>
      </c>
      <c r="BC86" s="326" t="str">
        <f aca="false">IF($A86="N/A"," ",IF(AND(AJ86=$AR$2+1,AS86=0),MIN($BB$87,AA86),0))</f>
        <v> </v>
      </c>
      <c r="BD86" s="346" t="str">
        <f aca="false">IF($A86="N/A"," ",IF(AND(AK86=$AR$2+1,AT86=0),MIN($BB$87,AB86),0))</f>
        <v> </v>
      </c>
      <c r="BE86" s="346" t="str">
        <f aca="false">IF($A86="N/A"," ",IF(AND(AL86=$AR$2+1,AU86=0),MIN($BB$87,AC86),0))</f>
        <v> </v>
      </c>
      <c r="BF86" s="346" t="str">
        <f aca="false">IF($A86="N/A"," ",IF(AND(AM86=$AR$2+1,AV86=0),MIN($BB$87,AD86),0))</f>
        <v> </v>
      </c>
      <c r="BG86" s="346" t="str">
        <f aca="false">IF($A86="N/A"," ",IF(AND(AN86=$AR$2+1,AW86=0),MIN($BB$87,AE86),0))</f>
        <v> </v>
      </c>
      <c r="BH86" s="346" t="str">
        <f aca="false">IF($A86="N/A"," ",IF(AND(AO86=$AR$2+1,AX86=0),MIN($BB$87,AF86),0))</f>
        <v> </v>
      </c>
      <c r="BI86" s="346" t="str">
        <f aca="false">IF($A86="N/A"," ",IF(AND(AP86=$AR$2+1,AY86=0),MIN($BB$87,AG86),0))</f>
        <v> </v>
      </c>
      <c r="BJ86" s="346" t="str">
        <f aca="false">IF($A86="N/A"," ",IF(AND(AQ86=$AR$2+1,AZ86=0),MIN($BB$87,AH86),0))</f>
        <v> </v>
      </c>
      <c r="BK86" s="346" t="str">
        <f aca="false">IF($A86="N/A"," ",IF(AND(AR86=$AR$2+1,BA86=0),MIN($BB$87,AI86),0))</f>
        <v> </v>
      </c>
      <c r="BL86" s="345" t="n">
        <f aca="false">SUM(BC76:BK87)</f>
        <v>0</v>
      </c>
      <c r="BM86" s="329" t="str">
        <f aca="false">IF($A86="N/A"," ",(IF(MONTH(A86)&gt;=4,IF(MONTH(A86)&lt;=10,Inputs!$F$13-Inputs!$G$13,Inputs!$F$14-Inputs!$G$14),Inputs!$F$14-Inputs!$G$14))*$CK86*Availability)</f>
        <v> </v>
      </c>
      <c r="BN86" s="330" t="str">
        <f aca="false">IF($A86="N/A"," ",(IF(AS86&gt;0,($BM86*(8*($HD86))*R86),0)+IF(BC86&gt;0,($BM86*((BC86/AA86)*8*$HD86)*R86),0)))</f>
        <v> </v>
      </c>
      <c r="BO86" s="330" t="str">
        <f aca="false">IF($A86="N/A"," ",(IF(AT86&gt;0,($BM86*(8*($HD86))*S86),0)+IF(BD86&gt;0,($BM86*((BD86/AB86)*8*$HD86)*S86),0)))</f>
        <v> </v>
      </c>
      <c r="BP86" s="330" t="str">
        <f aca="false">IF($A86="N/A"," ",(IF(AU86&gt;0,($BM86*(8*($HD86))*T86),0)+IF(BE86&gt;0,($BM86*((BE86))*T86),0)))</f>
        <v> </v>
      </c>
      <c r="BQ86" s="330" t="str">
        <f aca="false">IF($A86="N/A"," ",(IF(AV86&gt;0,($BM86*(8*($HE86))*U86),0)+IF(BF86&gt;0,($BM86*((BF86/AD86)*8*$HE86)*U86),0)))</f>
        <v> </v>
      </c>
      <c r="BR86" s="330" t="str">
        <f aca="false">IF($A86="N/A"," ",(IF(AW86&gt;0,($BM86*(8*($HE86))*V86),0)+IF(BG86&gt;0,($BM86*((BG86/AE86)*8*$HE86)*V86),0)))</f>
        <v> </v>
      </c>
      <c r="BS86" s="330" t="str">
        <f aca="false">IF($A86="N/A"," ",(IF(AX86&gt;0,($BM86*(8*($HE86))*W86),0)+IF(BH86&gt;0,($BM86*((BH86))*W86),0)))</f>
        <v> </v>
      </c>
      <c r="BT86" s="330" t="str">
        <f aca="false">IF($A86="N/A"," ",(IF(AY86&gt;0,($BM86*(8*($HF86))*X86),0)+IF(BI86&gt;0,($BM86*((BI86/AG86)*8*$HF86)*X86),0)))</f>
        <v> </v>
      </c>
      <c r="BU86" s="330" t="str">
        <f aca="false">IF($A86="N/A"," ",(IF(AZ86&gt;0,($BM86*(8*($HF86))*Y86),0)+IF(BJ86&gt;0,($BM86*((BJ86/AH86)*8*$HF86)*Y86),0)))</f>
        <v> </v>
      </c>
      <c r="BV86" s="330" t="str">
        <f aca="false">IF($A86="N/A"," ",(IF(BA86&gt;0,($BM86*(8*($HF86))*Z86),0)+IF(BK86&gt;0,($BM86*((BK86))*Z86),0)))</f>
        <v> </v>
      </c>
      <c r="BW86" s="330" t="str">
        <f aca="false">IF($A86="N/A"," ",SUM(BN86:BV86))</f>
        <v> </v>
      </c>
      <c r="BX86" s="331" t="str">
        <f aca="false">IF($A86="N/A"," ",(H86*(SUM(AS86:BA86)+SUM(BC86:BK86))*BM86))</f>
        <v> </v>
      </c>
      <c r="BY86" s="332" t="str">
        <f aca="false">IF($A86="N/A"," ",((C86*D86)*(SUM($AS86:$BA86)+SUM($BC86:$BK86))*$BM86))</f>
        <v> </v>
      </c>
      <c r="BZ86" s="332" t="str">
        <f aca="false">IF($A86="N/A"," ",(F86*(SUM($AS86:$BA86)+SUM($BC86:$BK86))*$BM86))</f>
        <v> </v>
      </c>
      <c r="CA86" s="333" t="str">
        <f aca="false">IF($A86="N/A"," ",(G86*(SUM($AS86:$BA86)+SUM($BC86:$BK86))*$BM86))</f>
        <v> </v>
      </c>
      <c r="CB86" s="334" t="str">
        <f aca="false">IF(A86="N/A"," ",(VLOOKUP(A86,PowerVolTable,(IF(BMO=2,7,IF(BMO=1,6,8))),FALSE())))</f>
        <v> </v>
      </c>
      <c r="CC86" s="334" t="str">
        <f aca="false">IF(A86="N/A"," ",(VLOOKUP(A86,IntraPowerVol,(IF(BMO=2,3,IF(BMO=1,2,4))),FALSE())*VLOOKUP(MONTH($A86),Volscale,2)))</f>
        <v> </v>
      </c>
      <c r="CD86" s="335" t="str">
        <f aca="false">IF($A86="N/A"," ",(IF(DateToday&gt;$A86,$CC86,((($CB86^2)*((($A86-1)-DateToday)/((EOMONTH($A86,0)+1)-DateToday-15)))+((($CC86)^2)*((15)/((EOMONTH($A86,0)+1)-DateToday-15))))^0.5)))</f>
        <v> </v>
      </c>
      <c r="CE86" s="334" t="str">
        <f aca="false">IF($A86="N/A"," ",(VLOOKUP($A86,GasVolTable,(IF(BMO=2,6,IF(BMO=1,7,5))),FALSE())))</f>
        <v> </v>
      </c>
      <c r="CF86" s="334" t="str">
        <f aca="false">IF($A86="N/A"," ",(VLOOKUP($A86,OmicronVol,(IF(BMO=2,3,IF(BMO=1,4,2))),FALSE())))</f>
        <v> </v>
      </c>
      <c r="CG86" s="335" t="str">
        <f aca="false">IF($A86="N/A"," ",(IF(DateToday&gt;$A86,$CF86,((($CE86^2)*((($A86-1)-DateToday)/((EOMONTH($A86,0)+1)-DateToday-15)))+((($CF86)^2)*((15)/((EOMONTH($A86,0)+1)-DateToday-15))))^0.5)))</f>
        <v> </v>
      </c>
      <c r="CH86" s="334" t="str">
        <f aca="false">IF($A86="N/A"," ",VLOOKUP($A86,CorrelationTable,2,FALSE()))</f>
        <v> </v>
      </c>
      <c r="CI86" s="336" t="str">
        <f aca="false">IF($A86="N/A"," ",F86+G86+(D86*('Pricing Inputs'!T119)))</f>
        <v> </v>
      </c>
      <c r="CJ86" s="334" t="str">
        <f aca="false">IF($A86="N/A"," ",IF(PV=1,0,'Pricing Inputs'!U119))</f>
        <v> </v>
      </c>
      <c r="CK86" s="337" t="str">
        <f aca="false">IF($A86="N/A"," ",(1+CJ86/2)^(-2*((EOMONTH(A86,0)+20)-DateToday)/365.25))</f>
        <v> </v>
      </c>
      <c r="CL86" s="338" t="str">
        <f aca="false">IF(A86="N/A"," ",IF(CC=2,(VLOOKUP(MONTH($A86),Hrtable,3))/1000,0))</f>
        <v> </v>
      </c>
      <c r="CM86" s="339" t="str">
        <f aca="false">IF(A86="N/A"," ",IF(CC=2,(CL86*C86)+F86,0))</f>
        <v> </v>
      </c>
      <c r="CN86" s="340" t="str">
        <f aca="false">IF($A86="N/A"," ",IF(CC=2,(VLOOKUP(A86,ScaledPrice,(IF(AND(Dayrun&gt;=1,Dayrun&lt;=6),2,4)))-((IF(R86&lt;&gt;0,$D86,$CL86)*$C86)+$F86+$G86)),0))</f>
        <v> </v>
      </c>
      <c r="CO86" s="340" t="str">
        <f aca="false">IF($A86="N/A"," ",IF(CC=2,(IF(AND(Dayrun&gt;=1,Dayrun&lt;=6),I86,(VLOOKUP(A86,ScaledPrice,2))*(2-(VLOOKUP(A86,ScaledPrice,3))))-((IF(S86&lt;&gt;0,$D86,$CL86)*$C86)+$F86+$G86)),0))</f>
        <v> </v>
      </c>
      <c r="CP86" s="340" t="str">
        <f aca="false">IF(A86="N/A"," ",IF(CC=2,(VLOOKUP(A86,ScaledPrice,9)-((IF(T86&lt;&gt;0,$D86,$CL86)*$C86)+$F86+$G86)),0))</f>
        <v> </v>
      </c>
      <c r="CQ86" s="340" t="str">
        <f aca="false">IF(A86="N/A"," ",IF(CC=2,(IF(OR(Dayrun=2,Dayrun=3,Dayrun=5,Dayrun=6,Dayrun=8,Dayrun=9),VLOOKUP(A86,ScaledPrice,IF(AND(Dayrun&gt;=2,Dayrun&lt;=6),5,6)),0)-((IF(U86&lt;&gt;0,$D86,$CL86)*$C86)+$F86+$G86)),0))</f>
        <v> </v>
      </c>
      <c r="CR86" s="340" t="str">
        <f aca="false">IF(A86="N/A"," ",IF(CC=2,(IF(OR(Dayrun=2,Dayrun=3,Dayrun=5,Dayrun=6,Dayrun=8,Dayrun=9),IF(AND(Dayrun&gt;=2,Dayrun&lt;=6),L86,(VLOOKUP(A86,ScaledPrice,5))*(2-(VLOOKUP(A86,ScaledPrice,3)))),0)-((IF(V86&lt;&gt;0,$D86,$CL86)*$C86)+$F86+$G86)),0))</f>
        <v> </v>
      </c>
      <c r="CS86" s="340" t="str">
        <f aca="false">IF(A86="N/A"," ",IF(CC=2,(VLOOKUP(A86,ScaledPrice,9)-((IF(W86&lt;&gt;0,$D86,$CL86)*$C86)+$F86+$G86)),0))</f>
        <v> </v>
      </c>
      <c r="CT86" s="340" t="str">
        <f aca="false">IF(A86="N/A"," ",IF(CC=2,(IF(OR(Dayrun=3,Dayrun=6,Dayrun=9),(VLOOKUP(A86,ScaledPrice,IF(AND(Dayrun&gt;=3,Dayrun&lt;=6),7,8))),0)-((IF(X86&lt;&gt;0,$D86,$CL86)*$C86)+$F86+$G86)),0))</f>
        <v> </v>
      </c>
      <c r="CU86" s="340" t="str">
        <f aca="false">IF(A86="N/A"," ",IF(CC=2,(IF(OR(Dayrun=3,Dayrun=6,Dayrun=9),IF(AND(Dayrun&gt;=3,Dayrun&lt;=6),O86,(VLOOKUP(A86,ScaledPrice,7))*(2-(VLOOKUP(A86,ScaledPrice,3)))),0)-((IF(Y86&lt;&gt;0,$D86,$CL86)*$C86)+$F86+$G86)),0))</f>
        <v> </v>
      </c>
      <c r="CV86" s="340" t="str">
        <f aca="false">IF(A86="N/A"," ",IF(CC=2,(VLOOKUP(A86,ScaledPrice,9)-((IF(Z86&lt;&gt;0,$D86,$CL86)*$C86)+$F86+$G86)),0))</f>
        <v> </v>
      </c>
      <c r="CW86" s="318" t="str">
        <f aca="false">IF($A86="N/A"," ",IF(0&lt;&gt;CN86,IF(CC=2,8*$HD86,0),0))</f>
        <v> </v>
      </c>
      <c r="CX86" s="318" t="str">
        <f aca="false">IF($A86="N/A"," ",IF(0&lt;&gt;CO86,IF(CC=2,8*$HD86,0),0))</f>
        <v> </v>
      </c>
      <c r="CY86" s="318" t="str">
        <f aca="false">IF($A86="N/A"," ",IF(0&lt;&gt;CP86,IF(CC=2,8*$HD86,0),0))</f>
        <v> </v>
      </c>
      <c r="CZ86" s="318" t="str">
        <f aca="false">IF($A86="N/A"," ",IF(0&lt;&gt;CQ86,IF(CC=2,8*$HE86,0),0))</f>
        <v> </v>
      </c>
      <c r="DA86" s="318" t="str">
        <f aca="false">IF($A86="N/A"," ",IF(0&lt;&gt;CR86,IF(CC=2,8*$HE86,0),0))</f>
        <v> </v>
      </c>
      <c r="DB86" s="318" t="str">
        <f aca="false">IF($A86="N/A"," ",IF(0&lt;&gt;CS86,IF(CC=2,8*$HE86,0),0))</f>
        <v> </v>
      </c>
      <c r="DC86" s="318" t="str">
        <f aca="false">IF($A86="N/A"," ",IF(0&lt;&gt;CT86,IF(CC=2,8*$HF86,0),0))</f>
        <v> </v>
      </c>
      <c r="DD86" s="318" t="str">
        <f aca="false">IF($A86="N/A"," ",IF(0&lt;&gt;CU86,IF(CC=2,8*$HF86,0),0))</f>
        <v> </v>
      </c>
      <c r="DE86" s="318" t="str">
        <f aca="false">IF($A86="N/A"," ",IF(0&lt;&gt;CV86,IF(CC=2,8*$HF86,0),0))</f>
        <v> </v>
      </c>
      <c r="DF86" s="341" t="str">
        <f aca="false">IF($A86="N/A"," ",IF(CC=2,(IF(MONTH(A86)&gt;=4,IF(MONTH(A86)&lt;=10,Inputs!$G$13,Inputs!$G$14),Inputs!$G$14))*$CK86,0))</f>
        <v> </v>
      </c>
      <c r="DG86" s="342" t="str">
        <f aca="false">IF($A86="N/A"," ",IF(CC=2,$DF86*CW86*CN86,0))</f>
        <v> </v>
      </c>
      <c r="DH86" s="342" t="str">
        <f aca="false">IF($A86="N/A"," ",IF(CC=2,$DF86*CX86*CO86,0))</f>
        <v> </v>
      </c>
      <c r="DI86" s="342" t="str">
        <f aca="false">IF($A86="N/A"," ",IF(CC=2,$DF86*CY86*CP86,0))</f>
        <v> </v>
      </c>
      <c r="DJ86" s="342" t="str">
        <f aca="false">IF($A86="N/A"," ",IF(CC=2,$DF86*CZ86*CQ86,0))</f>
        <v> </v>
      </c>
      <c r="DK86" s="342" t="str">
        <f aca="false">IF($A86="N/A"," ",IF(CC=2,$DF86*DA86*CR86,0))</f>
        <v> </v>
      </c>
      <c r="DL86" s="342" t="str">
        <f aca="false">IF($A86="N/A"," ",IF(CC=2,$DF86*DB86*CS86,0))</f>
        <v> </v>
      </c>
      <c r="DM86" s="342" t="str">
        <f aca="false">IF($A86="N/A"," ",IF(CC=2,$DF86*DC86*CT86,0))</f>
        <v> </v>
      </c>
      <c r="DN86" s="342" t="str">
        <f aca="false">IF($A86="N/A"," ",IF(CC=2,$DF86*DD86*CU86,0))</f>
        <v> </v>
      </c>
      <c r="DO86" s="342" t="str">
        <f aca="false">IF($A86="N/A"," ",IF(CC=2,$DF86*DE86*CV86,0))</f>
        <v> </v>
      </c>
      <c r="DP86" s="343" t="str">
        <f aca="false">IF($A86="N/A"," ",IF(CC=2,SUM(DG86:DO86),0))</f>
        <v> </v>
      </c>
      <c r="DQ86" s="0" t="str">
        <f aca="false">IF(A86="N/A"," ",Perstart)</f>
        <v> </v>
      </c>
      <c r="HD86" s="0" t="str">
        <f aca="false">IF($A86="N/A"," ",VLOOKUP($A86,NumberofDaysTable,2))</f>
        <v> </v>
      </c>
      <c r="HE86" s="0" t="str">
        <f aca="false">IF($A86="N/A"," ",VLOOKUP($A86,NumberofDaysTable,3))</f>
        <v> </v>
      </c>
      <c r="HF86" s="0" t="str">
        <f aca="false">IF($A86="N/A"," ",VLOOKUP($A86,NumberofDaysTable,4))</f>
        <v> </v>
      </c>
    </row>
    <row r="87" customFormat="false" ht="12.75" hidden="false" customHeight="false" outlineLevel="0" collapsed="false">
      <c r="A87" s="308" t="str">
        <f aca="false">IF(A86="N/A","N/A",IF(EDATE(A86,1)&gt;Inputs!$K$3,"N/A",EDATE(A86,1)))</f>
        <v>N/A</v>
      </c>
      <c r="B87" s="309" t="str">
        <f aca="false">IF(A87="N/A"," ",YEAR(A87))</f>
        <v> </v>
      </c>
      <c r="C87" s="310" t="str">
        <f aca="false">IF(A87="N/A"," ",VLOOKUP(A87,ScaledPrice,10))</f>
        <v> </v>
      </c>
      <c r="D87" s="311" t="str">
        <f aca="false">IF(A87="N/A"," ",(VLOOKUP(MONTH($A87),Hrtable,2))/1000)</f>
        <v> </v>
      </c>
      <c r="E87" s="312" t="str">
        <f aca="false">IF($A87="N/A"," ",(C87-'Pricing Inputs'!T120)*D87)</f>
        <v> </v>
      </c>
      <c r="F87" s="313" t="str">
        <f aca="false">IF(A87="N/A"," ",$F75*(1+VOMesc))</f>
        <v> </v>
      </c>
      <c r="G87" s="313" t="str">
        <f aca="false">IF(A87="N/A"," ",Perstart/IF(AND(Dayrun&gt;=4,Dayrun&lt;=6),16,IF(AND(Dayrun&gt;=7,Dayrun&lt;=9),8,24))/(BM87/CK87))</f>
        <v> </v>
      </c>
      <c r="H87" s="314" t="str">
        <f aca="false">IF(A87="N/A"," ",(C87*D87)+F87+G87)</f>
        <v> </v>
      </c>
      <c r="I87" s="315" t="str">
        <f aca="false">VLOOKUP(A87,ScaledPrice,(IF(AND(Dayrun&gt;=1,Dayrun&lt;=6),2,4)))</f>
        <v> </v>
      </c>
      <c r="J87" s="315" t="str">
        <f aca="false">IF(A87="N/A"," ",IF(AND(Dayrun&gt;=1,Dayrun&lt;=6),I87,(VLOOKUP(A87,ScaledPrice,2))*(2-(VLOOKUP(A87,ScaledPrice,3)))))</f>
        <v> </v>
      </c>
      <c r="K87" s="315" t="str">
        <f aca="false">IF(A87="N/A"," ",IF(AND(Dayrun&gt;=1,Dayrun&lt;=3),VLOOKUP(A87,ScaledPrice,9),0))</f>
        <v> </v>
      </c>
      <c r="L87" s="315" t="str">
        <f aca="false">IF(A87="N/A"," ",IF(OR(Dayrun=2,Dayrun=3,Dayrun=5,Dayrun=6,Dayrun=8,Dayrun=9),VLOOKUP(A87,ScaledPrice,IF(AND(Dayrun&gt;=2,Dayrun&lt;=6),5,6)),0))</f>
        <v> </v>
      </c>
      <c r="M87" s="315" t="str">
        <f aca="false">IF(A87="N/A"," ",IF(OR(Dayrun=2,Dayrun=3,Dayrun=5,Dayrun=6,Dayrun=8,Dayrun=9),IF(AND(Dayrun&gt;=2,Dayrun&lt;=6),L87,(VLOOKUP(A87,ScaledPrice,5))*(2-(VLOOKUP(A87,ScaledPrice,3)))),0))</f>
        <v> </v>
      </c>
      <c r="N87" s="315" t="str">
        <f aca="false">IF(A87="N/A"," ",IF(AND(Dayrun&gt;1,Dayrun&lt;=3),VLOOKUP(A87,ScaledPrice,9),0))</f>
        <v> </v>
      </c>
      <c r="O87" s="315" t="str">
        <f aca="false">IF(A87="N/A"," ",IF(OR(Dayrun=3,Dayrun=6,Dayrun=9),(VLOOKUP(A87,ScaledPrice,IF(AND(Dayrun&gt;=3,Dayrun&lt;=6),7,8))),0))</f>
        <v> </v>
      </c>
      <c r="P87" s="315" t="str">
        <f aca="false">IF(A87="N/A"," ",IF(OR(Dayrun=3,Dayrun=6,Dayrun=9),IF(AND(Dayrun&gt;=3,Dayrun&lt;=6),O87,(VLOOKUP(A87,ScaledPrice,7))*(2-(VLOOKUP(A87,ScaledPrice,3)))),0))</f>
        <v> </v>
      </c>
      <c r="Q87" s="315" t="str">
        <f aca="false">IF(A87="N/A"," ",IF(AND(Dayrun&gt;2,Dayrun&lt;=3),VLOOKUP(A87,ScaledPrice,9),0))</f>
        <v> </v>
      </c>
      <c r="R87" s="316" t="str">
        <f aca="false">IF($A87="N/A"," ",IF(Pricetype=2,MAX(I87-$H87,0),IF(Pricetype=1,(xSPRDOPT(I87,$E87,$CI87,0,($CD87+IF(Smile=TRUE(),VLOOKUP(MAX(-5,$H87-I87),Volsmile,2),0)),$CG87,$CH87,($A87-DateToday)+15,1,0)),I87-$H87)))</f>
        <v> </v>
      </c>
      <c r="S87" s="316" t="str">
        <f aca="false">IF($A87="N/A"," ",IF(Pricetype=2,MAX(J87-$H87,0),IF(Pricetype=1,(xSPRDOPT(J87,$E87,$CI87,0,($CD87+IF(Smile=TRUE(),VLOOKUP(MAX(-5,$H87-J87),Volsmile,2),0)),$CG87,$CH87,($A87-DateToday)+15,1,0)),J87-$H87)))</f>
        <v> </v>
      </c>
      <c r="T87" s="317" t="str">
        <f aca="false">IF($A87="N/A"," ",(IF(Pricetype=2,IF((K87-$H87)&lt;=0,0,(K87-$H87)),IF(K87&lt;&gt;0,(K87-$H87),0))))</f>
        <v> </v>
      </c>
      <c r="U87" s="316" t="str">
        <f aca="false">IF($A87="N/A"," ",IF(Pricetype=2,MAX(L87-$H87,0),IF(L87&lt;&gt;0,IF(Pricetype=1,(xSPRDOPT(L87,$E87,$CI87,0,($CD87+IF(Smile=TRUE(),VLOOKUP(MAX(-5,$H87-L87),Volsmile,2),0)),$CG87,$CH87,($A87-DateToday)+15,1,0)),L87-$H87),0)))</f>
        <v> </v>
      </c>
      <c r="V87" s="316" t="str">
        <f aca="false">IF($A87="N/A"," ",IF(Pricetype=2,MAX(M87-$H87,0),IF(M87&lt;&gt;0,IF(Pricetype=1,(xSPRDOPT(M87,$E87,$CI87,0,($CD87+IF(Smile=TRUE(),VLOOKUP(MAX(-5,$H87-M87),Volsmile,2),0)),$CG87,$CH87,($A87-DateToday)+15,1,0)),M87-$H87),0)))</f>
        <v> </v>
      </c>
      <c r="W87" s="317" t="str">
        <f aca="false">IF($A87="N/A"," ",(IF(Pricetype=2,IF((N87-$H87)&lt;=0,0,(N87-$H87)),IF(N87&lt;&gt;0,(N87-$H87),0))))</f>
        <v> </v>
      </c>
      <c r="X87" s="316" t="str">
        <f aca="false">IF($A87="N/A"," ",IF(Pricetype=2,MAX(O87-$H87,0),IF(O87&lt;&gt;0,IF(Pricetype=1,(xSPRDOPT(O87,$E87,$CI87,0,($CD87+IF(Smile=TRUE(),VLOOKUP(MAX(-5,$H87-O87),Volsmile,2),0)),$CG87,$CH87,($A87-DateToday)+15,1,0)),O87-$H87),0)))</f>
        <v> </v>
      </c>
      <c r="Y87" s="316" t="str">
        <f aca="false">IF($A87="N/A"," ",IF(Pricetype=2,MAX(P87-$H87,0),IF(P87&lt;&gt;0,IF(Pricetype=1,(xSPRDOPT(P87,$E87,$CI87,0,($CD87+IF(Smile=TRUE(),VLOOKUP(MAX(-5,$H87-P87),Volsmile,2),0)),$CG87,$CH87,($A87-DateToday)+15,1,0)),P87-$H87),0)))</f>
        <v> </v>
      </c>
      <c r="Z87" s="317" t="str">
        <f aca="false">IF($A87="N/A"," ",(IF(Pricetype=2,IF((Q87-$H87)&lt;=0,0,(Q87-$H87)),IF(Q87&lt;&gt;0,(Q87-$H87),0))))</f>
        <v> </v>
      </c>
      <c r="AA87" s="318" t="str">
        <f aca="false">IF($A87="N/A"," ",IF(VLOOKUP(MONTH(A87),ManualTable,2)=1,(IF(0&lt;&gt;R87,IF(Pricetype=1,(xSPRDOPT(I87,$E87,$CI87,0,($CD87+IF(Smile=TRUE(),VLOOKUP(MAX(-5,$H87-I87),Volsmile,2),0)),$CG87,$CH87,($A87-DateToday)+15,1,1))*(8*$HD87),8*$HD87),0)),0))</f>
        <v> </v>
      </c>
      <c r="AB87" s="318" t="str">
        <f aca="false">IF($A87="N/A"," ",IF(VLOOKUP(MONTH(A87),ManualTable,3)=1,(IF(S87&lt;&gt;0,IF(Pricetype=1,(xSPRDOPT(J87,$E87,$CI87,0,($CD87+IF(Smile=TRUE(),VLOOKUP(MAX(-5,$H87-J87),Volsmile,2),0)),$CG87,$CH87,($A87-DateToday)+15,1,1))*(8*$HD87),8*$HD87),0)),0))</f>
        <v> </v>
      </c>
      <c r="AC87" s="318" t="str">
        <f aca="false">IF($A87="N/A"," ",IF(VLOOKUP(MONTH(A87),ManualTable,4)=1,(IF(T87&lt;&gt;0,(8*$HD87),0)),0))</f>
        <v> </v>
      </c>
      <c r="AD87" s="318" t="str">
        <f aca="false">IF($A87="N/A"," ",IF(VLOOKUP(MONTH(A87),ManualTable,5)=1,(IF(U87&lt;&gt;0,IF(Pricetype=1,(xSPRDOPT(L87,$E87,$CI87,0,($CD87+IF(Smile=TRUE(),VLOOKUP(MAX(-5,$H87-L87),Volsmile,2),0)),$CG87,$CH87,($A87-DateToday)+15,1,1))*(8*$HE87),8*$HE87),0)),0))</f>
        <v> </v>
      </c>
      <c r="AE87" s="318" t="str">
        <f aca="false">IF($A87="N/A"," ",IF(VLOOKUP(MONTH(A87),ManualTable,6)=1,(IF(V87&lt;&gt;0,IF(Pricetype=1,(xSPRDOPT(M87,$E87,$CI87,0,($CD87+IF(Smile=TRUE(),VLOOKUP(MAX(-5,$H87-M87),Volsmile,2),0)),$CG87,$CH87,($A87-DateToday)+15,1,1))*(8*$HE87),8*$HE87),0)),0))</f>
        <v> </v>
      </c>
      <c r="AF87" s="318" t="str">
        <f aca="false">IF($A87="N/A"," ",IF(VLOOKUP(MONTH(A87),ManualTable,7)=1,(IF(W87&lt;&gt;0,(8*$HE87),0)),0))</f>
        <v> </v>
      </c>
      <c r="AG87" s="318" t="str">
        <f aca="false">IF($A87="N/A"," ",IF(VLOOKUP(MONTH(A87),ManualTable,8)=1,(IF(X87&lt;&gt;0,IF(Pricetype=1,(xSPRDOPT(O87,$E87,$CI87,0,($CD87+IF(Smile=TRUE(),VLOOKUP(MAX(-5,$H87-O87),Volsmile,2),0)),$CG87,$CH87,($A87-DateToday)+15,1,1))*(8*$HF87),8*$HF87),0)),0))</f>
        <v> </v>
      </c>
      <c r="AH87" s="318" t="str">
        <f aca="false">IF($A87="N/A"," ",IF(VLOOKUP(MONTH(A87),ManualTable,9)=1,(IF(Y87&lt;&gt;0,IF(Pricetype=1,(xSPRDOPT(P87,$E87,$CI87,0,($CD87+IF(Smile=TRUE(),VLOOKUP(MAX(-5,$H87-P87),Volsmile,2),0)),$CG87,$CH87,($A87-DateToday)+15,1,1))*(8*$HF87),8*$HF87),0)),0))</f>
        <v> </v>
      </c>
      <c r="AI87" s="318" t="str">
        <f aca="false">IF($A87="N/A"," ",IF(VLOOKUP(MONTH(A87),ManualTable,10)=1,(IF(Z87&lt;&gt;0,(8*($HF87)),0)),0))</f>
        <v> </v>
      </c>
      <c r="AJ87" s="349" t="str">
        <f aca="false">IF($A87="N/A"," ",RANK(R87,$R$76:$Z$87))</f>
        <v> </v>
      </c>
      <c r="AK87" s="350" t="str">
        <f aca="false">IF($A87="N/A"," ",RANK(S87,$R$76:$Z$87))</f>
        <v> </v>
      </c>
      <c r="AL87" s="350" t="str">
        <f aca="false">IF($A87="N/A"," ",RANK(T87,$R$76:$Z$87))</f>
        <v> </v>
      </c>
      <c r="AM87" s="350" t="str">
        <f aca="false">IF($A87="N/A"," ",RANK(U87,$R$76:$Z$87))</f>
        <v> </v>
      </c>
      <c r="AN87" s="350" t="str">
        <f aca="false">IF($A87="N/A"," ",RANK(V87,$R$76:$Z$87))</f>
        <v> </v>
      </c>
      <c r="AO87" s="350" t="str">
        <f aca="false">IF($A87="N/A"," ",RANK(W87,$R$76:$Z$87))</f>
        <v> </v>
      </c>
      <c r="AP87" s="350" t="str">
        <f aca="false">IF($A87="N/A"," ",RANK(X87,$R$76:$Z$87))</f>
        <v> </v>
      </c>
      <c r="AQ87" s="350" t="str">
        <f aca="false">IF($A87="N/A"," ",RANK(Y87,$R$76:$Z$87))</f>
        <v> </v>
      </c>
      <c r="AR87" s="351" t="str">
        <f aca="false">IF($A87="N/A"," ",RANK(Z87,$R$76:$Z$87))</f>
        <v> </v>
      </c>
      <c r="AS87" s="352" t="str">
        <f aca="false">IF($A87="N/A"," ",IF(AJ87&lt;=$AR$2,AA87,0))</f>
        <v> </v>
      </c>
      <c r="AT87" s="353" t="str">
        <f aca="false">IF($A87="N/A"," ",IF(AK87&lt;=$AR$2,AB87,0))</f>
        <v> </v>
      </c>
      <c r="AU87" s="353" t="str">
        <f aca="false">IF($A87="N/A"," ",IF(AL87&lt;=$AR$2,AC87,0))</f>
        <v> </v>
      </c>
      <c r="AV87" s="353" t="str">
        <f aca="false">IF($A87="N/A"," ",IF(AM87&lt;=$AR$2,AD87,0))</f>
        <v> </v>
      </c>
      <c r="AW87" s="353" t="str">
        <f aca="false">IF($A87="N/A"," ",IF(AN87&lt;=$AR$2,AE87,0))</f>
        <v> </v>
      </c>
      <c r="AX87" s="353" t="str">
        <f aca="false">IF($A87="N/A"," ",IF(AO87&lt;=$AR$2,AF87,0))</f>
        <v> </v>
      </c>
      <c r="AY87" s="353" t="str">
        <f aca="false">IF($A87="N/A"," ",IF(AP87&lt;=$AR$2,AG87,0))</f>
        <v> </v>
      </c>
      <c r="AZ87" s="353" t="str">
        <f aca="false">IF($A87="N/A"," ",IF(AQ87&lt;=$AR$2,AH87,0))</f>
        <v> </v>
      </c>
      <c r="BA87" s="353" t="str">
        <f aca="false">IF($A87="N/A"," ",IF(AR87&lt;=$AR$2,AI87,0))</f>
        <v> </v>
      </c>
      <c r="BB87" s="351" t="n">
        <f aca="false">IF(($AZ$2-BB86)&gt;=0,$AZ$2-BB86,0)</f>
        <v>980</v>
      </c>
      <c r="BC87" s="354" t="str">
        <f aca="false">IF($A87="N/A"," ",IF(AND(AJ87=$AR$2+1,AS87=0),MIN($BB$87,AA87),0))</f>
        <v> </v>
      </c>
      <c r="BD87" s="355" t="str">
        <f aca="false">IF($A87="N/A"," ",IF(AND(AK87=$AR$2+1,AT87=0),MIN($BB$87,AB87),0))</f>
        <v> </v>
      </c>
      <c r="BE87" s="346" t="str">
        <f aca="false">IF($A87="N/A"," ",IF(AND(AL87=$AR$2+1,AU87=0),MIN($BB$87,AC87),0))</f>
        <v> </v>
      </c>
      <c r="BF87" s="355" t="str">
        <f aca="false">IF($A87="N/A"," ",IF(AND(AM87=$AR$2+1,AV87=0),MIN($BB$87,AD87),0))</f>
        <v> </v>
      </c>
      <c r="BG87" s="355" t="str">
        <f aca="false">IF($A87="N/A"," ",IF(AND(AN87=$AR$2+1,AW87=0),MIN($BB$87,AE87),0))</f>
        <v> </v>
      </c>
      <c r="BH87" s="346" t="str">
        <f aca="false">IF($A87="N/A"," ",IF(AND(AO87=$AR$2+1,AX87=0),MIN($BB$87,AF87),0))</f>
        <v> </v>
      </c>
      <c r="BI87" s="355" t="str">
        <f aca="false">IF($A87="N/A"," ",IF(AND(AP87=$AR$2+1,AY87=0),MIN($BB$87,AG87),0))</f>
        <v> </v>
      </c>
      <c r="BJ87" s="355" t="str">
        <f aca="false">IF($A87="N/A"," ",IF(AND(AQ87=$AR$2+1,AZ87=0),MIN($BB$87,AH87),0))</f>
        <v> </v>
      </c>
      <c r="BK87" s="355" t="str">
        <f aca="false">IF($A87="N/A"," ",IF(AND(AR87=$AR$2+1,BA87=0),MIN($BB$87,AI87),0))</f>
        <v> </v>
      </c>
      <c r="BL87" s="356" t="n">
        <f aca="false">BB86+BL86</f>
        <v>0</v>
      </c>
      <c r="BM87" s="329" t="str">
        <f aca="false">IF($A87="N/A"," ",(IF(MONTH(A87)&gt;=4,IF(MONTH(A87)&lt;=10,Inputs!$F$13-Inputs!$G$13,Inputs!$F$14-Inputs!$G$14),Inputs!$F$14-Inputs!$G$14))*$CK87*Availability)</f>
        <v> </v>
      </c>
      <c r="BN87" s="330" t="str">
        <f aca="false">IF($A87="N/A"," ",(IF(AS87&gt;0,($BM87*(8*($HD87))*R87),0)+IF(BC87&gt;0,($BM87*((BC87/AA87)*8*$HD87)*R87),0)))</f>
        <v> </v>
      </c>
      <c r="BO87" s="330" t="str">
        <f aca="false">IF($A87="N/A"," ",(IF(AT87&gt;0,($BM87*(8*($HD87))*S87),0)+IF(BD87&gt;0,($BM87*((BD87/AB87)*8*$HD87)*S87),0)))</f>
        <v> </v>
      </c>
      <c r="BP87" s="330" t="str">
        <f aca="false">IF($A87="N/A"," ",(IF(AU87&gt;0,($BM87*(8*($HD87))*T87),0)+IF(BE87&gt;0,($BM87*((BE87))*T87),0)))</f>
        <v> </v>
      </c>
      <c r="BQ87" s="330" t="str">
        <f aca="false">IF($A87="N/A"," ",(IF(AV87&gt;0,($BM87*(8*($HE87))*U87),0)+IF(BF87&gt;0,($BM87*((BF87/AD87)*8*$HE87)*U87),0)))</f>
        <v> </v>
      </c>
      <c r="BR87" s="330" t="str">
        <f aca="false">IF($A87="N/A"," ",(IF(AW87&gt;0,($BM87*(8*($HE87))*V87),0)+IF(BG87&gt;0,($BM87*((BG87/AE87)*8*$HE87)*V87),0)))</f>
        <v> </v>
      </c>
      <c r="BS87" s="330" t="str">
        <f aca="false">IF($A87="N/A"," ",(IF(AX87&gt;0,($BM87*(8*($HE87))*W87),0)+IF(BH87&gt;0,($BM87*((BH87))*W87),0)))</f>
        <v> </v>
      </c>
      <c r="BT87" s="330" t="str">
        <f aca="false">IF($A87="N/A"," ",(IF(AY87&gt;0,($BM87*(8*($HF87))*X87),0)+IF(BI87&gt;0,($BM87*((BI87/AG87)*8*$HF87)*X87),0)))</f>
        <v> </v>
      </c>
      <c r="BU87" s="330" t="str">
        <f aca="false">IF($A87="N/A"," ",(IF(AZ87&gt;0,($BM87*(8*($HF87))*Y87),0)+IF(BJ87&gt;0,($BM87*((BJ87/AH87)*8*$HF87)*Y87),0)))</f>
        <v> </v>
      </c>
      <c r="BV87" s="330" t="str">
        <f aca="false">IF($A87="N/A"," ",(IF(BA87&gt;0,($BM87*(8*($HF87))*Z87),0)+IF(BK87&gt;0,($BM87*((BK87))*Z87),0)))</f>
        <v> </v>
      </c>
      <c r="BW87" s="330" t="str">
        <f aca="false">IF($A87="N/A"," ",SUM(BN87:BV87))</f>
        <v> </v>
      </c>
      <c r="BX87" s="331" t="str">
        <f aca="false">IF($A87="N/A"," ",(H87*(SUM(AS87:BA87)+SUM(BC87:BK87))*BM87))</f>
        <v> </v>
      </c>
      <c r="BY87" s="332" t="str">
        <f aca="false">IF($A87="N/A"," ",((C87*D87)*(SUM($AS87:$BA87)+SUM($BC87:$BK87))*$BM87))</f>
        <v> </v>
      </c>
      <c r="BZ87" s="332" t="str">
        <f aca="false">IF($A87="N/A"," ",(F87*(SUM($AS87:$BA87)+SUM($BC87:$BK87))*$BM87))</f>
        <v> </v>
      </c>
      <c r="CA87" s="333" t="str">
        <f aca="false">IF($A87="N/A"," ",(G87*(SUM($AS87:$BA87)+SUM($BC87:$BK87))*$BM87))</f>
        <v> </v>
      </c>
      <c r="CB87" s="334" t="str">
        <f aca="false">IF(A87="N/A"," ",(VLOOKUP(A87,PowerVolTable,(IF(BMO=2,7,IF(BMO=1,6,8))),FALSE())))</f>
        <v> </v>
      </c>
      <c r="CC87" s="334" t="str">
        <f aca="false">IF(A87="N/A"," ",(VLOOKUP(A87,IntraPowerVol,(IF(BMO=2,3,IF(BMO=1,2,4))),FALSE())*VLOOKUP(MONTH($A87),Volscale,2)))</f>
        <v> </v>
      </c>
      <c r="CD87" s="335" t="str">
        <f aca="false">IF($A87="N/A"," ",(IF(DateToday&gt;$A87,$CC87,((($CB87^2)*((($A87-1)-DateToday)/((EOMONTH($A87,0)+1)-DateToday-15)))+((($CC87)^2)*((15)/((EOMONTH($A87,0)+1)-DateToday-15))))^0.5)))</f>
        <v> </v>
      </c>
      <c r="CE87" s="334" t="str">
        <f aca="false">IF($A87="N/A"," ",(VLOOKUP($A87,GasVolTable,(IF(BMO=2,6,IF(BMO=1,7,5))),FALSE())))</f>
        <v> </v>
      </c>
      <c r="CF87" s="334" t="str">
        <f aca="false">IF($A87="N/A"," ",(VLOOKUP($A87,OmicronVol,(IF(BMO=2,3,IF(BMO=1,4,2))),FALSE())))</f>
        <v> </v>
      </c>
      <c r="CG87" s="335" t="str">
        <f aca="false">IF($A87="N/A"," ",(IF(DateToday&gt;$A87,$CF87,((($CE87^2)*((($A87-1)-DateToday)/((EOMONTH($A87,0)+1)-DateToday-15)))+((($CF87)^2)*((15)/((EOMONTH($A87,0)+1)-DateToday-15))))^0.5)))</f>
        <v> </v>
      </c>
      <c r="CH87" s="334" t="str">
        <f aca="false">IF($A87="N/A"," ",VLOOKUP($A87,CorrelationTable,2,FALSE()))</f>
        <v> </v>
      </c>
      <c r="CI87" s="336" t="str">
        <f aca="false">IF($A87="N/A"," ",F87+G87+(D87*('Pricing Inputs'!T120)))</f>
        <v> </v>
      </c>
      <c r="CJ87" s="334" t="str">
        <f aca="false">IF($A87="N/A"," ",IF(PV=1,0,'Pricing Inputs'!U120))</f>
        <v> </v>
      </c>
      <c r="CK87" s="337" t="str">
        <f aca="false">IF($A87="N/A"," ",(1+CJ87/2)^(-2*((EOMONTH(A87,0)+20)-DateToday)/365.25))</f>
        <v> </v>
      </c>
      <c r="CL87" s="338" t="str">
        <f aca="false">IF(A87="N/A"," ",IF(CC=2,(VLOOKUP(MONTH($A87),Hrtable,3))/1000,0))</f>
        <v> </v>
      </c>
      <c r="CM87" s="339" t="str">
        <f aca="false">IF(A87="N/A"," ",IF(CC=2,(CL87*C87)+F87,0))</f>
        <v> </v>
      </c>
      <c r="CN87" s="340" t="str">
        <f aca="false">IF($A87="N/A"," ",IF(CC=2,(VLOOKUP(A87,ScaledPrice,(IF(AND(Dayrun&gt;=1,Dayrun&lt;=6),2,4)))-((IF(R87&lt;&gt;0,$D87,$CL87)*$C87)+$F87+$G87)),0))</f>
        <v> </v>
      </c>
      <c r="CO87" s="340" t="str">
        <f aca="false">IF($A87="N/A"," ",IF(CC=2,(IF(AND(Dayrun&gt;=1,Dayrun&lt;=6),I87,(VLOOKUP(A87,ScaledPrice,2))*(2-(VLOOKUP(A87,ScaledPrice,3))))-((IF(S87&lt;&gt;0,$D87,$CL87)*$C87)+$F87+$G87)),0))</f>
        <v> </v>
      </c>
      <c r="CP87" s="340" t="str">
        <f aca="false">IF(A87="N/A"," ",IF(CC=2,(VLOOKUP(A87,ScaledPrice,9)-((IF(T87&lt;&gt;0,$D87,$CL87)*$C87)+$F87+$G87)),0))</f>
        <v> </v>
      </c>
      <c r="CQ87" s="340" t="str">
        <f aca="false">IF(A87="N/A"," ",IF(CC=2,(IF(OR(Dayrun=2,Dayrun=3,Dayrun=5,Dayrun=6,Dayrun=8,Dayrun=9),VLOOKUP(A87,ScaledPrice,IF(AND(Dayrun&gt;=2,Dayrun&lt;=6),5,6)),0)-((IF(U87&lt;&gt;0,$D87,$CL87)*$C87)+$F87+$G87)),0))</f>
        <v> </v>
      </c>
      <c r="CR87" s="340" t="str">
        <f aca="false">IF(A87="N/A"," ",IF(CC=2,(IF(OR(Dayrun=2,Dayrun=3,Dayrun=5,Dayrun=6,Dayrun=8,Dayrun=9),IF(AND(Dayrun&gt;=2,Dayrun&lt;=6),L87,(VLOOKUP(A87,ScaledPrice,5))*(2-(VLOOKUP(A87,ScaledPrice,3)))),0)-((IF(V87&lt;&gt;0,$D87,$CL87)*$C87)+$F87+$G87)),0))</f>
        <v> </v>
      </c>
      <c r="CS87" s="340" t="str">
        <f aca="false">IF(A87="N/A"," ",IF(CC=2,(VLOOKUP(A87,ScaledPrice,9)-((IF(W87&lt;&gt;0,$D87,$CL87)*$C87)+$F87+$G87)),0))</f>
        <v> </v>
      </c>
      <c r="CT87" s="340" t="str">
        <f aca="false">IF(A87="N/A"," ",IF(CC=2,(IF(OR(Dayrun=3,Dayrun=6,Dayrun=9),(VLOOKUP(A87,ScaledPrice,IF(AND(Dayrun&gt;=3,Dayrun&lt;=6),7,8))),0)-((IF(X87&lt;&gt;0,$D87,$CL87)*$C87)+$F87+$G87)),0))</f>
        <v> </v>
      </c>
      <c r="CU87" s="340" t="str">
        <f aca="false">IF(A87="N/A"," ",IF(CC=2,(IF(OR(Dayrun=3,Dayrun=6,Dayrun=9),IF(AND(Dayrun&gt;=3,Dayrun&lt;=6),O87,(VLOOKUP(A87,ScaledPrice,7))*(2-(VLOOKUP(A87,ScaledPrice,3)))),0)-((IF(Y87&lt;&gt;0,$D87,$CL87)*$C87)+$F87+$G87)),0))</f>
        <v> </v>
      </c>
      <c r="CV87" s="340" t="str">
        <f aca="false">IF(A87="N/A"," ",IF(CC=2,(VLOOKUP(A87,ScaledPrice,9)-((IF(Z87&lt;&gt;0,$D87,$CL87)*$C87)+$F87+$G87)),0))</f>
        <v> </v>
      </c>
      <c r="CW87" s="318" t="str">
        <f aca="false">IF($A87="N/A"," ",IF(0&lt;&gt;CN87,IF(CC=2,8*$HD87,0),0))</f>
        <v> </v>
      </c>
      <c r="CX87" s="318" t="str">
        <f aca="false">IF($A87="N/A"," ",IF(0&lt;&gt;CO87,IF(CC=2,8*$HD87,0),0))</f>
        <v> </v>
      </c>
      <c r="CY87" s="318" t="str">
        <f aca="false">IF($A87="N/A"," ",IF(0&lt;&gt;CP87,IF(CC=2,8*$HD87,0),0))</f>
        <v> </v>
      </c>
      <c r="CZ87" s="318" t="str">
        <f aca="false">IF($A87="N/A"," ",IF(0&lt;&gt;CQ87,IF(CC=2,8*$HE87,0),0))</f>
        <v> </v>
      </c>
      <c r="DA87" s="318" t="str">
        <f aca="false">IF($A87="N/A"," ",IF(0&lt;&gt;CR87,IF(CC=2,8*$HE87,0),0))</f>
        <v> </v>
      </c>
      <c r="DB87" s="318" t="str">
        <f aca="false">IF($A87="N/A"," ",IF(0&lt;&gt;CS87,IF(CC=2,8*$HE87,0),0))</f>
        <v> </v>
      </c>
      <c r="DC87" s="318" t="str">
        <f aca="false">IF($A87="N/A"," ",IF(0&lt;&gt;CT87,IF(CC=2,8*$HF87,0),0))</f>
        <v> </v>
      </c>
      <c r="DD87" s="318" t="str">
        <f aca="false">IF($A87="N/A"," ",IF(0&lt;&gt;CU87,IF(CC=2,8*$HF87,0),0))</f>
        <v> </v>
      </c>
      <c r="DE87" s="318" t="str">
        <f aca="false">IF($A87="N/A"," ",IF(0&lt;&gt;CV87,IF(CC=2,8*$HF87,0),0))</f>
        <v> </v>
      </c>
      <c r="DF87" s="341" t="str">
        <f aca="false">IF($A87="N/A"," ",IF(CC=2,(IF(MONTH(A87)&gt;=4,IF(MONTH(A87)&lt;=10,Inputs!$G$13,Inputs!$G$14),Inputs!$G$14))*$CK87,0))</f>
        <v> </v>
      </c>
      <c r="DG87" s="342" t="str">
        <f aca="false">IF($A87="N/A"," ",IF(CC=2,$DF87*CW87*CN87,0))</f>
        <v> </v>
      </c>
      <c r="DH87" s="342" t="str">
        <f aca="false">IF($A87="N/A"," ",IF(CC=2,$DF87*CX87*CO87,0))</f>
        <v> </v>
      </c>
      <c r="DI87" s="342" t="str">
        <f aca="false">IF($A87="N/A"," ",IF(CC=2,$DF87*CY87*CP87,0))</f>
        <v> </v>
      </c>
      <c r="DJ87" s="342" t="str">
        <f aca="false">IF($A87="N/A"," ",IF(CC=2,$DF87*CZ87*CQ87,0))</f>
        <v> </v>
      </c>
      <c r="DK87" s="342" t="str">
        <f aca="false">IF($A87="N/A"," ",IF(CC=2,$DF87*DA87*CR87,0))</f>
        <v> </v>
      </c>
      <c r="DL87" s="342" t="str">
        <f aca="false">IF($A87="N/A"," ",IF(CC=2,$DF87*DB87*CS87,0))</f>
        <v> </v>
      </c>
      <c r="DM87" s="342" t="str">
        <f aca="false">IF($A87="N/A"," ",IF(CC=2,$DF87*DC87*CT87,0))</f>
        <v> </v>
      </c>
      <c r="DN87" s="342" t="str">
        <f aca="false">IF($A87="N/A"," ",IF(CC=2,$DF87*DD87*CU87,0))</f>
        <v> </v>
      </c>
      <c r="DO87" s="342" t="str">
        <f aca="false">IF($A87="N/A"," ",IF(CC=2,$DF87*DE87*CV87,0))</f>
        <v> </v>
      </c>
      <c r="DP87" s="343" t="str">
        <f aca="false">IF($A87="N/A"," ",IF(CC=2,SUM(DG87:DO87),0))</f>
        <v> </v>
      </c>
      <c r="DQ87" s="0" t="str">
        <f aca="false">IF(A87="N/A"," ",Perstart)</f>
        <v> </v>
      </c>
      <c r="HD87" s="0" t="str">
        <f aca="false">IF($A87="N/A"," ",VLOOKUP($A87,NumberofDaysTable,2))</f>
        <v> </v>
      </c>
      <c r="HE87" s="0" t="str">
        <f aca="false">IF($A87="N/A"," ",VLOOKUP($A87,NumberofDaysTable,3))</f>
        <v> </v>
      </c>
      <c r="HF87" s="0" t="str">
        <f aca="false">IF($A87="N/A"," ",VLOOKUP($A87,NumberofDaysTable,4))</f>
        <v> </v>
      </c>
    </row>
    <row r="88" customFormat="false" ht="12.75" hidden="false" customHeight="false" outlineLevel="0" collapsed="false">
      <c r="A88" s="308" t="str">
        <f aca="false">IF(A87="N/A","N/A",IF(EDATE(A87,1)&gt;Inputs!$K$3,"N/A",EDATE(A87,1)))</f>
        <v>N/A</v>
      </c>
      <c r="B88" s="309" t="str">
        <f aca="false">IF(A88="N/A"," ",YEAR(A88))</f>
        <v> </v>
      </c>
      <c r="C88" s="310" t="str">
        <f aca="false">IF(A88="N/A"," ",VLOOKUP(A88,ScaledPrice,10))</f>
        <v> </v>
      </c>
      <c r="D88" s="311" t="str">
        <f aca="false">IF(A88="N/A"," ",(VLOOKUP(MONTH($A88),Hrtable,2))/1000)</f>
        <v> </v>
      </c>
      <c r="E88" s="312" t="str">
        <f aca="false">IF($A88="N/A"," ",(C88-'Pricing Inputs'!T121)*D88)</f>
        <v> </v>
      </c>
      <c r="F88" s="313" t="str">
        <f aca="false">IF(A88="N/A"," ",$F76*(1+VOMesc))</f>
        <v> </v>
      </c>
      <c r="G88" s="313" t="str">
        <f aca="false">IF(A88="N/A"," ",Perstart/IF(AND(Dayrun&gt;=4,Dayrun&lt;=6),16,IF(AND(Dayrun&gt;=7,Dayrun&lt;=9),8,24))/(BM88/CK88))</f>
        <v> </v>
      </c>
      <c r="H88" s="314" t="str">
        <f aca="false">IF(A88="N/A"," ",(C88*D88)+F88+G88)</f>
        <v> </v>
      </c>
      <c r="I88" s="315" t="str">
        <f aca="false">VLOOKUP(A88,ScaledPrice,(IF(AND(Dayrun&gt;=1,Dayrun&lt;=6),2,4)))</f>
        <v> </v>
      </c>
      <c r="J88" s="315" t="str">
        <f aca="false">IF(A88="N/A"," ",IF(AND(Dayrun&gt;=1,Dayrun&lt;=6),I88,(VLOOKUP(A88,ScaledPrice,2))*(2-(VLOOKUP(A88,ScaledPrice,3)))))</f>
        <v> </v>
      </c>
      <c r="K88" s="315" t="str">
        <f aca="false">IF(A88="N/A"," ",IF(AND(Dayrun&gt;=1,Dayrun&lt;=3),VLOOKUP(A88,ScaledPrice,9),0))</f>
        <v> </v>
      </c>
      <c r="L88" s="315" t="str">
        <f aca="false">IF(A88="N/A"," ",IF(OR(Dayrun=2,Dayrun=3,Dayrun=5,Dayrun=6,Dayrun=8,Dayrun=9),VLOOKUP(A88,ScaledPrice,IF(AND(Dayrun&gt;=2,Dayrun&lt;=6),5,6)),0))</f>
        <v> </v>
      </c>
      <c r="M88" s="315" t="str">
        <f aca="false">IF(A88="N/A"," ",IF(OR(Dayrun=2,Dayrun=3,Dayrun=5,Dayrun=6,Dayrun=8,Dayrun=9),IF(AND(Dayrun&gt;=2,Dayrun&lt;=6),L88,(VLOOKUP(A88,ScaledPrice,5))*(2-(VLOOKUP(A88,ScaledPrice,3)))),0))</f>
        <v> </v>
      </c>
      <c r="N88" s="315" t="str">
        <f aca="false">IF(A88="N/A"," ",IF(AND(Dayrun&gt;1,Dayrun&lt;=3),VLOOKUP(A88,ScaledPrice,9),0))</f>
        <v> </v>
      </c>
      <c r="O88" s="315" t="str">
        <f aca="false">IF(A88="N/A"," ",IF(OR(Dayrun=3,Dayrun=6,Dayrun=9),(VLOOKUP(A88,ScaledPrice,IF(AND(Dayrun&gt;=3,Dayrun&lt;=6),7,8))),0))</f>
        <v> </v>
      </c>
      <c r="P88" s="315" t="str">
        <f aca="false">IF(A88="N/A"," ",IF(OR(Dayrun=3,Dayrun=6,Dayrun=9),IF(AND(Dayrun&gt;=3,Dayrun&lt;=6),O88,(VLOOKUP(A88,ScaledPrice,7))*(2-(VLOOKUP(A88,ScaledPrice,3)))),0))</f>
        <v> </v>
      </c>
      <c r="Q88" s="315" t="str">
        <f aca="false">IF(A88="N/A"," ",IF(AND(Dayrun&gt;2,Dayrun&lt;=3),VLOOKUP(A88,ScaledPrice,9),0))</f>
        <v> </v>
      </c>
      <c r="R88" s="316" t="str">
        <f aca="false">IF($A88="N/A"," ",IF(Pricetype=2,MAX(I88-$H88,0),IF(Pricetype=1,(xSPRDOPT(I88,$E88,$CI88,0,($CD88+IF(Smile=TRUE(),VLOOKUP(MAX(-5,$H88-I88),Volsmile,2),0)),$CG88,$CH88,($A88-DateToday)+15,1,0)),I88-$H88)))</f>
        <v> </v>
      </c>
      <c r="S88" s="316" t="str">
        <f aca="false">IF($A88="N/A"," ",IF(Pricetype=2,MAX(J88-$H88,0),IF(Pricetype=1,(xSPRDOPT(J88,$E88,$CI88,0,($CD88+IF(Smile=TRUE(),VLOOKUP(MAX(-5,$H88-J88),Volsmile,2),0)),$CG88,$CH88,($A88-DateToday)+15,1,0)),J88-$H88)))</f>
        <v> </v>
      </c>
      <c r="T88" s="317" t="str">
        <f aca="false">IF($A88="N/A"," ",(IF(Pricetype=2,IF((K88-$H88)&lt;=0,0,(K88-$H88)),IF(K88&lt;&gt;0,(K88-$H88),0))))</f>
        <v> </v>
      </c>
      <c r="U88" s="316" t="str">
        <f aca="false">IF($A88="N/A"," ",IF(Pricetype=2,MAX(L88-$H88,0),IF(L88&lt;&gt;0,IF(Pricetype=1,(xSPRDOPT(L88,$E88,$CI88,0,($CD88+IF(Smile=TRUE(),VLOOKUP(MAX(-5,$H88-L88),Volsmile,2),0)),$CG88,$CH88,($A88-DateToday)+15,1,0)),L88-$H88),0)))</f>
        <v> </v>
      </c>
      <c r="V88" s="316" t="str">
        <f aca="false">IF($A88="N/A"," ",IF(Pricetype=2,MAX(M88-$H88,0),IF(M88&lt;&gt;0,IF(Pricetype=1,(xSPRDOPT(M88,$E88,$CI88,0,($CD88+IF(Smile=TRUE(),VLOOKUP(MAX(-5,$H88-M88),Volsmile,2),0)),$CG88,$CH88,($A88-DateToday)+15,1,0)),M88-$H88),0)))</f>
        <v> </v>
      </c>
      <c r="W88" s="317" t="str">
        <f aca="false">IF($A88="N/A"," ",(IF(Pricetype=2,IF((N88-$H88)&lt;=0,0,(N88-$H88)),IF(N88&lt;&gt;0,(N88-$H88),0))))</f>
        <v> </v>
      </c>
      <c r="X88" s="316" t="str">
        <f aca="false">IF($A88="N/A"," ",IF(Pricetype=2,MAX(O88-$H88,0),IF(O88&lt;&gt;0,IF(Pricetype=1,(xSPRDOPT(O88,$E88,$CI88,0,($CD88+IF(Smile=TRUE(),VLOOKUP(MAX(-5,$H88-O88),Volsmile,2),0)),$CG88,$CH88,($A88-DateToday)+15,1,0)),O88-$H88),0)))</f>
        <v> </v>
      </c>
      <c r="Y88" s="316" t="str">
        <f aca="false">IF($A88="N/A"," ",IF(Pricetype=2,MAX(P88-$H88,0),IF(P88&lt;&gt;0,IF(Pricetype=1,(xSPRDOPT(P88,$E88,$CI88,0,($CD88+IF(Smile=TRUE(),VLOOKUP(MAX(-5,$H88-P88),Volsmile,2),0)),$CG88,$CH88,($A88-DateToday)+15,1,0)),P88-$H88),0)))</f>
        <v> </v>
      </c>
      <c r="Z88" s="317" t="str">
        <f aca="false">IF($A88="N/A"," ",(IF(Pricetype=2,IF((Q88-$H88)&lt;=0,0,(Q88-$H88)),IF(Q88&lt;&gt;0,(Q88-$H88),0))))</f>
        <v> </v>
      </c>
      <c r="AA88" s="318" t="str">
        <f aca="false">IF($A88="N/A"," ",IF(VLOOKUP(MONTH(A88),ManualTable,2)=1,(IF(0&lt;&gt;R88,IF(Pricetype=1,(xSPRDOPT(I88,$E88,$CI88,0,($CD88+IF(Smile=TRUE(),VLOOKUP(MAX(-5,$H88-I88),Volsmile,2),0)),$CG88,$CH88,($A88-DateToday)+15,1,1))*(8*$HD88),8*$HD88),0)),0))</f>
        <v> </v>
      </c>
      <c r="AB88" s="318" t="str">
        <f aca="false">IF($A88="N/A"," ",IF(VLOOKUP(MONTH(A88),ManualTable,3)=1,(IF(S88&lt;&gt;0,IF(Pricetype=1,(xSPRDOPT(J88,$E88,$CI88,0,($CD88+IF(Smile=TRUE(),VLOOKUP(MAX(-5,$H88-J88),Volsmile,2),0)),$CG88,$CH88,($A88-DateToday)+15,1,1))*(8*$HD88),8*$HD88),0)),0))</f>
        <v> </v>
      </c>
      <c r="AC88" s="318" t="str">
        <f aca="false">IF($A88="N/A"," ",IF(VLOOKUP(MONTH(A88),ManualTable,4)=1,(IF(T88&lt;&gt;0,(8*$HD88),0)),0))</f>
        <v> </v>
      </c>
      <c r="AD88" s="318" t="str">
        <f aca="false">IF($A88="N/A"," ",IF(VLOOKUP(MONTH(A88),ManualTable,5)=1,(IF(U88&lt;&gt;0,IF(Pricetype=1,(xSPRDOPT(L88,$E88,$CI88,0,($CD88+IF(Smile=TRUE(),VLOOKUP(MAX(-5,$H88-L88),Volsmile,2),0)),$CG88,$CH88,($A88-DateToday)+15,1,1))*(8*$HE88),8*$HE88),0)),0))</f>
        <v> </v>
      </c>
      <c r="AE88" s="318" t="str">
        <f aca="false">IF($A88="N/A"," ",IF(VLOOKUP(MONTH(A88),ManualTable,6)=1,(IF(V88&lt;&gt;0,IF(Pricetype=1,(xSPRDOPT(M88,$E88,$CI88,0,($CD88+IF(Smile=TRUE(),VLOOKUP(MAX(-5,$H88-M88),Volsmile,2),0)),$CG88,$CH88,($A88-DateToday)+15,1,1))*(8*$HE88),8*$HE88),0)),0))</f>
        <v> </v>
      </c>
      <c r="AF88" s="318" t="str">
        <f aca="false">IF($A88="N/A"," ",IF(VLOOKUP(MONTH(A88),ManualTable,7)=1,(IF(W88&lt;&gt;0,(8*$HE88),0)),0))</f>
        <v> </v>
      </c>
      <c r="AG88" s="318" t="str">
        <f aca="false">IF($A88="N/A"," ",IF(VLOOKUP(MONTH(A88),ManualTable,8)=1,(IF(X88&lt;&gt;0,IF(Pricetype=1,(xSPRDOPT(O88,$E88,$CI88,0,($CD88+IF(Smile=TRUE(),VLOOKUP(MAX(-5,$H88-O88),Volsmile,2),0)),$CG88,$CH88,($A88-DateToday)+15,1,1))*(8*$HF88),8*$HF88),0)),0))</f>
        <v> </v>
      </c>
      <c r="AH88" s="318" t="str">
        <f aca="false">IF($A88="N/A"," ",IF(VLOOKUP(MONTH(A88),ManualTable,9)=1,(IF(Y88&lt;&gt;0,IF(Pricetype=1,(xSPRDOPT(P88,$E88,$CI88,0,($CD88+IF(Smile=TRUE(),VLOOKUP(MAX(-5,$H88-P88),Volsmile,2),0)),$CG88,$CH88,($A88-DateToday)+15,1,1))*(8*$HF88),8*$HF88),0)),0))</f>
        <v> </v>
      </c>
      <c r="AI88" s="318" t="str">
        <f aca="false">IF($A88="N/A"," ",IF(VLOOKUP(MONTH(A88),ManualTable,10)=1,(IF(Z88&lt;&gt;0,(8*($HF88)),0)),0))</f>
        <v> </v>
      </c>
      <c r="AJ88" s="319" t="str">
        <f aca="false">IF($A88="N/A"," ",RANK(R88,$R$88:$Z$99))</f>
        <v> </v>
      </c>
      <c r="AK88" s="320" t="str">
        <f aca="false">IF($A88="N/A"," ",RANK(S88,$R$88:$Z$99))</f>
        <v> </v>
      </c>
      <c r="AL88" s="320" t="str">
        <f aca="false">IF($A88="N/A"," ",RANK(T88,$R$88:$Z$99))</f>
        <v> </v>
      </c>
      <c r="AM88" s="320" t="str">
        <f aca="false">IF($A88="N/A"," ",RANK(U88,$R$88:$Z$99))</f>
        <v> </v>
      </c>
      <c r="AN88" s="320" t="str">
        <f aca="false">IF($A88="N/A"," ",RANK(V88,$R$88:$Z$99))</f>
        <v> </v>
      </c>
      <c r="AO88" s="320" t="str">
        <f aca="false">IF($A88="N/A"," ",RANK(W88,$R$88:$Z$99))</f>
        <v> </v>
      </c>
      <c r="AP88" s="320" t="str">
        <f aca="false">IF($A88="N/A"," ",RANK(X88,$R$88:$Z$99))</f>
        <v> </v>
      </c>
      <c r="AQ88" s="320" t="str">
        <f aca="false">IF($A88="N/A"," ",RANK(Y88,$R$88:$Z$99))</f>
        <v> </v>
      </c>
      <c r="AR88" s="322" t="str">
        <f aca="false">IF($A88="N/A"," ",RANK(Z88,$R$88:$Z$99))</f>
        <v> </v>
      </c>
      <c r="AS88" s="357" t="str">
        <f aca="false">IF($A88="N/A"," ",IF(AJ88&lt;=$AR$2,AA88,0))</f>
        <v> </v>
      </c>
      <c r="AT88" s="324" t="str">
        <f aca="false">IF($A88="N/A"," ",IF(AK88&lt;=$AR$2,AB88,0))</f>
        <v> </v>
      </c>
      <c r="AU88" s="325" t="str">
        <f aca="false">IF($A88="N/A"," ",IF(AL88&lt;=$AR$2,AC88,0))</f>
        <v> </v>
      </c>
      <c r="AV88" s="325" t="str">
        <f aca="false">IF($A88="N/A"," ",IF(AM88&lt;=$AR$2,AD88,0))</f>
        <v> </v>
      </c>
      <c r="AW88" s="325" t="str">
        <f aca="false">IF($A88="N/A"," ",IF(AN88&lt;=$AR$2,AE88,0))</f>
        <v> </v>
      </c>
      <c r="AX88" s="325" t="str">
        <f aca="false">IF($A88="N/A"," ",IF(AO88&lt;=$AR$2,AF88,0))</f>
        <v> </v>
      </c>
      <c r="AY88" s="324" t="str">
        <f aca="false">IF($A88="N/A"," ",IF(AP88&lt;=$AR$2,AG88,0))</f>
        <v> </v>
      </c>
      <c r="AZ88" s="324" t="str">
        <f aca="false">IF($A88="N/A"," ",IF(AQ88&lt;=$AR$2,AH88,0))</f>
        <v> </v>
      </c>
      <c r="BA88" s="324" t="str">
        <f aca="false">IF($A88="N/A"," ",IF(AR88&lt;=$AR$2,AI88,0))</f>
        <v> </v>
      </c>
      <c r="BB88" s="322"/>
      <c r="BC88" s="358" t="str">
        <f aca="false">IF($A88="N/A"," ",IF(AND(AJ88=$AR$2+1,AS88=0),MIN($BB$99,AA88),0))</f>
        <v> </v>
      </c>
      <c r="BD88" s="327" t="str">
        <f aca="false">IF($A88="N/A"," ",IF(AND(AK88=$AR$2+1,AT88=0),MIN($BB$99,AB88),0))</f>
        <v> </v>
      </c>
      <c r="BE88" s="327" t="str">
        <f aca="false">IF($A88="N/A"," ",IF(AND(AL88=$AR$2+1,AU88=0),MIN($BB$99,AC88),0))</f>
        <v> </v>
      </c>
      <c r="BF88" s="327" t="str">
        <f aca="false">IF($A88="N/A"," ",IF(AND(AM88=$AR$2+1,AV88=0),MIN($BB$99,AD88),0))</f>
        <v> </v>
      </c>
      <c r="BG88" s="327" t="str">
        <f aca="false">IF($A88="N/A"," ",IF(AND(AN88=$AR$2+1,AW88=0),MIN($BB$99,AE88),0))</f>
        <v> </v>
      </c>
      <c r="BH88" s="327" t="str">
        <f aca="false">IF($A88="N/A"," ",IF(AND(AO88=$AR$2+1,AX88=0),MIN($BB$99,AF88),0))</f>
        <v> </v>
      </c>
      <c r="BI88" s="327" t="str">
        <f aca="false">IF($A88="N/A"," ",IF(AND(AP88=$AR$2+1,AY88=0),MIN($BB$99,AG88),0))</f>
        <v> </v>
      </c>
      <c r="BJ88" s="327" t="str">
        <f aca="false">IF($A88="N/A"," ",IF(AND(AQ88=$AR$2+1,AZ88=0),MIN($BB$99,AH88),0))</f>
        <v> </v>
      </c>
      <c r="BK88" s="327" t="str">
        <f aca="false">IF($A88="N/A"," ",IF(AND(AR88=$AR$2+1,BA88=0),MIN($BB$99,AI88),0))</f>
        <v> </v>
      </c>
      <c r="BL88" s="322"/>
      <c r="BM88" s="329" t="str">
        <f aca="false">IF($A88="N/A"," ",(IF(MONTH(A88)&gt;=4,IF(MONTH(A88)&lt;=10,Inputs!$F$13-Inputs!$G$13,Inputs!$F$14-Inputs!$G$14),Inputs!$F$14-Inputs!$G$14))*$CK88*Availability)</f>
        <v> </v>
      </c>
      <c r="BN88" s="330" t="str">
        <f aca="false">IF($A88="N/A"," ",(IF(AS88&gt;0,($BM88*(8*($HD88))*R88),0)+IF(BC88&gt;0,($BM88*((BC88/AA88)*8*$HD88)*R88),0)))</f>
        <v> </v>
      </c>
      <c r="BO88" s="330" t="str">
        <f aca="false">IF($A88="N/A"," ",(IF(AT88&gt;0,($BM88*(8*($HD88))*S88),0)+IF(BD88&gt;0,($BM88*((BD88/AB88)*8*$HD88)*S88),0)))</f>
        <v> </v>
      </c>
      <c r="BP88" s="330" t="str">
        <f aca="false">IF($A88="N/A"," ",(IF(AU88&gt;0,($BM88*(8*($HD88))*T88),0)+IF(BE88&gt;0,($BM88*((BE88))*T88),0)))</f>
        <v> </v>
      </c>
      <c r="BQ88" s="330" t="str">
        <f aca="false">IF($A88="N/A"," ",(IF(AV88&gt;0,($BM88*(8*($HE88))*U88),0)+IF(BF88&gt;0,($BM88*((BF88/AD88)*8*$HE88)*U88),0)))</f>
        <v> </v>
      </c>
      <c r="BR88" s="330" t="str">
        <f aca="false">IF($A88="N/A"," ",(IF(AW88&gt;0,($BM88*(8*($HE88))*V88),0)+IF(BG88&gt;0,($BM88*((BG88/AE88)*8*$HE88)*V88),0)))</f>
        <v> </v>
      </c>
      <c r="BS88" s="330" t="str">
        <f aca="false">IF($A88="N/A"," ",(IF(AX88&gt;0,($BM88*(8*($HE88))*W88),0)+IF(BH88&gt;0,($BM88*((BH88))*W88),0)))</f>
        <v> </v>
      </c>
      <c r="BT88" s="330" t="str">
        <f aca="false">IF($A88="N/A"," ",(IF(AY88&gt;0,($BM88*(8*($HF88))*X88),0)+IF(BI88&gt;0,($BM88*((BI88/AG88)*8*$HF88)*X88),0)))</f>
        <v> </v>
      </c>
      <c r="BU88" s="330" t="str">
        <f aca="false">IF($A88="N/A"," ",(IF(AZ88&gt;0,($BM88*(8*($HF88))*Y88),0)+IF(BJ88&gt;0,($BM88*((BJ88/AH88)*8*$HF88)*Y88),0)))</f>
        <v> </v>
      </c>
      <c r="BV88" s="330" t="str">
        <f aca="false">IF($A88="N/A"," ",(IF(BA88&gt;0,($BM88*(8*($HF88))*Z88),0)+IF(BK88&gt;0,($BM88*((BK88))*Z88),0)))</f>
        <v> </v>
      </c>
      <c r="BW88" s="330" t="str">
        <f aca="false">IF($A88="N/A"," ",SUM(BN88:BV88))</f>
        <v> </v>
      </c>
      <c r="BX88" s="331" t="str">
        <f aca="false">IF($A88="N/A"," ",(H88*(SUM(AS88:BA88)+SUM(BC88:BK88))*BM88))</f>
        <v> </v>
      </c>
      <c r="BY88" s="332" t="str">
        <f aca="false">IF($A88="N/A"," ",((C88*D88)*(SUM($AS88:$BA88)+SUM($BC88:$BK88))*$BM88))</f>
        <v> </v>
      </c>
      <c r="BZ88" s="332" t="str">
        <f aca="false">IF($A88="N/A"," ",(F88*(SUM($AS88:$BA88)+SUM($BC88:$BK88))*$BM88))</f>
        <v> </v>
      </c>
      <c r="CA88" s="333" t="str">
        <f aca="false">IF($A88="N/A"," ",(G88*(SUM($AS88:$BA88)+SUM($BC88:$BK88))*$BM88))</f>
        <v> </v>
      </c>
      <c r="CB88" s="334" t="str">
        <f aca="false">IF(A88="N/A"," ",(VLOOKUP(A88,PowerVolTable,(IF(BMO=2,7,IF(BMO=1,6,8))),FALSE())))</f>
        <v> </v>
      </c>
      <c r="CC88" s="334" t="str">
        <f aca="false">IF(A88="N/A"," ",(VLOOKUP(A88,IntraPowerVol,(IF(BMO=2,3,IF(BMO=1,2,4))),FALSE())*VLOOKUP(MONTH($A88),Volscale,2)))</f>
        <v> </v>
      </c>
      <c r="CD88" s="335" t="str">
        <f aca="false">IF($A88="N/A"," ",(IF(DateToday&gt;$A88,$CC88,((($CB88^2)*((($A88-1)-DateToday)/((EOMONTH($A88,0)+1)-DateToday-15)))+((($CC88)^2)*((15)/((EOMONTH($A88,0)+1)-DateToday-15))))^0.5)))</f>
        <v> </v>
      </c>
      <c r="CE88" s="334" t="str">
        <f aca="false">IF($A88="N/A"," ",(VLOOKUP($A88,GasVolTable,(IF(BMO=2,6,IF(BMO=1,7,5))),FALSE())))</f>
        <v> </v>
      </c>
      <c r="CF88" s="334" t="str">
        <f aca="false">IF($A88="N/A"," ",(VLOOKUP($A88,OmicronVol,(IF(BMO=2,3,IF(BMO=1,4,2))),FALSE())))</f>
        <v> </v>
      </c>
      <c r="CG88" s="335" t="str">
        <f aca="false">IF($A88="N/A"," ",(IF(DateToday&gt;$A88,$CF88,((($CE88^2)*((($A88-1)-DateToday)/((EOMONTH($A88,0)+1)-DateToday-15)))+((($CF88)^2)*((15)/((EOMONTH($A88,0)+1)-DateToday-15))))^0.5)))</f>
        <v> </v>
      </c>
      <c r="CH88" s="334" t="str">
        <f aca="false">IF($A88="N/A"," ",VLOOKUP($A88,CorrelationTable,2,FALSE()))</f>
        <v> </v>
      </c>
      <c r="CI88" s="336" t="str">
        <f aca="false">IF($A88="N/A"," ",F88+G88+(D88*('Pricing Inputs'!T121)))</f>
        <v> </v>
      </c>
      <c r="CJ88" s="334" t="str">
        <f aca="false">IF($A88="N/A"," ",IF(PV=1,0,'Pricing Inputs'!U121))</f>
        <v> </v>
      </c>
      <c r="CK88" s="337" t="str">
        <f aca="false">IF($A88="N/A"," ",(1+CJ88/2)^(-2*((EOMONTH(A88,0)+20)-DateToday)/365.25))</f>
        <v> </v>
      </c>
      <c r="CL88" s="338" t="str">
        <f aca="false">IF(A88="N/A"," ",IF(CC=2,(VLOOKUP(MONTH($A88),Hrtable,3))/1000,0))</f>
        <v> </v>
      </c>
      <c r="CM88" s="339" t="str">
        <f aca="false">IF(A88="N/A"," ",IF(CC=2,(CL88*C88)+F88,0))</f>
        <v> </v>
      </c>
      <c r="CN88" s="340" t="str">
        <f aca="false">IF($A88="N/A"," ",IF(CC=2,(VLOOKUP(A88,ScaledPrice,(IF(AND(Dayrun&gt;=1,Dayrun&lt;=6),2,4)))-((IF(R88&lt;&gt;0,$D88,$CL88)*$C88)+$F88+$G88)),0))</f>
        <v> </v>
      </c>
      <c r="CO88" s="340" t="str">
        <f aca="false">IF($A88="N/A"," ",IF(CC=2,(IF(AND(Dayrun&gt;=1,Dayrun&lt;=6),I88,(VLOOKUP(A88,ScaledPrice,2))*(2-(VLOOKUP(A88,ScaledPrice,3))))-((IF(S88&lt;&gt;0,$D88,$CL88)*$C88)+$F88+$G88)),0))</f>
        <v> </v>
      </c>
      <c r="CP88" s="340" t="str">
        <f aca="false">IF(A88="N/A"," ",IF(CC=2,(VLOOKUP(A88,ScaledPrice,9)-((IF(T88&lt;&gt;0,$D88,$CL88)*$C88)+$F88+$G88)),0))</f>
        <v> </v>
      </c>
      <c r="CQ88" s="340" t="str">
        <f aca="false">IF(A88="N/A"," ",IF(CC=2,(IF(OR(Dayrun=2,Dayrun=3,Dayrun=5,Dayrun=6,Dayrun=8,Dayrun=9),VLOOKUP(A88,ScaledPrice,IF(AND(Dayrun&gt;=2,Dayrun&lt;=6),5,6)),0)-((IF(U88&lt;&gt;0,$D88,$CL88)*$C88)+$F88+$G88)),0))</f>
        <v> </v>
      </c>
      <c r="CR88" s="340" t="str">
        <f aca="false">IF(A88="N/A"," ",IF(CC=2,(IF(OR(Dayrun=2,Dayrun=3,Dayrun=5,Dayrun=6,Dayrun=8,Dayrun=9),IF(AND(Dayrun&gt;=2,Dayrun&lt;=6),L88,(VLOOKUP(A88,ScaledPrice,5))*(2-(VLOOKUP(A88,ScaledPrice,3)))),0)-((IF(V88&lt;&gt;0,$D88,$CL88)*$C88)+$F88+$G88)),0))</f>
        <v> </v>
      </c>
      <c r="CS88" s="340" t="str">
        <f aca="false">IF(A88="N/A"," ",IF(CC=2,(VLOOKUP(A88,ScaledPrice,9)-((IF(W88&lt;&gt;0,$D88,$CL88)*$C88)+$F88+$G88)),0))</f>
        <v> </v>
      </c>
      <c r="CT88" s="340" t="str">
        <f aca="false">IF(A88="N/A"," ",IF(CC=2,(IF(OR(Dayrun=3,Dayrun=6,Dayrun=9),(VLOOKUP(A88,ScaledPrice,IF(AND(Dayrun&gt;=3,Dayrun&lt;=6),7,8))),0)-((IF(X88&lt;&gt;0,$D88,$CL88)*$C88)+$F88+$G88)),0))</f>
        <v> </v>
      </c>
      <c r="CU88" s="340" t="str">
        <f aca="false">IF(A88="N/A"," ",IF(CC=2,(IF(OR(Dayrun=3,Dayrun=6,Dayrun=9),IF(AND(Dayrun&gt;=3,Dayrun&lt;=6),O88,(VLOOKUP(A88,ScaledPrice,7))*(2-(VLOOKUP(A88,ScaledPrice,3)))),0)-((IF(Y88&lt;&gt;0,$D88,$CL88)*$C88)+$F88+$G88)),0))</f>
        <v> </v>
      </c>
      <c r="CV88" s="340" t="str">
        <f aca="false">IF(A88="N/A"," ",IF(CC=2,(VLOOKUP(A88,ScaledPrice,9)-((IF(Z88&lt;&gt;0,$D88,$CL88)*$C88)+$F88+$G88)),0))</f>
        <v> </v>
      </c>
      <c r="CW88" s="318" t="str">
        <f aca="false">IF($A88="N/A"," ",IF(0&lt;&gt;CN88,IF(CC=2,8*$HD88,0),0))</f>
        <v> </v>
      </c>
      <c r="CX88" s="318" t="str">
        <f aca="false">IF($A88="N/A"," ",IF(0&lt;&gt;CO88,IF(CC=2,8*$HD88,0),0))</f>
        <v> </v>
      </c>
      <c r="CY88" s="318" t="str">
        <f aca="false">IF($A88="N/A"," ",IF(0&lt;&gt;CP88,IF(CC=2,8*$HD88,0),0))</f>
        <v> </v>
      </c>
      <c r="CZ88" s="318" t="str">
        <f aca="false">IF($A88="N/A"," ",IF(0&lt;&gt;CQ88,IF(CC=2,8*$HE88,0),0))</f>
        <v> </v>
      </c>
      <c r="DA88" s="318" t="str">
        <f aca="false">IF($A88="N/A"," ",IF(0&lt;&gt;CR88,IF(CC=2,8*$HE88,0),0))</f>
        <v> </v>
      </c>
      <c r="DB88" s="318" t="str">
        <f aca="false">IF($A88="N/A"," ",IF(0&lt;&gt;CS88,IF(CC=2,8*$HE88,0),0))</f>
        <v> </v>
      </c>
      <c r="DC88" s="318" t="str">
        <f aca="false">IF($A88="N/A"," ",IF(0&lt;&gt;CT88,IF(CC=2,8*$HF88,0),0))</f>
        <v> </v>
      </c>
      <c r="DD88" s="318" t="str">
        <f aca="false">IF($A88="N/A"," ",IF(0&lt;&gt;CU88,IF(CC=2,8*$HF88,0),0))</f>
        <v> </v>
      </c>
      <c r="DE88" s="318" t="str">
        <f aca="false">IF($A88="N/A"," ",IF(0&lt;&gt;CV88,IF(CC=2,8*$HF88,0),0))</f>
        <v> </v>
      </c>
      <c r="DF88" s="341" t="str">
        <f aca="false">IF($A88="N/A"," ",IF(CC=2,(IF(MONTH(A88)&gt;=4,IF(MONTH(A88)&lt;=10,Inputs!$G$13,Inputs!$G$14),Inputs!$G$14))*$CK88,0))</f>
        <v> </v>
      </c>
      <c r="DG88" s="342" t="str">
        <f aca="false">IF($A88="N/A"," ",IF(CC=2,$DF88*CW88*CN88,0))</f>
        <v> </v>
      </c>
      <c r="DH88" s="342" t="str">
        <f aca="false">IF($A88="N/A"," ",IF(CC=2,$DF88*CX88*CO88,0))</f>
        <v> </v>
      </c>
      <c r="DI88" s="342" t="str">
        <f aca="false">IF($A88="N/A"," ",IF(CC=2,$DF88*CY88*CP88,0))</f>
        <v> </v>
      </c>
      <c r="DJ88" s="342" t="str">
        <f aca="false">IF($A88="N/A"," ",IF(CC=2,$DF88*CZ88*CQ88,0))</f>
        <v> </v>
      </c>
      <c r="DK88" s="342" t="str">
        <f aca="false">IF($A88="N/A"," ",IF(CC=2,$DF88*DA88*CR88,0))</f>
        <v> </v>
      </c>
      <c r="DL88" s="342" t="str">
        <f aca="false">IF($A88="N/A"," ",IF(CC=2,$DF88*DB88*CS88,0))</f>
        <v> </v>
      </c>
      <c r="DM88" s="342" t="str">
        <f aca="false">IF($A88="N/A"," ",IF(CC=2,$DF88*DC88*CT88,0))</f>
        <v> </v>
      </c>
      <c r="DN88" s="342" t="str">
        <f aca="false">IF($A88="N/A"," ",IF(CC=2,$DF88*DD88*CU88,0))</f>
        <v> </v>
      </c>
      <c r="DO88" s="342" t="str">
        <f aca="false">IF($A88="N/A"," ",IF(CC=2,$DF88*DE88*CV88,0))</f>
        <v> </v>
      </c>
      <c r="DP88" s="343" t="str">
        <f aca="false">IF($A88="N/A"," ",IF(CC=2,SUM(DG88:DO88),0))</f>
        <v> </v>
      </c>
      <c r="DQ88" s="0" t="str">
        <f aca="false">IF(A88="N/A"," ",Perstart)</f>
        <v> </v>
      </c>
      <c r="HD88" s="0" t="str">
        <f aca="false">IF($A88="N/A"," ",VLOOKUP($A88,NumberofDaysTable,2))</f>
        <v> </v>
      </c>
      <c r="HE88" s="0" t="str">
        <f aca="false">IF($A88="N/A"," ",VLOOKUP($A88,NumberofDaysTable,3))</f>
        <v> </v>
      </c>
      <c r="HF88" s="0" t="str">
        <f aca="false">IF($A88="N/A"," ",VLOOKUP($A88,NumberofDaysTable,4))</f>
        <v> </v>
      </c>
    </row>
    <row r="89" customFormat="false" ht="12.75" hidden="false" customHeight="false" outlineLevel="0" collapsed="false">
      <c r="A89" s="308" t="str">
        <f aca="false">IF(A88="N/A","N/A",IF(EDATE(A88,1)&gt;Inputs!$K$3,"N/A",EDATE(A88,1)))</f>
        <v>N/A</v>
      </c>
      <c r="B89" s="309" t="str">
        <f aca="false">IF(A89="N/A"," ",YEAR(A89))</f>
        <v> </v>
      </c>
      <c r="C89" s="310" t="str">
        <f aca="false">IF(A89="N/A"," ",VLOOKUP(A89,ScaledPrice,10))</f>
        <v> </v>
      </c>
      <c r="D89" s="311" t="str">
        <f aca="false">IF(A89="N/A"," ",(VLOOKUP(MONTH($A89),Hrtable,2))/1000)</f>
        <v> </v>
      </c>
      <c r="E89" s="312" t="str">
        <f aca="false">IF($A89="N/A"," ",(C89-'Pricing Inputs'!T122)*D89)</f>
        <v> </v>
      </c>
      <c r="F89" s="313" t="str">
        <f aca="false">IF(A89="N/A"," ",$F77*(1+VOMesc))</f>
        <v> </v>
      </c>
      <c r="G89" s="313" t="str">
        <f aca="false">IF(A89="N/A"," ",Perstart/IF(AND(Dayrun&gt;=4,Dayrun&lt;=6),16,IF(AND(Dayrun&gt;=7,Dayrun&lt;=9),8,24))/(BM89/CK89))</f>
        <v> </v>
      </c>
      <c r="H89" s="314" t="str">
        <f aca="false">IF(A89="N/A"," ",(C89*D89)+F89+G89)</f>
        <v> </v>
      </c>
      <c r="I89" s="315" t="str">
        <f aca="false">VLOOKUP(A89,ScaledPrice,(IF(AND(Dayrun&gt;=1,Dayrun&lt;=6),2,4)))</f>
        <v> </v>
      </c>
      <c r="J89" s="315" t="str">
        <f aca="false">IF(A89="N/A"," ",IF(AND(Dayrun&gt;=1,Dayrun&lt;=6),I89,(VLOOKUP(A89,ScaledPrice,2))*(2-(VLOOKUP(A89,ScaledPrice,3)))))</f>
        <v> </v>
      </c>
      <c r="K89" s="315" t="str">
        <f aca="false">IF(A89="N/A"," ",IF(AND(Dayrun&gt;=1,Dayrun&lt;=3),VLOOKUP(A89,ScaledPrice,9),0))</f>
        <v> </v>
      </c>
      <c r="L89" s="315" t="str">
        <f aca="false">IF(A89="N/A"," ",IF(OR(Dayrun=2,Dayrun=3,Dayrun=5,Dayrun=6,Dayrun=8,Dayrun=9),VLOOKUP(A89,ScaledPrice,IF(AND(Dayrun&gt;=2,Dayrun&lt;=6),5,6)),0))</f>
        <v> </v>
      </c>
      <c r="M89" s="315" t="str">
        <f aca="false">IF(A89="N/A"," ",IF(OR(Dayrun=2,Dayrun=3,Dayrun=5,Dayrun=6,Dayrun=8,Dayrun=9),IF(AND(Dayrun&gt;=2,Dayrun&lt;=6),L89,(VLOOKUP(A89,ScaledPrice,5))*(2-(VLOOKUP(A89,ScaledPrice,3)))),0))</f>
        <v> </v>
      </c>
      <c r="N89" s="315" t="str">
        <f aca="false">IF(A89="N/A"," ",IF(AND(Dayrun&gt;1,Dayrun&lt;=3),VLOOKUP(A89,ScaledPrice,9),0))</f>
        <v> </v>
      </c>
      <c r="O89" s="315" t="str">
        <f aca="false">IF(A89="N/A"," ",IF(OR(Dayrun=3,Dayrun=6,Dayrun=9),(VLOOKUP(A89,ScaledPrice,IF(AND(Dayrun&gt;=3,Dayrun&lt;=6),7,8))),0))</f>
        <v> </v>
      </c>
      <c r="P89" s="315" t="str">
        <f aca="false">IF(A89="N/A"," ",IF(OR(Dayrun=3,Dayrun=6,Dayrun=9),IF(AND(Dayrun&gt;=3,Dayrun&lt;=6),O89,(VLOOKUP(A89,ScaledPrice,7))*(2-(VLOOKUP(A89,ScaledPrice,3)))),0))</f>
        <v> </v>
      </c>
      <c r="Q89" s="315" t="str">
        <f aca="false">IF(A89="N/A"," ",IF(AND(Dayrun&gt;2,Dayrun&lt;=3),VLOOKUP(A89,ScaledPrice,9),0))</f>
        <v> </v>
      </c>
      <c r="R89" s="316" t="str">
        <f aca="false">IF($A89="N/A"," ",IF(Pricetype=2,MAX(I89-$H89,0),IF(Pricetype=1,(xSPRDOPT(I89,$E89,$CI89,0,($CD89+IF(Smile=TRUE(),VLOOKUP(MAX(-5,$H89-I89),Volsmile,2),0)),$CG89,$CH89,($A89-DateToday)+15,1,0)),I89-$H89)))</f>
        <v> </v>
      </c>
      <c r="S89" s="316" t="str">
        <f aca="false">IF($A89="N/A"," ",IF(Pricetype=2,MAX(J89-$H89,0),IF(Pricetype=1,(xSPRDOPT(J89,$E89,$CI89,0,($CD89+IF(Smile=TRUE(),VLOOKUP(MAX(-5,$H89-J89),Volsmile,2),0)),$CG89,$CH89,($A89-DateToday)+15,1,0)),J89-$H89)))</f>
        <v> </v>
      </c>
      <c r="T89" s="317" t="str">
        <f aca="false">IF($A89="N/A"," ",(IF(Pricetype=2,IF((K89-$H89)&lt;=0,0,(K89-$H89)),IF(K89&lt;&gt;0,(K89-$H89),0))))</f>
        <v> </v>
      </c>
      <c r="U89" s="316" t="str">
        <f aca="false">IF($A89="N/A"," ",IF(Pricetype=2,MAX(L89-$H89,0),IF(L89&lt;&gt;0,IF(Pricetype=1,(xSPRDOPT(L89,$E89,$CI89,0,($CD89+IF(Smile=TRUE(),VLOOKUP(MAX(-5,$H89-L89),Volsmile,2),0)),$CG89,$CH89,($A89-DateToday)+15,1,0)),L89-$H89),0)))</f>
        <v> </v>
      </c>
      <c r="V89" s="316" t="str">
        <f aca="false">IF($A89="N/A"," ",IF(Pricetype=2,MAX(M89-$H89,0),IF(M89&lt;&gt;0,IF(Pricetype=1,(xSPRDOPT(M89,$E89,$CI89,0,($CD89+IF(Smile=TRUE(),VLOOKUP(MAX(-5,$H89-M89),Volsmile,2),0)),$CG89,$CH89,($A89-DateToday)+15,1,0)),M89-$H89),0)))</f>
        <v> </v>
      </c>
      <c r="W89" s="317" t="str">
        <f aca="false">IF($A89="N/A"," ",(IF(Pricetype=2,IF((N89-$H89)&lt;=0,0,(N89-$H89)),IF(N89&lt;&gt;0,(N89-$H89),0))))</f>
        <v> </v>
      </c>
      <c r="X89" s="316" t="str">
        <f aca="false">IF($A89="N/A"," ",IF(Pricetype=2,MAX(O89-$H89,0),IF(O89&lt;&gt;0,IF(Pricetype=1,(xSPRDOPT(O89,$E89,$CI89,0,($CD89+IF(Smile=TRUE(),VLOOKUP(MAX(-5,$H89-O89),Volsmile,2),0)),$CG89,$CH89,($A89-DateToday)+15,1,0)),O89-$H89),0)))</f>
        <v> </v>
      </c>
      <c r="Y89" s="316" t="str">
        <f aca="false">IF($A89="N/A"," ",IF(Pricetype=2,MAX(P89-$H89,0),IF(P89&lt;&gt;0,IF(Pricetype=1,(xSPRDOPT(P89,$E89,$CI89,0,($CD89+IF(Smile=TRUE(),VLOOKUP(MAX(-5,$H89-P89),Volsmile,2),0)),$CG89,$CH89,($A89-DateToday)+15,1,0)),P89-$H89),0)))</f>
        <v> </v>
      </c>
      <c r="Z89" s="317" t="str">
        <f aca="false">IF($A89="N/A"," ",(IF(Pricetype=2,IF((Q89-$H89)&lt;=0,0,(Q89-$H89)),IF(Q89&lt;&gt;0,(Q89-$H89),0))))</f>
        <v> </v>
      </c>
      <c r="AA89" s="318" t="str">
        <f aca="false">IF($A89="N/A"," ",IF(VLOOKUP(MONTH(A89),ManualTable,2)=1,(IF(0&lt;&gt;R89,IF(Pricetype=1,(xSPRDOPT(I89,$E89,$CI89,0,($CD89+IF(Smile=TRUE(),VLOOKUP(MAX(-5,$H89-I89),Volsmile,2),0)),$CG89,$CH89,($A89-DateToday)+15,1,1))*(8*$HD89),8*$HD89),0)),0))</f>
        <v> </v>
      </c>
      <c r="AB89" s="318" t="str">
        <f aca="false">IF($A89="N/A"," ",IF(VLOOKUP(MONTH(A89),ManualTable,3)=1,(IF(S89&lt;&gt;0,IF(Pricetype=1,(xSPRDOPT(J89,$E89,$CI89,0,($CD89+IF(Smile=TRUE(),VLOOKUP(MAX(-5,$H89-J89),Volsmile,2),0)),$CG89,$CH89,($A89-DateToday)+15,1,1))*(8*$HD89),8*$HD89),0)),0))</f>
        <v> </v>
      </c>
      <c r="AC89" s="318" t="str">
        <f aca="false">IF($A89="N/A"," ",IF(VLOOKUP(MONTH(A89),ManualTable,4)=1,(IF(T89&lt;&gt;0,(8*$HD89),0)),0))</f>
        <v> </v>
      </c>
      <c r="AD89" s="318" t="str">
        <f aca="false">IF($A89="N/A"," ",IF(VLOOKUP(MONTH(A89),ManualTable,5)=1,(IF(U89&lt;&gt;0,IF(Pricetype=1,(xSPRDOPT(L89,$E89,$CI89,0,($CD89+IF(Smile=TRUE(),VLOOKUP(MAX(-5,$H89-L89),Volsmile,2),0)),$CG89,$CH89,($A89-DateToday)+15,1,1))*(8*$HE89),8*$HE89),0)),0))</f>
        <v> </v>
      </c>
      <c r="AE89" s="318" t="str">
        <f aca="false">IF($A89="N/A"," ",IF(VLOOKUP(MONTH(A89),ManualTable,6)=1,(IF(V89&lt;&gt;0,IF(Pricetype=1,(xSPRDOPT(M89,$E89,$CI89,0,($CD89+IF(Smile=TRUE(),VLOOKUP(MAX(-5,$H89-M89),Volsmile,2),0)),$CG89,$CH89,($A89-DateToday)+15,1,1))*(8*$HE89),8*$HE89),0)),0))</f>
        <v> </v>
      </c>
      <c r="AF89" s="318" t="str">
        <f aca="false">IF($A89="N/A"," ",IF(VLOOKUP(MONTH(A89),ManualTable,7)=1,(IF(W89&lt;&gt;0,(8*$HE89),0)),0))</f>
        <v> </v>
      </c>
      <c r="AG89" s="318" t="str">
        <f aca="false">IF($A89="N/A"," ",IF(VLOOKUP(MONTH(A89),ManualTable,8)=1,(IF(X89&lt;&gt;0,IF(Pricetype=1,(xSPRDOPT(O89,$E89,$CI89,0,($CD89+IF(Smile=TRUE(),VLOOKUP(MAX(-5,$H89-O89),Volsmile,2),0)),$CG89,$CH89,($A89-DateToday)+15,1,1))*(8*$HF89),8*$HF89),0)),0))</f>
        <v> </v>
      </c>
      <c r="AH89" s="318" t="str">
        <f aca="false">IF($A89="N/A"," ",IF(VLOOKUP(MONTH(A89),ManualTable,9)=1,(IF(Y89&lt;&gt;0,IF(Pricetype=1,(xSPRDOPT(P89,$E89,$CI89,0,($CD89+IF(Smile=TRUE(),VLOOKUP(MAX(-5,$H89-P89),Volsmile,2),0)),$CG89,$CH89,($A89-DateToday)+15,1,1))*(8*$HF89),8*$HF89),0)),0))</f>
        <v> </v>
      </c>
      <c r="AI89" s="318" t="str">
        <f aca="false">IF($A89="N/A"," ",IF(VLOOKUP(MONTH(A89),ManualTable,10)=1,(IF(Z89&lt;&gt;0,(8*($HF89)),0)),0))</f>
        <v> </v>
      </c>
      <c r="AJ89" s="344" t="str">
        <f aca="false">IF($A89="N/A"," ",RANK(R89,$R$88:$Z$99))</f>
        <v> </v>
      </c>
      <c r="AK89" s="321" t="str">
        <f aca="false">IF($A89="N/A"," ",RANK(S89,$R$88:$Z$99))</f>
        <v> </v>
      </c>
      <c r="AL89" s="321" t="str">
        <f aca="false">IF($A89="N/A"," ",RANK(T89,$R$88:$Z$99))</f>
        <v> </v>
      </c>
      <c r="AM89" s="321" t="str">
        <f aca="false">IF($A89="N/A"," ",RANK(U89,$R$88:$Z$99))</f>
        <v> </v>
      </c>
      <c r="AN89" s="321" t="str">
        <f aca="false">IF($A89="N/A"," ",RANK(V89,$R$88:$Z$99))</f>
        <v> </v>
      </c>
      <c r="AO89" s="321" t="str">
        <f aca="false">IF($A89="N/A"," ",RANK(W89,$R$88:$Z$99))</f>
        <v> </v>
      </c>
      <c r="AP89" s="321" t="str">
        <f aca="false">IF($A89="N/A"," ",RANK(X89,$R$88:$Z$99))</f>
        <v> </v>
      </c>
      <c r="AQ89" s="321" t="str">
        <f aca="false">IF($A89="N/A"," ",RANK(Y89,$R$88:$Z$99))</f>
        <v> </v>
      </c>
      <c r="AR89" s="345" t="str">
        <f aca="false">IF($A89="N/A"," ",RANK(Z89,$R$88:$Z$99))</f>
        <v> </v>
      </c>
      <c r="AS89" s="323" t="str">
        <f aca="false">IF($A89="N/A"," ",IF(AJ89&lt;=$AR$2,AA89,0))</f>
        <v> </v>
      </c>
      <c r="AT89" s="325" t="str">
        <f aca="false">IF($A89="N/A"," ",IF(AK89&lt;=$AR$2,AB89,0))</f>
        <v> </v>
      </c>
      <c r="AU89" s="325" t="str">
        <f aca="false">IF($A89="N/A"," ",IF(AL89&lt;=$AR$2,AC89,0))</f>
        <v> </v>
      </c>
      <c r="AV89" s="325" t="str">
        <f aca="false">IF($A89="N/A"," ",IF(AM89&lt;=$AR$2,AD89,0))</f>
        <v> </v>
      </c>
      <c r="AW89" s="325" t="str">
        <f aca="false">IF($A89="N/A"," ",IF(AN89&lt;=$AR$2,AE89,0))</f>
        <v> </v>
      </c>
      <c r="AX89" s="325" t="str">
        <f aca="false">IF($A89="N/A"," ",IF(AO89&lt;=$AR$2,AF89,0))</f>
        <v> </v>
      </c>
      <c r="AY89" s="325" t="str">
        <f aca="false">IF($A89="N/A"," ",IF(AP89&lt;=$AR$2,AG89,0))</f>
        <v> </v>
      </c>
      <c r="AZ89" s="325" t="str">
        <f aca="false">IF($A89="N/A"," ",IF(AQ89&lt;=$AR$2,AH89,0))</f>
        <v> </v>
      </c>
      <c r="BA89" s="325" t="str">
        <f aca="false">IF($A89="N/A"," ",IF(AR89&lt;=$AR$2,AI89,0))</f>
        <v> </v>
      </c>
      <c r="BB89" s="345"/>
      <c r="BC89" s="326" t="str">
        <f aca="false">IF($A89="N/A"," ",IF(AND(AJ89=$AR$2+1,AS89=0),MIN($BB$99,AA89),0))</f>
        <v> </v>
      </c>
      <c r="BD89" s="346" t="str">
        <f aca="false">IF($A89="N/A"," ",IF(AND(AK89=$AR$2+1,AT89=0),MIN($BB$99,AB89),0))</f>
        <v> </v>
      </c>
      <c r="BE89" s="346" t="str">
        <f aca="false">IF($A89="N/A"," ",IF(AND(AL89=$AR$2+1,AU89=0),MIN($BB$99,AC89),0))</f>
        <v> </v>
      </c>
      <c r="BF89" s="346" t="str">
        <f aca="false">IF($A89="N/A"," ",IF(AND(AM89=$AR$2+1,AV89=0),MIN($BB$99,AD89),0))</f>
        <v> </v>
      </c>
      <c r="BG89" s="346" t="str">
        <f aca="false">IF($A89="N/A"," ",IF(AND(AN89=$AR$2+1,AW89=0),MIN($BB$99,AE89),0))</f>
        <v> </v>
      </c>
      <c r="BH89" s="346" t="str">
        <f aca="false">IF($A89="N/A"," ",IF(AND(AO89=$AR$2+1,AX89=0),MIN($BB$99,AF89),0))</f>
        <v> </v>
      </c>
      <c r="BI89" s="346" t="str">
        <f aca="false">IF($A89="N/A"," ",IF(AND(AP89=$AR$2+1,AY89=0),MIN($BB$99,AG89),0))</f>
        <v> </v>
      </c>
      <c r="BJ89" s="346" t="str">
        <f aca="false">IF($A89="N/A"," ",IF(AND(AQ89=$AR$2+1,AZ89=0),MIN($BB$99,AH89),0))</f>
        <v> </v>
      </c>
      <c r="BK89" s="346" t="str">
        <f aca="false">IF($A89="N/A"," ",IF(AND(AR89=$AR$2+1,BA89=0),MIN($BB$99,AI89),0))</f>
        <v> </v>
      </c>
      <c r="BL89" s="345"/>
      <c r="BM89" s="329" t="str">
        <f aca="false">IF($A89="N/A"," ",(IF(MONTH(A89)&gt;=4,IF(MONTH(A89)&lt;=10,Inputs!$F$13-Inputs!$G$13,Inputs!$F$14-Inputs!$G$14),Inputs!$F$14-Inputs!$G$14))*$CK89*Availability)</f>
        <v> </v>
      </c>
      <c r="BN89" s="330" t="str">
        <f aca="false">IF($A89="N/A"," ",(IF(AS89&gt;0,($BM89*(8*($HD89))*R89),0)+IF(BC89&gt;0,($BM89*((BC89/AA89)*8*$HD89)*R89),0)))</f>
        <v> </v>
      </c>
      <c r="BO89" s="330" t="str">
        <f aca="false">IF($A89="N/A"," ",(IF(AT89&gt;0,($BM89*(8*($HD89))*S89),0)+IF(BD89&gt;0,($BM89*((BD89/AB89)*8*$HD89)*S89),0)))</f>
        <v> </v>
      </c>
      <c r="BP89" s="330" t="str">
        <f aca="false">IF($A89="N/A"," ",(IF(AU89&gt;0,($BM89*(8*($HD89))*T89),0)+IF(BE89&gt;0,($BM89*((BE89))*T89),0)))</f>
        <v> </v>
      </c>
      <c r="BQ89" s="330" t="str">
        <f aca="false">IF($A89="N/A"," ",(IF(AV89&gt;0,($BM89*(8*($HE89))*U89),0)+IF(BF89&gt;0,($BM89*((BF89/AD89)*8*$HE89)*U89),0)))</f>
        <v> </v>
      </c>
      <c r="BR89" s="330" t="str">
        <f aca="false">IF($A89="N/A"," ",(IF(AW89&gt;0,($BM89*(8*($HE89))*V89),0)+IF(BG89&gt;0,($BM89*((BG89/AE89)*8*$HE89)*V89),0)))</f>
        <v> </v>
      </c>
      <c r="BS89" s="330" t="str">
        <f aca="false">IF($A89="N/A"," ",(IF(AX89&gt;0,($BM89*(8*($HE89))*W89),0)+IF(BH89&gt;0,($BM89*((BH89))*W89),0)))</f>
        <v> </v>
      </c>
      <c r="BT89" s="330" t="str">
        <f aca="false">IF($A89="N/A"," ",(IF(AY89&gt;0,($BM89*(8*($HF89))*X89),0)+IF(BI89&gt;0,($BM89*((BI89/AG89)*8*$HF89)*X89),0)))</f>
        <v> </v>
      </c>
      <c r="BU89" s="330" t="str">
        <f aca="false">IF($A89="N/A"," ",(IF(AZ89&gt;0,($BM89*(8*($HF89))*Y89),0)+IF(BJ89&gt;0,($BM89*((BJ89/AH89)*8*$HF89)*Y89),0)))</f>
        <v> </v>
      </c>
      <c r="BV89" s="330" t="str">
        <f aca="false">IF($A89="N/A"," ",(IF(BA89&gt;0,($BM89*(8*($HF89))*Z89),0)+IF(BK89&gt;0,($BM89*((BK89))*Z89),0)))</f>
        <v> </v>
      </c>
      <c r="BW89" s="330" t="str">
        <f aca="false">IF($A89="N/A"," ",SUM(BN89:BV89))</f>
        <v> </v>
      </c>
      <c r="BX89" s="331" t="str">
        <f aca="false">IF($A89="N/A"," ",(H89*(SUM(AS89:BA89)+SUM(BC89:BK89))*BM89))</f>
        <v> </v>
      </c>
      <c r="BY89" s="332" t="str">
        <f aca="false">IF($A89="N/A"," ",((C89*D89)*(SUM($AS89:$BA89)+SUM($BC89:$BK89))*$BM89))</f>
        <v> </v>
      </c>
      <c r="BZ89" s="332" t="str">
        <f aca="false">IF($A89="N/A"," ",(F89*(SUM($AS89:$BA89)+SUM($BC89:$BK89))*$BM89))</f>
        <v> </v>
      </c>
      <c r="CA89" s="333" t="str">
        <f aca="false">IF($A89="N/A"," ",(G89*(SUM($AS89:$BA89)+SUM($BC89:$BK89))*$BM89))</f>
        <v> </v>
      </c>
      <c r="CB89" s="334" t="str">
        <f aca="false">IF(A89="N/A"," ",(VLOOKUP(A89,PowerVolTable,(IF(BMO=2,7,IF(BMO=1,6,8))),FALSE())))</f>
        <v> </v>
      </c>
      <c r="CC89" s="334" t="str">
        <f aca="false">IF(A89="N/A"," ",(VLOOKUP(A89,IntraPowerVol,(IF(BMO=2,3,IF(BMO=1,2,4))),FALSE())*VLOOKUP(MONTH($A89),Volscale,2)))</f>
        <v> </v>
      </c>
      <c r="CD89" s="335" t="str">
        <f aca="false">IF($A89="N/A"," ",(IF(DateToday&gt;$A89,$CC89,((($CB89^2)*((($A89-1)-DateToday)/((EOMONTH($A89,0)+1)-DateToday-15)))+((($CC89)^2)*((15)/((EOMONTH($A89,0)+1)-DateToday-15))))^0.5)))</f>
        <v> </v>
      </c>
      <c r="CE89" s="334" t="str">
        <f aca="false">IF($A89="N/A"," ",(VLOOKUP($A89,GasVolTable,(IF(BMO=2,6,IF(BMO=1,7,5))),FALSE())))</f>
        <v> </v>
      </c>
      <c r="CF89" s="334" t="str">
        <f aca="false">IF($A89="N/A"," ",(VLOOKUP($A89,OmicronVol,(IF(BMO=2,3,IF(BMO=1,4,2))),FALSE())))</f>
        <v> </v>
      </c>
      <c r="CG89" s="335" t="str">
        <f aca="false">IF($A89="N/A"," ",(IF(DateToday&gt;$A89,$CF89,((($CE89^2)*((($A89-1)-DateToday)/((EOMONTH($A89,0)+1)-DateToday-15)))+((($CF89)^2)*((15)/((EOMONTH($A89,0)+1)-DateToday-15))))^0.5)))</f>
        <v> </v>
      </c>
      <c r="CH89" s="334" t="str">
        <f aca="false">IF($A89="N/A"," ",VLOOKUP($A89,CorrelationTable,2,FALSE()))</f>
        <v> </v>
      </c>
      <c r="CI89" s="336" t="str">
        <f aca="false">IF($A89="N/A"," ",F89+G89+(D89*('Pricing Inputs'!T122)))</f>
        <v> </v>
      </c>
      <c r="CJ89" s="334" t="str">
        <f aca="false">IF($A89="N/A"," ",IF(PV=1,0,'Pricing Inputs'!U122))</f>
        <v> </v>
      </c>
      <c r="CK89" s="337" t="str">
        <f aca="false">IF($A89="N/A"," ",(1+CJ89/2)^(-2*((EOMONTH(A89,0)+20)-DateToday)/365.25))</f>
        <v> </v>
      </c>
      <c r="CL89" s="338" t="str">
        <f aca="false">IF(A89="N/A"," ",IF(CC=2,(VLOOKUP(MONTH($A89),Hrtable,3))/1000,0))</f>
        <v> </v>
      </c>
      <c r="CM89" s="339" t="str">
        <f aca="false">IF(A89="N/A"," ",IF(CC=2,(CL89*C89)+F89,0))</f>
        <v> </v>
      </c>
      <c r="CN89" s="340" t="str">
        <f aca="false">IF($A89="N/A"," ",IF(CC=2,(VLOOKUP(A89,ScaledPrice,(IF(AND(Dayrun&gt;=1,Dayrun&lt;=6),2,4)))-((IF(R89&lt;&gt;0,$D89,$CL89)*$C89)+$F89+$G89)),0))</f>
        <v> </v>
      </c>
      <c r="CO89" s="340" t="str">
        <f aca="false">IF($A89="N/A"," ",IF(CC=2,(IF(AND(Dayrun&gt;=1,Dayrun&lt;=6),I89,(VLOOKUP(A89,ScaledPrice,2))*(2-(VLOOKUP(A89,ScaledPrice,3))))-((IF(S89&lt;&gt;0,$D89,$CL89)*$C89)+$F89+$G89)),0))</f>
        <v> </v>
      </c>
      <c r="CP89" s="340" t="str">
        <f aca="false">IF(A89="N/A"," ",IF(CC=2,(VLOOKUP(A89,ScaledPrice,9)-((IF(T89&lt;&gt;0,$D89,$CL89)*$C89)+$F89+$G89)),0))</f>
        <v> </v>
      </c>
      <c r="CQ89" s="340" t="str">
        <f aca="false">IF(A89="N/A"," ",IF(CC=2,(IF(OR(Dayrun=2,Dayrun=3,Dayrun=5,Dayrun=6,Dayrun=8,Dayrun=9),VLOOKUP(A89,ScaledPrice,IF(AND(Dayrun&gt;=2,Dayrun&lt;=6),5,6)),0)-((IF(U89&lt;&gt;0,$D89,$CL89)*$C89)+$F89+$G89)),0))</f>
        <v> </v>
      </c>
      <c r="CR89" s="340" t="str">
        <f aca="false">IF(A89="N/A"," ",IF(CC=2,(IF(OR(Dayrun=2,Dayrun=3,Dayrun=5,Dayrun=6,Dayrun=8,Dayrun=9),IF(AND(Dayrun&gt;=2,Dayrun&lt;=6),L89,(VLOOKUP(A89,ScaledPrice,5))*(2-(VLOOKUP(A89,ScaledPrice,3)))),0)-((IF(V89&lt;&gt;0,$D89,$CL89)*$C89)+$F89+$G89)),0))</f>
        <v> </v>
      </c>
      <c r="CS89" s="340" t="str">
        <f aca="false">IF(A89="N/A"," ",IF(CC=2,(VLOOKUP(A89,ScaledPrice,9)-((IF(W89&lt;&gt;0,$D89,$CL89)*$C89)+$F89+$G89)),0))</f>
        <v> </v>
      </c>
      <c r="CT89" s="340" t="str">
        <f aca="false">IF(A89="N/A"," ",IF(CC=2,(IF(OR(Dayrun=3,Dayrun=6,Dayrun=9),(VLOOKUP(A89,ScaledPrice,IF(AND(Dayrun&gt;=3,Dayrun&lt;=6),7,8))),0)-((IF(X89&lt;&gt;0,$D89,$CL89)*$C89)+$F89+$G89)),0))</f>
        <v> </v>
      </c>
      <c r="CU89" s="340" t="str">
        <f aca="false">IF(A89="N/A"," ",IF(CC=2,(IF(OR(Dayrun=3,Dayrun=6,Dayrun=9),IF(AND(Dayrun&gt;=3,Dayrun&lt;=6),O89,(VLOOKUP(A89,ScaledPrice,7))*(2-(VLOOKUP(A89,ScaledPrice,3)))),0)-((IF(Y89&lt;&gt;0,$D89,$CL89)*$C89)+$F89+$G89)),0))</f>
        <v> </v>
      </c>
      <c r="CV89" s="340" t="str">
        <f aca="false">IF(A89="N/A"," ",IF(CC=2,(VLOOKUP(A89,ScaledPrice,9)-((IF(Z89&lt;&gt;0,$D89,$CL89)*$C89)+$F89+$G89)),0))</f>
        <v> </v>
      </c>
      <c r="CW89" s="318" t="str">
        <f aca="false">IF($A89="N/A"," ",IF(0&lt;&gt;CN89,IF(CC=2,8*$HD89,0),0))</f>
        <v> </v>
      </c>
      <c r="CX89" s="318" t="str">
        <f aca="false">IF($A89="N/A"," ",IF(0&lt;&gt;CO89,IF(CC=2,8*$HD89,0),0))</f>
        <v> </v>
      </c>
      <c r="CY89" s="318" t="str">
        <f aca="false">IF($A89="N/A"," ",IF(0&lt;&gt;CP89,IF(CC=2,8*$HD89,0),0))</f>
        <v> </v>
      </c>
      <c r="CZ89" s="318" t="str">
        <f aca="false">IF($A89="N/A"," ",IF(0&lt;&gt;CQ89,IF(CC=2,8*$HE89,0),0))</f>
        <v> </v>
      </c>
      <c r="DA89" s="318" t="str">
        <f aca="false">IF($A89="N/A"," ",IF(0&lt;&gt;CR89,IF(CC=2,8*$HE89,0),0))</f>
        <v> </v>
      </c>
      <c r="DB89" s="318" t="str">
        <f aca="false">IF($A89="N/A"," ",IF(0&lt;&gt;CS89,IF(CC=2,8*$HE89,0),0))</f>
        <v> </v>
      </c>
      <c r="DC89" s="318" t="str">
        <f aca="false">IF($A89="N/A"," ",IF(0&lt;&gt;CT89,IF(CC=2,8*$HF89,0),0))</f>
        <v> </v>
      </c>
      <c r="DD89" s="318" t="str">
        <f aca="false">IF($A89="N/A"," ",IF(0&lt;&gt;CU89,IF(CC=2,8*$HF89,0),0))</f>
        <v> </v>
      </c>
      <c r="DE89" s="318" t="str">
        <f aca="false">IF($A89="N/A"," ",IF(0&lt;&gt;CV89,IF(CC=2,8*$HF89,0),0))</f>
        <v> </v>
      </c>
      <c r="DF89" s="341" t="str">
        <f aca="false">IF($A89="N/A"," ",IF(CC=2,(IF(MONTH(A89)&gt;=4,IF(MONTH(A89)&lt;=10,Inputs!$G$13,Inputs!$G$14),Inputs!$G$14))*$CK89,0))</f>
        <v> </v>
      </c>
      <c r="DG89" s="342" t="str">
        <f aca="false">IF($A89="N/A"," ",IF(CC=2,$DF89*CW89*CN89,0))</f>
        <v> </v>
      </c>
      <c r="DH89" s="342" t="str">
        <f aca="false">IF($A89="N/A"," ",IF(CC=2,$DF89*CX89*CO89,0))</f>
        <v> </v>
      </c>
      <c r="DI89" s="342" t="str">
        <f aca="false">IF($A89="N/A"," ",IF(CC=2,$DF89*CY89*CP89,0))</f>
        <v> </v>
      </c>
      <c r="DJ89" s="342" t="str">
        <f aca="false">IF($A89="N/A"," ",IF(CC=2,$DF89*CZ89*CQ89,0))</f>
        <v> </v>
      </c>
      <c r="DK89" s="342" t="str">
        <f aca="false">IF($A89="N/A"," ",IF(CC=2,$DF89*DA89*CR89,0))</f>
        <v> </v>
      </c>
      <c r="DL89" s="342" t="str">
        <f aca="false">IF($A89="N/A"," ",IF(CC=2,$DF89*DB89*CS89,0))</f>
        <v> </v>
      </c>
      <c r="DM89" s="342" t="str">
        <f aca="false">IF($A89="N/A"," ",IF(CC=2,$DF89*DC89*CT89,0))</f>
        <v> </v>
      </c>
      <c r="DN89" s="342" t="str">
        <f aca="false">IF($A89="N/A"," ",IF(CC=2,$DF89*DD89*CU89,0))</f>
        <v> </v>
      </c>
      <c r="DO89" s="342" t="str">
        <f aca="false">IF($A89="N/A"," ",IF(CC=2,$DF89*DE89*CV89,0))</f>
        <v> </v>
      </c>
      <c r="DP89" s="343" t="str">
        <f aca="false">IF($A89="N/A"," ",IF(CC=2,SUM(DG89:DO89),0))</f>
        <v> </v>
      </c>
      <c r="DQ89" s="0" t="str">
        <f aca="false">IF(A89="N/A"," ",Perstart)</f>
        <v> </v>
      </c>
      <c r="HD89" s="0" t="str">
        <f aca="false">IF($A89="N/A"," ",VLOOKUP($A89,NumberofDaysTable,2))</f>
        <v> </v>
      </c>
      <c r="HE89" s="0" t="str">
        <f aca="false">IF($A89="N/A"," ",VLOOKUP($A89,NumberofDaysTable,3))</f>
        <v> </v>
      </c>
      <c r="HF89" s="0" t="str">
        <f aca="false">IF($A89="N/A"," ",VLOOKUP($A89,NumberofDaysTable,4))</f>
        <v> </v>
      </c>
    </row>
    <row r="90" customFormat="false" ht="12.75" hidden="false" customHeight="false" outlineLevel="0" collapsed="false">
      <c r="A90" s="308" t="str">
        <f aca="false">IF(A89="N/A","N/A",IF(EDATE(A89,1)&gt;Inputs!$K$3,"N/A",EDATE(A89,1)))</f>
        <v>N/A</v>
      </c>
      <c r="B90" s="309" t="str">
        <f aca="false">IF(A90="N/A"," ",YEAR(A90))</f>
        <v> </v>
      </c>
      <c r="C90" s="310" t="str">
        <f aca="false">IF(A90="N/A"," ",VLOOKUP(A90,ScaledPrice,10))</f>
        <v> </v>
      </c>
      <c r="D90" s="311" t="str">
        <f aca="false">IF(A90="N/A"," ",(VLOOKUP(MONTH($A90),Hrtable,2))/1000)</f>
        <v> </v>
      </c>
      <c r="E90" s="312" t="str">
        <f aca="false">IF($A90="N/A"," ",(C90-'Pricing Inputs'!T123)*D90)</f>
        <v> </v>
      </c>
      <c r="F90" s="313" t="str">
        <f aca="false">IF(A90="N/A"," ",$F78*(1+VOMesc))</f>
        <v> </v>
      </c>
      <c r="G90" s="313" t="str">
        <f aca="false">IF(A90="N/A"," ",Perstart/IF(AND(Dayrun&gt;=4,Dayrun&lt;=6),16,IF(AND(Dayrun&gt;=7,Dayrun&lt;=9),8,24))/(BM90/CK90))</f>
        <v> </v>
      </c>
      <c r="H90" s="314" t="str">
        <f aca="false">IF(A90="N/A"," ",(C90*D90)+F90+G90)</f>
        <v> </v>
      </c>
      <c r="I90" s="315" t="str">
        <f aca="false">VLOOKUP(A90,ScaledPrice,(IF(AND(Dayrun&gt;=1,Dayrun&lt;=6),2,4)))</f>
        <v> </v>
      </c>
      <c r="J90" s="315" t="str">
        <f aca="false">IF(A90="N/A"," ",IF(AND(Dayrun&gt;=1,Dayrun&lt;=6),I90,(VLOOKUP(A90,ScaledPrice,2))*(2-(VLOOKUP(A90,ScaledPrice,3)))))</f>
        <v> </v>
      </c>
      <c r="K90" s="315" t="str">
        <f aca="false">IF(A90="N/A"," ",IF(AND(Dayrun&gt;=1,Dayrun&lt;=3),VLOOKUP(A90,ScaledPrice,9),0))</f>
        <v> </v>
      </c>
      <c r="L90" s="315" t="str">
        <f aca="false">IF(A90="N/A"," ",IF(OR(Dayrun=2,Dayrun=3,Dayrun=5,Dayrun=6,Dayrun=8,Dayrun=9),VLOOKUP(A90,ScaledPrice,IF(AND(Dayrun&gt;=2,Dayrun&lt;=6),5,6)),0))</f>
        <v> </v>
      </c>
      <c r="M90" s="315" t="str">
        <f aca="false">IF(A90="N/A"," ",IF(OR(Dayrun=2,Dayrun=3,Dayrun=5,Dayrun=6,Dayrun=8,Dayrun=9),IF(AND(Dayrun&gt;=2,Dayrun&lt;=6),L90,(VLOOKUP(A90,ScaledPrice,5))*(2-(VLOOKUP(A90,ScaledPrice,3)))),0))</f>
        <v> </v>
      </c>
      <c r="N90" s="315" t="str">
        <f aca="false">IF(A90="N/A"," ",IF(AND(Dayrun&gt;1,Dayrun&lt;=3),VLOOKUP(A90,ScaledPrice,9),0))</f>
        <v> </v>
      </c>
      <c r="O90" s="315" t="str">
        <f aca="false">IF(A90="N/A"," ",IF(OR(Dayrun=3,Dayrun=6,Dayrun=9),(VLOOKUP(A90,ScaledPrice,IF(AND(Dayrun&gt;=3,Dayrun&lt;=6),7,8))),0))</f>
        <v> </v>
      </c>
      <c r="P90" s="315" t="str">
        <f aca="false">IF(A90="N/A"," ",IF(OR(Dayrun=3,Dayrun=6,Dayrun=9),IF(AND(Dayrun&gt;=3,Dayrun&lt;=6),O90,(VLOOKUP(A90,ScaledPrice,7))*(2-(VLOOKUP(A90,ScaledPrice,3)))),0))</f>
        <v> </v>
      </c>
      <c r="Q90" s="315" t="str">
        <f aca="false">IF(A90="N/A"," ",IF(AND(Dayrun&gt;2,Dayrun&lt;=3),VLOOKUP(A90,ScaledPrice,9),0))</f>
        <v> </v>
      </c>
      <c r="R90" s="316" t="str">
        <f aca="false">IF($A90="N/A"," ",IF(Pricetype=2,MAX(I90-$H90,0),IF(Pricetype=1,(xSPRDOPT(I90,$E90,$CI90,0,($CD90+IF(Smile=TRUE(),VLOOKUP(MAX(-5,$H90-I90),Volsmile,2),0)),$CG90,$CH90,($A90-DateToday)+15,1,0)),I90-$H90)))</f>
        <v> </v>
      </c>
      <c r="S90" s="316" t="str">
        <f aca="false">IF($A90="N/A"," ",IF(Pricetype=2,MAX(J90-$H90,0),IF(Pricetype=1,(xSPRDOPT(J90,$E90,$CI90,0,($CD90+IF(Smile=TRUE(),VLOOKUP(MAX(-5,$H90-J90),Volsmile,2),0)),$CG90,$CH90,($A90-DateToday)+15,1,0)),J90-$H90)))</f>
        <v> </v>
      </c>
      <c r="T90" s="317" t="str">
        <f aca="false">IF($A90="N/A"," ",(IF(Pricetype=2,IF((K90-$H90)&lt;=0,0,(K90-$H90)),IF(K90&lt;&gt;0,(K90-$H90),0))))</f>
        <v> </v>
      </c>
      <c r="U90" s="316" t="str">
        <f aca="false">IF($A90="N/A"," ",IF(Pricetype=2,MAX(L90-$H90,0),IF(L90&lt;&gt;0,IF(Pricetype=1,(xSPRDOPT(L90,$E90,$CI90,0,($CD90+IF(Smile=TRUE(),VLOOKUP(MAX(-5,$H90-L90),Volsmile,2),0)),$CG90,$CH90,($A90-DateToday)+15,1,0)),L90-$H90),0)))</f>
        <v> </v>
      </c>
      <c r="V90" s="316" t="str">
        <f aca="false">IF($A90="N/A"," ",IF(Pricetype=2,MAX(M90-$H90,0),IF(M90&lt;&gt;0,IF(Pricetype=1,(xSPRDOPT(M90,$E90,$CI90,0,($CD90+IF(Smile=TRUE(),VLOOKUP(MAX(-5,$H90-M90),Volsmile,2),0)),$CG90,$CH90,($A90-DateToday)+15,1,0)),M90-$H90),0)))</f>
        <v> </v>
      </c>
      <c r="W90" s="317" t="str">
        <f aca="false">IF($A90="N/A"," ",(IF(Pricetype=2,IF((N90-$H90)&lt;=0,0,(N90-$H90)),IF(N90&lt;&gt;0,(N90-$H90),0))))</f>
        <v> </v>
      </c>
      <c r="X90" s="316" t="str">
        <f aca="false">IF($A90="N/A"," ",IF(Pricetype=2,MAX(O90-$H90,0),IF(O90&lt;&gt;0,IF(Pricetype=1,(xSPRDOPT(O90,$E90,$CI90,0,($CD90+IF(Smile=TRUE(),VLOOKUP(MAX(-5,$H90-O90),Volsmile,2),0)),$CG90,$CH90,($A90-DateToday)+15,1,0)),O90-$H90),0)))</f>
        <v> </v>
      </c>
      <c r="Y90" s="316" t="str">
        <f aca="false">IF($A90="N/A"," ",IF(Pricetype=2,MAX(P90-$H90,0),IF(P90&lt;&gt;0,IF(Pricetype=1,(xSPRDOPT(P90,$E90,$CI90,0,($CD90+IF(Smile=TRUE(),VLOOKUP(MAX(-5,$H90-P90),Volsmile,2),0)),$CG90,$CH90,($A90-DateToday)+15,1,0)),P90-$H90),0)))</f>
        <v> </v>
      </c>
      <c r="Z90" s="317" t="str">
        <f aca="false">IF($A90="N/A"," ",(IF(Pricetype=2,IF((Q90-$H90)&lt;=0,0,(Q90-$H90)),IF(Q90&lt;&gt;0,(Q90-$H90),0))))</f>
        <v> </v>
      </c>
      <c r="AA90" s="318" t="str">
        <f aca="false">IF($A90="N/A"," ",IF(VLOOKUP(MONTH(A90),ManualTable,2)=1,(IF(0&lt;&gt;R90,IF(Pricetype=1,(xSPRDOPT(I90,$E90,$CI90,0,($CD90+IF(Smile=TRUE(),VLOOKUP(MAX(-5,$H90-I90),Volsmile,2),0)),$CG90,$CH90,($A90-DateToday)+15,1,1))*(8*$HD90),8*$HD90),0)),0))</f>
        <v> </v>
      </c>
      <c r="AB90" s="318" t="str">
        <f aca="false">IF($A90="N/A"," ",IF(VLOOKUP(MONTH(A90),ManualTable,3)=1,(IF(S90&lt;&gt;0,IF(Pricetype=1,(xSPRDOPT(J90,$E90,$CI90,0,($CD90+IF(Smile=TRUE(),VLOOKUP(MAX(-5,$H90-J90),Volsmile,2),0)),$CG90,$CH90,($A90-DateToday)+15,1,1))*(8*$HD90),8*$HD90),0)),0))</f>
        <v> </v>
      </c>
      <c r="AC90" s="318" t="str">
        <f aca="false">IF($A90="N/A"," ",IF(VLOOKUP(MONTH(A90),ManualTable,4)=1,(IF(T90&lt;&gt;0,(8*$HD90),0)),0))</f>
        <v> </v>
      </c>
      <c r="AD90" s="318" t="str">
        <f aca="false">IF($A90="N/A"," ",IF(VLOOKUP(MONTH(A90),ManualTable,5)=1,(IF(U90&lt;&gt;0,IF(Pricetype=1,(xSPRDOPT(L90,$E90,$CI90,0,($CD90+IF(Smile=TRUE(),VLOOKUP(MAX(-5,$H90-L90),Volsmile,2),0)),$CG90,$CH90,($A90-DateToday)+15,1,1))*(8*$HE90),8*$HE90),0)),0))</f>
        <v> </v>
      </c>
      <c r="AE90" s="318" t="str">
        <f aca="false">IF($A90="N/A"," ",IF(VLOOKUP(MONTH(A90),ManualTable,6)=1,(IF(V90&lt;&gt;0,IF(Pricetype=1,(xSPRDOPT(M90,$E90,$CI90,0,($CD90+IF(Smile=TRUE(),VLOOKUP(MAX(-5,$H90-M90),Volsmile,2),0)),$CG90,$CH90,($A90-DateToday)+15,1,1))*(8*$HE90),8*$HE90),0)),0))</f>
        <v> </v>
      </c>
      <c r="AF90" s="318" t="str">
        <f aca="false">IF($A90="N/A"," ",IF(VLOOKUP(MONTH(A90),ManualTable,7)=1,(IF(W90&lt;&gt;0,(8*$HE90),0)),0))</f>
        <v> </v>
      </c>
      <c r="AG90" s="318" t="str">
        <f aca="false">IF($A90="N/A"," ",IF(VLOOKUP(MONTH(A90),ManualTable,8)=1,(IF(X90&lt;&gt;0,IF(Pricetype=1,(xSPRDOPT(O90,$E90,$CI90,0,($CD90+IF(Smile=TRUE(),VLOOKUP(MAX(-5,$H90-O90),Volsmile,2),0)),$CG90,$CH90,($A90-DateToday)+15,1,1))*(8*$HF90),8*$HF90),0)),0))</f>
        <v> </v>
      </c>
      <c r="AH90" s="318" t="str">
        <f aca="false">IF($A90="N/A"," ",IF(VLOOKUP(MONTH(A90),ManualTable,9)=1,(IF(Y90&lt;&gt;0,IF(Pricetype=1,(xSPRDOPT(P90,$E90,$CI90,0,($CD90+IF(Smile=TRUE(),VLOOKUP(MAX(-5,$H90-P90),Volsmile,2),0)),$CG90,$CH90,($A90-DateToday)+15,1,1))*(8*$HF90),8*$HF90),0)),0))</f>
        <v> </v>
      </c>
      <c r="AI90" s="318" t="str">
        <f aca="false">IF($A90="N/A"," ",IF(VLOOKUP(MONTH(A90),ManualTable,10)=1,(IF(Z90&lt;&gt;0,(8*($HF90)),0)),0))</f>
        <v> </v>
      </c>
      <c r="AJ90" s="344" t="str">
        <f aca="false">IF($A90="N/A"," ",RANK(R90,$R$88:$Z$99))</f>
        <v> </v>
      </c>
      <c r="AK90" s="321" t="str">
        <f aca="false">IF($A90="N/A"," ",RANK(S90,$R$88:$Z$99))</f>
        <v> </v>
      </c>
      <c r="AL90" s="321" t="str">
        <f aca="false">IF($A90="N/A"," ",RANK(T90,$R$88:$Z$99))</f>
        <v> </v>
      </c>
      <c r="AM90" s="321" t="str">
        <f aca="false">IF($A90="N/A"," ",RANK(U90,$R$88:$Z$99))</f>
        <v> </v>
      </c>
      <c r="AN90" s="321" t="str">
        <f aca="false">IF($A90="N/A"," ",RANK(V90,$R$88:$Z$99))</f>
        <v> </v>
      </c>
      <c r="AO90" s="321" t="str">
        <f aca="false">IF($A90="N/A"," ",RANK(W90,$R$88:$Z$99))</f>
        <v> </v>
      </c>
      <c r="AP90" s="321" t="str">
        <f aca="false">IF($A90="N/A"," ",RANK(X90,$R$88:$Z$99))</f>
        <v> </v>
      </c>
      <c r="AQ90" s="321" t="str">
        <f aca="false">IF($A90="N/A"," ",RANK(Y90,$R$88:$Z$99))</f>
        <v> </v>
      </c>
      <c r="AR90" s="345" t="str">
        <f aca="false">IF($A90="N/A"," ",RANK(Z90,$R$88:$Z$99))</f>
        <v> </v>
      </c>
      <c r="AS90" s="323" t="str">
        <f aca="false">IF($A90="N/A"," ",IF(AJ90&lt;=$AR$2,AA90,0))</f>
        <v> </v>
      </c>
      <c r="AT90" s="325" t="str">
        <f aca="false">IF($A90="N/A"," ",IF(AK90&lt;=$AR$2,AB90,0))</f>
        <v> </v>
      </c>
      <c r="AU90" s="325" t="str">
        <f aca="false">IF($A90="N/A"," ",IF(AL90&lt;=$AR$2,AC90,0))</f>
        <v> </v>
      </c>
      <c r="AV90" s="325" t="str">
        <f aca="false">IF($A90="N/A"," ",IF(AM90&lt;=$AR$2,AD90,0))</f>
        <v> </v>
      </c>
      <c r="AW90" s="325" t="str">
        <f aca="false">IF($A90="N/A"," ",IF(AN90&lt;=$AR$2,AE90,0))</f>
        <v> </v>
      </c>
      <c r="AX90" s="325" t="str">
        <f aca="false">IF($A90="N/A"," ",IF(AO90&lt;=$AR$2,AF90,0))</f>
        <v> </v>
      </c>
      <c r="AY90" s="325" t="str">
        <f aca="false">IF($A90="N/A"," ",IF(AP90&lt;=$AR$2,AG90,0))</f>
        <v> </v>
      </c>
      <c r="AZ90" s="325" t="str">
        <f aca="false">IF($A90="N/A"," ",IF(AQ90&lt;=$AR$2,AH90,0))</f>
        <v> </v>
      </c>
      <c r="BA90" s="325" t="str">
        <f aca="false">IF($A90="N/A"," ",IF(AR90&lt;=$AR$2,AI90,0))</f>
        <v> </v>
      </c>
      <c r="BB90" s="345"/>
      <c r="BC90" s="326" t="str">
        <f aca="false">IF($A90="N/A"," ",IF(AND(AJ90=$AR$2+1,AS90=0),MIN($BB$99,AA90),0))</f>
        <v> </v>
      </c>
      <c r="BD90" s="346" t="str">
        <f aca="false">IF($A90="N/A"," ",IF(AND(AK90=$AR$2+1,AT90=0),MIN($BB$99,AB90),0))</f>
        <v> </v>
      </c>
      <c r="BE90" s="346" t="str">
        <f aca="false">IF($A90="N/A"," ",IF(AND(AL90=$AR$2+1,AU90=0),MIN($BB$99,AC90),0))</f>
        <v> </v>
      </c>
      <c r="BF90" s="346" t="str">
        <f aca="false">IF($A90="N/A"," ",IF(AND(AM90=$AR$2+1,AV90=0),MIN($BB$99,AD90),0))</f>
        <v> </v>
      </c>
      <c r="BG90" s="346" t="str">
        <f aca="false">IF($A90="N/A"," ",IF(AND(AN90=$AR$2+1,AW90=0),MIN($BB$99,AE90),0))</f>
        <v> </v>
      </c>
      <c r="BH90" s="346" t="str">
        <f aca="false">IF($A90="N/A"," ",IF(AND(AO90=$AR$2+1,AX90=0),MIN($BB$99,AF90),0))</f>
        <v> </v>
      </c>
      <c r="BI90" s="346" t="str">
        <f aca="false">IF($A90="N/A"," ",IF(AND(AP90=$AR$2+1,AY90=0),MIN($BB$99,AG90),0))</f>
        <v> </v>
      </c>
      <c r="BJ90" s="346" t="str">
        <f aca="false">IF($A90="N/A"," ",IF(AND(AQ90=$AR$2+1,AZ90=0),MIN($BB$99,AH90),0))</f>
        <v> </v>
      </c>
      <c r="BK90" s="346" t="str">
        <f aca="false">IF($A90="N/A"," ",IF(AND(AR90=$AR$2+1,BA90=0),MIN($BB$99,AI90),0))</f>
        <v> </v>
      </c>
      <c r="BL90" s="345"/>
      <c r="BM90" s="329" t="str">
        <f aca="false">IF($A90="N/A"," ",(IF(MONTH(A90)&gt;=4,IF(MONTH(A90)&lt;=10,Inputs!$F$13-Inputs!$G$13,Inputs!$F$14-Inputs!$G$14),Inputs!$F$14-Inputs!$G$14))*$CK90*Availability)</f>
        <v> </v>
      </c>
      <c r="BN90" s="330" t="str">
        <f aca="false">IF($A90="N/A"," ",(IF(AS90&gt;0,($BM90*(8*($HD90))*R90),0)+IF(BC90&gt;0,($BM90*((BC90/AA90)*8*$HD90)*R90),0)))</f>
        <v> </v>
      </c>
      <c r="BO90" s="330" t="str">
        <f aca="false">IF($A90="N/A"," ",(IF(AT90&gt;0,($BM90*(8*($HD90))*S90),0)+IF(BD90&gt;0,($BM90*((BD90/AB90)*8*$HD90)*S90),0)))</f>
        <v> </v>
      </c>
      <c r="BP90" s="330" t="str">
        <f aca="false">IF($A90="N/A"," ",(IF(AU90&gt;0,($BM90*(8*($HD90))*T90),0)+IF(BE90&gt;0,($BM90*((BE90))*T90),0)))</f>
        <v> </v>
      </c>
      <c r="BQ90" s="330" t="str">
        <f aca="false">IF($A90="N/A"," ",(IF(AV90&gt;0,($BM90*(8*($HE90))*U90),0)+IF(BF90&gt;0,($BM90*((BF90/AD90)*8*$HE90)*U90),0)))</f>
        <v> </v>
      </c>
      <c r="BR90" s="330" t="str">
        <f aca="false">IF($A90="N/A"," ",(IF(AW90&gt;0,($BM90*(8*($HE90))*V90),0)+IF(BG90&gt;0,($BM90*((BG90/AE90)*8*$HE90)*V90),0)))</f>
        <v> </v>
      </c>
      <c r="BS90" s="330" t="str">
        <f aca="false">IF($A90="N/A"," ",(IF(AX90&gt;0,($BM90*(8*($HE90))*W90),0)+IF(BH90&gt;0,($BM90*((BH90))*W90),0)))</f>
        <v> </v>
      </c>
      <c r="BT90" s="330" t="str">
        <f aca="false">IF($A90="N/A"," ",(IF(AY90&gt;0,($BM90*(8*($HF90))*X90),0)+IF(BI90&gt;0,($BM90*((BI90/AG90)*8*$HF90)*X90),0)))</f>
        <v> </v>
      </c>
      <c r="BU90" s="330" t="str">
        <f aca="false">IF($A90="N/A"," ",(IF(AZ90&gt;0,($BM90*(8*($HF90))*Y90),0)+IF(BJ90&gt;0,($BM90*((BJ90/AH90)*8*$HF90)*Y90),0)))</f>
        <v> </v>
      </c>
      <c r="BV90" s="330" t="str">
        <f aca="false">IF($A90="N/A"," ",(IF(BA90&gt;0,($BM90*(8*($HF90))*Z90),0)+IF(BK90&gt;0,($BM90*((BK90))*Z90),0)))</f>
        <v> </v>
      </c>
      <c r="BW90" s="330" t="str">
        <f aca="false">IF($A90="N/A"," ",SUM(BN90:BV90))</f>
        <v> </v>
      </c>
      <c r="BX90" s="331" t="str">
        <f aca="false">IF($A90="N/A"," ",(H90*(SUM(AS90:BA90)+SUM(BC90:BK90))*BM90))</f>
        <v> </v>
      </c>
      <c r="BY90" s="332" t="str">
        <f aca="false">IF($A90="N/A"," ",((C90*D90)*(SUM($AS90:$BA90)+SUM($BC90:$BK90))*$BM90))</f>
        <v> </v>
      </c>
      <c r="BZ90" s="332" t="str">
        <f aca="false">IF($A90="N/A"," ",(F90*(SUM($AS90:$BA90)+SUM($BC90:$BK90))*$BM90))</f>
        <v> </v>
      </c>
      <c r="CA90" s="333" t="str">
        <f aca="false">IF($A90="N/A"," ",(G90*(SUM($AS90:$BA90)+SUM($BC90:$BK90))*$BM90))</f>
        <v> </v>
      </c>
      <c r="CB90" s="334" t="str">
        <f aca="false">IF(A90="N/A"," ",(VLOOKUP(A90,PowerVolTable,(IF(BMO=2,7,IF(BMO=1,6,8))),FALSE())))</f>
        <v> </v>
      </c>
      <c r="CC90" s="334" t="str">
        <f aca="false">IF(A90="N/A"," ",(VLOOKUP(A90,IntraPowerVol,(IF(BMO=2,3,IF(BMO=1,2,4))),FALSE())*VLOOKUP(MONTH($A90),Volscale,2)))</f>
        <v> </v>
      </c>
      <c r="CD90" s="335" t="str">
        <f aca="false">IF($A90="N/A"," ",(IF(DateToday&gt;$A90,$CC90,((($CB90^2)*((($A90-1)-DateToday)/((EOMONTH($A90,0)+1)-DateToday-15)))+((($CC90)^2)*((15)/((EOMONTH($A90,0)+1)-DateToday-15))))^0.5)))</f>
        <v> </v>
      </c>
      <c r="CE90" s="334" t="str">
        <f aca="false">IF($A90="N/A"," ",(VLOOKUP($A90,GasVolTable,(IF(BMO=2,6,IF(BMO=1,7,5))),FALSE())))</f>
        <v> </v>
      </c>
      <c r="CF90" s="334" t="str">
        <f aca="false">IF($A90="N/A"," ",(VLOOKUP($A90,OmicronVol,(IF(BMO=2,3,IF(BMO=1,4,2))),FALSE())))</f>
        <v> </v>
      </c>
      <c r="CG90" s="335" t="str">
        <f aca="false">IF($A90="N/A"," ",(IF(DateToday&gt;$A90,$CF90,((($CE90^2)*((($A90-1)-DateToday)/((EOMONTH($A90,0)+1)-DateToday-15)))+((($CF90)^2)*((15)/((EOMONTH($A90,0)+1)-DateToday-15))))^0.5)))</f>
        <v> </v>
      </c>
      <c r="CH90" s="334" t="str">
        <f aca="false">IF($A90="N/A"," ",VLOOKUP($A90,CorrelationTable,2,FALSE()))</f>
        <v> </v>
      </c>
      <c r="CI90" s="336" t="str">
        <f aca="false">IF($A90="N/A"," ",F90+G90+(D90*('Pricing Inputs'!T123)))</f>
        <v> </v>
      </c>
      <c r="CJ90" s="334" t="str">
        <f aca="false">IF($A90="N/A"," ",IF(PV=1,0,'Pricing Inputs'!U123))</f>
        <v> </v>
      </c>
      <c r="CK90" s="337" t="str">
        <f aca="false">IF($A90="N/A"," ",(1+CJ90/2)^(-2*((EOMONTH(A90,0)+20)-DateToday)/365.25))</f>
        <v> </v>
      </c>
      <c r="CL90" s="338" t="str">
        <f aca="false">IF(A90="N/A"," ",IF(CC=2,(VLOOKUP(MONTH($A90),Hrtable,3))/1000,0))</f>
        <v> </v>
      </c>
      <c r="CM90" s="339" t="str">
        <f aca="false">IF(A90="N/A"," ",IF(CC=2,(CL90*C90)+F90,0))</f>
        <v> </v>
      </c>
      <c r="CN90" s="340" t="str">
        <f aca="false">IF($A90="N/A"," ",IF(CC=2,(VLOOKUP(A90,ScaledPrice,(IF(AND(Dayrun&gt;=1,Dayrun&lt;=6),2,4)))-((IF(R90&lt;&gt;0,$D90,$CL90)*$C90)+$F90+$G90)),0))</f>
        <v> </v>
      </c>
      <c r="CO90" s="340" t="str">
        <f aca="false">IF($A90="N/A"," ",IF(CC=2,(IF(AND(Dayrun&gt;=1,Dayrun&lt;=6),I90,(VLOOKUP(A90,ScaledPrice,2))*(2-(VLOOKUP(A90,ScaledPrice,3))))-((IF(S90&lt;&gt;0,$D90,$CL90)*$C90)+$F90+$G90)),0))</f>
        <v> </v>
      </c>
      <c r="CP90" s="340" t="str">
        <f aca="false">IF(A90="N/A"," ",IF(CC=2,(VLOOKUP(A90,ScaledPrice,9)-((IF(T90&lt;&gt;0,$D90,$CL90)*$C90)+$F90+$G90)),0))</f>
        <v> </v>
      </c>
      <c r="CQ90" s="340" t="str">
        <f aca="false">IF(A90="N/A"," ",IF(CC=2,(IF(OR(Dayrun=2,Dayrun=3,Dayrun=5,Dayrun=6,Dayrun=8,Dayrun=9),VLOOKUP(A90,ScaledPrice,IF(AND(Dayrun&gt;=2,Dayrun&lt;=6),5,6)),0)-((IF(U90&lt;&gt;0,$D90,$CL90)*$C90)+$F90+$G90)),0))</f>
        <v> </v>
      </c>
      <c r="CR90" s="340" t="str">
        <f aca="false">IF(A90="N/A"," ",IF(CC=2,(IF(OR(Dayrun=2,Dayrun=3,Dayrun=5,Dayrun=6,Dayrun=8,Dayrun=9),IF(AND(Dayrun&gt;=2,Dayrun&lt;=6),L90,(VLOOKUP(A90,ScaledPrice,5))*(2-(VLOOKUP(A90,ScaledPrice,3)))),0)-((IF(V90&lt;&gt;0,$D90,$CL90)*$C90)+$F90+$G90)),0))</f>
        <v> </v>
      </c>
      <c r="CS90" s="340" t="str">
        <f aca="false">IF(A90="N/A"," ",IF(CC=2,(VLOOKUP(A90,ScaledPrice,9)-((IF(W90&lt;&gt;0,$D90,$CL90)*$C90)+$F90+$G90)),0))</f>
        <v> </v>
      </c>
      <c r="CT90" s="340" t="str">
        <f aca="false">IF(A90="N/A"," ",IF(CC=2,(IF(OR(Dayrun=3,Dayrun=6,Dayrun=9),(VLOOKUP(A90,ScaledPrice,IF(AND(Dayrun&gt;=3,Dayrun&lt;=6),7,8))),0)-((IF(X90&lt;&gt;0,$D90,$CL90)*$C90)+$F90+$G90)),0))</f>
        <v> </v>
      </c>
      <c r="CU90" s="340" t="str">
        <f aca="false">IF(A90="N/A"," ",IF(CC=2,(IF(OR(Dayrun=3,Dayrun=6,Dayrun=9),IF(AND(Dayrun&gt;=3,Dayrun&lt;=6),O90,(VLOOKUP(A90,ScaledPrice,7))*(2-(VLOOKUP(A90,ScaledPrice,3)))),0)-((IF(Y90&lt;&gt;0,$D90,$CL90)*$C90)+$F90+$G90)),0))</f>
        <v> </v>
      </c>
      <c r="CV90" s="340" t="str">
        <f aca="false">IF(A90="N/A"," ",IF(CC=2,(VLOOKUP(A90,ScaledPrice,9)-((IF(Z90&lt;&gt;0,$D90,$CL90)*$C90)+$F90+$G90)),0))</f>
        <v> </v>
      </c>
      <c r="CW90" s="318" t="str">
        <f aca="false">IF($A90="N/A"," ",IF(0&lt;&gt;CN90,IF(CC=2,8*$HD90,0),0))</f>
        <v> </v>
      </c>
      <c r="CX90" s="318" t="str">
        <f aca="false">IF($A90="N/A"," ",IF(0&lt;&gt;CO90,IF(CC=2,8*$HD90,0),0))</f>
        <v> </v>
      </c>
      <c r="CY90" s="318" t="str">
        <f aca="false">IF($A90="N/A"," ",IF(0&lt;&gt;CP90,IF(CC=2,8*$HD90,0),0))</f>
        <v> </v>
      </c>
      <c r="CZ90" s="318" t="str">
        <f aca="false">IF($A90="N/A"," ",IF(0&lt;&gt;CQ90,IF(CC=2,8*$HE90,0),0))</f>
        <v> </v>
      </c>
      <c r="DA90" s="318" t="str">
        <f aca="false">IF($A90="N/A"," ",IF(0&lt;&gt;CR90,IF(CC=2,8*$HE90,0),0))</f>
        <v> </v>
      </c>
      <c r="DB90" s="318" t="str">
        <f aca="false">IF($A90="N/A"," ",IF(0&lt;&gt;CS90,IF(CC=2,8*$HE90,0),0))</f>
        <v> </v>
      </c>
      <c r="DC90" s="318" t="str">
        <f aca="false">IF($A90="N/A"," ",IF(0&lt;&gt;CT90,IF(CC=2,8*$HF90,0),0))</f>
        <v> </v>
      </c>
      <c r="DD90" s="318" t="str">
        <f aca="false">IF($A90="N/A"," ",IF(0&lt;&gt;CU90,IF(CC=2,8*$HF90,0),0))</f>
        <v> </v>
      </c>
      <c r="DE90" s="318" t="str">
        <f aca="false">IF($A90="N/A"," ",IF(0&lt;&gt;CV90,IF(CC=2,8*$HF90,0),0))</f>
        <v> </v>
      </c>
      <c r="DF90" s="341" t="str">
        <f aca="false">IF($A90="N/A"," ",IF(CC=2,(IF(MONTH(A90)&gt;=4,IF(MONTH(A90)&lt;=10,Inputs!$G$13,Inputs!$G$14),Inputs!$G$14))*$CK90,0))</f>
        <v> </v>
      </c>
      <c r="DG90" s="342" t="str">
        <f aca="false">IF($A90="N/A"," ",IF(CC=2,$DF90*CW90*CN90,0))</f>
        <v> </v>
      </c>
      <c r="DH90" s="342" t="str">
        <f aca="false">IF($A90="N/A"," ",IF(CC=2,$DF90*CX90*CO90,0))</f>
        <v> </v>
      </c>
      <c r="DI90" s="342" t="str">
        <f aca="false">IF($A90="N/A"," ",IF(CC=2,$DF90*CY90*CP90,0))</f>
        <v> </v>
      </c>
      <c r="DJ90" s="342" t="str">
        <f aca="false">IF($A90="N/A"," ",IF(CC=2,$DF90*CZ90*CQ90,0))</f>
        <v> </v>
      </c>
      <c r="DK90" s="342" t="str">
        <f aca="false">IF($A90="N/A"," ",IF(CC=2,$DF90*DA90*CR90,0))</f>
        <v> </v>
      </c>
      <c r="DL90" s="342" t="str">
        <f aca="false">IF($A90="N/A"," ",IF(CC=2,$DF90*DB90*CS90,0))</f>
        <v> </v>
      </c>
      <c r="DM90" s="342" t="str">
        <f aca="false">IF($A90="N/A"," ",IF(CC=2,$DF90*DC90*CT90,0))</f>
        <v> </v>
      </c>
      <c r="DN90" s="342" t="str">
        <f aca="false">IF($A90="N/A"," ",IF(CC=2,$DF90*DD90*CU90,0))</f>
        <v> </v>
      </c>
      <c r="DO90" s="342" t="str">
        <f aca="false">IF($A90="N/A"," ",IF(CC=2,$DF90*DE90*CV90,0))</f>
        <v> </v>
      </c>
      <c r="DP90" s="343" t="str">
        <f aca="false">IF($A90="N/A"," ",IF(CC=2,SUM(DG90:DO90),0))</f>
        <v> </v>
      </c>
      <c r="DQ90" s="0" t="str">
        <f aca="false">IF(A90="N/A"," ",Perstart)</f>
        <v> </v>
      </c>
      <c r="HD90" s="0" t="str">
        <f aca="false">IF($A90="N/A"," ",VLOOKUP($A90,NumberofDaysTable,2))</f>
        <v> </v>
      </c>
      <c r="HE90" s="0" t="str">
        <f aca="false">IF($A90="N/A"," ",VLOOKUP($A90,NumberofDaysTable,3))</f>
        <v> </v>
      </c>
      <c r="HF90" s="0" t="str">
        <f aca="false">IF($A90="N/A"," ",VLOOKUP($A90,NumberofDaysTable,4))</f>
        <v> </v>
      </c>
    </row>
    <row r="91" customFormat="false" ht="12.75" hidden="false" customHeight="false" outlineLevel="0" collapsed="false">
      <c r="A91" s="308" t="str">
        <f aca="false">IF(A90="N/A","N/A",IF(EDATE(A90,1)&gt;Inputs!$K$3,"N/A",EDATE(A90,1)))</f>
        <v>N/A</v>
      </c>
      <c r="B91" s="309" t="str">
        <f aca="false">IF(A91="N/A"," ",YEAR(A91))</f>
        <v> </v>
      </c>
      <c r="C91" s="310" t="str">
        <f aca="false">IF(A91="N/A"," ",VLOOKUP(A91,ScaledPrice,10))</f>
        <v> </v>
      </c>
      <c r="D91" s="311" t="str">
        <f aca="false">IF(A91="N/A"," ",(VLOOKUP(MONTH($A91),Hrtable,2))/1000)</f>
        <v> </v>
      </c>
      <c r="E91" s="312" t="str">
        <f aca="false">IF($A91="N/A"," ",(C91-'Pricing Inputs'!T124)*D91)</f>
        <v> </v>
      </c>
      <c r="F91" s="313" t="str">
        <f aca="false">IF(A91="N/A"," ",$F79*(1+VOMesc))</f>
        <v> </v>
      </c>
      <c r="G91" s="313" t="str">
        <f aca="false">IF(A91="N/A"," ",Perstart/IF(AND(Dayrun&gt;=4,Dayrun&lt;=6),16,IF(AND(Dayrun&gt;=7,Dayrun&lt;=9),8,24))/(BM91/CK91))</f>
        <v> </v>
      </c>
      <c r="H91" s="314" t="str">
        <f aca="false">IF(A91="N/A"," ",(C91*D91)+F91+G91)</f>
        <v> </v>
      </c>
      <c r="I91" s="315" t="str">
        <f aca="false">VLOOKUP(A91,ScaledPrice,(IF(AND(Dayrun&gt;=1,Dayrun&lt;=6),2,4)))</f>
        <v> </v>
      </c>
      <c r="J91" s="315" t="str">
        <f aca="false">IF(A91="N/A"," ",IF(AND(Dayrun&gt;=1,Dayrun&lt;=6),I91,(VLOOKUP(A91,ScaledPrice,2))*(2-(VLOOKUP(A91,ScaledPrice,3)))))</f>
        <v> </v>
      </c>
      <c r="K91" s="315" t="str">
        <f aca="false">IF(A91="N/A"," ",IF(AND(Dayrun&gt;=1,Dayrun&lt;=3),VLOOKUP(A91,ScaledPrice,9),0))</f>
        <v> </v>
      </c>
      <c r="L91" s="315" t="str">
        <f aca="false">IF(A91="N/A"," ",IF(OR(Dayrun=2,Dayrun=3,Dayrun=5,Dayrun=6,Dayrun=8,Dayrun=9),VLOOKUP(A91,ScaledPrice,IF(AND(Dayrun&gt;=2,Dayrun&lt;=6),5,6)),0))</f>
        <v> </v>
      </c>
      <c r="M91" s="315" t="str">
        <f aca="false">IF(A91="N/A"," ",IF(OR(Dayrun=2,Dayrun=3,Dayrun=5,Dayrun=6,Dayrun=8,Dayrun=9),IF(AND(Dayrun&gt;=2,Dayrun&lt;=6),L91,(VLOOKUP(A91,ScaledPrice,5))*(2-(VLOOKUP(A91,ScaledPrice,3)))),0))</f>
        <v> </v>
      </c>
      <c r="N91" s="315" t="str">
        <f aca="false">IF(A91="N/A"," ",IF(AND(Dayrun&gt;1,Dayrun&lt;=3),VLOOKUP(A91,ScaledPrice,9),0))</f>
        <v> </v>
      </c>
      <c r="O91" s="315" t="str">
        <f aca="false">IF(A91="N/A"," ",IF(OR(Dayrun=3,Dayrun=6,Dayrun=9),(VLOOKUP(A91,ScaledPrice,IF(AND(Dayrun&gt;=3,Dayrun&lt;=6),7,8))),0))</f>
        <v> </v>
      </c>
      <c r="P91" s="315" t="str">
        <f aca="false">IF(A91="N/A"," ",IF(OR(Dayrun=3,Dayrun=6,Dayrun=9),IF(AND(Dayrun&gt;=3,Dayrun&lt;=6),O91,(VLOOKUP(A91,ScaledPrice,7))*(2-(VLOOKUP(A91,ScaledPrice,3)))),0))</f>
        <v> </v>
      </c>
      <c r="Q91" s="315" t="str">
        <f aca="false">IF(A91="N/A"," ",IF(AND(Dayrun&gt;2,Dayrun&lt;=3),VLOOKUP(A91,ScaledPrice,9),0))</f>
        <v> </v>
      </c>
      <c r="R91" s="316" t="str">
        <f aca="false">IF($A91="N/A"," ",IF(Pricetype=2,MAX(I91-$H91,0),IF(Pricetype=1,(xSPRDOPT(I91,$E91,$CI91,0,($CD91+IF(Smile=TRUE(),VLOOKUP(MAX(-5,$H91-I91),Volsmile,2),0)),$CG91,$CH91,($A91-DateToday)+15,1,0)),I91-$H91)))</f>
        <v> </v>
      </c>
      <c r="S91" s="316" t="str">
        <f aca="false">IF($A91="N/A"," ",IF(Pricetype=2,MAX(J91-$H91,0),IF(Pricetype=1,(xSPRDOPT(J91,$E91,$CI91,0,($CD91+IF(Smile=TRUE(),VLOOKUP(MAX(-5,$H91-J91),Volsmile,2),0)),$CG91,$CH91,($A91-DateToday)+15,1,0)),J91-$H91)))</f>
        <v> </v>
      </c>
      <c r="T91" s="317" t="str">
        <f aca="false">IF($A91="N/A"," ",(IF(Pricetype=2,IF((K91-$H91)&lt;=0,0,(K91-$H91)),IF(K91&lt;&gt;0,(K91-$H91),0))))</f>
        <v> </v>
      </c>
      <c r="U91" s="316" t="str">
        <f aca="false">IF($A91="N/A"," ",IF(Pricetype=2,MAX(L91-$H91,0),IF(L91&lt;&gt;0,IF(Pricetype=1,(xSPRDOPT(L91,$E91,$CI91,0,($CD91+IF(Smile=TRUE(),VLOOKUP(MAX(-5,$H91-L91),Volsmile,2),0)),$CG91,$CH91,($A91-DateToday)+15,1,0)),L91-$H91),0)))</f>
        <v> </v>
      </c>
      <c r="V91" s="316" t="str">
        <f aca="false">IF($A91="N/A"," ",IF(Pricetype=2,MAX(M91-$H91,0),IF(M91&lt;&gt;0,IF(Pricetype=1,(xSPRDOPT(M91,$E91,$CI91,0,($CD91+IF(Smile=TRUE(),VLOOKUP(MAX(-5,$H91-M91),Volsmile,2),0)),$CG91,$CH91,($A91-DateToday)+15,1,0)),M91-$H91),0)))</f>
        <v> </v>
      </c>
      <c r="W91" s="317" t="str">
        <f aca="false">IF($A91="N/A"," ",(IF(Pricetype=2,IF((N91-$H91)&lt;=0,0,(N91-$H91)),IF(N91&lt;&gt;0,(N91-$H91),0))))</f>
        <v> </v>
      </c>
      <c r="X91" s="316" t="str">
        <f aca="false">IF($A91="N/A"," ",IF(Pricetype=2,MAX(O91-$H91,0),IF(O91&lt;&gt;0,IF(Pricetype=1,(xSPRDOPT(O91,$E91,$CI91,0,($CD91+IF(Smile=TRUE(),VLOOKUP(MAX(-5,$H91-O91),Volsmile,2),0)),$CG91,$CH91,($A91-DateToday)+15,1,0)),O91-$H91),0)))</f>
        <v> </v>
      </c>
      <c r="Y91" s="316" t="str">
        <f aca="false">IF($A91="N/A"," ",IF(Pricetype=2,MAX(P91-$H91,0),IF(P91&lt;&gt;0,IF(Pricetype=1,(xSPRDOPT(P91,$E91,$CI91,0,($CD91+IF(Smile=TRUE(),VLOOKUP(MAX(-5,$H91-P91),Volsmile,2),0)),$CG91,$CH91,($A91-DateToday)+15,1,0)),P91-$H91),0)))</f>
        <v> </v>
      </c>
      <c r="Z91" s="317" t="str">
        <f aca="false">IF($A91="N/A"," ",(IF(Pricetype=2,IF((Q91-$H91)&lt;=0,0,(Q91-$H91)),IF(Q91&lt;&gt;0,(Q91-$H91),0))))</f>
        <v> </v>
      </c>
      <c r="AA91" s="318" t="str">
        <f aca="false">IF($A91="N/A"," ",IF(VLOOKUP(MONTH(A91),ManualTable,2)=1,(IF(0&lt;&gt;R91,IF(Pricetype=1,(xSPRDOPT(I91,$E91,$CI91,0,($CD91+IF(Smile=TRUE(),VLOOKUP(MAX(-5,$H91-I91),Volsmile,2),0)),$CG91,$CH91,($A91-DateToday)+15,1,1))*(8*$HD91),8*$HD91),0)),0))</f>
        <v> </v>
      </c>
      <c r="AB91" s="318" t="str">
        <f aca="false">IF($A91="N/A"," ",IF(VLOOKUP(MONTH(A91),ManualTable,3)=1,(IF(S91&lt;&gt;0,IF(Pricetype=1,(xSPRDOPT(J91,$E91,$CI91,0,($CD91+IF(Smile=TRUE(),VLOOKUP(MAX(-5,$H91-J91),Volsmile,2),0)),$CG91,$CH91,($A91-DateToday)+15,1,1))*(8*$HD91),8*$HD91),0)),0))</f>
        <v> </v>
      </c>
      <c r="AC91" s="318" t="str">
        <f aca="false">IF($A91="N/A"," ",IF(VLOOKUP(MONTH(A91),ManualTable,4)=1,(IF(T91&lt;&gt;0,(8*$HD91),0)),0))</f>
        <v> </v>
      </c>
      <c r="AD91" s="318" t="str">
        <f aca="false">IF($A91="N/A"," ",IF(VLOOKUP(MONTH(A91),ManualTable,5)=1,(IF(U91&lt;&gt;0,IF(Pricetype=1,(xSPRDOPT(L91,$E91,$CI91,0,($CD91+IF(Smile=TRUE(),VLOOKUP(MAX(-5,$H91-L91),Volsmile,2),0)),$CG91,$CH91,($A91-DateToday)+15,1,1))*(8*$HE91),8*$HE91),0)),0))</f>
        <v> </v>
      </c>
      <c r="AE91" s="318" t="str">
        <f aca="false">IF($A91="N/A"," ",IF(VLOOKUP(MONTH(A91),ManualTable,6)=1,(IF(V91&lt;&gt;0,IF(Pricetype=1,(xSPRDOPT(M91,$E91,$CI91,0,($CD91+IF(Smile=TRUE(),VLOOKUP(MAX(-5,$H91-M91),Volsmile,2),0)),$CG91,$CH91,($A91-DateToday)+15,1,1))*(8*$HE91),8*$HE91),0)),0))</f>
        <v> </v>
      </c>
      <c r="AF91" s="318" t="str">
        <f aca="false">IF($A91="N/A"," ",IF(VLOOKUP(MONTH(A91),ManualTable,7)=1,(IF(W91&lt;&gt;0,(8*$HE91),0)),0))</f>
        <v> </v>
      </c>
      <c r="AG91" s="318" t="str">
        <f aca="false">IF($A91="N/A"," ",IF(VLOOKUP(MONTH(A91),ManualTable,8)=1,(IF(X91&lt;&gt;0,IF(Pricetype=1,(xSPRDOPT(O91,$E91,$CI91,0,($CD91+IF(Smile=TRUE(),VLOOKUP(MAX(-5,$H91-O91),Volsmile,2),0)),$CG91,$CH91,($A91-DateToday)+15,1,1))*(8*$HF91),8*$HF91),0)),0))</f>
        <v> </v>
      </c>
      <c r="AH91" s="318" t="str">
        <f aca="false">IF($A91="N/A"," ",IF(VLOOKUP(MONTH(A91),ManualTable,9)=1,(IF(Y91&lt;&gt;0,IF(Pricetype=1,(xSPRDOPT(P91,$E91,$CI91,0,($CD91+IF(Smile=TRUE(),VLOOKUP(MAX(-5,$H91-P91),Volsmile,2),0)),$CG91,$CH91,($A91-DateToday)+15,1,1))*(8*$HF91),8*$HF91),0)),0))</f>
        <v> </v>
      </c>
      <c r="AI91" s="318" t="str">
        <f aca="false">IF($A91="N/A"," ",IF(VLOOKUP(MONTH(A91),ManualTable,10)=1,(IF(Z91&lt;&gt;0,(8*($HF91)),0)),0))</f>
        <v> </v>
      </c>
      <c r="AJ91" s="344" t="str">
        <f aca="false">IF($A91="N/A"," ",RANK(R91,$R$88:$Z$99))</f>
        <v> </v>
      </c>
      <c r="AK91" s="321" t="str">
        <f aca="false">IF($A91="N/A"," ",RANK(S91,$R$88:$Z$99))</f>
        <v> </v>
      </c>
      <c r="AL91" s="321" t="str">
        <f aca="false">IF($A91="N/A"," ",RANK(T91,$R$88:$Z$99))</f>
        <v> </v>
      </c>
      <c r="AM91" s="321" t="str">
        <f aca="false">IF($A91="N/A"," ",RANK(U91,$R$88:$Z$99))</f>
        <v> </v>
      </c>
      <c r="AN91" s="321" t="str">
        <f aca="false">IF($A91="N/A"," ",RANK(V91,$R$88:$Z$99))</f>
        <v> </v>
      </c>
      <c r="AO91" s="321" t="str">
        <f aca="false">IF($A91="N/A"," ",RANK(W91,$R$88:$Z$99))</f>
        <v> </v>
      </c>
      <c r="AP91" s="321" t="str">
        <f aca="false">IF($A91="N/A"," ",RANK(X91,$R$88:$Z$99))</f>
        <v> </v>
      </c>
      <c r="AQ91" s="321" t="str">
        <f aca="false">IF($A91="N/A"," ",RANK(Y91,$R$88:$Z$99))</f>
        <v> </v>
      </c>
      <c r="AR91" s="345" t="str">
        <f aca="false">IF($A91="N/A"," ",RANK(Z91,$R$88:$Z$99))</f>
        <v> </v>
      </c>
      <c r="AS91" s="323" t="str">
        <f aca="false">IF($A91="N/A"," ",IF(AJ91&lt;=$AR$2,AA91,0))</f>
        <v> </v>
      </c>
      <c r="AT91" s="325" t="str">
        <f aca="false">IF($A91="N/A"," ",IF(AK91&lt;=$AR$2,AB91,0))</f>
        <v> </v>
      </c>
      <c r="AU91" s="325" t="str">
        <f aca="false">IF($A91="N/A"," ",IF(AL91&lt;=$AR$2,AC91,0))</f>
        <v> </v>
      </c>
      <c r="AV91" s="325" t="str">
        <f aca="false">IF($A91="N/A"," ",IF(AM91&lt;=$AR$2,AD91,0))</f>
        <v> </v>
      </c>
      <c r="AW91" s="325" t="str">
        <f aca="false">IF($A91="N/A"," ",IF(AN91&lt;=$AR$2,AE91,0))</f>
        <v> </v>
      </c>
      <c r="AX91" s="325" t="str">
        <f aca="false">IF($A91="N/A"," ",IF(AO91&lt;=$AR$2,AF91,0))</f>
        <v> </v>
      </c>
      <c r="AY91" s="325" t="str">
        <f aca="false">IF($A91="N/A"," ",IF(AP91&lt;=$AR$2,AG91,0))</f>
        <v> </v>
      </c>
      <c r="AZ91" s="325" t="str">
        <f aca="false">IF($A91="N/A"," ",IF(AQ91&lt;=$AR$2,AH91,0))</f>
        <v> </v>
      </c>
      <c r="BA91" s="325" t="str">
        <f aca="false">IF($A91="N/A"," ",IF(AR91&lt;=$AR$2,AI91,0))</f>
        <v> </v>
      </c>
      <c r="BB91" s="345"/>
      <c r="BC91" s="326" t="str">
        <f aca="false">IF($A91="N/A"," ",IF(AND(AJ91=$AR$2+1,AS91=0),MIN($BB$99,AA91),0))</f>
        <v> </v>
      </c>
      <c r="BD91" s="346" t="str">
        <f aca="false">IF($A91="N/A"," ",IF(AND(AK91=$AR$2+1,AT91=0),MIN($BB$99,AB91),0))</f>
        <v> </v>
      </c>
      <c r="BE91" s="346" t="str">
        <f aca="false">IF($A91="N/A"," ",IF(AND(AL91=$AR$2+1,AU91=0),MIN($BB$99,AC91),0))</f>
        <v> </v>
      </c>
      <c r="BF91" s="346" t="str">
        <f aca="false">IF($A91="N/A"," ",IF(AND(AM91=$AR$2+1,AV91=0),MIN($BB$99,AD91),0))</f>
        <v> </v>
      </c>
      <c r="BG91" s="346" t="str">
        <f aca="false">IF($A91="N/A"," ",IF(AND(AN91=$AR$2+1,AW91=0),MIN($BB$99,AE91),0))</f>
        <v> </v>
      </c>
      <c r="BH91" s="346" t="str">
        <f aca="false">IF($A91="N/A"," ",IF(AND(AO91=$AR$2+1,AX91=0),MIN($BB$99,AF91),0))</f>
        <v> </v>
      </c>
      <c r="BI91" s="346" t="str">
        <f aca="false">IF($A91="N/A"," ",IF(AND(AP91=$AR$2+1,AY91=0),MIN($BB$99,AG91),0))</f>
        <v> </v>
      </c>
      <c r="BJ91" s="346" t="str">
        <f aca="false">IF($A91="N/A"," ",IF(AND(AQ91=$AR$2+1,AZ91=0),MIN($BB$99,AH91),0))</f>
        <v> </v>
      </c>
      <c r="BK91" s="346" t="str">
        <f aca="false">IF($A91="N/A"," ",IF(AND(AR91=$AR$2+1,BA91=0),MIN($BB$99,AI91),0))</f>
        <v> </v>
      </c>
      <c r="BL91" s="345"/>
      <c r="BM91" s="329" t="str">
        <f aca="false">IF($A91="N/A"," ",(IF(MONTH(A91)&gt;=4,IF(MONTH(A91)&lt;=10,Inputs!$F$13-Inputs!$G$13,Inputs!$F$14-Inputs!$G$14),Inputs!$F$14-Inputs!$G$14))*$CK91*Availability)</f>
        <v> </v>
      </c>
      <c r="BN91" s="330" t="str">
        <f aca="false">IF($A91="N/A"," ",(IF(AS91&gt;0,($BM91*(8*($HD91))*R91),0)+IF(BC91&gt;0,($BM91*((BC91/AA91)*8*$HD91)*R91),0)))</f>
        <v> </v>
      </c>
      <c r="BO91" s="330" t="str">
        <f aca="false">IF($A91="N/A"," ",(IF(AT91&gt;0,($BM91*(8*($HD91))*S91),0)+IF(BD91&gt;0,($BM91*((BD91/AB91)*8*$HD91)*S91),0)))</f>
        <v> </v>
      </c>
      <c r="BP91" s="330" t="str">
        <f aca="false">IF($A91="N/A"," ",(IF(AU91&gt;0,($BM91*(8*($HD91))*T91),0)+IF(BE91&gt;0,($BM91*((BE91))*T91),0)))</f>
        <v> </v>
      </c>
      <c r="BQ91" s="330" t="str">
        <f aca="false">IF($A91="N/A"," ",(IF(AV91&gt;0,($BM91*(8*($HE91))*U91),0)+IF(BF91&gt;0,($BM91*((BF91/AD91)*8*$HE91)*U91),0)))</f>
        <v> </v>
      </c>
      <c r="BR91" s="330" t="str">
        <f aca="false">IF($A91="N/A"," ",(IF(AW91&gt;0,($BM91*(8*($HE91))*V91),0)+IF(BG91&gt;0,($BM91*((BG91/AE91)*8*$HE91)*V91),0)))</f>
        <v> </v>
      </c>
      <c r="BS91" s="330" t="str">
        <f aca="false">IF($A91="N/A"," ",(IF(AX91&gt;0,($BM91*(8*($HE91))*W91),0)+IF(BH91&gt;0,($BM91*((BH91))*W91),0)))</f>
        <v> </v>
      </c>
      <c r="BT91" s="330" t="str">
        <f aca="false">IF($A91="N/A"," ",(IF(AY91&gt;0,($BM91*(8*($HF91))*X91),0)+IF(BI91&gt;0,($BM91*((BI91/AG91)*8*$HF91)*X91),0)))</f>
        <v> </v>
      </c>
      <c r="BU91" s="330" t="str">
        <f aca="false">IF($A91="N/A"," ",(IF(AZ91&gt;0,($BM91*(8*($HF91))*Y91),0)+IF(BJ91&gt;0,($BM91*((BJ91/AH91)*8*$HF91)*Y91),0)))</f>
        <v> </v>
      </c>
      <c r="BV91" s="330" t="str">
        <f aca="false">IF($A91="N/A"," ",(IF(BA91&gt;0,($BM91*(8*($HF91))*Z91),0)+IF(BK91&gt;0,($BM91*((BK91))*Z91),0)))</f>
        <v> </v>
      </c>
      <c r="BW91" s="330" t="str">
        <f aca="false">IF($A91="N/A"," ",SUM(BN91:BV91))</f>
        <v> </v>
      </c>
      <c r="BX91" s="331" t="str">
        <f aca="false">IF($A91="N/A"," ",(H91*(SUM(AS91:BA91)+SUM(BC91:BK91))*BM91))</f>
        <v> </v>
      </c>
      <c r="BY91" s="332" t="str">
        <f aca="false">IF($A91="N/A"," ",((C91*D91)*(SUM($AS91:$BA91)+SUM($BC91:$BK91))*$BM91))</f>
        <v> </v>
      </c>
      <c r="BZ91" s="332" t="str">
        <f aca="false">IF($A91="N/A"," ",(F91*(SUM($AS91:$BA91)+SUM($BC91:$BK91))*$BM91))</f>
        <v> </v>
      </c>
      <c r="CA91" s="333" t="str">
        <f aca="false">IF($A91="N/A"," ",(G91*(SUM($AS91:$BA91)+SUM($BC91:$BK91))*$BM91))</f>
        <v> </v>
      </c>
      <c r="CB91" s="334" t="str">
        <f aca="false">IF(A91="N/A"," ",(VLOOKUP(A91,PowerVolTable,(IF(BMO=2,7,IF(BMO=1,6,8))),FALSE())))</f>
        <v> </v>
      </c>
      <c r="CC91" s="334" t="str">
        <f aca="false">IF(A91="N/A"," ",(VLOOKUP(A91,IntraPowerVol,(IF(BMO=2,3,IF(BMO=1,2,4))),FALSE())*VLOOKUP(MONTH($A91),Volscale,2)))</f>
        <v> </v>
      </c>
      <c r="CD91" s="335" t="str">
        <f aca="false">IF($A91="N/A"," ",(IF(DateToday&gt;$A91,$CC91,((($CB91^2)*((($A91-1)-DateToday)/((EOMONTH($A91,0)+1)-DateToday-15)))+((($CC91)^2)*((15)/((EOMONTH($A91,0)+1)-DateToday-15))))^0.5)))</f>
        <v> </v>
      </c>
      <c r="CE91" s="334" t="str">
        <f aca="false">IF($A91="N/A"," ",(VLOOKUP($A91,GasVolTable,(IF(BMO=2,6,IF(BMO=1,7,5))),FALSE())))</f>
        <v> </v>
      </c>
      <c r="CF91" s="334" t="str">
        <f aca="false">IF($A91="N/A"," ",(VLOOKUP($A91,OmicronVol,(IF(BMO=2,3,IF(BMO=1,4,2))),FALSE())))</f>
        <v> </v>
      </c>
      <c r="CG91" s="335" t="str">
        <f aca="false">IF($A91="N/A"," ",(IF(DateToday&gt;$A91,$CF91,((($CE91^2)*((($A91-1)-DateToday)/((EOMONTH($A91,0)+1)-DateToday-15)))+((($CF91)^2)*((15)/((EOMONTH($A91,0)+1)-DateToday-15))))^0.5)))</f>
        <v> </v>
      </c>
      <c r="CH91" s="334" t="str">
        <f aca="false">IF($A91="N/A"," ",VLOOKUP($A91,CorrelationTable,2,FALSE()))</f>
        <v> </v>
      </c>
      <c r="CI91" s="336" t="str">
        <f aca="false">IF($A91="N/A"," ",F91+G91+(D91*('Pricing Inputs'!T124)))</f>
        <v> </v>
      </c>
      <c r="CJ91" s="334" t="str">
        <f aca="false">IF($A91="N/A"," ",IF(PV=1,0,'Pricing Inputs'!U124))</f>
        <v> </v>
      </c>
      <c r="CK91" s="337" t="str">
        <f aca="false">IF($A91="N/A"," ",(1+CJ91/2)^(-2*((EOMONTH(A91,0)+20)-DateToday)/365.25))</f>
        <v> </v>
      </c>
      <c r="CL91" s="338" t="str">
        <f aca="false">IF(A91="N/A"," ",IF(CC=2,(VLOOKUP(MONTH($A91),Hrtable,3))/1000,0))</f>
        <v> </v>
      </c>
      <c r="CM91" s="339" t="str">
        <f aca="false">IF(A91="N/A"," ",IF(CC=2,(CL91*C91)+F91,0))</f>
        <v> </v>
      </c>
      <c r="CN91" s="340" t="str">
        <f aca="false">IF($A91="N/A"," ",IF(CC=2,(VLOOKUP(A91,ScaledPrice,(IF(AND(Dayrun&gt;=1,Dayrun&lt;=6),2,4)))-((IF(R91&lt;&gt;0,$D91,$CL91)*$C91)+$F91+$G91)),0))</f>
        <v> </v>
      </c>
      <c r="CO91" s="340" t="str">
        <f aca="false">IF($A91="N/A"," ",IF(CC=2,(IF(AND(Dayrun&gt;=1,Dayrun&lt;=6),I91,(VLOOKUP(A91,ScaledPrice,2))*(2-(VLOOKUP(A91,ScaledPrice,3))))-((IF(S91&lt;&gt;0,$D91,$CL91)*$C91)+$F91+$G91)),0))</f>
        <v> </v>
      </c>
      <c r="CP91" s="340" t="str">
        <f aca="false">IF(A91="N/A"," ",IF(CC=2,(VLOOKUP(A91,ScaledPrice,9)-((IF(T91&lt;&gt;0,$D91,$CL91)*$C91)+$F91+$G91)),0))</f>
        <v> </v>
      </c>
      <c r="CQ91" s="340" t="str">
        <f aca="false">IF(A91="N/A"," ",IF(CC=2,(IF(OR(Dayrun=2,Dayrun=3,Dayrun=5,Dayrun=6,Dayrun=8,Dayrun=9),VLOOKUP(A91,ScaledPrice,IF(AND(Dayrun&gt;=2,Dayrun&lt;=6),5,6)),0)-((IF(U91&lt;&gt;0,$D91,$CL91)*$C91)+$F91+$G91)),0))</f>
        <v> </v>
      </c>
      <c r="CR91" s="340" t="str">
        <f aca="false">IF(A91="N/A"," ",IF(CC=2,(IF(OR(Dayrun=2,Dayrun=3,Dayrun=5,Dayrun=6,Dayrun=8,Dayrun=9),IF(AND(Dayrun&gt;=2,Dayrun&lt;=6),L91,(VLOOKUP(A91,ScaledPrice,5))*(2-(VLOOKUP(A91,ScaledPrice,3)))),0)-((IF(V91&lt;&gt;0,$D91,$CL91)*$C91)+$F91+$G91)),0))</f>
        <v> </v>
      </c>
      <c r="CS91" s="340" t="str">
        <f aca="false">IF(A91="N/A"," ",IF(CC=2,(VLOOKUP(A91,ScaledPrice,9)-((IF(W91&lt;&gt;0,$D91,$CL91)*$C91)+$F91+$G91)),0))</f>
        <v> </v>
      </c>
      <c r="CT91" s="340" t="str">
        <f aca="false">IF(A91="N/A"," ",IF(CC=2,(IF(OR(Dayrun=3,Dayrun=6,Dayrun=9),(VLOOKUP(A91,ScaledPrice,IF(AND(Dayrun&gt;=3,Dayrun&lt;=6),7,8))),0)-((IF(X91&lt;&gt;0,$D91,$CL91)*$C91)+$F91+$G91)),0))</f>
        <v> </v>
      </c>
      <c r="CU91" s="340" t="str">
        <f aca="false">IF(A91="N/A"," ",IF(CC=2,(IF(OR(Dayrun=3,Dayrun=6,Dayrun=9),IF(AND(Dayrun&gt;=3,Dayrun&lt;=6),O91,(VLOOKUP(A91,ScaledPrice,7))*(2-(VLOOKUP(A91,ScaledPrice,3)))),0)-((IF(Y91&lt;&gt;0,$D91,$CL91)*$C91)+$F91+$G91)),0))</f>
        <v> </v>
      </c>
      <c r="CV91" s="340" t="str">
        <f aca="false">IF(A91="N/A"," ",IF(CC=2,(VLOOKUP(A91,ScaledPrice,9)-((IF(Z91&lt;&gt;0,$D91,$CL91)*$C91)+$F91+$G91)),0))</f>
        <v> </v>
      </c>
      <c r="CW91" s="318" t="str">
        <f aca="false">IF($A91="N/A"," ",IF(0&lt;&gt;CN91,IF(CC=2,8*$HD91,0),0))</f>
        <v> </v>
      </c>
      <c r="CX91" s="318" t="str">
        <f aca="false">IF($A91="N/A"," ",IF(0&lt;&gt;CO91,IF(CC=2,8*$HD91,0),0))</f>
        <v> </v>
      </c>
      <c r="CY91" s="318" t="str">
        <f aca="false">IF($A91="N/A"," ",IF(0&lt;&gt;CP91,IF(CC=2,8*$HD91,0),0))</f>
        <v> </v>
      </c>
      <c r="CZ91" s="318" t="str">
        <f aca="false">IF($A91="N/A"," ",IF(0&lt;&gt;CQ91,IF(CC=2,8*$HE91,0),0))</f>
        <v> </v>
      </c>
      <c r="DA91" s="318" t="str">
        <f aca="false">IF($A91="N/A"," ",IF(0&lt;&gt;CR91,IF(CC=2,8*$HE91,0),0))</f>
        <v> </v>
      </c>
      <c r="DB91" s="318" t="str">
        <f aca="false">IF($A91="N/A"," ",IF(0&lt;&gt;CS91,IF(CC=2,8*$HE91,0),0))</f>
        <v> </v>
      </c>
      <c r="DC91" s="318" t="str">
        <f aca="false">IF($A91="N/A"," ",IF(0&lt;&gt;CT91,IF(CC=2,8*$HF91,0),0))</f>
        <v> </v>
      </c>
      <c r="DD91" s="318" t="str">
        <f aca="false">IF($A91="N/A"," ",IF(0&lt;&gt;CU91,IF(CC=2,8*$HF91,0),0))</f>
        <v> </v>
      </c>
      <c r="DE91" s="318" t="str">
        <f aca="false">IF($A91="N/A"," ",IF(0&lt;&gt;CV91,IF(CC=2,8*$HF91,0),0))</f>
        <v> </v>
      </c>
      <c r="DF91" s="341" t="str">
        <f aca="false">IF($A91="N/A"," ",IF(CC=2,(IF(MONTH(A91)&gt;=4,IF(MONTH(A91)&lt;=10,Inputs!$G$13,Inputs!$G$14),Inputs!$G$14))*$CK91,0))</f>
        <v> </v>
      </c>
      <c r="DG91" s="342" t="str">
        <f aca="false">IF($A91="N/A"," ",IF(CC=2,$DF91*CW91*CN91,0))</f>
        <v> </v>
      </c>
      <c r="DH91" s="342" t="str">
        <f aca="false">IF($A91="N/A"," ",IF(CC=2,$DF91*CX91*CO91,0))</f>
        <v> </v>
      </c>
      <c r="DI91" s="342" t="str">
        <f aca="false">IF($A91="N/A"," ",IF(CC=2,$DF91*CY91*CP91,0))</f>
        <v> </v>
      </c>
      <c r="DJ91" s="342" t="str">
        <f aca="false">IF($A91="N/A"," ",IF(CC=2,$DF91*CZ91*CQ91,0))</f>
        <v> </v>
      </c>
      <c r="DK91" s="342" t="str">
        <f aca="false">IF($A91="N/A"," ",IF(CC=2,$DF91*DA91*CR91,0))</f>
        <v> </v>
      </c>
      <c r="DL91" s="342" t="str">
        <f aca="false">IF($A91="N/A"," ",IF(CC=2,$DF91*DB91*CS91,0))</f>
        <v> </v>
      </c>
      <c r="DM91" s="342" t="str">
        <f aca="false">IF($A91="N/A"," ",IF(CC=2,$DF91*DC91*CT91,0))</f>
        <v> </v>
      </c>
      <c r="DN91" s="342" t="str">
        <f aca="false">IF($A91="N/A"," ",IF(CC=2,$DF91*DD91*CU91,0))</f>
        <v> </v>
      </c>
      <c r="DO91" s="342" t="str">
        <f aca="false">IF($A91="N/A"," ",IF(CC=2,$DF91*DE91*CV91,0))</f>
        <v> </v>
      </c>
      <c r="DP91" s="343" t="str">
        <f aca="false">IF($A91="N/A"," ",IF(CC=2,SUM(DG91:DO91),0))</f>
        <v> </v>
      </c>
      <c r="DQ91" s="0" t="str">
        <f aca="false">IF(A91="N/A"," ",Perstart)</f>
        <v> </v>
      </c>
      <c r="HD91" s="0" t="str">
        <f aca="false">IF($A91="N/A"," ",VLOOKUP($A91,NumberofDaysTable,2))</f>
        <v> </v>
      </c>
      <c r="HE91" s="0" t="str">
        <f aca="false">IF($A91="N/A"," ",VLOOKUP($A91,NumberofDaysTable,3))</f>
        <v> </v>
      </c>
      <c r="HF91" s="0" t="str">
        <f aca="false">IF($A91="N/A"," ",VLOOKUP($A91,NumberofDaysTable,4))</f>
        <v> </v>
      </c>
    </row>
    <row r="92" customFormat="false" ht="12.75" hidden="false" customHeight="false" outlineLevel="0" collapsed="false">
      <c r="A92" s="308" t="str">
        <f aca="false">IF(A91="N/A","N/A",IF(EDATE(A91,1)&gt;Inputs!$K$3,"N/A",EDATE(A91,1)))</f>
        <v>N/A</v>
      </c>
      <c r="B92" s="309" t="str">
        <f aca="false">IF(A92="N/A"," ",YEAR(A92))</f>
        <v> </v>
      </c>
      <c r="C92" s="310" t="str">
        <f aca="false">IF(A92="N/A"," ",VLOOKUP(A92,ScaledPrice,10))</f>
        <v> </v>
      </c>
      <c r="D92" s="311" t="str">
        <f aca="false">IF(A92="N/A"," ",(VLOOKUP(MONTH($A92),Hrtable,2))/1000)</f>
        <v> </v>
      </c>
      <c r="E92" s="312" t="str">
        <f aca="false">IF($A92="N/A"," ",(C92-'Pricing Inputs'!T125)*D92)</f>
        <v> </v>
      </c>
      <c r="F92" s="313" t="str">
        <f aca="false">IF(A92="N/A"," ",$F80*(1+VOMesc))</f>
        <v> </v>
      </c>
      <c r="G92" s="313" t="str">
        <f aca="false">IF(A92="N/A"," ",Perstart/IF(AND(Dayrun&gt;=4,Dayrun&lt;=6),16,IF(AND(Dayrun&gt;=7,Dayrun&lt;=9),8,24))/(BM92/CK92))</f>
        <v> </v>
      </c>
      <c r="H92" s="314" t="str">
        <f aca="false">IF(A92="N/A"," ",(C92*D92)+F92+G92)</f>
        <v> </v>
      </c>
      <c r="I92" s="315" t="str">
        <f aca="false">VLOOKUP(A92,ScaledPrice,(IF(AND(Dayrun&gt;=1,Dayrun&lt;=6),2,4)))</f>
        <v> </v>
      </c>
      <c r="J92" s="315" t="str">
        <f aca="false">IF(A92="N/A"," ",IF(AND(Dayrun&gt;=1,Dayrun&lt;=6),I92,(VLOOKUP(A92,ScaledPrice,2))*(2-(VLOOKUP(A92,ScaledPrice,3)))))</f>
        <v> </v>
      </c>
      <c r="K92" s="315" t="str">
        <f aca="false">IF(A92="N/A"," ",IF(AND(Dayrun&gt;=1,Dayrun&lt;=3),VLOOKUP(A92,ScaledPrice,9),0))</f>
        <v> </v>
      </c>
      <c r="L92" s="315" t="str">
        <f aca="false">IF(A92="N/A"," ",IF(OR(Dayrun=2,Dayrun=3,Dayrun=5,Dayrun=6,Dayrun=8,Dayrun=9),VLOOKUP(A92,ScaledPrice,IF(AND(Dayrun&gt;=2,Dayrun&lt;=6),5,6)),0))</f>
        <v> </v>
      </c>
      <c r="M92" s="315" t="str">
        <f aca="false">IF(A92="N/A"," ",IF(OR(Dayrun=2,Dayrun=3,Dayrun=5,Dayrun=6,Dayrun=8,Dayrun=9),IF(AND(Dayrun&gt;=2,Dayrun&lt;=6),L92,(VLOOKUP(A92,ScaledPrice,5))*(2-(VLOOKUP(A92,ScaledPrice,3)))),0))</f>
        <v> </v>
      </c>
      <c r="N92" s="315" t="str">
        <f aca="false">IF(A92="N/A"," ",IF(AND(Dayrun&gt;1,Dayrun&lt;=3),VLOOKUP(A92,ScaledPrice,9),0))</f>
        <v> </v>
      </c>
      <c r="O92" s="315" t="str">
        <f aca="false">IF(A92="N/A"," ",IF(OR(Dayrun=3,Dayrun=6,Dayrun=9),(VLOOKUP(A92,ScaledPrice,IF(AND(Dayrun&gt;=3,Dayrun&lt;=6),7,8))),0))</f>
        <v> </v>
      </c>
      <c r="P92" s="315" t="str">
        <f aca="false">IF(A92="N/A"," ",IF(OR(Dayrun=3,Dayrun=6,Dayrun=9),IF(AND(Dayrun&gt;=3,Dayrun&lt;=6),O92,(VLOOKUP(A92,ScaledPrice,7))*(2-(VLOOKUP(A92,ScaledPrice,3)))),0))</f>
        <v> </v>
      </c>
      <c r="Q92" s="315" t="str">
        <f aca="false">IF(A92="N/A"," ",IF(AND(Dayrun&gt;2,Dayrun&lt;=3),VLOOKUP(A92,ScaledPrice,9),0))</f>
        <v> </v>
      </c>
      <c r="R92" s="316" t="str">
        <f aca="false">IF($A92="N/A"," ",IF(Pricetype=2,MAX(I92-$H92,0),IF(Pricetype=1,(xSPRDOPT(I92,$E92,$CI92,0,($CD92+IF(Smile=TRUE(),VLOOKUP(MAX(-5,$H92-I92),Volsmile,2),0)),$CG92,$CH92,($A92-DateToday)+15,1,0)),I92-$H92)))</f>
        <v> </v>
      </c>
      <c r="S92" s="316" t="str">
        <f aca="false">IF($A92="N/A"," ",IF(Pricetype=2,MAX(J92-$H92,0),IF(Pricetype=1,(xSPRDOPT(J92,$E92,$CI92,0,($CD92+IF(Smile=TRUE(),VLOOKUP(MAX(-5,$H92-J92),Volsmile,2),0)),$CG92,$CH92,($A92-DateToday)+15,1,0)),J92-$H92)))</f>
        <v> </v>
      </c>
      <c r="T92" s="317" t="str">
        <f aca="false">IF($A92="N/A"," ",(IF(Pricetype=2,IF((K92-$H92)&lt;=0,0,(K92-$H92)),IF(K92&lt;&gt;0,(K92-$H92),0))))</f>
        <v> </v>
      </c>
      <c r="U92" s="316" t="str">
        <f aca="false">IF($A92="N/A"," ",IF(Pricetype=2,MAX(L92-$H92,0),IF(L92&lt;&gt;0,IF(Pricetype=1,(xSPRDOPT(L92,$E92,$CI92,0,($CD92+IF(Smile=TRUE(),VLOOKUP(MAX(-5,$H92-L92),Volsmile,2),0)),$CG92,$CH92,($A92-DateToday)+15,1,0)),L92-$H92),0)))</f>
        <v> </v>
      </c>
      <c r="V92" s="316" t="str">
        <f aca="false">IF($A92="N/A"," ",IF(Pricetype=2,MAX(M92-$H92,0),IF(M92&lt;&gt;0,IF(Pricetype=1,(xSPRDOPT(M92,$E92,$CI92,0,($CD92+IF(Smile=TRUE(),VLOOKUP(MAX(-5,$H92-M92),Volsmile,2),0)),$CG92,$CH92,($A92-DateToday)+15,1,0)),M92-$H92),0)))</f>
        <v> </v>
      </c>
      <c r="W92" s="317" t="str">
        <f aca="false">IF($A92="N/A"," ",(IF(Pricetype=2,IF((N92-$H92)&lt;=0,0,(N92-$H92)),IF(N92&lt;&gt;0,(N92-$H92),0))))</f>
        <v> </v>
      </c>
      <c r="X92" s="316" t="str">
        <f aca="false">IF($A92="N/A"," ",IF(Pricetype=2,MAX(O92-$H92,0),IF(O92&lt;&gt;0,IF(Pricetype=1,(xSPRDOPT(O92,$E92,$CI92,0,($CD92+IF(Smile=TRUE(),VLOOKUP(MAX(-5,$H92-O92),Volsmile,2),0)),$CG92,$CH92,($A92-DateToday)+15,1,0)),O92-$H92),0)))</f>
        <v> </v>
      </c>
      <c r="Y92" s="316" t="str">
        <f aca="false">IF($A92="N/A"," ",IF(Pricetype=2,MAX(P92-$H92,0),IF(P92&lt;&gt;0,IF(Pricetype=1,(xSPRDOPT(P92,$E92,$CI92,0,($CD92+IF(Smile=TRUE(),VLOOKUP(MAX(-5,$H92-P92),Volsmile,2),0)),$CG92,$CH92,($A92-DateToday)+15,1,0)),P92-$H92),0)))</f>
        <v> </v>
      </c>
      <c r="Z92" s="317" t="str">
        <f aca="false">IF($A92="N/A"," ",(IF(Pricetype=2,IF((Q92-$H92)&lt;=0,0,(Q92-$H92)),IF(Q92&lt;&gt;0,(Q92-$H92),0))))</f>
        <v> </v>
      </c>
      <c r="AA92" s="318" t="str">
        <f aca="false">IF($A92="N/A"," ",IF(VLOOKUP(MONTH(A92),ManualTable,2)=1,(IF(0&lt;&gt;R92,IF(Pricetype=1,(xSPRDOPT(I92,$E92,$CI92,0,($CD92+IF(Smile=TRUE(),VLOOKUP(MAX(-5,$H92-I92),Volsmile,2),0)),$CG92,$CH92,($A92-DateToday)+15,1,1))*(8*$HD92),8*$HD92),0)),0))</f>
        <v> </v>
      </c>
      <c r="AB92" s="318" t="str">
        <f aca="false">IF($A92="N/A"," ",IF(VLOOKUP(MONTH(A92),ManualTable,3)=1,(IF(S92&lt;&gt;0,IF(Pricetype=1,(xSPRDOPT(J92,$E92,$CI92,0,($CD92+IF(Smile=TRUE(),VLOOKUP(MAX(-5,$H92-J92),Volsmile,2),0)),$CG92,$CH92,($A92-DateToday)+15,1,1))*(8*$HD92),8*$HD92),0)),0))</f>
        <v> </v>
      </c>
      <c r="AC92" s="318" t="str">
        <f aca="false">IF($A92="N/A"," ",IF(VLOOKUP(MONTH(A92),ManualTable,4)=1,(IF(T92&lt;&gt;0,(8*$HD92),0)),0))</f>
        <v> </v>
      </c>
      <c r="AD92" s="318" t="str">
        <f aca="false">IF($A92="N/A"," ",IF(VLOOKUP(MONTH(A92),ManualTable,5)=1,(IF(U92&lt;&gt;0,IF(Pricetype=1,(xSPRDOPT(L92,$E92,$CI92,0,($CD92+IF(Smile=TRUE(),VLOOKUP(MAX(-5,$H92-L92),Volsmile,2),0)),$CG92,$CH92,($A92-DateToday)+15,1,1))*(8*$HE92),8*$HE92),0)),0))</f>
        <v> </v>
      </c>
      <c r="AE92" s="318" t="str">
        <f aca="false">IF($A92="N/A"," ",IF(VLOOKUP(MONTH(A92),ManualTable,6)=1,(IF(V92&lt;&gt;0,IF(Pricetype=1,(xSPRDOPT(M92,$E92,$CI92,0,($CD92+IF(Smile=TRUE(),VLOOKUP(MAX(-5,$H92-M92),Volsmile,2),0)),$CG92,$CH92,($A92-DateToday)+15,1,1))*(8*$HE92),8*$HE92),0)),0))</f>
        <v> </v>
      </c>
      <c r="AF92" s="318" t="str">
        <f aca="false">IF($A92="N/A"," ",IF(VLOOKUP(MONTH(A92),ManualTable,7)=1,(IF(W92&lt;&gt;0,(8*$HE92),0)),0))</f>
        <v> </v>
      </c>
      <c r="AG92" s="318" t="str">
        <f aca="false">IF($A92="N/A"," ",IF(VLOOKUP(MONTH(A92),ManualTable,8)=1,(IF(X92&lt;&gt;0,IF(Pricetype=1,(xSPRDOPT(O92,$E92,$CI92,0,($CD92+IF(Smile=TRUE(),VLOOKUP(MAX(-5,$H92-O92),Volsmile,2),0)),$CG92,$CH92,($A92-DateToday)+15,1,1))*(8*$HF92),8*$HF92),0)),0))</f>
        <v> </v>
      </c>
      <c r="AH92" s="318" t="str">
        <f aca="false">IF($A92="N/A"," ",IF(VLOOKUP(MONTH(A92),ManualTable,9)=1,(IF(Y92&lt;&gt;0,IF(Pricetype=1,(xSPRDOPT(P92,$E92,$CI92,0,($CD92+IF(Smile=TRUE(),VLOOKUP(MAX(-5,$H92-P92),Volsmile,2),0)),$CG92,$CH92,($A92-DateToday)+15,1,1))*(8*$HF92),8*$HF92),0)),0))</f>
        <v> </v>
      </c>
      <c r="AI92" s="318" t="str">
        <f aca="false">IF($A92="N/A"," ",IF(VLOOKUP(MONTH(A92),ManualTable,10)=1,(IF(Z92&lt;&gt;0,(8*($HF92)),0)),0))</f>
        <v> </v>
      </c>
      <c r="AJ92" s="344" t="str">
        <f aca="false">IF($A92="N/A"," ",RANK(R92,$R$88:$Z$99))</f>
        <v> </v>
      </c>
      <c r="AK92" s="321" t="str">
        <f aca="false">IF($A92="N/A"," ",RANK(S92,$R$88:$Z$99))</f>
        <v> </v>
      </c>
      <c r="AL92" s="321" t="str">
        <f aca="false">IF($A92="N/A"," ",RANK(T92,$R$88:$Z$99))</f>
        <v> </v>
      </c>
      <c r="AM92" s="321" t="str">
        <f aca="false">IF($A92="N/A"," ",RANK(U92,$R$88:$Z$99))</f>
        <v> </v>
      </c>
      <c r="AN92" s="321" t="str">
        <f aca="false">IF($A92="N/A"," ",RANK(V92,$R$88:$Z$99))</f>
        <v> </v>
      </c>
      <c r="AO92" s="321" t="str">
        <f aca="false">IF($A92="N/A"," ",RANK(W92,$R$88:$Z$99))</f>
        <v> </v>
      </c>
      <c r="AP92" s="321" t="str">
        <f aca="false">IF($A92="N/A"," ",RANK(X92,$R$88:$Z$99))</f>
        <v> </v>
      </c>
      <c r="AQ92" s="321" t="str">
        <f aca="false">IF($A92="N/A"," ",RANK(Y92,$R$88:$Z$99))</f>
        <v> </v>
      </c>
      <c r="AR92" s="345" t="str">
        <f aca="false">IF($A92="N/A"," ",RANK(Z92,$R$88:$Z$99))</f>
        <v> </v>
      </c>
      <c r="AS92" s="323" t="str">
        <f aca="false">IF($A92="N/A"," ",IF(AJ92&lt;=$AR$2,AA92,0))</f>
        <v> </v>
      </c>
      <c r="AT92" s="325" t="str">
        <f aca="false">IF($A92="N/A"," ",IF(AK92&lt;=$AR$2,AB92,0))</f>
        <v> </v>
      </c>
      <c r="AU92" s="325" t="str">
        <f aca="false">IF($A92="N/A"," ",IF(AL92&lt;=$AR$2,AC92,0))</f>
        <v> </v>
      </c>
      <c r="AV92" s="325" t="str">
        <f aca="false">IF($A92="N/A"," ",IF(AM92&lt;=$AR$2,AD92,0))</f>
        <v> </v>
      </c>
      <c r="AW92" s="325" t="str">
        <f aca="false">IF($A92="N/A"," ",IF(AN92&lt;=$AR$2,AE92,0))</f>
        <v> </v>
      </c>
      <c r="AX92" s="325" t="str">
        <f aca="false">IF($A92="N/A"," ",IF(AO92&lt;=$AR$2,AF92,0))</f>
        <v> </v>
      </c>
      <c r="AY92" s="325" t="str">
        <f aca="false">IF($A92="N/A"," ",IF(AP92&lt;=$AR$2,AG92,0))</f>
        <v> </v>
      </c>
      <c r="AZ92" s="325" t="str">
        <f aca="false">IF($A92="N/A"," ",IF(AQ92&lt;=$AR$2,AH92,0))</f>
        <v> </v>
      </c>
      <c r="BA92" s="325" t="str">
        <f aca="false">IF($A92="N/A"," ",IF(AR92&lt;=$AR$2,AI92,0))</f>
        <v> </v>
      </c>
      <c r="BB92" s="345"/>
      <c r="BC92" s="326" t="str">
        <f aca="false">IF($A92="N/A"," ",IF(AND(AJ92=$AR$2+1,AS92=0),MIN($BB$99,AA92),0))</f>
        <v> </v>
      </c>
      <c r="BD92" s="346" t="str">
        <f aca="false">IF($A92="N/A"," ",IF(AND(AK92=$AR$2+1,AT92=0),MIN($BB$99,AB92),0))</f>
        <v> </v>
      </c>
      <c r="BE92" s="346" t="str">
        <f aca="false">IF($A92="N/A"," ",IF(AND(AL92=$AR$2+1,AU92=0),MIN($BB$99,AC92),0))</f>
        <v> </v>
      </c>
      <c r="BF92" s="346" t="str">
        <f aca="false">IF($A92="N/A"," ",IF(AND(AM92=$AR$2+1,AV92=0),MIN($BB$99,AD92),0))</f>
        <v> </v>
      </c>
      <c r="BG92" s="346" t="str">
        <f aca="false">IF($A92="N/A"," ",IF(AND(AN92=$AR$2+1,AW92=0),MIN($BB$99,AE92),0))</f>
        <v> </v>
      </c>
      <c r="BH92" s="346" t="str">
        <f aca="false">IF($A92="N/A"," ",IF(AND(AO92=$AR$2+1,AX92=0),MIN($BB$99,AF92),0))</f>
        <v> </v>
      </c>
      <c r="BI92" s="346" t="str">
        <f aca="false">IF($A92="N/A"," ",IF(AND(AP92=$AR$2+1,AY92=0),MIN($BB$99,AG92),0))</f>
        <v> </v>
      </c>
      <c r="BJ92" s="346" t="str">
        <f aca="false">IF($A92="N/A"," ",IF(AND(AQ92=$AR$2+1,AZ92=0),MIN($BB$99,AH92),0))</f>
        <v> </v>
      </c>
      <c r="BK92" s="346" t="str">
        <f aca="false">IF($A92="N/A"," ",IF(AND(AR92=$AR$2+1,BA92=0),MIN($BB$99,AI92),0))</f>
        <v> </v>
      </c>
      <c r="BL92" s="345"/>
      <c r="BM92" s="329" t="str">
        <f aca="false">IF($A92="N/A"," ",(IF(MONTH(A92)&gt;=4,IF(MONTH(A92)&lt;=10,Inputs!$F$13-Inputs!$G$13,Inputs!$F$14-Inputs!$G$14),Inputs!$F$14-Inputs!$G$14))*$CK92*Availability)</f>
        <v> </v>
      </c>
      <c r="BN92" s="330" t="str">
        <f aca="false">IF($A92="N/A"," ",(IF(AS92&gt;0,($BM92*(8*($HD92))*R92),0)+IF(BC92&gt;0,($BM92*((BC92/AA92)*8*$HD92)*R92),0)))</f>
        <v> </v>
      </c>
      <c r="BO92" s="330" t="str">
        <f aca="false">IF($A92="N/A"," ",(IF(AT92&gt;0,($BM92*(8*($HD92))*S92),0)+IF(BD92&gt;0,($BM92*((BD92/AB92)*8*$HD92)*S92),0)))</f>
        <v> </v>
      </c>
      <c r="BP92" s="330" t="str">
        <f aca="false">IF($A92="N/A"," ",(IF(AU92&gt;0,($BM92*(8*($HD92))*T92),0)+IF(BE92&gt;0,($BM92*((BE92))*T92),0)))</f>
        <v> </v>
      </c>
      <c r="BQ92" s="330" t="str">
        <f aca="false">IF($A92="N/A"," ",(IF(AV92&gt;0,($BM92*(8*($HE92))*U92),0)+IF(BF92&gt;0,($BM92*((BF92/AD92)*8*$HE92)*U92),0)))</f>
        <v> </v>
      </c>
      <c r="BR92" s="330" t="str">
        <f aca="false">IF($A92="N/A"," ",(IF(AW92&gt;0,($BM92*(8*($HE92))*V92),0)+IF(BG92&gt;0,($BM92*((BG92/AE92)*8*$HE92)*V92),0)))</f>
        <v> </v>
      </c>
      <c r="BS92" s="330" t="str">
        <f aca="false">IF($A92="N/A"," ",(IF(AX92&gt;0,($BM92*(8*($HE92))*W92),0)+IF(BH92&gt;0,($BM92*((BH92))*W92),0)))</f>
        <v> </v>
      </c>
      <c r="BT92" s="330" t="str">
        <f aca="false">IF($A92="N/A"," ",(IF(AY92&gt;0,($BM92*(8*($HF92))*X92),0)+IF(BI92&gt;0,($BM92*((BI92/AG92)*8*$HF92)*X92),0)))</f>
        <v> </v>
      </c>
      <c r="BU92" s="330" t="str">
        <f aca="false">IF($A92="N/A"," ",(IF(AZ92&gt;0,($BM92*(8*($HF92))*Y92),0)+IF(BJ92&gt;0,($BM92*((BJ92/AH92)*8*$HF92)*Y92),0)))</f>
        <v> </v>
      </c>
      <c r="BV92" s="330" t="str">
        <f aca="false">IF($A92="N/A"," ",(IF(BA92&gt;0,($BM92*(8*($HF92))*Z92),0)+IF(BK92&gt;0,($BM92*((BK92))*Z92),0)))</f>
        <v> </v>
      </c>
      <c r="BW92" s="330" t="str">
        <f aca="false">IF($A92="N/A"," ",SUM(BN92:BV92))</f>
        <v> </v>
      </c>
      <c r="BX92" s="331" t="str">
        <f aca="false">IF($A92="N/A"," ",(H92*(SUM(AS92:BA92)+SUM(BC92:BK92))*BM92))</f>
        <v> </v>
      </c>
      <c r="BY92" s="332" t="str">
        <f aca="false">IF($A92="N/A"," ",((C92*D92)*(SUM($AS92:$BA92)+SUM($BC92:$BK92))*$BM92))</f>
        <v> </v>
      </c>
      <c r="BZ92" s="332" t="str">
        <f aca="false">IF($A92="N/A"," ",(F92*(SUM($AS92:$BA92)+SUM($BC92:$BK92))*$BM92))</f>
        <v> </v>
      </c>
      <c r="CA92" s="333" t="str">
        <f aca="false">IF($A92="N/A"," ",(G92*(SUM($AS92:$BA92)+SUM($BC92:$BK92))*$BM92))</f>
        <v> </v>
      </c>
      <c r="CB92" s="334" t="str">
        <f aca="false">IF(A92="N/A"," ",(VLOOKUP(A92,PowerVolTable,(IF(BMO=2,7,IF(BMO=1,6,8))),FALSE())))</f>
        <v> </v>
      </c>
      <c r="CC92" s="334" t="str">
        <f aca="false">IF(A92="N/A"," ",(VLOOKUP(A92,IntraPowerVol,(IF(BMO=2,3,IF(BMO=1,2,4))),FALSE())*VLOOKUP(MONTH($A92),Volscale,2)))</f>
        <v> </v>
      </c>
      <c r="CD92" s="335" t="str">
        <f aca="false">IF($A92="N/A"," ",(IF(DateToday&gt;$A92,$CC92,((($CB92^2)*((($A92-1)-DateToday)/((EOMONTH($A92,0)+1)-DateToday-15)))+((($CC92)^2)*((15)/((EOMONTH($A92,0)+1)-DateToday-15))))^0.5)))</f>
        <v> </v>
      </c>
      <c r="CE92" s="334" t="str">
        <f aca="false">IF($A92="N/A"," ",(VLOOKUP($A92,GasVolTable,(IF(BMO=2,6,IF(BMO=1,7,5))),FALSE())))</f>
        <v> </v>
      </c>
      <c r="CF92" s="334" t="str">
        <f aca="false">IF($A92="N/A"," ",(VLOOKUP($A92,OmicronVol,(IF(BMO=2,3,IF(BMO=1,4,2))),FALSE())))</f>
        <v> </v>
      </c>
      <c r="CG92" s="335" t="str">
        <f aca="false">IF($A92="N/A"," ",(IF(DateToday&gt;$A92,$CF92,((($CE92^2)*((($A92-1)-DateToday)/((EOMONTH($A92,0)+1)-DateToday-15)))+((($CF92)^2)*((15)/((EOMONTH($A92,0)+1)-DateToday-15))))^0.5)))</f>
        <v> </v>
      </c>
      <c r="CH92" s="334" t="str">
        <f aca="false">IF($A92="N/A"," ",VLOOKUP($A92,CorrelationTable,2,FALSE()))</f>
        <v> </v>
      </c>
      <c r="CI92" s="336" t="str">
        <f aca="false">IF($A92="N/A"," ",F92+G92+(D92*('Pricing Inputs'!T125)))</f>
        <v> </v>
      </c>
      <c r="CJ92" s="334" t="str">
        <f aca="false">IF($A92="N/A"," ",IF(PV=1,0,'Pricing Inputs'!U125))</f>
        <v> </v>
      </c>
      <c r="CK92" s="337" t="str">
        <f aca="false">IF($A92="N/A"," ",(1+CJ92/2)^(-2*((EOMONTH(A92,0)+20)-DateToday)/365.25))</f>
        <v> </v>
      </c>
      <c r="CL92" s="338" t="str">
        <f aca="false">IF(A92="N/A"," ",IF(CC=2,(VLOOKUP(MONTH($A92),Hrtable,3))/1000,0))</f>
        <v> </v>
      </c>
      <c r="CM92" s="339" t="str">
        <f aca="false">IF(A92="N/A"," ",IF(CC=2,(CL92*C92)+F92,0))</f>
        <v> </v>
      </c>
      <c r="CN92" s="340" t="str">
        <f aca="false">IF($A92="N/A"," ",IF(CC=2,(VLOOKUP(A92,ScaledPrice,(IF(AND(Dayrun&gt;=1,Dayrun&lt;=6),2,4)))-((IF(R92&lt;&gt;0,$D92,$CL92)*$C92)+$F92+$G92)),0))</f>
        <v> </v>
      </c>
      <c r="CO92" s="340" t="str">
        <f aca="false">IF($A92="N/A"," ",IF(CC=2,(IF(AND(Dayrun&gt;=1,Dayrun&lt;=6),I92,(VLOOKUP(A92,ScaledPrice,2))*(2-(VLOOKUP(A92,ScaledPrice,3))))-((IF(S92&lt;&gt;0,$D92,$CL92)*$C92)+$F92+$G92)),0))</f>
        <v> </v>
      </c>
      <c r="CP92" s="340" t="str">
        <f aca="false">IF(A92="N/A"," ",IF(CC=2,(VLOOKUP(A92,ScaledPrice,9)-((IF(T92&lt;&gt;0,$D92,$CL92)*$C92)+$F92+$G92)),0))</f>
        <v> </v>
      </c>
      <c r="CQ92" s="340" t="str">
        <f aca="false">IF(A92="N/A"," ",IF(CC=2,(IF(OR(Dayrun=2,Dayrun=3,Dayrun=5,Dayrun=6,Dayrun=8,Dayrun=9),VLOOKUP(A92,ScaledPrice,IF(AND(Dayrun&gt;=2,Dayrun&lt;=6),5,6)),0)-((IF(U92&lt;&gt;0,$D92,$CL92)*$C92)+$F92+$G92)),0))</f>
        <v> </v>
      </c>
      <c r="CR92" s="340" t="str">
        <f aca="false">IF(A92="N/A"," ",IF(CC=2,(IF(OR(Dayrun=2,Dayrun=3,Dayrun=5,Dayrun=6,Dayrun=8,Dayrun=9),IF(AND(Dayrun&gt;=2,Dayrun&lt;=6),L92,(VLOOKUP(A92,ScaledPrice,5))*(2-(VLOOKUP(A92,ScaledPrice,3)))),0)-((IF(V92&lt;&gt;0,$D92,$CL92)*$C92)+$F92+$G92)),0))</f>
        <v> </v>
      </c>
      <c r="CS92" s="340" t="str">
        <f aca="false">IF(A92="N/A"," ",IF(CC=2,(VLOOKUP(A92,ScaledPrice,9)-((IF(W92&lt;&gt;0,$D92,$CL92)*$C92)+$F92+$G92)),0))</f>
        <v> </v>
      </c>
      <c r="CT92" s="340" t="str">
        <f aca="false">IF(A92="N/A"," ",IF(CC=2,(IF(OR(Dayrun=3,Dayrun=6,Dayrun=9),(VLOOKUP(A92,ScaledPrice,IF(AND(Dayrun&gt;=3,Dayrun&lt;=6),7,8))),0)-((IF(X92&lt;&gt;0,$D92,$CL92)*$C92)+$F92+$G92)),0))</f>
        <v> </v>
      </c>
      <c r="CU92" s="340" t="str">
        <f aca="false">IF(A92="N/A"," ",IF(CC=2,(IF(OR(Dayrun=3,Dayrun=6,Dayrun=9),IF(AND(Dayrun&gt;=3,Dayrun&lt;=6),O92,(VLOOKUP(A92,ScaledPrice,7))*(2-(VLOOKUP(A92,ScaledPrice,3)))),0)-((IF(Y92&lt;&gt;0,$D92,$CL92)*$C92)+$F92+$G92)),0))</f>
        <v> </v>
      </c>
      <c r="CV92" s="340" t="str">
        <f aca="false">IF(A92="N/A"," ",IF(CC=2,(VLOOKUP(A92,ScaledPrice,9)-((IF(Z92&lt;&gt;0,$D92,$CL92)*$C92)+$F92+$G92)),0))</f>
        <v> </v>
      </c>
      <c r="CW92" s="318" t="str">
        <f aca="false">IF($A92="N/A"," ",IF(0&lt;&gt;CN92,IF(CC=2,8*$HD92,0),0))</f>
        <v> </v>
      </c>
      <c r="CX92" s="318" t="str">
        <f aca="false">IF($A92="N/A"," ",IF(0&lt;&gt;CO92,IF(CC=2,8*$HD92,0),0))</f>
        <v> </v>
      </c>
      <c r="CY92" s="318" t="str">
        <f aca="false">IF($A92="N/A"," ",IF(0&lt;&gt;CP92,IF(CC=2,8*$HD92,0),0))</f>
        <v> </v>
      </c>
      <c r="CZ92" s="318" t="str">
        <f aca="false">IF($A92="N/A"," ",IF(0&lt;&gt;CQ92,IF(CC=2,8*$HE92,0),0))</f>
        <v> </v>
      </c>
      <c r="DA92" s="318" t="str">
        <f aca="false">IF($A92="N/A"," ",IF(0&lt;&gt;CR92,IF(CC=2,8*$HE92,0),0))</f>
        <v> </v>
      </c>
      <c r="DB92" s="318" t="str">
        <f aca="false">IF($A92="N/A"," ",IF(0&lt;&gt;CS92,IF(CC=2,8*$HE92,0),0))</f>
        <v> </v>
      </c>
      <c r="DC92" s="318" t="str">
        <f aca="false">IF($A92="N/A"," ",IF(0&lt;&gt;CT92,IF(CC=2,8*$HF92,0),0))</f>
        <v> </v>
      </c>
      <c r="DD92" s="318" t="str">
        <f aca="false">IF($A92="N/A"," ",IF(0&lt;&gt;CU92,IF(CC=2,8*$HF92,0),0))</f>
        <v> </v>
      </c>
      <c r="DE92" s="318" t="str">
        <f aca="false">IF($A92="N/A"," ",IF(0&lt;&gt;CV92,IF(CC=2,8*$HF92,0),0))</f>
        <v> </v>
      </c>
      <c r="DF92" s="341" t="str">
        <f aca="false">IF($A92="N/A"," ",IF(CC=2,(IF(MONTH(A92)&gt;=4,IF(MONTH(A92)&lt;=10,Inputs!$G$13,Inputs!$G$14),Inputs!$G$14))*$CK92,0))</f>
        <v> </v>
      </c>
      <c r="DG92" s="342" t="str">
        <f aca="false">IF($A92="N/A"," ",IF(CC=2,$DF92*CW92*CN92,0))</f>
        <v> </v>
      </c>
      <c r="DH92" s="342" t="str">
        <f aca="false">IF($A92="N/A"," ",IF(CC=2,$DF92*CX92*CO92,0))</f>
        <v> </v>
      </c>
      <c r="DI92" s="342" t="str">
        <f aca="false">IF($A92="N/A"," ",IF(CC=2,$DF92*CY92*CP92,0))</f>
        <v> </v>
      </c>
      <c r="DJ92" s="342" t="str">
        <f aca="false">IF($A92="N/A"," ",IF(CC=2,$DF92*CZ92*CQ92,0))</f>
        <v> </v>
      </c>
      <c r="DK92" s="342" t="str">
        <f aca="false">IF($A92="N/A"," ",IF(CC=2,$DF92*DA92*CR92,0))</f>
        <v> </v>
      </c>
      <c r="DL92" s="342" t="str">
        <f aca="false">IF($A92="N/A"," ",IF(CC=2,$DF92*DB92*CS92,0))</f>
        <v> </v>
      </c>
      <c r="DM92" s="342" t="str">
        <f aca="false">IF($A92="N/A"," ",IF(CC=2,$DF92*DC92*CT92,0))</f>
        <v> </v>
      </c>
      <c r="DN92" s="342" t="str">
        <f aca="false">IF($A92="N/A"," ",IF(CC=2,$DF92*DD92*CU92,0))</f>
        <v> </v>
      </c>
      <c r="DO92" s="342" t="str">
        <f aca="false">IF($A92="N/A"," ",IF(CC=2,$DF92*DE92*CV92,0))</f>
        <v> </v>
      </c>
      <c r="DP92" s="343" t="str">
        <f aca="false">IF($A92="N/A"," ",IF(CC=2,SUM(DG92:DO92),0))</f>
        <v> </v>
      </c>
      <c r="DQ92" s="0" t="str">
        <f aca="false">IF(A92="N/A"," ",Perstart)</f>
        <v> </v>
      </c>
      <c r="HD92" s="0" t="str">
        <f aca="false">IF($A92="N/A"," ",VLOOKUP($A92,NumberofDaysTable,2))</f>
        <v> </v>
      </c>
      <c r="HE92" s="0" t="str">
        <f aca="false">IF($A92="N/A"," ",VLOOKUP($A92,NumberofDaysTable,3))</f>
        <v> </v>
      </c>
      <c r="HF92" s="0" t="str">
        <f aca="false">IF($A92="N/A"," ",VLOOKUP($A92,NumberofDaysTable,4))</f>
        <v> </v>
      </c>
    </row>
    <row r="93" customFormat="false" ht="12.75" hidden="false" customHeight="false" outlineLevel="0" collapsed="false">
      <c r="A93" s="308" t="str">
        <f aca="false">IF(A92="N/A","N/A",IF(EDATE(A92,1)&gt;Inputs!$K$3,"N/A",EDATE(A92,1)))</f>
        <v>N/A</v>
      </c>
      <c r="B93" s="309" t="str">
        <f aca="false">IF(A93="N/A"," ",YEAR(A93))</f>
        <v> </v>
      </c>
      <c r="C93" s="310" t="str">
        <f aca="false">IF(A93="N/A"," ",VLOOKUP(A93,ScaledPrice,10))</f>
        <v> </v>
      </c>
      <c r="D93" s="311" t="str">
        <f aca="false">IF(A93="N/A"," ",(VLOOKUP(MONTH($A93),Hrtable,2))/1000)</f>
        <v> </v>
      </c>
      <c r="E93" s="312" t="str">
        <f aca="false">IF($A93="N/A"," ",(C93-'Pricing Inputs'!T126)*D93)</f>
        <v> </v>
      </c>
      <c r="F93" s="313" t="str">
        <f aca="false">IF(A93="N/A"," ",$F81*(1+VOMesc))</f>
        <v> </v>
      </c>
      <c r="G93" s="313" t="str">
        <f aca="false">IF(A93="N/A"," ",Perstart/IF(AND(Dayrun&gt;=4,Dayrun&lt;=6),16,IF(AND(Dayrun&gt;=7,Dayrun&lt;=9),8,24))/(BM93/CK93))</f>
        <v> </v>
      </c>
      <c r="H93" s="314" t="str">
        <f aca="false">IF(A93="N/A"," ",(C93*D93)+F93+G93)</f>
        <v> </v>
      </c>
      <c r="I93" s="315" t="str">
        <f aca="false">VLOOKUP(A93,ScaledPrice,(IF(AND(Dayrun&gt;=1,Dayrun&lt;=6),2,4)))</f>
        <v> </v>
      </c>
      <c r="J93" s="315" t="str">
        <f aca="false">IF(A93="N/A"," ",IF(AND(Dayrun&gt;=1,Dayrun&lt;=6),I93,(VLOOKUP(A93,ScaledPrice,2))*(2-(VLOOKUP(A93,ScaledPrice,3)))))</f>
        <v> </v>
      </c>
      <c r="K93" s="315" t="str">
        <f aca="false">IF(A93="N/A"," ",IF(AND(Dayrun&gt;=1,Dayrun&lt;=3),VLOOKUP(A93,ScaledPrice,9),0))</f>
        <v> </v>
      </c>
      <c r="L93" s="315" t="str">
        <f aca="false">IF(A93="N/A"," ",IF(OR(Dayrun=2,Dayrun=3,Dayrun=5,Dayrun=6,Dayrun=8,Dayrun=9),VLOOKUP(A93,ScaledPrice,IF(AND(Dayrun&gt;=2,Dayrun&lt;=6),5,6)),0))</f>
        <v> </v>
      </c>
      <c r="M93" s="315" t="str">
        <f aca="false">IF(A93="N/A"," ",IF(OR(Dayrun=2,Dayrun=3,Dayrun=5,Dayrun=6,Dayrun=8,Dayrun=9),IF(AND(Dayrun&gt;=2,Dayrun&lt;=6),L93,(VLOOKUP(A93,ScaledPrice,5))*(2-(VLOOKUP(A93,ScaledPrice,3)))),0))</f>
        <v> </v>
      </c>
      <c r="N93" s="315" t="str">
        <f aca="false">IF(A93="N/A"," ",IF(AND(Dayrun&gt;1,Dayrun&lt;=3),VLOOKUP(A93,ScaledPrice,9),0))</f>
        <v> </v>
      </c>
      <c r="O93" s="315" t="str">
        <f aca="false">IF(A93="N/A"," ",IF(OR(Dayrun=3,Dayrun=6,Dayrun=9),(VLOOKUP(A93,ScaledPrice,IF(AND(Dayrun&gt;=3,Dayrun&lt;=6),7,8))),0))</f>
        <v> </v>
      </c>
      <c r="P93" s="315" t="str">
        <f aca="false">IF(A93="N/A"," ",IF(OR(Dayrun=3,Dayrun=6,Dayrun=9),IF(AND(Dayrun&gt;=3,Dayrun&lt;=6),O93,(VLOOKUP(A93,ScaledPrice,7))*(2-(VLOOKUP(A93,ScaledPrice,3)))),0))</f>
        <v> </v>
      </c>
      <c r="Q93" s="315" t="str">
        <f aca="false">IF(A93="N/A"," ",IF(AND(Dayrun&gt;2,Dayrun&lt;=3),VLOOKUP(A93,ScaledPrice,9),0))</f>
        <v> </v>
      </c>
      <c r="R93" s="316" t="str">
        <f aca="false">IF($A93="N/A"," ",IF(Pricetype=2,MAX(I93-$H93,0),IF(Pricetype=1,(xSPRDOPT(I93,$E93,$CI93,0,($CD93+IF(Smile=TRUE(),VLOOKUP(MAX(-5,$H93-I93),Volsmile,2),0)),$CG93,$CH93,($A93-DateToday)+15,1,0)),I93-$H93)))</f>
        <v> </v>
      </c>
      <c r="S93" s="316" t="str">
        <f aca="false">IF($A93="N/A"," ",IF(Pricetype=2,MAX(J93-$H93,0),IF(Pricetype=1,(xSPRDOPT(J93,$E93,$CI93,0,($CD93+IF(Smile=TRUE(),VLOOKUP(MAX(-5,$H93-J93),Volsmile,2),0)),$CG93,$CH93,($A93-DateToday)+15,1,0)),J93-$H93)))</f>
        <v> </v>
      </c>
      <c r="T93" s="317" t="str">
        <f aca="false">IF($A93="N/A"," ",(IF(Pricetype=2,IF((K93-$H93)&lt;=0,0,(K93-$H93)),IF(K93&lt;&gt;0,(K93-$H93),0))))</f>
        <v> </v>
      </c>
      <c r="U93" s="316" t="str">
        <f aca="false">IF($A93="N/A"," ",IF(Pricetype=2,MAX(L93-$H93,0),IF(L93&lt;&gt;0,IF(Pricetype=1,(xSPRDOPT(L93,$E93,$CI93,0,($CD93+IF(Smile=TRUE(),VLOOKUP(MAX(-5,$H93-L93),Volsmile,2),0)),$CG93,$CH93,($A93-DateToday)+15,1,0)),L93-$H93),0)))</f>
        <v> </v>
      </c>
      <c r="V93" s="316" t="str">
        <f aca="false">IF($A93="N/A"," ",IF(Pricetype=2,MAX(M93-$H93,0),IF(M93&lt;&gt;0,IF(Pricetype=1,(xSPRDOPT(M93,$E93,$CI93,0,($CD93+IF(Smile=TRUE(),VLOOKUP(MAX(-5,$H93-M93),Volsmile,2),0)),$CG93,$CH93,($A93-DateToday)+15,1,0)),M93-$H93),0)))</f>
        <v> </v>
      </c>
      <c r="W93" s="317" t="str">
        <f aca="false">IF($A93="N/A"," ",(IF(Pricetype=2,IF((N93-$H93)&lt;=0,0,(N93-$H93)),IF(N93&lt;&gt;0,(N93-$H93),0))))</f>
        <v> </v>
      </c>
      <c r="X93" s="316" t="str">
        <f aca="false">IF($A93="N/A"," ",IF(Pricetype=2,MAX(O93-$H93,0),IF(O93&lt;&gt;0,IF(Pricetype=1,(xSPRDOPT(O93,$E93,$CI93,0,($CD93+IF(Smile=TRUE(),VLOOKUP(MAX(-5,$H93-O93),Volsmile,2),0)),$CG93,$CH93,($A93-DateToday)+15,1,0)),O93-$H93),0)))</f>
        <v> </v>
      </c>
      <c r="Y93" s="316" t="str">
        <f aca="false">IF($A93="N/A"," ",IF(Pricetype=2,MAX(P93-$H93,0),IF(P93&lt;&gt;0,IF(Pricetype=1,(xSPRDOPT(P93,$E93,$CI93,0,($CD93+IF(Smile=TRUE(),VLOOKUP(MAX(-5,$H93-P93),Volsmile,2),0)),$CG93,$CH93,($A93-DateToday)+15,1,0)),P93-$H93),0)))</f>
        <v> </v>
      </c>
      <c r="Z93" s="317" t="str">
        <f aca="false">IF($A93="N/A"," ",(IF(Pricetype=2,IF((Q93-$H93)&lt;=0,0,(Q93-$H93)),IF(Q93&lt;&gt;0,(Q93-$H93),0))))</f>
        <v> </v>
      </c>
      <c r="AA93" s="318" t="str">
        <f aca="false">IF($A93="N/A"," ",IF(VLOOKUP(MONTH(A93),ManualTable,2)=1,(IF(0&lt;&gt;R93,IF(Pricetype=1,(xSPRDOPT(I93,$E93,$CI93,0,($CD93+IF(Smile=TRUE(),VLOOKUP(MAX(-5,$H93-I93),Volsmile,2),0)),$CG93,$CH93,($A93-DateToday)+15,1,1))*(8*$HD93),8*$HD93),0)),0))</f>
        <v> </v>
      </c>
      <c r="AB93" s="318" t="str">
        <f aca="false">IF($A93="N/A"," ",IF(VLOOKUP(MONTH(A93),ManualTable,3)=1,(IF(S93&lt;&gt;0,IF(Pricetype=1,(xSPRDOPT(J93,$E93,$CI93,0,($CD93+IF(Smile=TRUE(),VLOOKUP(MAX(-5,$H93-J93),Volsmile,2),0)),$CG93,$CH93,($A93-DateToday)+15,1,1))*(8*$HD93),8*$HD93),0)),0))</f>
        <v> </v>
      </c>
      <c r="AC93" s="318" t="str">
        <f aca="false">IF($A93="N/A"," ",IF(VLOOKUP(MONTH(A93),ManualTable,4)=1,(IF(T93&lt;&gt;0,(8*$HD93),0)),0))</f>
        <v> </v>
      </c>
      <c r="AD93" s="318" t="str">
        <f aca="false">IF($A93="N/A"," ",IF(VLOOKUP(MONTH(A93),ManualTable,5)=1,(IF(U93&lt;&gt;0,IF(Pricetype=1,(xSPRDOPT(L93,$E93,$CI93,0,($CD93+IF(Smile=TRUE(),VLOOKUP(MAX(-5,$H93-L93),Volsmile,2),0)),$CG93,$CH93,($A93-DateToday)+15,1,1))*(8*$HE93),8*$HE93),0)),0))</f>
        <v> </v>
      </c>
      <c r="AE93" s="318" t="str">
        <f aca="false">IF($A93="N/A"," ",IF(VLOOKUP(MONTH(A93),ManualTable,6)=1,(IF(V93&lt;&gt;0,IF(Pricetype=1,(xSPRDOPT(M93,$E93,$CI93,0,($CD93+IF(Smile=TRUE(),VLOOKUP(MAX(-5,$H93-M93),Volsmile,2),0)),$CG93,$CH93,($A93-DateToday)+15,1,1))*(8*$HE93),8*$HE93),0)),0))</f>
        <v> </v>
      </c>
      <c r="AF93" s="318" t="str">
        <f aca="false">IF($A93="N/A"," ",IF(VLOOKUP(MONTH(A93),ManualTable,7)=1,(IF(W93&lt;&gt;0,(8*$HE93),0)),0))</f>
        <v> </v>
      </c>
      <c r="AG93" s="318" t="str">
        <f aca="false">IF($A93="N/A"," ",IF(VLOOKUP(MONTH(A93),ManualTable,8)=1,(IF(X93&lt;&gt;0,IF(Pricetype=1,(xSPRDOPT(O93,$E93,$CI93,0,($CD93+IF(Smile=TRUE(),VLOOKUP(MAX(-5,$H93-O93),Volsmile,2),0)),$CG93,$CH93,($A93-DateToday)+15,1,1))*(8*$HF93),8*$HF93),0)),0))</f>
        <v> </v>
      </c>
      <c r="AH93" s="318" t="str">
        <f aca="false">IF($A93="N/A"," ",IF(VLOOKUP(MONTH(A93),ManualTable,9)=1,(IF(Y93&lt;&gt;0,IF(Pricetype=1,(xSPRDOPT(P93,$E93,$CI93,0,($CD93+IF(Smile=TRUE(),VLOOKUP(MAX(-5,$H93-P93),Volsmile,2),0)),$CG93,$CH93,($A93-DateToday)+15,1,1))*(8*$HF93),8*$HF93),0)),0))</f>
        <v> </v>
      </c>
      <c r="AI93" s="318" t="str">
        <f aca="false">IF($A93="N/A"," ",IF(VLOOKUP(MONTH(A93),ManualTable,10)=1,(IF(Z93&lt;&gt;0,(8*($HF93)),0)),0))</f>
        <v> </v>
      </c>
      <c r="AJ93" s="344" t="str">
        <f aca="false">IF($A93="N/A"," ",RANK(R93,$R$88:$Z$99))</f>
        <v> </v>
      </c>
      <c r="AK93" s="321" t="str">
        <f aca="false">IF($A93="N/A"," ",RANK(S93,$R$88:$Z$99))</f>
        <v> </v>
      </c>
      <c r="AL93" s="321" t="str">
        <f aca="false">IF($A93="N/A"," ",RANK(T93,$R$88:$Z$99))</f>
        <v> </v>
      </c>
      <c r="AM93" s="321" t="str">
        <f aca="false">IF($A93="N/A"," ",RANK(U93,$R$88:$Z$99))</f>
        <v> </v>
      </c>
      <c r="AN93" s="321" t="str">
        <f aca="false">IF($A93="N/A"," ",RANK(V93,$R$88:$Z$99))</f>
        <v> </v>
      </c>
      <c r="AO93" s="321" t="str">
        <f aca="false">IF($A93="N/A"," ",RANK(W93,$R$88:$Z$99))</f>
        <v> </v>
      </c>
      <c r="AP93" s="321" t="str">
        <f aca="false">IF($A93="N/A"," ",RANK(X93,$R$88:$Z$99))</f>
        <v> </v>
      </c>
      <c r="AQ93" s="321" t="str">
        <f aca="false">IF($A93="N/A"," ",RANK(Y93,$R$88:$Z$99))</f>
        <v> </v>
      </c>
      <c r="AR93" s="345" t="str">
        <f aca="false">IF($A93="N/A"," ",RANK(Z93,$R$88:$Z$99))</f>
        <v> </v>
      </c>
      <c r="AS93" s="323" t="str">
        <f aca="false">IF($A93="N/A"," ",IF(AJ93&lt;=$AR$2,AA93,0))</f>
        <v> </v>
      </c>
      <c r="AT93" s="325" t="str">
        <f aca="false">IF($A93="N/A"," ",IF(AK93&lt;=$AR$2,AB93,0))</f>
        <v> </v>
      </c>
      <c r="AU93" s="325" t="str">
        <f aca="false">IF($A93="N/A"," ",IF(AL93&lt;=$AR$2,AC93,0))</f>
        <v> </v>
      </c>
      <c r="AV93" s="325" t="str">
        <f aca="false">IF($A93="N/A"," ",IF(AM93&lt;=$AR$2,AD93,0))</f>
        <v> </v>
      </c>
      <c r="AW93" s="325" t="str">
        <f aca="false">IF($A93="N/A"," ",IF(AN93&lt;=$AR$2,AE93,0))</f>
        <v> </v>
      </c>
      <c r="AX93" s="325" t="str">
        <f aca="false">IF($A93="N/A"," ",IF(AO93&lt;=$AR$2,AF93,0))</f>
        <v> </v>
      </c>
      <c r="AY93" s="325" t="str">
        <f aca="false">IF($A93="N/A"," ",IF(AP93&lt;=$AR$2,AG93,0))</f>
        <v> </v>
      </c>
      <c r="AZ93" s="325" t="str">
        <f aca="false">IF($A93="N/A"," ",IF(AQ93&lt;=$AR$2,AH93,0))</f>
        <v> </v>
      </c>
      <c r="BA93" s="325" t="str">
        <f aca="false">IF($A93="N/A"," ",IF(AR93&lt;=$AR$2,AI93,0))</f>
        <v> </v>
      </c>
      <c r="BB93" s="345"/>
      <c r="BC93" s="326" t="str">
        <f aca="false">IF($A93="N/A"," ",IF(AND(AJ93=$AR$2+1,AS93=0),MIN($BB$99,AA93),0))</f>
        <v> </v>
      </c>
      <c r="BD93" s="346" t="str">
        <f aca="false">IF($A93="N/A"," ",IF(AND(AK93=$AR$2+1,AT93=0),MIN($BB$99,AB93),0))</f>
        <v> </v>
      </c>
      <c r="BE93" s="346" t="str">
        <f aca="false">IF($A93="N/A"," ",IF(AND(AL93=$AR$2+1,AU93=0),MIN($BB$99,AC93),0))</f>
        <v> </v>
      </c>
      <c r="BF93" s="346" t="str">
        <f aca="false">IF($A93="N/A"," ",IF(AND(AM93=$AR$2+1,AV93=0),MIN($BB$99,AD93),0))</f>
        <v> </v>
      </c>
      <c r="BG93" s="346" t="str">
        <f aca="false">IF($A93="N/A"," ",IF(AND(AN93=$AR$2+1,AW93=0),MIN($BB$99,AE93),0))</f>
        <v> </v>
      </c>
      <c r="BH93" s="346" t="str">
        <f aca="false">IF($A93="N/A"," ",IF(AND(AO93=$AR$2+1,AX93=0),MIN($BB$99,AF93),0))</f>
        <v> </v>
      </c>
      <c r="BI93" s="346" t="str">
        <f aca="false">IF($A93="N/A"," ",IF(AND(AP93=$AR$2+1,AY93=0),MIN($BB$99,AG93),0))</f>
        <v> </v>
      </c>
      <c r="BJ93" s="346" t="str">
        <f aca="false">IF($A93="N/A"," ",IF(AND(AQ93=$AR$2+1,AZ93=0),MIN($BB$99,AH93),0))</f>
        <v> </v>
      </c>
      <c r="BK93" s="346" t="str">
        <f aca="false">IF($A93="N/A"," ",IF(AND(AR93=$AR$2+1,BA93=0),MIN($BB$99,AI93),0))</f>
        <v> </v>
      </c>
      <c r="BL93" s="345"/>
      <c r="BM93" s="329" t="str">
        <f aca="false">IF($A93="N/A"," ",(IF(MONTH(A93)&gt;=4,IF(MONTH(A93)&lt;=10,Inputs!$F$13-Inputs!$G$13,Inputs!$F$14-Inputs!$G$14),Inputs!$F$14-Inputs!$G$14))*$CK93*Availability)</f>
        <v> </v>
      </c>
      <c r="BN93" s="330" t="str">
        <f aca="false">IF($A93="N/A"," ",(IF(AS93&gt;0,($BM93*(8*($HD93))*R93),0)+IF(BC93&gt;0,($BM93*((BC93/AA93)*8*$HD93)*R93),0)))</f>
        <v> </v>
      </c>
      <c r="BO93" s="330" t="str">
        <f aca="false">IF($A93="N/A"," ",(IF(AT93&gt;0,($BM93*(8*($HD93))*S93),0)+IF(BD93&gt;0,($BM93*((BD93/AB93)*8*$HD93)*S93),0)))</f>
        <v> </v>
      </c>
      <c r="BP93" s="330" t="str">
        <f aca="false">IF($A93="N/A"," ",(IF(AU93&gt;0,($BM93*(8*($HD93))*T93),0)+IF(BE93&gt;0,($BM93*((BE93))*T93),0)))</f>
        <v> </v>
      </c>
      <c r="BQ93" s="330" t="str">
        <f aca="false">IF($A93="N/A"," ",(IF(AV93&gt;0,($BM93*(8*($HE93))*U93),0)+IF(BF93&gt;0,($BM93*((BF93/AD93)*8*$HE93)*U93),0)))</f>
        <v> </v>
      </c>
      <c r="BR93" s="330" t="str">
        <f aca="false">IF($A93="N/A"," ",(IF(AW93&gt;0,($BM93*(8*($HE93))*V93),0)+IF(BG93&gt;0,($BM93*((BG93/AE93)*8*$HE93)*V93),0)))</f>
        <v> </v>
      </c>
      <c r="BS93" s="330" t="str">
        <f aca="false">IF($A93="N/A"," ",(IF(AX93&gt;0,($BM93*(8*($HE93))*W93),0)+IF(BH93&gt;0,($BM93*((BH93))*W93),0)))</f>
        <v> </v>
      </c>
      <c r="BT93" s="330" t="str">
        <f aca="false">IF($A93="N/A"," ",(IF(AY93&gt;0,($BM93*(8*($HF93))*X93),0)+IF(BI93&gt;0,($BM93*((BI93/AG93)*8*$HF93)*X93),0)))</f>
        <v> </v>
      </c>
      <c r="BU93" s="330" t="str">
        <f aca="false">IF($A93="N/A"," ",(IF(AZ93&gt;0,($BM93*(8*($HF93))*Y93),0)+IF(BJ93&gt;0,($BM93*((BJ93/AH93)*8*$HF93)*Y93),0)))</f>
        <v> </v>
      </c>
      <c r="BV93" s="330" t="str">
        <f aca="false">IF($A93="N/A"," ",(IF(BA93&gt;0,($BM93*(8*($HF93))*Z93),0)+IF(BK93&gt;0,($BM93*((BK93))*Z93),0)))</f>
        <v> </v>
      </c>
      <c r="BW93" s="330" t="str">
        <f aca="false">IF($A93="N/A"," ",SUM(BN93:BV93))</f>
        <v> </v>
      </c>
      <c r="BX93" s="331" t="str">
        <f aca="false">IF($A93="N/A"," ",(H93*(SUM(AS93:BA93)+SUM(BC93:BK93))*BM93))</f>
        <v> </v>
      </c>
      <c r="BY93" s="332" t="str">
        <f aca="false">IF($A93="N/A"," ",((C93*D93)*(SUM($AS93:$BA93)+SUM($BC93:$BK93))*$BM93))</f>
        <v> </v>
      </c>
      <c r="BZ93" s="332" t="str">
        <f aca="false">IF($A93="N/A"," ",(F93*(SUM($AS93:$BA93)+SUM($BC93:$BK93))*$BM93))</f>
        <v> </v>
      </c>
      <c r="CA93" s="333" t="str">
        <f aca="false">IF($A93="N/A"," ",(G93*(SUM($AS93:$BA93)+SUM($BC93:$BK93))*$BM93))</f>
        <v> </v>
      </c>
      <c r="CB93" s="334" t="str">
        <f aca="false">IF(A93="N/A"," ",(VLOOKUP(A93,PowerVolTable,(IF(BMO=2,7,IF(BMO=1,6,8))),FALSE())))</f>
        <v> </v>
      </c>
      <c r="CC93" s="334" t="str">
        <f aca="false">IF(A93="N/A"," ",(VLOOKUP(A93,IntraPowerVol,(IF(BMO=2,3,IF(BMO=1,2,4))),FALSE())*VLOOKUP(MONTH($A93),Volscale,2)))</f>
        <v> </v>
      </c>
      <c r="CD93" s="335" t="str">
        <f aca="false">IF($A93="N/A"," ",(IF(DateToday&gt;$A93,$CC93,((($CB93^2)*((($A93-1)-DateToday)/((EOMONTH($A93,0)+1)-DateToday-15)))+((($CC93)^2)*((15)/((EOMONTH($A93,0)+1)-DateToday-15))))^0.5)))</f>
        <v> </v>
      </c>
      <c r="CE93" s="334" t="str">
        <f aca="false">IF($A93="N/A"," ",(VLOOKUP($A93,GasVolTable,(IF(BMO=2,6,IF(BMO=1,7,5))),FALSE())))</f>
        <v> </v>
      </c>
      <c r="CF93" s="334" t="str">
        <f aca="false">IF($A93="N/A"," ",(VLOOKUP($A93,OmicronVol,(IF(BMO=2,3,IF(BMO=1,4,2))),FALSE())))</f>
        <v> </v>
      </c>
      <c r="CG93" s="335" t="str">
        <f aca="false">IF($A93="N/A"," ",(IF(DateToday&gt;$A93,$CF93,((($CE93^2)*((($A93-1)-DateToday)/((EOMONTH($A93,0)+1)-DateToday-15)))+((($CF93)^2)*((15)/((EOMONTH($A93,0)+1)-DateToday-15))))^0.5)))</f>
        <v> </v>
      </c>
      <c r="CH93" s="334" t="str">
        <f aca="false">IF($A93="N/A"," ",VLOOKUP($A93,CorrelationTable,2,FALSE()))</f>
        <v> </v>
      </c>
      <c r="CI93" s="336" t="str">
        <f aca="false">IF($A93="N/A"," ",F93+G93+(D93*('Pricing Inputs'!T126)))</f>
        <v> </v>
      </c>
      <c r="CJ93" s="334" t="str">
        <f aca="false">IF($A93="N/A"," ",IF(PV=1,0,'Pricing Inputs'!U126))</f>
        <v> </v>
      </c>
      <c r="CK93" s="337" t="str">
        <f aca="false">IF($A93="N/A"," ",(1+CJ93/2)^(-2*((EOMONTH(A93,0)+20)-DateToday)/365.25))</f>
        <v> </v>
      </c>
      <c r="CL93" s="338" t="str">
        <f aca="false">IF(A93="N/A"," ",IF(CC=2,(VLOOKUP(MONTH($A93),Hrtable,3))/1000,0))</f>
        <v> </v>
      </c>
      <c r="CM93" s="339" t="str">
        <f aca="false">IF(A93="N/A"," ",IF(CC=2,(CL93*C93)+F93,0))</f>
        <v> </v>
      </c>
      <c r="CN93" s="340" t="str">
        <f aca="false">IF($A93="N/A"," ",IF(CC=2,(VLOOKUP(A93,ScaledPrice,(IF(AND(Dayrun&gt;=1,Dayrun&lt;=6),2,4)))-((IF(R93&lt;&gt;0,$D93,$CL93)*$C93)+$F93+$G93)),0))</f>
        <v> </v>
      </c>
      <c r="CO93" s="340" t="str">
        <f aca="false">IF($A93="N/A"," ",IF(CC=2,(IF(AND(Dayrun&gt;=1,Dayrun&lt;=6),I93,(VLOOKUP(A93,ScaledPrice,2))*(2-(VLOOKUP(A93,ScaledPrice,3))))-((IF(S93&lt;&gt;0,$D93,$CL93)*$C93)+$F93+$G93)),0))</f>
        <v> </v>
      </c>
      <c r="CP93" s="340" t="str">
        <f aca="false">IF(A93="N/A"," ",IF(CC=2,(VLOOKUP(A93,ScaledPrice,9)-((IF(T93&lt;&gt;0,$D93,$CL93)*$C93)+$F93+$G93)),0))</f>
        <v> </v>
      </c>
      <c r="CQ93" s="340" t="str">
        <f aca="false">IF(A93="N/A"," ",IF(CC=2,(IF(OR(Dayrun=2,Dayrun=3,Dayrun=5,Dayrun=6,Dayrun=8,Dayrun=9),VLOOKUP(A93,ScaledPrice,IF(AND(Dayrun&gt;=2,Dayrun&lt;=6),5,6)),0)-((IF(U93&lt;&gt;0,$D93,$CL93)*$C93)+$F93+$G93)),0))</f>
        <v> </v>
      </c>
      <c r="CR93" s="340" t="str">
        <f aca="false">IF(A93="N/A"," ",IF(CC=2,(IF(OR(Dayrun=2,Dayrun=3,Dayrun=5,Dayrun=6,Dayrun=8,Dayrun=9),IF(AND(Dayrun&gt;=2,Dayrun&lt;=6),L93,(VLOOKUP(A93,ScaledPrice,5))*(2-(VLOOKUP(A93,ScaledPrice,3)))),0)-((IF(V93&lt;&gt;0,$D93,$CL93)*$C93)+$F93+$G93)),0))</f>
        <v> </v>
      </c>
      <c r="CS93" s="340" t="str">
        <f aca="false">IF(A93="N/A"," ",IF(CC=2,(VLOOKUP(A93,ScaledPrice,9)-((IF(W93&lt;&gt;0,$D93,$CL93)*$C93)+$F93+$G93)),0))</f>
        <v> </v>
      </c>
      <c r="CT93" s="340" t="str">
        <f aca="false">IF(A93="N/A"," ",IF(CC=2,(IF(OR(Dayrun=3,Dayrun=6,Dayrun=9),(VLOOKUP(A93,ScaledPrice,IF(AND(Dayrun&gt;=3,Dayrun&lt;=6),7,8))),0)-((IF(X93&lt;&gt;0,$D93,$CL93)*$C93)+$F93+$G93)),0))</f>
        <v> </v>
      </c>
      <c r="CU93" s="340" t="str">
        <f aca="false">IF(A93="N/A"," ",IF(CC=2,(IF(OR(Dayrun=3,Dayrun=6,Dayrun=9),IF(AND(Dayrun&gt;=3,Dayrun&lt;=6),O93,(VLOOKUP(A93,ScaledPrice,7))*(2-(VLOOKUP(A93,ScaledPrice,3)))),0)-((IF(Y93&lt;&gt;0,$D93,$CL93)*$C93)+$F93+$G93)),0))</f>
        <v> </v>
      </c>
      <c r="CV93" s="340" t="str">
        <f aca="false">IF(A93="N/A"," ",IF(CC=2,(VLOOKUP(A93,ScaledPrice,9)-((IF(Z93&lt;&gt;0,$D93,$CL93)*$C93)+$F93+$G93)),0))</f>
        <v> </v>
      </c>
      <c r="CW93" s="318" t="str">
        <f aca="false">IF($A93="N/A"," ",IF(0&lt;&gt;CN93,IF(CC=2,8*$HD93,0),0))</f>
        <v> </v>
      </c>
      <c r="CX93" s="318" t="str">
        <f aca="false">IF($A93="N/A"," ",IF(0&lt;&gt;CO93,IF(CC=2,8*$HD93,0),0))</f>
        <v> </v>
      </c>
      <c r="CY93" s="318" t="str">
        <f aca="false">IF($A93="N/A"," ",IF(0&lt;&gt;CP93,IF(CC=2,8*$HD93,0),0))</f>
        <v> </v>
      </c>
      <c r="CZ93" s="318" t="str">
        <f aca="false">IF($A93="N/A"," ",IF(0&lt;&gt;CQ93,IF(CC=2,8*$HE93,0),0))</f>
        <v> </v>
      </c>
      <c r="DA93" s="318" t="str">
        <f aca="false">IF($A93="N/A"," ",IF(0&lt;&gt;CR93,IF(CC=2,8*$HE93,0),0))</f>
        <v> </v>
      </c>
      <c r="DB93" s="318" t="str">
        <f aca="false">IF($A93="N/A"," ",IF(0&lt;&gt;CS93,IF(CC=2,8*$HE93,0),0))</f>
        <v> </v>
      </c>
      <c r="DC93" s="318" t="str">
        <f aca="false">IF($A93="N/A"," ",IF(0&lt;&gt;CT93,IF(CC=2,8*$HF93,0),0))</f>
        <v> </v>
      </c>
      <c r="DD93" s="318" t="str">
        <f aca="false">IF($A93="N/A"," ",IF(0&lt;&gt;CU93,IF(CC=2,8*$HF93,0),0))</f>
        <v> </v>
      </c>
      <c r="DE93" s="318" t="str">
        <f aca="false">IF($A93="N/A"," ",IF(0&lt;&gt;CV93,IF(CC=2,8*$HF93,0),0))</f>
        <v> </v>
      </c>
      <c r="DF93" s="341" t="str">
        <f aca="false">IF($A93="N/A"," ",IF(CC=2,(IF(MONTH(A93)&gt;=4,IF(MONTH(A93)&lt;=10,Inputs!$G$13,Inputs!$G$14),Inputs!$G$14))*$CK93,0))</f>
        <v> </v>
      </c>
      <c r="DG93" s="342" t="str">
        <f aca="false">IF($A93="N/A"," ",IF(CC=2,$DF93*CW93*CN93,0))</f>
        <v> </v>
      </c>
      <c r="DH93" s="342" t="str">
        <f aca="false">IF($A93="N/A"," ",IF(CC=2,$DF93*CX93*CO93,0))</f>
        <v> </v>
      </c>
      <c r="DI93" s="342" t="str">
        <f aca="false">IF($A93="N/A"," ",IF(CC=2,$DF93*CY93*CP93,0))</f>
        <v> </v>
      </c>
      <c r="DJ93" s="342" t="str">
        <f aca="false">IF($A93="N/A"," ",IF(CC=2,$DF93*CZ93*CQ93,0))</f>
        <v> </v>
      </c>
      <c r="DK93" s="342" t="str">
        <f aca="false">IF($A93="N/A"," ",IF(CC=2,$DF93*DA93*CR93,0))</f>
        <v> </v>
      </c>
      <c r="DL93" s="342" t="str">
        <f aca="false">IF($A93="N/A"," ",IF(CC=2,$DF93*DB93*CS93,0))</f>
        <v> </v>
      </c>
      <c r="DM93" s="342" t="str">
        <f aca="false">IF($A93="N/A"," ",IF(CC=2,$DF93*DC93*CT93,0))</f>
        <v> </v>
      </c>
      <c r="DN93" s="342" t="str">
        <f aca="false">IF($A93="N/A"," ",IF(CC=2,$DF93*DD93*CU93,0))</f>
        <v> </v>
      </c>
      <c r="DO93" s="342" t="str">
        <f aca="false">IF($A93="N/A"," ",IF(CC=2,$DF93*DE93*CV93,0))</f>
        <v> </v>
      </c>
      <c r="DP93" s="343" t="str">
        <f aca="false">IF($A93="N/A"," ",IF(CC=2,SUM(DG93:DO93),0))</f>
        <v> </v>
      </c>
      <c r="DQ93" s="0" t="str">
        <f aca="false">IF(A93="N/A"," ",Perstart)</f>
        <v> </v>
      </c>
      <c r="HD93" s="0" t="str">
        <f aca="false">IF($A93="N/A"," ",VLOOKUP($A93,NumberofDaysTable,2))</f>
        <v> </v>
      </c>
      <c r="HE93" s="0" t="str">
        <f aca="false">IF($A93="N/A"," ",VLOOKUP($A93,NumberofDaysTable,3))</f>
        <v> </v>
      </c>
      <c r="HF93" s="0" t="str">
        <f aca="false">IF($A93="N/A"," ",VLOOKUP($A93,NumberofDaysTable,4))</f>
        <v> </v>
      </c>
    </row>
    <row r="94" customFormat="false" ht="12.75" hidden="false" customHeight="false" outlineLevel="0" collapsed="false">
      <c r="A94" s="308" t="str">
        <f aca="false">IF(A93="N/A","N/A",IF(EDATE(A93,1)&gt;Inputs!$K$3,"N/A",EDATE(A93,1)))</f>
        <v>N/A</v>
      </c>
      <c r="B94" s="309" t="str">
        <f aca="false">IF(A94="N/A"," ",YEAR(A94))</f>
        <v> </v>
      </c>
      <c r="C94" s="310" t="str">
        <f aca="false">IF(A94="N/A"," ",VLOOKUP(A94,ScaledPrice,10))</f>
        <v> </v>
      </c>
      <c r="D94" s="311" t="str">
        <f aca="false">IF(A94="N/A"," ",(VLOOKUP(MONTH($A94),Hrtable,2))/1000)</f>
        <v> </v>
      </c>
      <c r="E94" s="312" t="str">
        <f aca="false">IF($A94="N/A"," ",(C94-'Pricing Inputs'!T127)*D94)</f>
        <v> </v>
      </c>
      <c r="F94" s="313" t="str">
        <f aca="false">IF(A94="N/A"," ",$F82*(1+VOMesc))</f>
        <v> </v>
      </c>
      <c r="G94" s="313" t="str">
        <f aca="false">IF(A94="N/A"," ",Perstart/IF(AND(Dayrun&gt;=4,Dayrun&lt;=6),16,IF(AND(Dayrun&gt;=7,Dayrun&lt;=9),8,24))/(BM94/CK94))</f>
        <v> </v>
      </c>
      <c r="H94" s="314" t="str">
        <f aca="false">IF(A94="N/A"," ",(C94*D94)+F94+G94)</f>
        <v> </v>
      </c>
      <c r="I94" s="315" t="str">
        <f aca="false">VLOOKUP(A94,ScaledPrice,(IF(AND(Dayrun&gt;=1,Dayrun&lt;=6),2,4)))</f>
        <v> </v>
      </c>
      <c r="J94" s="315" t="str">
        <f aca="false">IF(A94="N/A"," ",IF(AND(Dayrun&gt;=1,Dayrun&lt;=6),I94,(VLOOKUP(A94,ScaledPrice,2))*(2-(VLOOKUP(A94,ScaledPrice,3)))))</f>
        <v> </v>
      </c>
      <c r="K94" s="315" t="str">
        <f aca="false">IF(A94="N/A"," ",IF(AND(Dayrun&gt;=1,Dayrun&lt;=3),VLOOKUP(A94,ScaledPrice,9),0))</f>
        <v> </v>
      </c>
      <c r="L94" s="315" t="str">
        <f aca="false">IF(A94="N/A"," ",IF(OR(Dayrun=2,Dayrun=3,Dayrun=5,Dayrun=6,Dayrun=8,Dayrun=9),VLOOKUP(A94,ScaledPrice,IF(AND(Dayrun&gt;=2,Dayrun&lt;=6),5,6)),0))</f>
        <v> </v>
      </c>
      <c r="M94" s="315" t="str">
        <f aca="false">IF(A94="N/A"," ",IF(OR(Dayrun=2,Dayrun=3,Dayrun=5,Dayrun=6,Dayrun=8,Dayrun=9),IF(AND(Dayrun&gt;=2,Dayrun&lt;=6),L94,(VLOOKUP(A94,ScaledPrice,5))*(2-(VLOOKUP(A94,ScaledPrice,3)))),0))</f>
        <v> </v>
      </c>
      <c r="N94" s="315" t="str">
        <f aca="false">IF(A94="N/A"," ",IF(AND(Dayrun&gt;1,Dayrun&lt;=3),VLOOKUP(A94,ScaledPrice,9),0))</f>
        <v> </v>
      </c>
      <c r="O94" s="315" t="str">
        <f aca="false">IF(A94="N/A"," ",IF(OR(Dayrun=3,Dayrun=6,Dayrun=9),(VLOOKUP(A94,ScaledPrice,IF(AND(Dayrun&gt;=3,Dayrun&lt;=6),7,8))),0))</f>
        <v> </v>
      </c>
      <c r="P94" s="315" t="str">
        <f aca="false">IF(A94="N/A"," ",IF(OR(Dayrun=3,Dayrun=6,Dayrun=9),IF(AND(Dayrun&gt;=3,Dayrun&lt;=6),O94,(VLOOKUP(A94,ScaledPrice,7))*(2-(VLOOKUP(A94,ScaledPrice,3)))),0))</f>
        <v> </v>
      </c>
      <c r="Q94" s="315" t="str">
        <f aca="false">IF(A94="N/A"," ",IF(AND(Dayrun&gt;2,Dayrun&lt;=3),VLOOKUP(A94,ScaledPrice,9),0))</f>
        <v> </v>
      </c>
      <c r="R94" s="316" t="str">
        <f aca="false">IF($A94="N/A"," ",IF(Pricetype=2,MAX(I94-$H94,0),IF(Pricetype=1,(xSPRDOPT(I94,$E94,$CI94,0,($CD94+IF(Smile=TRUE(),VLOOKUP(MAX(-5,$H94-I94),Volsmile,2),0)),$CG94,$CH94,($A94-DateToday)+15,1,0)),I94-$H94)))</f>
        <v> </v>
      </c>
      <c r="S94" s="316" t="str">
        <f aca="false">IF($A94="N/A"," ",IF(Pricetype=2,MAX(J94-$H94,0),IF(Pricetype=1,(xSPRDOPT(J94,$E94,$CI94,0,($CD94+IF(Smile=TRUE(),VLOOKUP(MAX(-5,$H94-J94),Volsmile,2),0)),$CG94,$CH94,($A94-DateToday)+15,1,0)),J94-$H94)))</f>
        <v> </v>
      </c>
      <c r="T94" s="317" t="str">
        <f aca="false">IF($A94="N/A"," ",(IF(Pricetype=2,IF((K94-$H94)&lt;=0,0,(K94-$H94)),IF(K94&lt;&gt;0,(K94-$H94),0))))</f>
        <v> </v>
      </c>
      <c r="U94" s="316" t="str">
        <f aca="false">IF($A94="N/A"," ",IF(Pricetype=2,MAX(L94-$H94,0),IF(L94&lt;&gt;0,IF(Pricetype=1,(xSPRDOPT(L94,$E94,$CI94,0,($CD94+IF(Smile=TRUE(),VLOOKUP(MAX(-5,$H94-L94),Volsmile,2),0)),$CG94,$CH94,($A94-DateToday)+15,1,0)),L94-$H94),0)))</f>
        <v> </v>
      </c>
      <c r="V94" s="316" t="str">
        <f aca="false">IF($A94="N/A"," ",IF(Pricetype=2,MAX(M94-$H94,0),IF(M94&lt;&gt;0,IF(Pricetype=1,(xSPRDOPT(M94,$E94,$CI94,0,($CD94+IF(Smile=TRUE(),VLOOKUP(MAX(-5,$H94-M94),Volsmile,2),0)),$CG94,$CH94,($A94-DateToday)+15,1,0)),M94-$H94),0)))</f>
        <v> </v>
      </c>
      <c r="W94" s="317" t="str">
        <f aca="false">IF($A94="N/A"," ",(IF(Pricetype=2,IF((N94-$H94)&lt;=0,0,(N94-$H94)),IF(N94&lt;&gt;0,(N94-$H94),0))))</f>
        <v> </v>
      </c>
      <c r="X94" s="316" t="str">
        <f aca="false">IF($A94="N/A"," ",IF(Pricetype=2,MAX(O94-$H94,0),IF(O94&lt;&gt;0,IF(Pricetype=1,(xSPRDOPT(O94,$E94,$CI94,0,($CD94+IF(Smile=TRUE(),VLOOKUP(MAX(-5,$H94-O94),Volsmile,2),0)),$CG94,$CH94,($A94-DateToday)+15,1,0)),O94-$H94),0)))</f>
        <v> </v>
      </c>
      <c r="Y94" s="316" t="str">
        <f aca="false">IF($A94="N/A"," ",IF(Pricetype=2,MAX(P94-$H94,0),IF(P94&lt;&gt;0,IF(Pricetype=1,(xSPRDOPT(P94,$E94,$CI94,0,($CD94+IF(Smile=TRUE(),VLOOKUP(MAX(-5,$H94-P94),Volsmile,2),0)),$CG94,$CH94,($A94-DateToday)+15,1,0)),P94-$H94),0)))</f>
        <v> </v>
      </c>
      <c r="Z94" s="317" t="str">
        <f aca="false">IF($A94="N/A"," ",(IF(Pricetype=2,IF((Q94-$H94)&lt;=0,0,(Q94-$H94)),IF(Q94&lt;&gt;0,(Q94-$H94),0))))</f>
        <v> </v>
      </c>
      <c r="AA94" s="318" t="str">
        <f aca="false">IF($A94="N/A"," ",IF(VLOOKUP(MONTH(A94),ManualTable,2)=1,(IF(0&lt;&gt;R94,IF(Pricetype=1,(xSPRDOPT(I94,$E94,$CI94,0,($CD94+IF(Smile=TRUE(),VLOOKUP(MAX(-5,$H94-I94),Volsmile,2),0)),$CG94,$CH94,($A94-DateToday)+15,1,1))*(8*$HD94),8*$HD94),0)),0))</f>
        <v> </v>
      </c>
      <c r="AB94" s="318" t="str">
        <f aca="false">IF($A94="N/A"," ",IF(VLOOKUP(MONTH(A94),ManualTable,3)=1,(IF(S94&lt;&gt;0,IF(Pricetype=1,(xSPRDOPT(J94,$E94,$CI94,0,($CD94+IF(Smile=TRUE(),VLOOKUP(MAX(-5,$H94-J94),Volsmile,2),0)),$CG94,$CH94,($A94-DateToday)+15,1,1))*(8*$HD94),8*$HD94),0)),0))</f>
        <v> </v>
      </c>
      <c r="AC94" s="318" t="str">
        <f aca="false">IF($A94="N/A"," ",IF(VLOOKUP(MONTH(A94),ManualTable,4)=1,(IF(T94&lt;&gt;0,(8*$HD94),0)),0))</f>
        <v> </v>
      </c>
      <c r="AD94" s="318" t="str">
        <f aca="false">IF($A94="N/A"," ",IF(VLOOKUP(MONTH(A94),ManualTable,5)=1,(IF(U94&lt;&gt;0,IF(Pricetype=1,(xSPRDOPT(L94,$E94,$CI94,0,($CD94+IF(Smile=TRUE(),VLOOKUP(MAX(-5,$H94-L94),Volsmile,2),0)),$CG94,$CH94,($A94-DateToday)+15,1,1))*(8*$HE94),8*$HE94),0)),0))</f>
        <v> </v>
      </c>
      <c r="AE94" s="318" t="str">
        <f aca="false">IF($A94="N/A"," ",IF(VLOOKUP(MONTH(A94),ManualTable,6)=1,(IF(V94&lt;&gt;0,IF(Pricetype=1,(xSPRDOPT(M94,$E94,$CI94,0,($CD94+IF(Smile=TRUE(),VLOOKUP(MAX(-5,$H94-M94),Volsmile,2),0)),$CG94,$CH94,($A94-DateToday)+15,1,1))*(8*$HE94),8*$HE94),0)),0))</f>
        <v> </v>
      </c>
      <c r="AF94" s="318" t="str">
        <f aca="false">IF($A94="N/A"," ",IF(VLOOKUP(MONTH(A94),ManualTable,7)=1,(IF(W94&lt;&gt;0,(8*$HE94),0)),0))</f>
        <v> </v>
      </c>
      <c r="AG94" s="318" t="str">
        <f aca="false">IF($A94="N/A"," ",IF(VLOOKUP(MONTH(A94),ManualTable,8)=1,(IF(X94&lt;&gt;0,IF(Pricetype=1,(xSPRDOPT(O94,$E94,$CI94,0,($CD94+IF(Smile=TRUE(),VLOOKUP(MAX(-5,$H94-O94),Volsmile,2),0)),$CG94,$CH94,($A94-DateToday)+15,1,1))*(8*$HF94),8*$HF94),0)),0))</f>
        <v> </v>
      </c>
      <c r="AH94" s="318" t="str">
        <f aca="false">IF($A94="N/A"," ",IF(VLOOKUP(MONTH(A94),ManualTable,9)=1,(IF(Y94&lt;&gt;0,IF(Pricetype=1,(xSPRDOPT(P94,$E94,$CI94,0,($CD94+IF(Smile=TRUE(),VLOOKUP(MAX(-5,$H94-P94),Volsmile,2),0)),$CG94,$CH94,($A94-DateToday)+15,1,1))*(8*$HF94),8*$HF94),0)),0))</f>
        <v> </v>
      </c>
      <c r="AI94" s="318" t="str">
        <f aca="false">IF($A94="N/A"," ",IF(VLOOKUP(MONTH(A94),ManualTable,10)=1,(IF(Z94&lt;&gt;0,(8*($HF94)),0)),0))</f>
        <v> </v>
      </c>
      <c r="AJ94" s="344" t="str">
        <f aca="false">IF($A94="N/A"," ",RANK(R94,$R$88:$Z$99))</f>
        <v> </v>
      </c>
      <c r="AK94" s="321" t="str">
        <f aca="false">IF($A94="N/A"," ",RANK(S94,$R$88:$Z$99))</f>
        <v> </v>
      </c>
      <c r="AL94" s="321" t="str">
        <f aca="false">IF($A94="N/A"," ",RANK(T94,$R$88:$Z$99))</f>
        <v> </v>
      </c>
      <c r="AM94" s="321" t="str">
        <f aca="false">IF($A94="N/A"," ",RANK(U94,$R$88:$Z$99))</f>
        <v> </v>
      </c>
      <c r="AN94" s="321" t="str">
        <f aca="false">IF($A94="N/A"," ",RANK(V94,$R$88:$Z$99))</f>
        <v> </v>
      </c>
      <c r="AO94" s="321" t="str">
        <f aca="false">IF($A94="N/A"," ",RANK(W94,$R$88:$Z$99))</f>
        <v> </v>
      </c>
      <c r="AP94" s="321" t="str">
        <f aca="false">IF($A94="N/A"," ",RANK(X94,$R$88:$Z$99))</f>
        <v> </v>
      </c>
      <c r="AQ94" s="321" t="str">
        <f aca="false">IF($A94="N/A"," ",RANK(Y94,$R$88:$Z$99))</f>
        <v> </v>
      </c>
      <c r="AR94" s="345" t="str">
        <f aca="false">IF($A94="N/A"," ",RANK(Z94,$R$88:$Z$99))</f>
        <v> </v>
      </c>
      <c r="AS94" s="323" t="str">
        <f aca="false">IF($A94="N/A"," ",IF(AJ94&lt;=$AR$2,AA94,0))</f>
        <v> </v>
      </c>
      <c r="AT94" s="325" t="str">
        <f aca="false">IF($A94="N/A"," ",IF(AK94&lt;=$AR$2,AB94,0))</f>
        <v> </v>
      </c>
      <c r="AU94" s="325" t="str">
        <f aca="false">IF($A94="N/A"," ",IF(AL94&lt;=$AR$2,AC94,0))</f>
        <v> </v>
      </c>
      <c r="AV94" s="325" t="str">
        <f aca="false">IF($A94="N/A"," ",IF(AM94&lt;=$AR$2,AD94,0))</f>
        <v> </v>
      </c>
      <c r="AW94" s="325" t="str">
        <f aca="false">IF($A94="N/A"," ",IF(AN94&lt;=$AR$2,AE94,0))</f>
        <v> </v>
      </c>
      <c r="AX94" s="325" t="str">
        <f aca="false">IF($A94="N/A"," ",IF(AO94&lt;=$AR$2,AF94,0))</f>
        <v> </v>
      </c>
      <c r="AY94" s="325" t="str">
        <f aca="false">IF($A94="N/A"," ",IF(AP94&lt;=$AR$2,AG94,0))</f>
        <v> </v>
      </c>
      <c r="AZ94" s="325" t="str">
        <f aca="false">IF($A94="N/A"," ",IF(AQ94&lt;=$AR$2,AH94,0))</f>
        <v> </v>
      </c>
      <c r="BA94" s="325" t="str">
        <f aca="false">IF($A94="N/A"," ",IF(AR94&lt;=$AR$2,AI94,0))</f>
        <v> </v>
      </c>
      <c r="BB94" s="345"/>
      <c r="BC94" s="326" t="str">
        <f aca="false">IF($A94="N/A"," ",IF(AND(AJ94=$AR$2+1,AS94=0),MIN($BB$99,AA94),0))</f>
        <v> </v>
      </c>
      <c r="BD94" s="346" t="str">
        <f aca="false">IF($A94="N/A"," ",IF(AND(AK94=$AR$2+1,AT94=0),MIN($BB$99,AB94),0))</f>
        <v> </v>
      </c>
      <c r="BE94" s="346" t="str">
        <f aca="false">IF($A94="N/A"," ",IF(AND(AL94=$AR$2+1,AU94=0),MIN($BB$99,AC94),0))</f>
        <v> </v>
      </c>
      <c r="BF94" s="346" t="str">
        <f aca="false">IF($A94="N/A"," ",IF(AND(AM94=$AR$2+1,AV94=0),MIN($BB$99,AD94),0))</f>
        <v> </v>
      </c>
      <c r="BG94" s="346" t="str">
        <f aca="false">IF($A94="N/A"," ",IF(AND(AN94=$AR$2+1,AW94=0),MIN($BB$99,AE94),0))</f>
        <v> </v>
      </c>
      <c r="BH94" s="346" t="str">
        <f aca="false">IF($A94="N/A"," ",IF(AND(AO94=$AR$2+1,AX94=0),MIN($BB$99,AF94),0))</f>
        <v> </v>
      </c>
      <c r="BI94" s="346" t="str">
        <f aca="false">IF($A94="N/A"," ",IF(AND(AP94=$AR$2+1,AY94=0),MIN($BB$99,AG94),0))</f>
        <v> </v>
      </c>
      <c r="BJ94" s="346" t="str">
        <f aca="false">IF($A94="N/A"," ",IF(AND(AQ94=$AR$2+1,AZ94=0),MIN($BB$99,AH94),0))</f>
        <v> </v>
      </c>
      <c r="BK94" s="346" t="str">
        <f aca="false">IF($A94="N/A"," ",IF(AND(AR94=$AR$2+1,BA94=0),MIN($BB$99,AI94),0))</f>
        <v> </v>
      </c>
      <c r="BL94" s="345"/>
      <c r="BM94" s="329" t="str">
        <f aca="false">IF($A94="N/A"," ",(IF(MONTH(A94)&gt;=4,IF(MONTH(A94)&lt;=10,Inputs!$F$13-Inputs!$G$13,Inputs!$F$14-Inputs!$G$14),Inputs!$F$14-Inputs!$G$14))*$CK94*Availability)</f>
        <v> </v>
      </c>
      <c r="BN94" s="330" t="str">
        <f aca="false">IF($A94="N/A"," ",(IF(AS94&gt;0,($BM94*(8*($HD94))*R94),0)+IF(BC94&gt;0,($BM94*((BC94/AA94)*8*$HD94)*R94),0)))</f>
        <v> </v>
      </c>
      <c r="BO94" s="330" t="str">
        <f aca="false">IF($A94="N/A"," ",(IF(AT94&gt;0,($BM94*(8*($HD94))*S94),0)+IF(BD94&gt;0,($BM94*((BD94/AB94)*8*$HD94)*S94),0)))</f>
        <v> </v>
      </c>
      <c r="BP94" s="330" t="str">
        <f aca="false">IF($A94="N/A"," ",(IF(AU94&gt;0,($BM94*(8*($HD94))*T94),0)+IF(BE94&gt;0,($BM94*((BE94))*T94),0)))</f>
        <v> </v>
      </c>
      <c r="BQ94" s="330" t="str">
        <f aca="false">IF($A94="N/A"," ",(IF(AV94&gt;0,($BM94*(8*($HE94))*U94),0)+IF(BF94&gt;0,($BM94*((BF94/AD94)*8*$HE94)*U94),0)))</f>
        <v> </v>
      </c>
      <c r="BR94" s="330" t="str">
        <f aca="false">IF($A94="N/A"," ",(IF(AW94&gt;0,($BM94*(8*($HE94))*V94),0)+IF(BG94&gt;0,($BM94*((BG94/AE94)*8*$HE94)*V94),0)))</f>
        <v> </v>
      </c>
      <c r="BS94" s="330" t="str">
        <f aca="false">IF($A94="N/A"," ",(IF(AX94&gt;0,($BM94*(8*($HE94))*W94),0)+IF(BH94&gt;0,($BM94*((BH94))*W94),0)))</f>
        <v> </v>
      </c>
      <c r="BT94" s="330" t="str">
        <f aca="false">IF($A94="N/A"," ",(IF(AY94&gt;0,($BM94*(8*($HF94))*X94),0)+IF(BI94&gt;0,($BM94*((BI94/AG94)*8*$HF94)*X94),0)))</f>
        <v> </v>
      </c>
      <c r="BU94" s="330" t="str">
        <f aca="false">IF($A94="N/A"," ",(IF(AZ94&gt;0,($BM94*(8*($HF94))*Y94),0)+IF(BJ94&gt;0,($BM94*((BJ94/AH94)*8*$HF94)*Y94),0)))</f>
        <v> </v>
      </c>
      <c r="BV94" s="330" t="str">
        <f aca="false">IF($A94="N/A"," ",(IF(BA94&gt;0,($BM94*(8*($HF94))*Z94),0)+IF(BK94&gt;0,($BM94*((BK94))*Z94),0)))</f>
        <v> </v>
      </c>
      <c r="BW94" s="330" t="str">
        <f aca="false">IF($A94="N/A"," ",SUM(BN94:BV94))</f>
        <v> </v>
      </c>
      <c r="BX94" s="331" t="str">
        <f aca="false">IF($A94="N/A"," ",(H94*(SUM(AS94:BA94)+SUM(BC94:BK94))*BM94))</f>
        <v> </v>
      </c>
      <c r="BY94" s="332" t="str">
        <f aca="false">IF($A94="N/A"," ",((C94*D94)*(SUM($AS94:$BA94)+SUM($BC94:$BK94))*$BM94))</f>
        <v> </v>
      </c>
      <c r="BZ94" s="332" t="str">
        <f aca="false">IF($A94="N/A"," ",(F94*(SUM($AS94:$BA94)+SUM($BC94:$BK94))*$BM94))</f>
        <v> </v>
      </c>
      <c r="CA94" s="333" t="str">
        <f aca="false">IF($A94="N/A"," ",(G94*(SUM($AS94:$BA94)+SUM($BC94:$BK94))*$BM94))</f>
        <v> </v>
      </c>
      <c r="CB94" s="334" t="str">
        <f aca="false">IF(A94="N/A"," ",(VLOOKUP(A94,PowerVolTable,(IF(BMO=2,7,IF(BMO=1,6,8))),FALSE())))</f>
        <v> </v>
      </c>
      <c r="CC94" s="334" t="str">
        <f aca="false">IF(A94="N/A"," ",(VLOOKUP(A94,IntraPowerVol,(IF(BMO=2,3,IF(BMO=1,2,4))),FALSE())*VLOOKUP(MONTH($A94),Volscale,2)))</f>
        <v> </v>
      </c>
      <c r="CD94" s="335" t="str">
        <f aca="false">IF($A94="N/A"," ",(IF(DateToday&gt;$A94,$CC94,((($CB94^2)*((($A94-1)-DateToday)/((EOMONTH($A94,0)+1)-DateToday-15)))+((($CC94)^2)*((15)/((EOMONTH($A94,0)+1)-DateToday-15))))^0.5)))</f>
        <v> </v>
      </c>
      <c r="CE94" s="334" t="str">
        <f aca="false">IF($A94="N/A"," ",(VLOOKUP($A94,GasVolTable,(IF(BMO=2,6,IF(BMO=1,7,5))),FALSE())))</f>
        <v> </v>
      </c>
      <c r="CF94" s="334" t="str">
        <f aca="false">IF($A94="N/A"," ",(VLOOKUP($A94,OmicronVol,(IF(BMO=2,3,IF(BMO=1,4,2))),FALSE())))</f>
        <v> </v>
      </c>
      <c r="CG94" s="335" t="str">
        <f aca="false">IF($A94="N/A"," ",(IF(DateToday&gt;$A94,$CF94,((($CE94^2)*((($A94-1)-DateToday)/((EOMONTH($A94,0)+1)-DateToday-15)))+((($CF94)^2)*((15)/((EOMONTH($A94,0)+1)-DateToday-15))))^0.5)))</f>
        <v> </v>
      </c>
      <c r="CH94" s="334" t="str">
        <f aca="false">IF($A94="N/A"," ",VLOOKUP($A94,CorrelationTable,2,FALSE()))</f>
        <v> </v>
      </c>
      <c r="CI94" s="336" t="str">
        <f aca="false">IF($A94="N/A"," ",F94+G94+(D94*('Pricing Inputs'!T127)))</f>
        <v> </v>
      </c>
      <c r="CJ94" s="334" t="str">
        <f aca="false">IF($A94="N/A"," ",IF(PV=1,0,'Pricing Inputs'!U127))</f>
        <v> </v>
      </c>
      <c r="CK94" s="337" t="str">
        <f aca="false">IF($A94="N/A"," ",(1+CJ94/2)^(-2*((EOMONTH(A94,0)+20)-DateToday)/365.25))</f>
        <v> </v>
      </c>
      <c r="CL94" s="338" t="str">
        <f aca="false">IF(A94="N/A"," ",IF(CC=2,(VLOOKUP(MONTH($A94),Hrtable,3))/1000,0))</f>
        <v> </v>
      </c>
      <c r="CM94" s="339" t="str">
        <f aca="false">IF(A94="N/A"," ",IF(CC=2,(CL94*C94)+F94,0))</f>
        <v> </v>
      </c>
      <c r="CN94" s="340" t="str">
        <f aca="false">IF($A94="N/A"," ",IF(CC=2,(VLOOKUP(A94,ScaledPrice,(IF(AND(Dayrun&gt;=1,Dayrun&lt;=6),2,4)))-((IF(R94&lt;&gt;0,$D94,$CL94)*$C94)+$F94+$G94)),0))</f>
        <v> </v>
      </c>
      <c r="CO94" s="340" t="str">
        <f aca="false">IF($A94="N/A"," ",IF(CC=2,(IF(AND(Dayrun&gt;=1,Dayrun&lt;=6),I94,(VLOOKUP(A94,ScaledPrice,2))*(2-(VLOOKUP(A94,ScaledPrice,3))))-((IF(S94&lt;&gt;0,$D94,$CL94)*$C94)+$F94+$G94)),0))</f>
        <v> </v>
      </c>
      <c r="CP94" s="340" t="str">
        <f aca="false">IF(A94="N/A"," ",IF(CC=2,(VLOOKUP(A94,ScaledPrice,9)-((IF(T94&lt;&gt;0,$D94,$CL94)*$C94)+$F94+$G94)),0))</f>
        <v> </v>
      </c>
      <c r="CQ94" s="340" t="str">
        <f aca="false">IF(A94="N/A"," ",IF(CC=2,(IF(OR(Dayrun=2,Dayrun=3,Dayrun=5,Dayrun=6,Dayrun=8,Dayrun=9),VLOOKUP(A94,ScaledPrice,IF(AND(Dayrun&gt;=2,Dayrun&lt;=6),5,6)),0)-((IF(U94&lt;&gt;0,$D94,$CL94)*$C94)+$F94+$G94)),0))</f>
        <v> </v>
      </c>
      <c r="CR94" s="340" t="str">
        <f aca="false">IF(A94="N/A"," ",IF(CC=2,(IF(OR(Dayrun=2,Dayrun=3,Dayrun=5,Dayrun=6,Dayrun=8,Dayrun=9),IF(AND(Dayrun&gt;=2,Dayrun&lt;=6),L94,(VLOOKUP(A94,ScaledPrice,5))*(2-(VLOOKUP(A94,ScaledPrice,3)))),0)-((IF(V94&lt;&gt;0,$D94,$CL94)*$C94)+$F94+$G94)),0))</f>
        <v> </v>
      </c>
      <c r="CS94" s="340" t="str">
        <f aca="false">IF(A94="N/A"," ",IF(CC=2,(VLOOKUP(A94,ScaledPrice,9)-((IF(W94&lt;&gt;0,$D94,$CL94)*$C94)+$F94+$G94)),0))</f>
        <v> </v>
      </c>
      <c r="CT94" s="340" t="str">
        <f aca="false">IF(A94="N/A"," ",IF(CC=2,(IF(OR(Dayrun=3,Dayrun=6,Dayrun=9),(VLOOKUP(A94,ScaledPrice,IF(AND(Dayrun&gt;=3,Dayrun&lt;=6),7,8))),0)-((IF(X94&lt;&gt;0,$D94,$CL94)*$C94)+$F94+$G94)),0))</f>
        <v> </v>
      </c>
      <c r="CU94" s="340" t="str">
        <f aca="false">IF(A94="N/A"," ",IF(CC=2,(IF(OR(Dayrun=3,Dayrun=6,Dayrun=9),IF(AND(Dayrun&gt;=3,Dayrun&lt;=6),O94,(VLOOKUP(A94,ScaledPrice,7))*(2-(VLOOKUP(A94,ScaledPrice,3)))),0)-((IF(Y94&lt;&gt;0,$D94,$CL94)*$C94)+$F94+$G94)),0))</f>
        <v> </v>
      </c>
      <c r="CV94" s="340" t="str">
        <f aca="false">IF(A94="N/A"," ",IF(CC=2,(VLOOKUP(A94,ScaledPrice,9)-((IF(Z94&lt;&gt;0,$D94,$CL94)*$C94)+$F94+$G94)),0))</f>
        <v> </v>
      </c>
      <c r="CW94" s="318" t="str">
        <f aca="false">IF($A94="N/A"," ",IF(0&lt;&gt;CN94,IF(CC=2,8*$HD94,0),0))</f>
        <v> </v>
      </c>
      <c r="CX94" s="318" t="str">
        <f aca="false">IF($A94="N/A"," ",IF(0&lt;&gt;CO94,IF(CC=2,8*$HD94,0),0))</f>
        <v> </v>
      </c>
      <c r="CY94" s="318" t="str">
        <f aca="false">IF($A94="N/A"," ",IF(0&lt;&gt;CP94,IF(CC=2,8*$HD94,0),0))</f>
        <v> </v>
      </c>
      <c r="CZ94" s="318" t="str">
        <f aca="false">IF($A94="N/A"," ",IF(0&lt;&gt;CQ94,IF(CC=2,8*$HE94,0),0))</f>
        <v> </v>
      </c>
      <c r="DA94" s="318" t="str">
        <f aca="false">IF($A94="N/A"," ",IF(0&lt;&gt;CR94,IF(CC=2,8*$HE94,0),0))</f>
        <v> </v>
      </c>
      <c r="DB94" s="318" t="str">
        <f aca="false">IF($A94="N/A"," ",IF(0&lt;&gt;CS94,IF(CC=2,8*$HE94,0),0))</f>
        <v> </v>
      </c>
      <c r="DC94" s="318" t="str">
        <f aca="false">IF($A94="N/A"," ",IF(0&lt;&gt;CT94,IF(CC=2,8*$HF94,0),0))</f>
        <v> </v>
      </c>
      <c r="DD94" s="318" t="str">
        <f aca="false">IF($A94="N/A"," ",IF(0&lt;&gt;CU94,IF(CC=2,8*$HF94,0),0))</f>
        <v> </v>
      </c>
      <c r="DE94" s="318" t="str">
        <f aca="false">IF($A94="N/A"," ",IF(0&lt;&gt;CV94,IF(CC=2,8*$HF94,0),0))</f>
        <v> </v>
      </c>
      <c r="DF94" s="341" t="str">
        <f aca="false">IF($A94="N/A"," ",IF(CC=2,(IF(MONTH(A94)&gt;=4,IF(MONTH(A94)&lt;=10,Inputs!$G$13,Inputs!$G$14),Inputs!$G$14))*$CK94,0))</f>
        <v> </v>
      </c>
      <c r="DG94" s="342" t="str">
        <f aca="false">IF($A94="N/A"," ",IF(CC=2,$DF94*CW94*CN94,0))</f>
        <v> </v>
      </c>
      <c r="DH94" s="342" t="str">
        <f aca="false">IF($A94="N/A"," ",IF(CC=2,$DF94*CX94*CO94,0))</f>
        <v> </v>
      </c>
      <c r="DI94" s="342" t="str">
        <f aca="false">IF($A94="N/A"," ",IF(CC=2,$DF94*CY94*CP94,0))</f>
        <v> </v>
      </c>
      <c r="DJ94" s="342" t="str">
        <f aca="false">IF($A94="N/A"," ",IF(CC=2,$DF94*CZ94*CQ94,0))</f>
        <v> </v>
      </c>
      <c r="DK94" s="342" t="str">
        <f aca="false">IF($A94="N/A"," ",IF(CC=2,$DF94*DA94*CR94,0))</f>
        <v> </v>
      </c>
      <c r="DL94" s="342" t="str">
        <f aca="false">IF($A94="N/A"," ",IF(CC=2,$DF94*DB94*CS94,0))</f>
        <v> </v>
      </c>
      <c r="DM94" s="342" t="str">
        <f aca="false">IF($A94="N/A"," ",IF(CC=2,$DF94*DC94*CT94,0))</f>
        <v> </v>
      </c>
      <c r="DN94" s="342" t="str">
        <f aca="false">IF($A94="N/A"," ",IF(CC=2,$DF94*DD94*CU94,0))</f>
        <v> </v>
      </c>
      <c r="DO94" s="342" t="str">
        <f aca="false">IF($A94="N/A"," ",IF(CC=2,$DF94*DE94*CV94,0))</f>
        <v> </v>
      </c>
      <c r="DP94" s="343" t="str">
        <f aca="false">IF($A94="N/A"," ",IF(CC=2,SUM(DG94:DO94),0))</f>
        <v> </v>
      </c>
      <c r="DQ94" s="0" t="str">
        <f aca="false">IF(A94="N/A"," ",Perstart)</f>
        <v> </v>
      </c>
      <c r="HD94" s="0" t="str">
        <f aca="false">IF($A94="N/A"," ",VLOOKUP($A94,NumberofDaysTable,2))</f>
        <v> </v>
      </c>
      <c r="HE94" s="0" t="str">
        <f aca="false">IF($A94="N/A"," ",VLOOKUP($A94,NumberofDaysTable,3))</f>
        <v> </v>
      </c>
      <c r="HF94" s="0" t="str">
        <f aca="false">IF($A94="N/A"," ",VLOOKUP($A94,NumberofDaysTable,4))</f>
        <v> </v>
      </c>
    </row>
    <row r="95" customFormat="false" ht="12.75" hidden="false" customHeight="false" outlineLevel="0" collapsed="false">
      <c r="A95" s="308" t="str">
        <f aca="false">IF(A94="N/A","N/A",IF(EDATE(A94,1)&gt;Inputs!$K$3,"N/A",EDATE(A94,1)))</f>
        <v>N/A</v>
      </c>
      <c r="B95" s="309" t="str">
        <f aca="false">IF(A95="N/A"," ",YEAR(A95))</f>
        <v> </v>
      </c>
      <c r="C95" s="310" t="str">
        <f aca="false">IF(A95="N/A"," ",VLOOKUP(A95,ScaledPrice,10))</f>
        <v> </v>
      </c>
      <c r="D95" s="311" t="str">
        <f aca="false">IF(A95="N/A"," ",(VLOOKUP(MONTH($A95),Hrtable,2))/1000)</f>
        <v> </v>
      </c>
      <c r="E95" s="312" t="str">
        <f aca="false">IF($A95="N/A"," ",(C95-'Pricing Inputs'!T128)*D95)</f>
        <v> </v>
      </c>
      <c r="F95" s="313" t="str">
        <f aca="false">IF(A95="N/A"," ",$F83*(1+VOMesc))</f>
        <v> </v>
      </c>
      <c r="G95" s="313" t="str">
        <f aca="false">IF(A95="N/A"," ",Perstart/IF(AND(Dayrun&gt;=4,Dayrun&lt;=6),16,IF(AND(Dayrun&gt;=7,Dayrun&lt;=9),8,24))/(BM95/CK95))</f>
        <v> </v>
      </c>
      <c r="H95" s="314" t="str">
        <f aca="false">IF(A95="N/A"," ",(C95*D95)+F95+G95)</f>
        <v> </v>
      </c>
      <c r="I95" s="315" t="str">
        <f aca="false">VLOOKUP(A95,ScaledPrice,(IF(AND(Dayrun&gt;=1,Dayrun&lt;=6),2,4)))</f>
        <v> </v>
      </c>
      <c r="J95" s="315" t="str">
        <f aca="false">IF(A95="N/A"," ",IF(AND(Dayrun&gt;=1,Dayrun&lt;=6),I95,(VLOOKUP(A95,ScaledPrice,2))*(2-(VLOOKUP(A95,ScaledPrice,3)))))</f>
        <v> </v>
      </c>
      <c r="K95" s="315" t="str">
        <f aca="false">IF(A95="N/A"," ",IF(AND(Dayrun&gt;=1,Dayrun&lt;=3),VLOOKUP(A95,ScaledPrice,9),0))</f>
        <v> </v>
      </c>
      <c r="L95" s="315" t="str">
        <f aca="false">IF(A95="N/A"," ",IF(OR(Dayrun=2,Dayrun=3,Dayrun=5,Dayrun=6,Dayrun=8,Dayrun=9),VLOOKUP(A95,ScaledPrice,IF(AND(Dayrun&gt;=2,Dayrun&lt;=6),5,6)),0))</f>
        <v> </v>
      </c>
      <c r="M95" s="315" t="str">
        <f aca="false">IF(A95="N/A"," ",IF(OR(Dayrun=2,Dayrun=3,Dayrun=5,Dayrun=6,Dayrun=8,Dayrun=9),IF(AND(Dayrun&gt;=2,Dayrun&lt;=6),L95,(VLOOKUP(A95,ScaledPrice,5))*(2-(VLOOKUP(A95,ScaledPrice,3)))),0))</f>
        <v> </v>
      </c>
      <c r="N95" s="315" t="str">
        <f aca="false">IF(A95="N/A"," ",IF(AND(Dayrun&gt;1,Dayrun&lt;=3),VLOOKUP(A95,ScaledPrice,9),0))</f>
        <v> </v>
      </c>
      <c r="O95" s="315" t="str">
        <f aca="false">IF(A95="N/A"," ",IF(OR(Dayrun=3,Dayrun=6,Dayrun=9),(VLOOKUP(A95,ScaledPrice,IF(AND(Dayrun&gt;=3,Dayrun&lt;=6),7,8))),0))</f>
        <v> </v>
      </c>
      <c r="P95" s="315" t="str">
        <f aca="false">IF(A95="N/A"," ",IF(OR(Dayrun=3,Dayrun=6,Dayrun=9),IF(AND(Dayrun&gt;=3,Dayrun&lt;=6),O95,(VLOOKUP(A95,ScaledPrice,7))*(2-(VLOOKUP(A95,ScaledPrice,3)))),0))</f>
        <v> </v>
      </c>
      <c r="Q95" s="315" t="str">
        <f aca="false">IF(A95="N/A"," ",IF(AND(Dayrun&gt;2,Dayrun&lt;=3),VLOOKUP(A95,ScaledPrice,9),0))</f>
        <v> </v>
      </c>
      <c r="R95" s="316" t="str">
        <f aca="false">IF($A95="N/A"," ",IF(Pricetype=2,MAX(I95-$H95,0),IF(Pricetype=1,(xSPRDOPT(I95,$E95,$CI95,0,($CD95+IF(Smile=TRUE(),VLOOKUP(MAX(-5,$H95-I95),Volsmile,2),0)),$CG95,$CH95,($A95-DateToday)+15,1,0)),I95-$H95)))</f>
        <v> </v>
      </c>
      <c r="S95" s="316" t="str">
        <f aca="false">IF($A95="N/A"," ",IF(Pricetype=2,MAX(J95-$H95,0),IF(Pricetype=1,(xSPRDOPT(J95,$E95,$CI95,0,($CD95+IF(Smile=TRUE(),VLOOKUP(MAX(-5,$H95-J95),Volsmile,2),0)),$CG95,$CH95,($A95-DateToday)+15,1,0)),J95-$H95)))</f>
        <v> </v>
      </c>
      <c r="T95" s="317" t="str">
        <f aca="false">IF($A95="N/A"," ",(IF(Pricetype=2,IF((K95-$H95)&lt;=0,0,(K95-$H95)),IF(K95&lt;&gt;0,(K95-$H95),0))))</f>
        <v> </v>
      </c>
      <c r="U95" s="316" t="str">
        <f aca="false">IF($A95="N/A"," ",IF(Pricetype=2,MAX(L95-$H95,0),IF(L95&lt;&gt;0,IF(Pricetype=1,(xSPRDOPT(L95,$E95,$CI95,0,($CD95+IF(Smile=TRUE(),VLOOKUP(MAX(-5,$H95-L95),Volsmile,2),0)),$CG95,$CH95,($A95-DateToday)+15,1,0)),L95-$H95),0)))</f>
        <v> </v>
      </c>
      <c r="V95" s="316" t="str">
        <f aca="false">IF($A95="N/A"," ",IF(Pricetype=2,MAX(M95-$H95,0),IF(M95&lt;&gt;0,IF(Pricetype=1,(xSPRDOPT(M95,$E95,$CI95,0,($CD95+IF(Smile=TRUE(),VLOOKUP(MAX(-5,$H95-M95),Volsmile,2),0)),$CG95,$CH95,($A95-DateToday)+15,1,0)),M95-$H95),0)))</f>
        <v> </v>
      </c>
      <c r="W95" s="317" t="str">
        <f aca="false">IF($A95="N/A"," ",(IF(Pricetype=2,IF((N95-$H95)&lt;=0,0,(N95-$H95)),IF(N95&lt;&gt;0,(N95-$H95),0))))</f>
        <v> </v>
      </c>
      <c r="X95" s="316" t="str">
        <f aca="false">IF($A95="N/A"," ",IF(Pricetype=2,MAX(O95-$H95,0),IF(O95&lt;&gt;0,IF(Pricetype=1,(xSPRDOPT(O95,$E95,$CI95,0,($CD95+IF(Smile=TRUE(),VLOOKUP(MAX(-5,$H95-O95),Volsmile,2),0)),$CG95,$CH95,($A95-DateToday)+15,1,0)),O95-$H95),0)))</f>
        <v> </v>
      </c>
      <c r="Y95" s="316" t="str">
        <f aca="false">IF($A95="N/A"," ",IF(Pricetype=2,MAX(P95-$H95,0),IF(P95&lt;&gt;0,IF(Pricetype=1,(xSPRDOPT(P95,$E95,$CI95,0,($CD95+IF(Smile=TRUE(),VLOOKUP(MAX(-5,$H95-P95),Volsmile,2),0)),$CG95,$CH95,($A95-DateToday)+15,1,0)),P95-$H95),0)))</f>
        <v> </v>
      </c>
      <c r="Z95" s="317" t="str">
        <f aca="false">IF($A95="N/A"," ",(IF(Pricetype=2,IF((Q95-$H95)&lt;=0,0,(Q95-$H95)),IF(Q95&lt;&gt;0,(Q95-$H95),0))))</f>
        <v> </v>
      </c>
      <c r="AA95" s="318" t="str">
        <f aca="false">IF($A95="N/A"," ",IF(VLOOKUP(MONTH(A95),ManualTable,2)=1,(IF(0&lt;&gt;R95,IF(Pricetype=1,(xSPRDOPT(I95,$E95,$CI95,0,($CD95+IF(Smile=TRUE(),VLOOKUP(MAX(-5,$H95-I95),Volsmile,2),0)),$CG95,$CH95,($A95-DateToday)+15,1,1))*(8*$HD95),8*$HD95),0)),0))</f>
        <v> </v>
      </c>
      <c r="AB95" s="318" t="str">
        <f aca="false">IF($A95="N/A"," ",IF(VLOOKUP(MONTH(A95),ManualTable,3)=1,(IF(S95&lt;&gt;0,IF(Pricetype=1,(xSPRDOPT(J95,$E95,$CI95,0,($CD95+IF(Smile=TRUE(),VLOOKUP(MAX(-5,$H95-J95),Volsmile,2),0)),$CG95,$CH95,($A95-DateToday)+15,1,1))*(8*$HD95),8*$HD95),0)),0))</f>
        <v> </v>
      </c>
      <c r="AC95" s="318" t="str">
        <f aca="false">IF($A95="N/A"," ",IF(VLOOKUP(MONTH(A95),ManualTable,4)=1,(IF(T95&lt;&gt;0,(8*$HD95),0)),0))</f>
        <v> </v>
      </c>
      <c r="AD95" s="318" t="str">
        <f aca="false">IF($A95="N/A"," ",IF(VLOOKUP(MONTH(A95),ManualTable,5)=1,(IF(U95&lt;&gt;0,IF(Pricetype=1,(xSPRDOPT(L95,$E95,$CI95,0,($CD95+IF(Smile=TRUE(),VLOOKUP(MAX(-5,$H95-L95),Volsmile,2),0)),$CG95,$CH95,($A95-DateToday)+15,1,1))*(8*$HE95),8*$HE95),0)),0))</f>
        <v> </v>
      </c>
      <c r="AE95" s="318" t="str">
        <f aca="false">IF($A95="N/A"," ",IF(VLOOKUP(MONTH(A95),ManualTable,6)=1,(IF(V95&lt;&gt;0,IF(Pricetype=1,(xSPRDOPT(M95,$E95,$CI95,0,($CD95+IF(Smile=TRUE(),VLOOKUP(MAX(-5,$H95-M95),Volsmile,2),0)),$CG95,$CH95,($A95-DateToday)+15,1,1))*(8*$HE95),8*$HE95),0)),0))</f>
        <v> </v>
      </c>
      <c r="AF95" s="318" t="str">
        <f aca="false">IF($A95="N/A"," ",IF(VLOOKUP(MONTH(A95),ManualTable,7)=1,(IF(W95&lt;&gt;0,(8*$HE95),0)),0))</f>
        <v> </v>
      </c>
      <c r="AG95" s="318" t="str">
        <f aca="false">IF($A95="N/A"," ",IF(VLOOKUP(MONTH(A95),ManualTable,8)=1,(IF(X95&lt;&gt;0,IF(Pricetype=1,(xSPRDOPT(O95,$E95,$CI95,0,($CD95+IF(Smile=TRUE(),VLOOKUP(MAX(-5,$H95-O95),Volsmile,2),0)),$CG95,$CH95,($A95-DateToday)+15,1,1))*(8*$HF95),8*$HF95),0)),0))</f>
        <v> </v>
      </c>
      <c r="AH95" s="318" t="str">
        <f aca="false">IF($A95="N/A"," ",IF(VLOOKUP(MONTH(A95),ManualTable,9)=1,(IF(Y95&lt;&gt;0,IF(Pricetype=1,(xSPRDOPT(P95,$E95,$CI95,0,($CD95+IF(Smile=TRUE(),VLOOKUP(MAX(-5,$H95-P95),Volsmile,2),0)),$CG95,$CH95,($A95-DateToday)+15,1,1))*(8*$HF95),8*$HF95),0)),0))</f>
        <v> </v>
      </c>
      <c r="AI95" s="318" t="str">
        <f aca="false">IF($A95="N/A"," ",IF(VLOOKUP(MONTH(A95),ManualTable,10)=1,(IF(Z95&lt;&gt;0,(8*($HF95)),0)),0))</f>
        <v> </v>
      </c>
      <c r="AJ95" s="344" t="str">
        <f aca="false">IF($A95="N/A"," ",RANK(R95,$R$88:$Z$99))</f>
        <v> </v>
      </c>
      <c r="AK95" s="321" t="str">
        <f aca="false">IF($A95="N/A"," ",RANK(S95,$R$88:$Z$99))</f>
        <v> </v>
      </c>
      <c r="AL95" s="321" t="str">
        <f aca="false">IF($A95="N/A"," ",RANK(T95,$R$88:$Z$99))</f>
        <v> </v>
      </c>
      <c r="AM95" s="321" t="str">
        <f aca="false">IF($A95="N/A"," ",RANK(U95,$R$88:$Z$99))</f>
        <v> </v>
      </c>
      <c r="AN95" s="321" t="str">
        <f aca="false">IF($A95="N/A"," ",RANK(V95,$R$88:$Z$99))</f>
        <v> </v>
      </c>
      <c r="AO95" s="321" t="str">
        <f aca="false">IF($A95="N/A"," ",RANK(W95,$R$88:$Z$99))</f>
        <v> </v>
      </c>
      <c r="AP95" s="321" t="str">
        <f aca="false">IF($A95="N/A"," ",RANK(X95,$R$88:$Z$99))</f>
        <v> </v>
      </c>
      <c r="AQ95" s="321" t="str">
        <f aca="false">IF($A95="N/A"," ",RANK(Y95,$R$88:$Z$99))</f>
        <v> </v>
      </c>
      <c r="AR95" s="345" t="str">
        <f aca="false">IF($A95="N/A"," ",RANK(Z95,$R$88:$Z$99))</f>
        <v> </v>
      </c>
      <c r="AS95" s="323" t="str">
        <f aca="false">IF($A95="N/A"," ",IF(AJ95&lt;=$AR$2,AA95,0))</f>
        <v> </v>
      </c>
      <c r="AT95" s="325" t="str">
        <f aca="false">IF($A95="N/A"," ",IF(AK95&lt;=$AR$2,AB95,0))</f>
        <v> </v>
      </c>
      <c r="AU95" s="325" t="str">
        <f aca="false">IF($A95="N/A"," ",IF(AL95&lt;=$AR$2,AC95,0))</f>
        <v> </v>
      </c>
      <c r="AV95" s="325" t="str">
        <f aca="false">IF($A95="N/A"," ",IF(AM95&lt;=$AR$2,AD95,0))</f>
        <v> </v>
      </c>
      <c r="AW95" s="325" t="str">
        <f aca="false">IF($A95="N/A"," ",IF(AN95&lt;=$AR$2,AE95,0))</f>
        <v> </v>
      </c>
      <c r="AX95" s="325" t="str">
        <f aca="false">IF($A95="N/A"," ",IF(AO95&lt;=$AR$2,AF95,0))</f>
        <v> </v>
      </c>
      <c r="AY95" s="325" t="str">
        <f aca="false">IF($A95="N/A"," ",IF(AP95&lt;=$AR$2,AG95,0))</f>
        <v> </v>
      </c>
      <c r="AZ95" s="325" t="str">
        <f aca="false">IF($A95="N/A"," ",IF(AQ95&lt;=$AR$2,AH95,0))</f>
        <v> </v>
      </c>
      <c r="BA95" s="325" t="str">
        <f aca="false">IF($A95="N/A"," ",IF(AR95&lt;=$AR$2,AI95,0))</f>
        <v> </v>
      </c>
      <c r="BB95" s="345"/>
      <c r="BC95" s="326" t="str">
        <f aca="false">IF($A95="N/A"," ",IF(AND(AJ95=$AR$2+1,AS95=0),MIN($BB$99,AA95),0))</f>
        <v> </v>
      </c>
      <c r="BD95" s="346" t="str">
        <f aca="false">IF($A95="N/A"," ",IF(AND(AK95=$AR$2+1,AT95=0),MIN($BB$99,AB95),0))</f>
        <v> </v>
      </c>
      <c r="BE95" s="346" t="str">
        <f aca="false">IF($A95="N/A"," ",IF(AND(AL95=$AR$2+1,AU95=0),MIN($BB$99,AC95),0))</f>
        <v> </v>
      </c>
      <c r="BF95" s="346" t="str">
        <f aca="false">IF($A95="N/A"," ",IF(AND(AM95=$AR$2+1,AV95=0),MIN($BB$99,AD95),0))</f>
        <v> </v>
      </c>
      <c r="BG95" s="346" t="str">
        <f aca="false">IF($A95="N/A"," ",IF(AND(AN95=$AR$2+1,AW95=0),MIN($BB$99,AE95),0))</f>
        <v> </v>
      </c>
      <c r="BH95" s="346" t="str">
        <f aca="false">IF($A95="N/A"," ",IF(AND(AO95=$AR$2+1,AX95=0),MIN($BB$99,AF95),0))</f>
        <v> </v>
      </c>
      <c r="BI95" s="346" t="str">
        <f aca="false">IF($A95="N/A"," ",IF(AND(AP95=$AR$2+1,AY95=0),MIN($BB$99,AG95),0))</f>
        <v> </v>
      </c>
      <c r="BJ95" s="346" t="str">
        <f aca="false">IF($A95="N/A"," ",IF(AND(AQ95=$AR$2+1,AZ95=0),MIN($BB$99,AH95),0))</f>
        <v> </v>
      </c>
      <c r="BK95" s="346" t="str">
        <f aca="false">IF($A95="N/A"," ",IF(AND(AR95=$AR$2+1,BA95=0),MIN($BB$99,AI95),0))</f>
        <v> </v>
      </c>
      <c r="BL95" s="345"/>
      <c r="BM95" s="329" t="str">
        <f aca="false">IF($A95="N/A"," ",(IF(MONTH(A95)&gt;=4,IF(MONTH(A95)&lt;=10,Inputs!$F$13-Inputs!$G$13,Inputs!$F$14-Inputs!$G$14),Inputs!$F$14-Inputs!$G$14))*$CK95*Availability)</f>
        <v> </v>
      </c>
      <c r="BN95" s="330" t="str">
        <f aca="false">IF($A95="N/A"," ",(IF(AS95&gt;0,($BM95*(8*($HD95))*R95),0)+IF(BC95&gt;0,($BM95*((BC95/AA95)*8*$HD95)*R95),0)))</f>
        <v> </v>
      </c>
      <c r="BO95" s="330" t="str">
        <f aca="false">IF($A95="N/A"," ",(IF(AT95&gt;0,($BM95*(8*($HD95))*S95),0)+IF(BD95&gt;0,($BM95*((BD95/AB95)*8*$HD95)*S95),0)))</f>
        <v> </v>
      </c>
      <c r="BP95" s="330" t="str">
        <f aca="false">IF($A95="N/A"," ",(IF(AU95&gt;0,($BM95*(8*($HD95))*T95),0)+IF(BE95&gt;0,($BM95*((BE95))*T95),0)))</f>
        <v> </v>
      </c>
      <c r="BQ95" s="330" t="str">
        <f aca="false">IF($A95="N/A"," ",(IF(AV95&gt;0,($BM95*(8*($HE95))*U95),0)+IF(BF95&gt;0,($BM95*((BF95/AD95)*8*$HE95)*U95),0)))</f>
        <v> </v>
      </c>
      <c r="BR95" s="330" t="str">
        <f aca="false">IF($A95="N/A"," ",(IF(AW95&gt;0,($BM95*(8*($HE95))*V95),0)+IF(BG95&gt;0,($BM95*((BG95/AE95)*8*$HE95)*V95),0)))</f>
        <v> </v>
      </c>
      <c r="BS95" s="330" t="str">
        <f aca="false">IF($A95="N/A"," ",(IF(AX95&gt;0,($BM95*(8*($HE95))*W95),0)+IF(BH95&gt;0,($BM95*((BH95))*W95),0)))</f>
        <v> </v>
      </c>
      <c r="BT95" s="330" t="str">
        <f aca="false">IF($A95="N/A"," ",(IF(AY95&gt;0,($BM95*(8*($HF95))*X95),0)+IF(BI95&gt;0,($BM95*((BI95/AG95)*8*$HF95)*X95),0)))</f>
        <v> </v>
      </c>
      <c r="BU95" s="330" t="str">
        <f aca="false">IF($A95="N/A"," ",(IF(AZ95&gt;0,($BM95*(8*($HF95))*Y95),0)+IF(BJ95&gt;0,($BM95*((BJ95/AH95)*8*$HF95)*Y95),0)))</f>
        <v> </v>
      </c>
      <c r="BV95" s="330" t="str">
        <f aca="false">IF($A95="N/A"," ",(IF(BA95&gt;0,($BM95*(8*($HF95))*Z95),0)+IF(BK95&gt;0,($BM95*((BK95))*Z95),0)))</f>
        <v> </v>
      </c>
      <c r="BW95" s="330" t="str">
        <f aca="false">IF($A95="N/A"," ",SUM(BN95:BV95))</f>
        <v> </v>
      </c>
      <c r="BX95" s="331" t="str">
        <f aca="false">IF($A95="N/A"," ",(H95*(SUM(AS95:BA95)+SUM(BC95:BK95))*BM95))</f>
        <v> </v>
      </c>
      <c r="BY95" s="332" t="str">
        <f aca="false">IF($A95="N/A"," ",((C95*D95)*(SUM($AS95:$BA95)+SUM($BC95:$BK95))*$BM95))</f>
        <v> </v>
      </c>
      <c r="BZ95" s="332" t="str">
        <f aca="false">IF($A95="N/A"," ",(F95*(SUM($AS95:$BA95)+SUM($BC95:$BK95))*$BM95))</f>
        <v> </v>
      </c>
      <c r="CA95" s="333" t="str">
        <f aca="false">IF($A95="N/A"," ",(G95*(SUM($AS95:$BA95)+SUM($BC95:$BK95))*$BM95))</f>
        <v> </v>
      </c>
      <c r="CB95" s="334" t="str">
        <f aca="false">IF(A95="N/A"," ",(VLOOKUP(A95,PowerVolTable,(IF(BMO=2,7,IF(BMO=1,6,8))),FALSE())))</f>
        <v> </v>
      </c>
      <c r="CC95" s="334" t="str">
        <f aca="false">IF(A95="N/A"," ",(VLOOKUP(A95,IntraPowerVol,(IF(BMO=2,3,IF(BMO=1,2,4))),FALSE())*VLOOKUP(MONTH($A95),Volscale,2)))</f>
        <v> </v>
      </c>
      <c r="CD95" s="335" t="str">
        <f aca="false">IF($A95="N/A"," ",(IF(DateToday&gt;$A95,$CC95,((($CB95^2)*((($A95-1)-DateToday)/((EOMONTH($A95,0)+1)-DateToday-15)))+((($CC95)^2)*((15)/((EOMONTH($A95,0)+1)-DateToday-15))))^0.5)))</f>
        <v> </v>
      </c>
      <c r="CE95" s="334" t="str">
        <f aca="false">IF($A95="N/A"," ",(VLOOKUP($A95,GasVolTable,(IF(BMO=2,6,IF(BMO=1,7,5))),FALSE())))</f>
        <v> </v>
      </c>
      <c r="CF95" s="334" t="str">
        <f aca="false">IF($A95="N/A"," ",(VLOOKUP($A95,OmicronVol,(IF(BMO=2,3,IF(BMO=1,4,2))),FALSE())))</f>
        <v> </v>
      </c>
      <c r="CG95" s="335" t="str">
        <f aca="false">IF($A95="N/A"," ",(IF(DateToday&gt;$A95,$CF95,((($CE95^2)*((($A95-1)-DateToday)/((EOMONTH($A95,0)+1)-DateToday-15)))+((($CF95)^2)*((15)/((EOMONTH($A95,0)+1)-DateToday-15))))^0.5)))</f>
        <v> </v>
      </c>
      <c r="CH95" s="334" t="str">
        <f aca="false">IF($A95="N/A"," ",VLOOKUP($A95,CorrelationTable,2,FALSE()))</f>
        <v> </v>
      </c>
      <c r="CI95" s="336" t="str">
        <f aca="false">IF($A95="N/A"," ",F95+G95+(D95*('Pricing Inputs'!T128)))</f>
        <v> </v>
      </c>
      <c r="CJ95" s="334" t="str">
        <f aca="false">IF($A95="N/A"," ",IF(PV=1,0,'Pricing Inputs'!U128))</f>
        <v> </v>
      </c>
      <c r="CK95" s="337" t="str">
        <f aca="false">IF($A95="N/A"," ",(1+CJ95/2)^(-2*((EOMONTH(A95,0)+20)-DateToday)/365.25))</f>
        <v> </v>
      </c>
      <c r="CL95" s="338" t="str">
        <f aca="false">IF(A95="N/A"," ",IF(CC=2,(VLOOKUP(MONTH($A95),Hrtable,3))/1000,0))</f>
        <v> </v>
      </c>
      <c r="CM95" s="339" t="str">
        <f aca="false">IF(A95="N/A"," ",IF(CC=2,(CL95*C95)+F95,0))</f>
        <v> </v>
      </c>
      <c r="CN95" s="340" t="str">
        <f aca="false">IF($A95="N/A"," ",IF(CC=2,(VLOOKUP(A95,ScaledPrice,(IF(AND(Dayrun&gt;=1,Dayrun&lt;=6),2,4)))-((IF(R95&lt;&gt;0,$D95,$CL95)*$C95)+$F95+$G95)),0))</f>
        <v> </v>
      </c>
      <c r="CO95" s="340" t="str">
        <f aca="false">IF($A95="N/A"," ",IF(CC=2,(IF(AND(Dayrun&gt;=1,Dayrun&lt;=6),I95,(VLOOKUP(A95,ScaledPrice,2))*(2-(VLOOKUP(A95,ScaledPrice,3))))-((IF(S95&lt;&gt;0,$D95,$CL95)*$C95)+$F95+$G95)),0))</f>
        <v> </v>
      </c>
      <c r="CP95" s="340" t="str">
        <f aca="false">IF(A95="N/A"," ",IF(CC=2,(VLOOKUP(A95,ScaledPrice,9)-((IF(T95&lt;&gt;0,$D95,$CL95)*$C95)+$F95+$G95)),0))</f>
        <v> </v>
      </c>
      <c r="CQ95" s="340" t="str">
        <f aca="false">IF(A95="N/A"," ",IF(CC=2,(IF(OR(Dayrun=2,Dayrun=3,Dayrun=5,Dayrun=6,Dayrun=8,Dayrun=9),VLOOKUP(A95,ScaledPrice,IF(AND(Dayrun&gt;=2,Dayrun&lt;=6),5,6)),0)-((IF(U95&lt;&gt;0,$D95,$CL95)*$C95)+$F95+$G95)),0))</f>
        <v> </v>
      </c>
      <c r="CR95" s="340" t="str">
        <f aca="false">IF(A95="N/A"," ",IF(CC=2,(IF(OR(Dayrun=2,Dayrun=3,Dayrun=5,Dayrun=6,Dayrun=8,Dayrun=9),IF(AND(Dayrun&gt;=2,Dayrun&lt;=6),L95,(VLOOKUP(A95,ScaledPrice,5))*(2-(VLOOKUP(A95,ScaledPrice,3)))),0)-((IF(V95&lt;&gt;0,$D95,$CL95)*$C95)+$F95+$G95)),0))</f>
        <v> </v>
      </c>
      <c r="CS95" s="340" t="str">
        <f aca="false">IF(A95="N/A"," ",IF(CC=2,(VLOOKUP(A95,ScaledPrice,9)-((IF(W95&lt;&gt;0,$D95,$CL95)*$C95)+$F95+$G95)),0))</f>
        <v> </v>
      </c>
      <c r="CT95" s="340" t="str">
        <f aca="false">IF(A95="N/A"," ",IF(CC=2,(IF(OR(Dayrun=3,Dayrun=6,Dayrun=9),(VLOOKUP(A95,ScaledPrice,IF(AND(Dayrun&gt;=3,Dayrun&lt;=6),7,8))),0)-((IF(X95&lt;&gt;0,$D95,$CL95)*$C95)+$F95+$G95)),0))</f>
        <v> </v>
      </c>
      <c r="CU95" s="340" t="str">
        <f aca="false">IF(A95="N/A"," ",IF(CC=2,(IF(OR(Dayrun=3,Dayrun=6,Dayrun=9),IF(AND(Dayrun&gt;=3,Dayrun&lt;=6),O95,(VLOOKUP(A95,ScaledPrice,7))*(2-(VLOOKUP(A95,ScaledPrice,3)))),0)-((IF(Y95&lt;&gt;0,$D95,$CL95)*$C95)+$F95+$G95)),0))</f>
        <v> </v>
      </c>
      <c r="CV95" s="340" t="str">
        <f aca="false">IF(A95="N/A"," ",IF(CC=2,(VLOOKUP(A95,ScaledPrice,9)-((IF(Z95&lt;&gt;0,$D95,$CL95)*$C95)+$F95+$G95)),0))</f>
        <v> </v>
      </c>
      <c r="CW95" s="318" t="str">
        <f aca="false">IF($A95="N/A"," ",IF(0&lt;&gt;CN95,IF(CC=2,8*$HD95,0),0))</f>
        <v> </v>
      </c>
      <c r="CX95" s="318" t="str">
        <f aca="false">IF($A95="N/A"," ",IF(0&lt;&gt;CO95,IF(CC=2,8*$HD95,0),0))</f>
        <v> </v>
      </c>
      <c r="CY95" s="318" t="str">
        <f aca="false">IF($A95="N/A"," ",IF(0&lt;&gt;CP95,IF(CC=2,8*$HD95,0),0))</f>
        <v> </v>
      </c>
      <c r="CZ95" s="318" t="str">
        <f aca="false">IF($A95="N/A"," ",IF(0&lt;&gt;CQ95,IF(CC=2,8*$HE95,0),0))</f>
        <v> </v>
      </c>
      <c r="DA95" s="318" t="str">
        <f aca="false">IF($A95="N/A"," ",IF(0&lt;&gt;CR95,IF(CC=2,8*$HE95,0),0))</f>
        <v> </v>
      </c>
      <c r="DB95" s="318" t="str">
        <f aca="false">IF($A95="N/A"," ",IF(0&lt;&gt;CS95,IF(CC=2,8*$HE95,0),0))</f>
        <v> </v>
      </c>
      <c r="DC95" s="318" t="str">
        <f aca="false">IF($A95="N/A"," ",IF(0&lt;&gt;CT95,IF(CC=2,8*$HF95,0),0))</f>
        <v> </v>
      </c>
      <c r="DD95" s="318" t="str">
        <f aca="false">IF($A95="N/A"," ",IF(0&lt;&gt;CU95,IF(CC=2,8*$HF95,0),0))</f>
        <v> </v>
      </c>
      <c r="DE95" s="318" t="str">
        <f aca="false">IF($A95="N/A"," ",IF(0&lt;&gt;CV95,IF(CC=2,8*$HF95,0),0))</f>
        <v> </v>
      </c>
      <c r="DF95" s="341" t="str">
        <f aca="false">IF($A95="N/A"," ",IF(CC=2,(IF(MONTH(A95)&gt;=4,IF(MONTH(A95)&lt;=10,Inputs!$G$13,Inputs!$G$14),Inputs!$G$14))*$CK95,0))</f>
        <v> </v>
      </c>
      <c r="DG95" s="342" t="str">
        <f aca="false">IF($A95="N/A"," ",IF(CC=2,$DF95*CW95*CN95,0))</f>
        <v> </v>
      </c>
      <c r="DH95" s="342" t="str">
        <f aca="false">IF($A95="N/A"," ",IF(CC=2,$DF95*CX95*CO95,0))</f>
        <v> </v>
      </c>
      <c r="DI95" s="342" t="str">
        <f aca="false">IF($A95="N/A"," ",IF(CC=2,$DF95*CY95*CP95,0))</f>
        <v> </v>
      </c>
      <c r="DJ95" s="342" t="str">
        <f aca="false">IF($A95="N/A"," ",IF(CC=2,$DF95*CZ95*CQ95,0))</f>
        <v> </v>
      </c>
      <c r="DK95" s="342" t="str">
        <f aca="false">IF($A95="N/A"," ",IF(CC=2,$DF95*DA95*CR95,0))</f>
        <v> </v>
      </c>
      <c r="DL95" s="342" t="str">
        <f aca="false">IF($A95="N/A"," ",IF(CC=2,$DF95*DB95*CS95,0))</f>
        <v> </v>
      </c>
      <c r="DM95" s="342" t="str">
        <f aca="false">IF($A95="N/A"," ",IF(CC=2,$DF95*DC95*CT95,0))</f>
        <v> </v>
      </c>
      <c r="DN95" s="342" t="str">
        <f aca="false">IF($A95="N/A"," ",IF(CC=2,$DF95*DD95*CU95,0))</f>
        <v> </v>
      </c>
      <c r="DO95" s="342" t="str">
        <f aca="false">IF($A95="N/A"," ",IF(CC=2,$DF95*DE95*CV95,0))</f>
        <v> </v>
      </c>
      <c r="DP95" s="343" t="str">
        <f aca="false">IF($A95="N/A"," ",IF(CC=2,SUM(DG95:DO95),0))</f>
        <v> </v>
      </c>
      <c r="DQ95" s="0" t="str">
        <f aca="false">IF(A95="N/A"," ",Perstart)</f>
        <v> </v>
      </c>
      <c r="HD95" s="0" t="str">
        <f aca="false">IF($A95="N/A"," ",VLOOKUP($A95,NumberofDaysTable,2))</f>
        <v> </v>
      </c>
      <c r="HE95" s="0" t="str">
        <f aca="false">IF($A95="N/A"," ",VLOOKUP($A95,NumberofDaysTable,3))</f>
        <v> </v>
      </c>
      <c r="HF95" s="0" t="str">
        <f aca="false">IF($A95="N/A"," ",VLOOKUP($A95,NumberofDaysTable,4))</f>
        <v> </v>
      </c>
    </row>
    <row r="96" customFormat="false" ht="12.75" hidden="false" customHeight="false" outlineLevel="0" collapsed="false">
      <c r="A96" s="308" t="str">
        <f aca="false">IF(A95="N/A","N/A",IF(EDATE(A95,1)&gt;Inputs!$K$3,"N/A",EDATE(A95,1)))</f>
        <v>N/A</v>
      </c>
      <c r="B96" s="309" t="str">
        <f aca="false">IF(A96="N/A"," ",YEAR(A96))</f>
        <v> </v>
      </c>
      <c r="C96" s="310" t="str">
        <f aca="false">IF(A96="N/A"," ",VLOOKUP(A96,ScaledPrice,10))</f>
        <v> </v>
      </c>
      <c r="D96" s="311" t="str">
        <f aca="false">IF(A96="N/A"," ",(VLOOKUP(MONTH($A96),Hrtable,2))/1000)</f>
        <v> </v>
      </c>
      <c r="E96" s="312" t="str">
        <f aca="false">IF($A96="N/A"," ",(C96-'Pricing Inputs'!T129)*D96)</f>
        <v> </v>
      </c>
      <c r="F96" s="313" t="str">
        <f aca="false">IF(A96="N/A"," ",$F84*(1+VOMesc))</f>
        <v> </v>
      </c>
      <c r="G96" s="313" t="str">
        <f aca="false">IF(A96="N/A"," ",Perstart/IF(AND(Dayrun&gt;=4,Dayrun&lt;=6),16,IF(AND(Dayrun&gt;=7,Dayrun&lt;=9),8,24))/(BM96/CK96))</f>
        <v> </v>
      </c>
      <c r="H96" s="314" t="str">
        <f aca="false">IF(A96="N/A"," ",(C96*D96)+F96+G96)</f>
        <v> </v>
      </c>
      <c r="I96" s="315" t="str">
        <f aca="false">VLOOKUP(A96,ScaledPrice,(IF(AND(Dayrun&gt;=1,Dayrun&lt;=6),2,4)))</f>
        <v> </v>
      </c>
      <c r="J96" s="315" t="str">
        <f aca="false">IF(A96="N/A"," ",IF(AND(Dayrun&gt;=1,Dayrun&lt;=6),I96,(VLOOKUP(A96,ScaledPrice,2))*(2-(VLOOKUP(A96,ScaledPrice,3)))))</f>
        <v> </v>
      </c>
      <c r="K96" s="315" t="str">
        <f aca="false">IF(A96="N/A"," ",IF(AND(Dayrun&gt;=1,Dayrun&lt;=3),VLOOKUP(A96,ScaledPrice,9),0))</f>
        <v> </v>
      </c>
      <c r="L96" s="315" t="str">
        <f aca="false">IF(A96="N/A"," ",IF(OR(Dayrun=2,Dayrun=3,Dayrun=5,Dayrun=6,Dayrun=8,Dayrun=9),VLOOKUP(A96,ScaledPrice,IF(AND(Dayrun&gt;=2,Dayrun&lt;=6),5,6)),0))</f>
        <v> </v>
      </c>
      <c r="M96" s="315" t="str">
        <f aca="false">IF(A96="N/A"," ",IF(OR(Dayrun=2,Dayrun=3,Dayrun=5,Dayrun=6,Dayrun=8,Dayrun=9),IF(AND(Dayrun&gt;=2,Dayrun&lt;=6),L96,(VLOOKUP(A96,ScaledPrice,5))*(2-(VLOOKUP(A96,ScaledPrice,3)))),0))</f>
        <v> </v>
      </c>
      <c r="N96" s="315" t="str">
        <f aca="false">IF(A96="N/A"," ",IF(AND(Dayrun&gt;1,Dayrun&lt;=3),VLOOKUP(A96,ScaledPrice,9),0))</f>
        <v> </v>
      </c>
      <c r="O96" s="315" t="str">
        <f aca="false">IF(A96="N/A"," ",IF(OR(Dayrun=3,Dayrun=6,Dayrun=9),(VLOOKUP(A96,ScaledPrice,IF(AND(Dayrun&gt;=3,Dayrun&lt;=6),7,8))),0))</f>
        <v> </v>
      </c>
      <c r="P96" s="315" t="str">
        <f aca="false">IF(A96="N/A"," ",IF(OR(Dayrun=3,Dayrun=6,Dayrun=9),IF(AND(Dayrun&gt;=3,Dayrun&lt;=6),O96,(VLOOKUP(A96,ScaledPrice,7))*(2-(VLOOKUP(A96,ScaledPrice,3)))),0))</f>
        <v> </v>
      </c>
      <c r="Q96" s="315" t="str">
        <f aca="false">IF(A96="N/A"," ",IF(AND(Dayrun&gt;2,Dayrun&lt;=3),VLOOKUP(A96,ScaledPrice,9),0))</f>
        <v> </v>
      </c>
      <c r="R96" s="316" t="str">
        <f aca="false">IF($A96="N/A"," ",IF(Pricetype=2,MAX(I96-$H96,0),IF(Pricetype=1,(xSPRDOPT(I96,$E96,$CI96,0,($CD96+IF(Smile=TRUE(),VLOOKUP(MAX(-5,$H96-I96),Volsmile,2),0)),$CG96,$CH96,($A96-DateToday)+15,1,0)),I96-$H96)))</f>
        <v> </v>
      </c>
      <c r="S96" s="316" t="str">
        <f aca="false">IF($A96="N/A"," ",IF(Pricetype=2,MAX(J96-$H96,0),IF(Pricetype=1,(xSPRDOPT(J96,$E96,$CI96,0,($CD96+IF(Smile=TRUE(),VLOOKUP(MAX(-5,$H96-J96),Volsmile,2),0)),$CG96,$CH96,($A96-DateToday)+15,1,0)),J96-$H96)))</f>
        <v> </v>
      </c>
      <c r="T96" s="317" t="str">
        <f aca="false">IF($A96="N/A"," ",(IF(Pricetype=2,IF((K96-$H96)&lt;=0,0,(K96-$H96)),IF(K96&lt;&gt;0,(K96-$H96),0))))</f>
        <v> </v>
      </c>
      <c r="U96" s="316" t="str">
        <f aca="false">IF($A96="N/A"," ",IF(Pricetype=2,MAX(L96-$H96,0),IF(L96&lt;&gt;0,IF(Pricetype=1,(xSPRDOPT(L96,$E96,$CI96,0,($CD96+IF(Smile=TRUE(),VLOOKUP(MAX(-5,$H96-L96),Volsmile,2),0)),$CG96,$CH96,($A96-DateToday)+15,1,0)),L96-$H96),0)))</f>
        <v> </v>
      </c>
      <c r="V96" s="316" t="str">
        <f aca="false">IF($A96="N/A"," ",IF(Pricetype=2,MAX(M96-$H96,0),IF(M96&lt;&gt;0,IF(Pricetype=1,(xSPRDOPT(M96,$E96,$CI96,0,($CD96+IF(Smile=TRUE(),VLOOKUP(MAX(-5,$H96-M96),Volsmile,2),0)),$CG96,$CH96,($A96-DateToday)+15,1,0)),M96-$H96),0)))</f>
        <v> </v>
      </c>
      <c r="W96" s="317" t="str">
        <f aca="false">IF($A96="N/A"," ",(IF(Pricetype=2,IF((N96-$H96)&lt;=0,0,(N96-$H96)),IF(N96&lt;&gt;0,(N96-$H96),0))))</f>
        <v> </v>
      </c>
      <c r="X96" s="316" t="str">
        <f aca="false">IF($A96="N/A"," ",IF(Pricetype=2,MAX(O96-$H96,0),IF(O96&lt;&gt;0,IF(Pricetype=1,(xSPRDOPT(O96,$E96,$CI96,0,($CD96+IF(Smile=TRUE(),VLOOKUP(MAX(-5,$H96-O96),Volsmile,2),0)),$CG96,$CH96,($A96-DateToday)+15,1,0)),O96-$H96),0)))</f>
        <v> </v>
      </c>
      <c r="Y96" s="316" t="str">
        <f aca="false">IF($A96="N/A"," ",IF(Pricetype=2,MAX(P96-$H96,0),IF(P96&lt;&gt;0,IF(Pricetype=1,(xSPRDOPT(P96,$E96,$CI96,0,($CD96+IF(Smile=TRUE(),VLOOKUP(MAX(-5,$H96-P96),Volsmile,2),0)),$CG96,$CH96,($A96-DateToday)+15,1,0)),P96-$H96),0)))</f>
        <v> </v>
      </c>
      <c r="Z96" s="317" t="str">
        <f aca="false">IF($A96="N/A"," ",(IF(Pricetype=2,IF((Q96-$H96)&lt;=0,0,(Q96-$H96)),IF(Q96&lt;&gt;0,(Q96-$H96),0))))</f>
        <v> </v>
      </c>
      <c r="AA96" s="318" t="str">
        <f aca="false">IF($A96="N/A"," ",IF(VLOOKUP(MONTH(A96),ManualTable,2)=1,(IF(0&lt;&gt;R96,IF(Pricetype=1,(xSPRDOPT(I96,$E96,$CI96,0,($CD96+IF(Smile=TRUE(),VLOOKUP(MAX(-5,$H96-I96),Volsmile,2),0)),$CG96,$CH96,($A96-DateToday)+15,1,1))*(8*$HD96),8*$HD96),0)),0))</f>
        <v> </v>
      </c>
      <c r="AB96" s="318" t="str">
        <f aca="false">IF($A96="N/A"," ",IF(VLOOKUP(MONTH(A96),ManualTable,3)=1,(IF(S96&lt;&gt;0,IF(Pricetype=1,(xSPRDOPT(J96,$E96,$CI96,0,($CD96+IF(Smile=TRUE(),VLOOKUP(MAX(-5,$H96-J96),Volsmile,2),0)),$CG96,$CH96,($A96-DateToday)+15,1,1))*(8*$HD96),8*$HD96),0)),0))</f>
        <v> </v>
      </c>
      <c r="AC96" s="318" t="str">
        <f aca="false">IF($A96="N/A"," ",IF(VLOOKUP(MONTH(A96),ManualTable,4)=1,(IF(T96&lt;&gt;0,(8*$HD96),0)),0))</f>
        <v> </v>
      </c>
      <c r="AD96" s="318" t="str">
        <f aca="false">IF($A96="N/A"," ",IF(VLOOKUP(MONTH(A96),ManualTable,5)=1,(IF(U96&lt;&gt;0,IF(Pricetype=1,(xSPRDOPT(L96,$E96,$CI96,0,($CD96+IF(Smile=TRUE(),VLOOKUP(MAX(-5,$H96-L96),Volsmile,2),0)),$CG96,$CH96,($A96-DateToday)+15,1,1))*(8*$HE96),8*$HE96),0)),0))</f>
        <v> </v>
      </c>
      <c r="AE96" s="318" t="str">
        <f aca="false">IF($A96="N/A"," ",IF(VLOOKUP(MONTH(A96),ManualTable,6)=1,(IF(V96&lt;&gt;0,IF(Pricetype=1,(xSPRDOPT(M96,$E96,$CI96,0,($CD96+IF(Smile=TRUE(),VLOOKUP(MAX(-5,$H96-M96),Volsmile,2),0)),$CG96,$CH96,($A96-DateToday)+15,1,1))*(8*$HE96),8*$HE96),0)),0))</f>
        <v> </v>
      </c>
      <c r="AF96" s="318" t="str">
        <f aca="false">IF($A96="N/A"," ",IF(VLOOKUP(MONTH(A96),ManualTable,7)=1,(IF(W96&lt;&gt;0,(8*$HE96),0)),0))</f>
        <v> </v>
      </c>
      <c r="AG96" s="318" t="str">
        <f aca="false">IF($A96="N/A"," ",IF(VLOOKUP(MONTH(A96),ManualTable,8)=1,(IF(X96&lt;&gt;0,IF(Pricetype=1,(xSPRDOPT(O96,$E96,$CI96,0,($CD96+IF(Smile=TRUE(),VLOOKUP(MAX(-5,$H96-O96),Volsmile,2),0)),$CG96,$CH96,($A96-DateToday)+15,1,1))*(8*$HF96),8*$HF96),0)),0))</f>
        <v> </v>
      </c>
      <c r="AH96" s="318" t="str">
        <f aca="false">IF($A96="N/A"," ",IF(VLOOKUP(MONTH(A96),ManualTable,9)=1,(IF(Y96&lt;&gt;0,IF(Pricetype=1,(xSPRDOPT(P96,$E96,$CI96,0,($CD96+IF(Smile=TRUE(),VLOOKUP(MAX(-5,$H96-P96),Volsmile,2),0)),$CG96,$CH96,($A96-DateToday)+15,1,1))*(8*$HF96),8*$HF96),0)),0))</f>
        <v> </v>
      </c>
      <c r="AI96" s="318" t="str">
        <f aca="false">IF($A96="N/A"," ",IF(VLOOKUP(MONTH(A96),ManualTable,10)=1,(IF(Z96&lt;&gt;0,(8*($HF96)),0)),0))</f>
        <v> </v>
      </c>
      <c r="AJ96" s="344" t="str">
        <f aca="false">IF($A96="N/A"," ",RANK(R96,$R$88:$Z$99))</f>
        <v> </v>
      </c>
      <c r="AK96" s="321" t="str">
        <f aca="false">IF($A96="N/A"," ",RANK(S96,$R$88:$Z$99))</f>
        <v> </v>
      </c>
      <c r="AL96" s="321" t="str">
        <f aca="false">IF($A96="N/A"," ",RANK(T96,$R$88:$Z$99))</f>
        <v> </v>
      </c>
      <c r="AM96" s="321" t="str">
        <f aca="false">IF($A96="N/A"," ",RANK(U96,$R$88:$Z$99))</f>
        <v> </v>
      </c>
      <c r="AN96" s="321" t="str">
        <f aca="false">IF($A96="N/A"," ",RANK(V96,$R$88:$Z$99))</f>
        <v> </v>
      </c>
      <c r="AO96" s="321" t="str">
        <f aca="false">IF($A96="N/A"," ",RANK(W96,$R$88:$Z$99))</f>
        <v> </v>
      </c>
      <c r="AP96" s="321" t="str">
        <f aca="false">IF($A96="N/A"," ",RANK(X96,$R$88:$Z$99))</f>
        <v> </v>
      </c>
      <c r="AQ96" s="321" t="str">
        <f aca="false">IF($A96="N/A"," ",RANK(Y96,$R$88:$Z$99))</f>
        <v> </v>
      </c>
      <c r="AR96" s="345" t="str">
        <f aca="false">IF($A96="N/A"," ",RANK(Z96,$R$88:$Z$99))</f>
        <v> </v>
      </c>
      <c r="AS96" s="323" t="str">
        <f aca="false">IF($A96="N/A"," ",IF(AJ96&lt;=$AR$2,AA96,0))</f>
        <v> </v>
      </c>
      <c r="AT96" s="325" t="str">
        <f aca="false">IF($A96="N/A"," ",IF(AK96&lt;=$AR$2,AB96,0))</f>
        <v> </v>
      </c>
      <c r="AU96" s="325" t="str">
        <f aca="false">IF($A96="N/A"," ",IF(AL96&lt;=$AR$2,AC96,0))</f>
        <v> </v>
      </c>
      <c r="AV96" s="325" t="str">
        <f aca="false">IF($A96="N/A"," ",IF(AM96&lt;=$AR$2,AD96,0))</f>
        <v> </v>
      </c>
      <c r="AW96" s="325" t="str">
        <f aca="false">IF($A96="N/A"," ",IF(AN96&lt;=$AR$2,AE96,0))</f>
        <v> </v>
      </c>
      <c r="AX96" s="325" t="str">
        <f aca="false">IF($A96="N/A"," ",IF(AO96&lt;=$AR$2,AF96,0))</f>
        <v> </v>
      </c>
      <c r="AY96" s="325" t="str">
        <f aca="false">IF($A96="N/A"," ",IF(AP96&lt;=$AR$2,AG96,0))</f>
        <v> </v>
      </c>
      <c r="AZ96" s="325" t="str">
        <f aca="false">IF($A96="N/A"," ",IF(AQ96&lt;=$AR$2,AH96,0))</f>
        <v> </v>
      </c>
      <c r="BA96" s="325" t="str">
        <f aca="false">IF($A96="N/A"," ",IF(AR96&lt;=$AR$2,AI96,0))</f>
        <v> </v>
      </c>
      <c r="BB96" s="345"/>
      <c r="BC96" s="326" t="str">
        <f aca="false">IF($A96="N/A"," ",IF(AND(AJ96=$AR$2+1,AS96=0),MIN($BB$99,AA96),0))</f>
        <v> </v>
      </c>
      <c r="BD96" s="346" t="str">
        <f aca="false">IF($A96="N/A"," ",IF(AND(AK96=$AR$2+1,AT96=0),MIN($BB$99,AB96),0))</f>
        <v> </v>
      </c>
      <c r="BE96" s="346" t="str">
        <f aca="false">IF($A96="N/A"," ",IF(AND(AL96=$AR$2+1,AU96=0),MIN($BB$99,AC96),0))</f>
        <v> </v>
      </c>
      <c r="BF96" s="346" t="str">
        <f aca="false">IF($A96="N/A"," ",IF(AND(AM96=$AR$2+1,AV96=0),MIN($BB$99,AD96),0))</f>
        <v> </v>
      </c>
      <c r="BG96" s="346" t="str">
        <f aca="false">IF($A96="N/A"," ",IF(AND(AN96=$AR$2+1,AW96=0),MIN($BB$99,AE96),0))</f>
        <v> </v>
      </c>
      <c r="BH96" s="346" t="str">
        <f aca="false">IF($A96="N/A"," ",IF(AND(AO96=$AR$2+1,AX96=0),MIN($BB$99,AF96),0))</f>
        <v> </v>
      </c>
      <c r="BI96" s="346" t="str">
        <f aca="false">IF($A96="N/A"," ",IF(AND(AP96=$AR$2+1,AY96=0),MIN($BB$99,AG96),0))</f>
        <v> </v>
      </c>
      <c r="BJ96" s="346" t="str">
        <f aca="false">IF($A96="N/A"," ",IF(AND(AQ96=$AR$2+1,AZ96=0),MIN($BB$99,AH96),0))</f>
        <v> </v>
      </c>
      <c r="BK96" s="346" t="str">
        <f aca="false">IF($A96="N/A"," ",IF(AND(AR96=$AR$2+1,BA96=0),MIN($BB$99,AI96),0))</f>
        <v> </v>
      </c>
      <c r="BL96" s="345"/>
      <c r="BM96" s="329" t="str">
        <f aca="false">IF($A96="N/A"," ",(IF(MONTH(A96)&gt;=4,IF(MONTH(A96)&lt;=10,Inputs!$F$13-Inputs!$G$13,Inputs!$F$14-Inputs!$G$14),Inputs!$F$14-Inputs!$G$14))*$CK96*Availability)</f>
        <v> </v>
      </c>
      <c r="BN96" s="330" t="str">
        <f aca="false">IF($A96="N/A"," ",(IF(AS96&gt;0,($BM96*(8*($HD96))*R96),0)+IF(BC96&gt;0,($BM96*((BC96/AA96)*8*$HD96)*R96),0)))</f>
        <v> </v>
      </c>
      <c r="BO96" s="330" t="str">
        <f aca="false">IF($A96="N/A"," ",(IF(AT96&gt;0,($BM96*(8*($HD96))*S96),0)+IF(BD96&gt;0,($BM96*((BD96/AB96)*8*$HD96)*S96),0)))</f>
        <v> </v>
      </c>
      <c r="BP96" s="330" t="str">
        <f aca="false">IF($A96="N/A"," ",(IF(AU96&gt;0,($BM96*(8*($HD96))*T96),0)+IF(BE96&gt;0,($BM96*((BE96))*T96),0)))</f>
        <v> </v>
      </c>
      <c r="BQ96" s="330" t="str">
        <f aca="false">IF($A96="N/A"," ",(IF(AV96&gt;0,($BM96*(8*($HE96))*U96),0)+IF(BF96&gt;0,($BM96*((BF96/AD96)*8*$HE96)*U96),0)))</f>
        <v> </v>
      </c>
      <c r="BR96" s="330" t="str">
        <f aca="false">IF($A96="N/A"," ",(IF(AW96&gt;0,($BM96*(8*($HE96))*V96),0)+IF(BG96&gt;0,($BM96*((BG96/AE96)*8*$HE96)*V96),0)))</f>
        <v> </v>
      </c>
      <c r="BS96" s="330" t="str">
        <f aca="false">IF($A96="N/A"," ",(IF(AX96&gt;0,($BM96*(8*($HE96))*W96),0)+IF(BH96&gt;0,($BM96*((BH96))*W96),0)))</f>
        <v> </v>
      </c>
      <c r="BT96" s="330" t="str">
        <f aca="false">IF($A96="N/A"," ",(IF(AY96&gt;0,($BM96*(8*($HF96))*X96),0)+IF(BI96&gt;0,($BM96*((BI96/AG96)*8*$HF96)*X96),0)))</f>
        <v> </v>
      </c>
      <c r="BU96" s="330" t="str">
        <f aca="false">IF($A96="N/A"," ",(IF(AZ96&gt;0,($BM96*(8*($HF96))*Y96),0)+IF(BJ96&gt;0,($BM96*((BJ96/AH96)*8*$HF96)*Y96),0)))</f>
        <v> </v>
      </c>
      <c r="BV96" s="330" t="str">
        <f aca="false">IF($A96="N/A"," ",(IF(BA96&gt;0,($BM96*(8*($HF96))*Z96),0)+IF(BK96&gt;0,($BM96*((BK96))*Z96),0)))</f>
        <v> </v>
      </c>
      <c r="BW96" s="330" t="str">
        <f aca="false">IF($A96="N/A"," ",SUM(BN96:BV96))</f>
        <v> </v>
      </c>
      <c r="BX96" s="331" t="str">
        <f aca="false">IF($A96="N/A"," ",(H96*(SUM(AS96:BA96)+SUM(BC96:BK96))*BM96))</f>
        <v> </v>
      </c>
      <c r="BY96" s="332" t="str">
        <f aca="false">IF($A96="N/A"," ",((C96*D96)*(SUM($AS96:$BA96)+SUM($BC96:$BK96))*$BM96))</f>
        <v> </v>
      </c>
      <c r="BZ96" s="332" t="str">
        <f aca="false">IF($A96="N/A"," ",(F96*(SUM($AS96:$BA96)+SUM($BC96:$BK96))*$BM96))</f>
        <v> </v>
      </c>
      <c r="CA96" s="333" t="str">
        <f aca="false">IF($A96="N/A"," ",(G96*(SUM($AS96:$BA96)+SUM($BC96:$BK96))*$BM96))</f>
        <v> </v>
      </c>
      <c r="CB96" s="334" t="str">
        <f aca="false">IF(A96="N/A"," ",(VLOOKUP(A96,PowerVolTable,(IF(BMO=2,7,IF(BMO=1,6,8))),FALSE())))</f>
        <v> </v>
      </c>
      <c r="CC96" s="334" t="str">
        <f aca="false">IF(A96="N/A"," ",(VLOOKUP(A96,IntraPowerVol,(IF(BMO=2,3,IF(BMO=1,2,4))),FALSE())*VLOOKUP(MONTH($A96),Volscale,2)))</f>
        <v> </v>
      </c>
      <c r="CD96" s="335" t="str">
        <f aca="false">IF($A96="N/A"," ",(IF(DateToday&gt;$A96,$CC96,((($CB96^2)*((($A96-1)-DateToday)/((EOMONTH($A96,0)+1)-DateToday-15)))+((($CC96)^2)*((15)/((EOMONTH($A96,0)+1)-DateToday-15))))^0.5)))</f>
        <v> </v>
      </c>
      <c r="CE96" s="334" t="str">
        <f aca="false">IF($A96="N/A"," ",(VLOOKUP($A96,GasVolTable,(IF(BMO=2,6,IF(BMO=1,7,5))),FALSE())))</f>
        <v> </v>
      </c>
      <c r="CF96" s="334" t="str">
        <f aca="false">IF($A96="N/A"," ",(VLOOKUP($A96,OmicronVol,(IF(BMO=2,3,IF(BMO=1,4,2))),FALSE())))</f>
        <v> </v>
      </c>
      <c r="CG96" s="335" t="str">
        <f aca="false">IF($A96="N/A"," ",(IF(DateToday&gt;$A96,$CF96,((($CE96^2)*((($A96-1)-DateToday)/((EOMONTH($A96,0)+1)-DateToday-15)))+((($CF96)^2)*((15)/((EOMONTH($A96,0)+1)-DateToday-15))))^0.5)))</f>
        <v> </v>
      </c>
      <c r="CH96" s="334" t="str">
        <f aca="false">IF($A96="N/A"," ",VLOOKUP($A96,CorrelationTable,2,FALSE()))</f>
        <v> </v>
      </c>
      <c r="CI96" s="336" t="str">
        <f aca="false">IF($A96="N/A"," ",F96+G96+(D96*('Pricing Inputs'!T129)))</f>
        <v> </v>
      </c>
      <c r="CJ96" s="334" t="str">
        <f aca="false">IF($A96="N/A"," ",IF(PV=1,0,'Pricing Inputs'!U129))</f>
        <v> </v>
      </c>
      <c r="CK96" s="337" t="str">
        <f aca="false">IF($A96="N/A"," ",(1+CJ96/2)^(-2*((EOMONTH(A96,0)+20)-DateToday)/365.25))</f>
        <v> </v>
      </c>
      <c r="CL96" s="338" t="str">
        <f aca="false">IF(A96="N/A"," ",IF(CC=2,(VLOOKUP(MONTH($A96),Hrtable,3))/1000,0))</f>
        <v> </v>
      </c>
      <c r="CM96" s="339" t="str">
        <f aca="false">IF(A96="N/A"," ",IF(CC=2,(CL96*C96)+F96,0))</f>
        <v> </v>
      </c>
      <c r="CN96" s="340" t="str">
        <f aca="false">IF($A96="N/A"," ",IF(CC=2,(VLOOKUP(A96,ScaledPrice,(IF(AND(Dayrun&gt;=1,Dayrun&lt;=6),2,4)))-((IF(R96&lt;&gt;0,$D96,$CL96)*$C96)+$F96+$G96)),0))</f>
        <v> </v>
      </c>
      <c r="CO96" s="340" t="str">
        <f aca="false">IF($A96="N/A"," ",IF(CC=2,(IF(AND(Dayrun&gt;=1,Dayrun&lt;=6),I96,(VLOOKUP(A96,ScaledPrice,2))*(2-(VLOOKUP(A96,ScaledPrice,3))))-((IF(S96&lt;&gt;0,$D96,$CL96)*$C96)+$F96+$G96)),0))</f>
        <v> </v>
      </c>
      <c r="CP96" s="340" t="str">
        <f aca="false">IF(A96="N/A"," ",IF(CC=2,(VLOOKUP(A96,ScaledPrice,9)-((IF(T96&lt;&gt;0,$D96,$CL96)*$C96)+$F96+$G96)),0))</f>
        <v> </v>
      </c>
      <c r="CQ96" s="340" t="str">
        <f aca="false">IF(A96="N/A"," ",IF(CC=2,(IF(OR(Dayrun=2,Dayrun=3,Dayrun=5,Dayrun=6,Dayrun=8,Dayrun=9),VLOOKUP(A96,ScaledPrice,IF(AND(Dayrun&gt;=2,Dayrun&lt;=6),5,6)),0)-((IF(U96&lt;&gt;0,$D96,$CL96)*$C96)+$F96+$G96)),0))</f>
        <v> </v>
      </c>
      <c r="CR96" s="340" t="str">
        <f aca="false">IF(A96="N/A"," ",IF(CC=2,(IF(OR(Dayrun=2,Dayrun=3,Dayrun=5,Dayrun=6,Dayrun=8,Dayrun=9),IF(AND(Dayrun&gt;=2,Dayrun&lt;=6),L96,(VLOOKUP(A96,ScaledPrice,5))*(2-(VLOOKUP(A96,ScaledPrice,3)))),0)-((IF(V96&lt;&gt;0,$D96,$CL96)*$C96)+$F96+$G96)),0))</f>
        <v> </v>
      </c>
      <c r="CS96" s="340" t="str">
        <f aca="false">IF(A96="N/A"," ",IF(CC=2,(VLOOKUP(A96,ScaledPrice,9)-((IF(W96&lt;&gt;0,$D96,$CL96)*$C96)+$F96+$G96)),0))</f>
        <v> </v>
      </c>
      <c r="CT96" s="340" t="str">
        <f aca="false">IF(A96="N/A"," ",IF(CC=2,(IF(OR(Dayrun=3,Dayrun=6,Dayrun=9),(VLOOKUP(A96,ScaledPrice,IF(AND(Dayrun&gt;=3,Dayrun&lt;=6),7,8))),0)-((IF(X96&lt;&gt;0,$D96,$CL96)*$C96)+$F96+$G96)),0))</f>
        <v> </v>
      </c>
      <c r="CU96" s="340" t="str">
        <f aca="false">IF(A96="N/A"," ",IF(CC=2,(IF(OR(Dayrun=3,Dayrun=6,Dayrun=9),IF(AND(Dayrun&gt;=3,Dayrun&lt;=6),O96,(VLOOKUP(A96,ScaledPrice,7))*(2-(VLOOKUP(A96,ScaledPrice,3)))),0)-((IF(Y96&lt;&gt;0,$D96,$CL96)*$C96)+$F96+$G96)),0))</f>
        <v> </v>
      </c>
      <c r="CV96" s="340" t="str">
        <f aca="false">IF(A96="N/A"," ",IF(CC=2,(VLOOKUP(A96,ScaledPrice,9)-((IF(Z96&lt;&gt;0,$D96,$CL96)*$C96)+$F96+$G96)),0))</f>
        <v> </v>
      </c>
      <c r="CW96" s="318" t="str">
        <f aca="false">IF($A96="N/A"," ",IF(0&lt;&gt;CN96,IF(CC=2,8*$HD96,0),0))</f>
        <v> </v>
      </c>
      <c r="CX96" s="318" t="str">
        <f aca="false">IF($A96="N/A"," ",IF(0&lt;&gt;CO96,IF(CC=2,8*$HD96,0),0))</f>
        <v> </v>
      </c>
      <c r="CY96" s="318" t="str">
        <f aca="false">IF($A96="N/A"," ",IF(0&lt;&gt;CP96,IF(CC=2,8*$HD96,0),0))</f>
        <v> </v>
      </c>
      <c r="CZ96" s="318" t="str">
        <f aca="false">IF($A96="N/A"," ",IF(0&lt;&gt;CQ96,IF(CC=2,8*$HE96,0),0))</f>
        <v> </v>
      </c>
      <c r="DA96" s="318" t="str">
        <f aca="false">IF($A96="N/A"," ",IF(0&lt;&gt;CR96,IF(CC=2,8*$HE96,0),0))</f>
        <v> </v>
      </c>
      <c r="DB96" s="318" t="str">
        <f aca="false">IF($A96="N/A"," ",IF(0&lt;&gt;CS96,IF(CC=2,8*$HE96,0),0))</f>
        <v> </v>
      </c>
      <c r="DC96" s="318" t="str">
        <f aca="false">IF($A96="N/A"," ",IF(0&lt;&gt;CT96,IF(CC=2,8*$HF96,0),0))</f>
        <v> </v>
      </c>
      <c r="DD96" s="318" t="str">
        <f aca="false">IF($A96="N/A"," ",IF(0&lt;&gt;CU96,IF(CC=2,8*$HF96,0),0))</f>
        <v> </v>
      </c>
      <c r="DE96" s="318" t="str">
        <f aca="false">IF($A96="N/A"," ",IF(0&lt;&gt;CV96,IF(CC=2,8*$HF96,0),0))</f>
        <v> </v>
      </c>
      <c r="DF96" s="341" t="str">
        <f aca="false">IF($A96="N/A"," ",IF(CC=2,(IF(MONTH(A96)&gt;=4,IF(MONTH(A96)&lt;=10,Inputs!$G$13,Inputs!$G$14),Inputs!$G$14))*$CK96,0))</f>
        <v> </v>
      </c>
      <c r="DG96" s="342" t="str">
        <f aca="false">IF($A96="N/A"," ",IF(CC=2,$DF96*CW96*CN96,0))</f>
        <v> </v>
      </c>
      <c r="DH96" s="342" t="str">
        <f aca="false">IF($A96="N/A"," ",IF(CC=2,$DF96*CX96*CO96,0))</f>
        <v> </v>
      </c>
      <c r="DI96" s="342" t="str">
        <f aca="false">IF($A96="N/A"," ",IF(CC=2,$DF96*CY96*CP96,0))</f>
        <v> </v>
      </c>
      <c r="DJ96" s="342" t="str">
        <f aca="false">IF($A96="N/A"," ",IF(CC=2,$DF96*CZ96*CQ96,0))</f>
        <v> </v>
      </c>
      <c r="DK96" s="342" t="str">
        <f aca="false">IF($A96="N/A"," ",IF(CC=2,$DF96*DA96*CR96,0))</f>
        <v> </v>
      </c>
      <c r="DL96" s="342" t="str">
        <f aca="false">IF($A96="N/A"," ",IF(CC=2,$DF96*DB96*CS96,0))</f>
        <v> </v>
      </c>
      <c r="DM96" s="342" t="str">
        <f aca="false">IF($A96="N/A"," ",IF(CC=2,$DF96*DC96*CT96,0))</f>
        <v> </v>
      </c>
      <c r="DN96" s="342" t="str">
        <f aca="false">IF($A96="N/A"," ",IF(CC=2,$DF96*DD96*CU96,0))</f>
        <v> </v>
      </c>
      <c r="DO96" s="342" t="str">
        <f aca="false">IF($A96="N/A"," ",IF(CC=2,$DF96*DE96*CV96,0))</f>
        <v> </v>
      </c>
      <c r="DP96" s="343" t="str">
        <f aca="false">IF($A96="N/A"," ",IF(CC=2,SUM(DG96:DO96),0))</f>
        <v> </v>
      </c>
      <c r="DQ96" s="0" t="str">
        <f aca="false">IF(A96="N/A"," ",Perstart)</f>
        <v> </v>
      </c>
      <c r="HD96" s="0" t="str">
        <f aca="false">IF($A96="N/A"," ",VLOOKUP($A96,NumberofDaysTable,2))</f>
        <v> </v>
      </c>
      <c r="HE96" s="0" t="str">
        <f aca="false">IF($A96="N/A"," ",VLOOKUP($A96,NumberofDaysTable,3))</f>
        <v> </v>
      </c>
      <c r="HF96" s="0" t="str">
        <f aca="false">IF($A96="N/A"," ",VLOOKUP($A96,NumberofDaysTable,4))</f>
        <v> </v>
      </c>
    </row>
    <row r="97" customFormat="false" ht="12.75" hidden="false" customHeight="false" outlineLevel="0" collapsed="false">
      <c r="A97" s="308" t="str">
        <f aca="false">IF(A96="N/A","N/A",IF(EDATE(A96,1)&gt;Inputs!$K$3,"N/A",EDATE(A96,1)))</f>
        <v>N/A</v>
      </c>
      <c r="B97" s="309" t="str">
        <f aca="false">IF(A97="N/A"," ",YEAR(A97))</f>
        <v> </v>
      </c>
      <c r="C97" s="310" t="str">
        <f aca="false">IF(A97="N/A"," ",VLOOKUP(A97,ScaledPrice,10))</f>
        <v> </v>
      </c>
      <c r="D97" s="311" t="str">
        <f aca="false">IF(A97="N/A"," ",(VLOOKUP(MONTH($A97),Hrtable,2))/1000)</f>
        <v> </v>
      </c>
      <c r="E97" s="312" t="str">
        <f aca="false">IF($A97="N/A"," ",(C97-'Pricing Inputs'!T130)*D97)</f>
        <v> </v>
      </c>
      <c r="F97" s="313" t="str">
        <f aca="false">IF(A97="N/A"," ",$F85*(1+VOMesc))</f>
        <v> </v>
      </c>
      <c r="G97" s="313" t="str">
        <f aca="false">IF(A97="N/A"," ",Perstart/IF(AND(Dayrun&gt;=4,Dayrun&lt;=6),16,IF(AND(Dayrun&gt;=7,Dayrun&lt;=9),8,24))/(BM97/CK97))</f>
        <v> </v>
      </c>
      <c r="H97" s="314" t="str">
        <f aca="false">IF(A97="N/A"," ",(C97*D97)+F97+G97)</f>
        <v> </v>
      </c>
      <c r="I97" s="315" t="str">
        <f aca="false">VLOOKUP(A97,ScaledPrice,(IF(AND(Dayrun&gt;=1,Dayrun&lt;=6),2,4)))</f>
        <v> </v>
      </c>
      <c r="J97" s="315" t="str">
        <f aca="false">IF(A97="N/A"," ",IF(AND(Dayrun&gt;=1,Dayrun&lt;=6),I97,(VLOOKUP(A97,ScaledPrice,2))*(2-(VLOOKUP(A97,ScaledPrice,3)))))</f>
        <v> </v>
      </c>
      <c r="K97" s="315" t="str">
        <f aca="false">IF(A97="N/A"," ",IF(AND(Dayrun&gt;=1,Dayrun&lt;=3),VLOOKUP(A97,ScaledPrice,9),0))</f>
        <v> </v>
      </c>
      <c r="L97" s="315" t="str">
        <f aca="false">IF(A97="N/A"," ",IF(OR(Dayrun=2,Dayrun=3,Dayrun=5,Dayrun=6,Dayrun=8,Dayrun=9),VLOOKUP(A97,ScaledPrice,IF(AND(Dayrun&gt;=2,Dayrun&lt;=6),5,6)),0))</f>
        <v> </v>
      </c>
      <c r="M97" s="315" t="str">
        <f aca="false">IF(A97="N/A"," ",IF(OR(Dayrun=2,Dayrun=3,Dayrun=5,Dayrun=6,Dayrun=8,Dayrun=9),IF(AND(Dayrun&gt;=2,Dayrun&lt;=6),L97,(VLOOKUP(A97,ScaledPrice,5))*(2-(VLOOKUP(A97,ScaledPrice,3)))),0))</f>
        <v> </v>
      </c>
      <c r="N97" s="315" t="str">
        <f aca="false">IF(A97="N/A"," ",IF(AND(Dayrun&gt;1,Dayrun&lt;=3),VLOOKUP(A97,ScaledPrice,9),0))</f>
        <v> </v>
      </c>
      <c r="O97" s="315" t="str">
        <f aca="false">IF(A97="N/A"," ",IF(OR(Dayrun=3,Dayrun=6,Dayrun=9),(VLOOKUP(A97,ScaledPrice,IF(AND(Dayrun&gt;=3,Dayrun&lt;=6),7,8))),0))</f>
        <v> </v>
      </c>
      <c r="P97" s="315" t="str">
        <f aca="false">IF(A97="N/A"," ",IF(OR(Dayrun=3,Dayrun=6,Dayrun=9),IF(AND(Dayrun&gt;=3,Dayrun&lt;=6),O97,(VLOOKUP(A97,ScaledPrice,7))*(2-(VLOOKUP(A97,ScaledPrice,3)))),0))</f>
        <v> </v>
      </c>
      <c r="Q97" s="315" t="str">
        <f aca="false">IF(A97="N/A"," ",IF(AND(Dayrun&gt;2,Dayrun&lt;=3),VLOOKUP(A97,ScaledPrice,9),0))</f>
        <v> </v>
      </c>
      <c r="R97" s="316" t="str">
        <f aca="false">IF($A97="N/A"," ",IF(Pricetype=2,MAX(I97-$H97,0),IF(Pricetype=1,(xSPRDOPT(I97,$E97,$CI97,0,($CD97+IF(Smile=TRUE(),VLOOKUP(MAX(-5,$H97-I97),Volsmile,2),0)),$CG97,$CH97,($A97-DateToday)+15,1,0)),I97-$H97)))</f>
        <v> </v>
      </c>
      <c r="S97" s="316" t="str">
        <f aca="false">IF($A97="N/A"," ",IF(Pricetype=2,MAX(J97-$H97,0),IF(Pricetype=1,(xSPRDOPT(J97,$E97,$CI97,0,($CD97+IF(Smile=TRUE(),VLOOKUP(MAX(-5,$H97-J97),Volsmile,2),0)),$CG97,$CH97,($A97-DateToday)+15,1,0)),J97-$H97)))</f>
        <v> </v>
      </c>
      <c r="T97" s="317" t="str">
        <f aca="false">IF($A97="N/A"," ",(IF(Pricetype=2,IF((K97-$H97)&lt;=0,0,(K97-$H97)),IF(K97&lt;&gt;0,(K97-$H97),0))))</f>
        <v> </v>
      </c>
      <c r="U97" s="316" t="str">
        <f aca="false">IF($A97="N/A"," ",IF(Pricetype=2,MAX(L97-$H97,0),IF(L97&lt;&gt;0,IF(Pricetype=1,(xSPRDOPT(L97,$E97,$CI97,0,($CD97+IF(Smile=TRUE(),VLOOKUP(MAX(-5,$H97-L97),Volsmile,2),0)),$CG97,$CH97,($A97-DateToday)+15,1,0)),L97-$H97),0)))</f>
        <v> </v>
      </c>
      <c r="V97" s="316" t="str">
        <f aca="false">IF($A97="N/A"," ",IF(Pricetype=2,MAX(M97-$H97,0),IF(M97&lt;&gt;0,IF(Pricetype=1,(xSPRDOPT(M97,$E97,$CI97,0,($CD97+IF(Smile=TRUE(),VLOOKUP(MAX(-5,$H97-M97),Volsmile,2),0)),$CG97,$CH97,($A97-DateToday)+15,1,0)),M97-$H97),0)))</f>
        <v> </v>
      </c>
      <c r="W97" s="317" t="str">
        <f aca="false">IF($A97="N/A"," ",(IF(Pricetype=2,IF((N97-$H97)&lt;=0,0,(N97-$H97)),IF(N97&lt;&gt;0,(N97-$H97),0))))</f>
        <v> </v>
      </c>
      <c r="X97" s="316" t="str">
        <f aca="false">IF($A97="N/A"," ",IF(Pricetype=2,MAX(O97-$H97,0),IF(O97&lt;&gt;0,IF(Pricetype=1,(xSPRDOPT(O97,$E97,$CI97,0,($CD97+IF(Smile=TRUE(),VLOOKUP(MAX(-5,$H97-O97),Volsmile,2),0)),$CG97,$CH97,($A97-DateToday)+15,1,0)),O97-$H97),0)))</f>
        <v> </v>
      </c>
      <c r="Y97" s="316" t="str">
        <f aca="false">IF($A97="N/A"," ",IF(Pricetype=2,MAX(P97-$H97,0),IF(P97&lt;&gt;0,IF(Pricetype=1,(xSPRDOPT(P97,$E97,$CI97,0,($CD97+IF(Smile=TRUE(),VLOOKUP(MAX(-5,$H97-P97),Volsmile,2),0)),$CG97,$CH97,($A97-DateToday)+15,1,0)),P97-$H97),0)))</f>
        <v> </v>
      </c>
      <c r="Z97" s="317" t="str">
        <f aca="false">IF($A97="N/A"," ",(IF(Pricetype=2,IF((Q97-$H97)&lt;=0,0,(Q97-$H97)),IF(Q97&lt;&gt;0,(Q97-$H97),0))))</f>
        <v> </v>
      </c>
      <c r="AA97" s="318" t="str">
        <f aca="false">IF($A97="N/A"," ",IF(VLOOKUP(MONTH(A97),ManualTable,2)=1,(IF(0&lt;&gt;R97,IF(Pricetype=1,(xSPRDOPT(I97,$E97,$CI97,0,($CD97+IF(Smile=TRUE(),VLOOKUP(MAX(-5,$H97-I97),Volsmile,2),0)),$CG97,$CH97,($A97-DateToday)+15,1,1))*(8*$HD97),8*$HD97),0)),0))</f>
        <v> </v>
      </c>
      <c r="AB97" s="318" t="str">
        <f aca="false">IF($A97="N/A"," ",IF(VLOOKUP(MONTH(A97),ManualTable,3)=1,(IF(S97&lt;&gt;0,IF(Pricetype=1,(xSPRDOPT(J97,$E97,$CI97,0,($CD97+IF(Smile=TRUE(),VLOOKUP(MAX(-5,$H97-J97),Volsmile,2),0)),$CG97,$CH97,($A97-DateToday)+15,1,1))*(8*$HD97),8*$HD97),0)),0))</f>
        <v> </v>
      </c>
      <c r="AC97" s="318" t="str">
        <f aca="false">IF($A97="N/A"," ",IF(VLOOKUP(MONTH(A97),ManualTable,4)=1,(IF(T97&lt;&gt;0,(8*$HD97),0)),0))</f>
        <v> </v>
      </c>
      <c r="AD97" s="318" t="str">
        <f aca="false">IF($A97="N/A"," ",IF(VLOOKUP(MONTH(A97),ManualTable,5)=1,(IF(U97&lt;&gt;0,IF(Pricetype=1,(xSPRDOPT(L97,$E97,$CI97,0,($CD97+IF(Smile=TRUE(),VLOOKUP(MAX(-5,$H97-L97),Volsmile,2),0)),$CG97,$CH97,($A97-DateToday)+15,1,1))*(8*$HE97),8*$HE97),0)),0))</f>
        <v> </v>
      </c>
      <c r="AE97" s="318" t="str">
        <f aca="false">IF($A97="N/A"," ",IF(VLOOKUP(MONTH(A97),ManualTable,6)=1,(IF(V97&lt;&gt;0,IF(Pricetype=1,(xSPRDOPT(M97,$E97,$CI97,0,($CD97+IF(Smile=TRUE(),VLOOKUP(MAX(-5,$H97-M97),Volsmile,2),0)),$CG97,$CH97,($A97-DateToday)+15,1,1))*(8*$HE97),8*$HE97),0)),0))</f>
        <v> </v>
      </c>
      <c r="AF97" s="318" t="str">
        <f aca="false">IF($A97="N/A"," ",IF(VLOOKUP(MONTH(A97),ManualTable,7)=1,(IF(W97&lt;&gt;0,(8*$HE97),0)),0))</f>
        <v> </v>
      </c>
      <c r="AG97" s="318" t="str">
        <f aca="false">IF($A97="N/A"," ",IF(VLOOKUP(MONTH(A97),ManualTable,8)=1,(IF(X97&lt;&gt;0,IF(Pricetype=1,(xSPRDOPT(O97,$E97,$CI97,0,($CD97+IF(Smile=TRUE(),VLOOKUP(MAX(-5,$H97-O97),Volsmile,2),0)),$CG97,$CH97,($A97-DateToday)+15,1,1))*(8*$HF97),8*$HF97),0)),0))</f>
        <v> </v>
      </c>
      <c r="AH97" s="318" t="str">
        <f aca="false">IF($A97="N/A"," ",IF(VLOOKUP(MONTH(A97),ManualTable,9)=1,(IF(Y97&lt;&gt;0,IF(Pricetype=1,(xSPRDOPT(P97,$E97,$CI97,0,($CD97+IF(Smile=TRUE(),VLOOKUP(MAX(-5,$H97-P97),Volsmile,2),0)),$CG97,$CH97,($A97-DateToday)+15,1,1))*(8*$HF97),8*$HF97),0)),0))</f>
        <v> </v>
      </c>
      <c r="AI97" s="318" t="str">
        <f aca="false">IF($A97="N/A"," ",IF(VLOOKUP(MONTH(A97),ManualTable,10)=1,(IF(Z97&lt;&gt;0,(8*($HF97)),0)),0))</f>
        <v> </v>
      </c>
      <c r="AJ97" s="344" t="str">
        <f aca="false">IF($A97="N/A"," ",RANK(R97,$R$88:$Z$99))</f>
        <v> </v>
      </c>
      <c r="AK97" s="321" t="str">
        <f aca="false">IF($A97="N/A"," ",RANK(S97,$R$88:$Z$99))</f>
        <v> </v>
      </c>
      <c r="AL97" s="321" t="str">
        <f aca="false">IF($A97="N/A"," ",RANK(T97,$R$88:$Z$99))</f>
        <v> </v>
      </c>
      <c r="AM97" s="321" t="str">
        <f aca="false">IF($A97="N/A"," ",RANK(U97,$R$88:$Z$99))</f>
        <v> </v>
      </c>
      <c r="AN97" s="321" t="str">
        <f aca="false">IF($A97="N/A"," ",RANK(V97,$R$88:$Z$99))</f>
        <v> </v>
      </c>
      <c r="AO97" s="321" t="str">
        <f aca="false">IF($A97="N/A"," ",RANK(W97,$R$88:$Z$99))</f>
        <v> </v>
      </c>
      <c r="AP97" s="321" t="str">
        <f aca="false">IF($A97="N/A"," ",RANK(X97,$R$88:$Z$99))</f>
        <v> </v>
      </c>
      <c r="AQ97" s="321" t="str">
        <f aca="false">IF($A97="N/A"," ",RANK(Y97,$R$88:$Z$99))</f>
        <v> </v>
      </c>
      <c r="AR97" s="345" t="str">
        <f aca="false">IF($A97="N/A"," ",RANK(Z97,$R$88:$Z$99))</f>
        <v> </v>
      </c>
      <c r="AS97" s="323" t="str">
        <f aca="false">IF($A97="N/A"," ",IF(AJ97&lt;=$AR$2,AA97,0))</f>
        <v> </v>
      </c>
      <c r="AT97" s="325" t="str">
        <f aca="false">IF($A97="N/A"," ",IF(AK97&lt;=$AR$2,AB97,0))</f>
        <v> </v>
      </c>
      <c r="AU97" s="325" t="str">
        <f aca="false">IF($A97="N/A"," ",IF(AL97&lt;=$AR$2,AC97,0))</f>
        <v> </v>
      </c>
      <c r="AV97" s="325" t="str">
        <f aca="false">IF($A97="N/A"," ",IF(AM97&lt;=$AR$2,AD97,0))</f>
        <v> </v>
      </c>
      <c r="AW97" s="325" t="str">
        <f aca="false">IF($A97="N/A"," ",IF(AN97&lt;=$AR$2,AE97,0))</f>
        <v> </v>
      </c>
      <c r="AX97" s="325" t="str">
        <f aca="false">IF($A97="N/A"," ",IF(AO97&lt;=$AR$2,AF97,0))</f>
        <v> </v>
      </c>
      <c r="AY97" s="325" t="str">
        <f aca="false">IF($A97="N/A"," ",IF(AP97&lt;=$AR$2,AG97,0))</f>
        <v> </v>
      </c>
      <c r="AZ97" s="325" t="str">
        <f aca="false">IF($A97="N/A"," ",IF(AQ97&lt;=$AR$2,AH97,0))</f>
        <v> </v>
      </c>
      <c r="BA97" s="325" t="str">
        <f aca="false">IF($A97="N/A"," ",IF(AR97&lt;=$AR$2,AI97,0))</f>
        <v> </v>
      </c>
      <c r="BB97" s="348" t="s">
        <v>1319</v>
      </c>
      <c r="BC97" s="326" t="str">
        <f aca="false">IF($A97="N/A"," ",IF(AND(AJ97=$AR$2+1,AS97=0),MIN($BB$99,AA97),0))</f>
        <v> </v>
      </c>
      <c r="BD97" s="346" t="str">
        <f aca="false">IF($A97="N/A"," ",IF(AND(AK97=$AR$2+1,AT97=0),MIN($BB$99,AB97),0))</f>
        <v> </v>
      </c>
      <c r="BE97" s="346" t="str">
        <f aca="false">IF($A97="N/A"," ",IF(AND(AL97=$AR$2+1,AU97=0),MIN($BB$99,AC97),0))</f>
        <v> </v>
      </c>
      <c r="BF97" s="346" t="str">
        <f aca="false">IF($A97="N/A"," ",IF(AND(AM97=$AR$2+1,AV97=0),MIN($BB$99,AD97),0))</f>
        <v> </v>
      </c>
      <c r="BG97" s="346" t="str">
        <f aca="false">IF($A97="N/A"," ",IF(AND(AN97=$AR$2+1,AW97=0),MIN($BB$99,AE97),0))</f>
        <v> </v>
      </c>
      <c r="BH97" s="346" t="str">
        <f aca="false">IF($A97="N/A"," ",IF(AND(AO97=$AR$2+1,AX97=0),MIN($BB$99,AF97),0))</f>
        <v> </v>
      </c>
      <c r="BI97" s="346" t="str">
        <f aca="false">IF($A97="N/A"," ",IF(AND(AP97=$AR$2+1,AY97=0),MIN($BB$99,AG97),0))</f>
        <v> </v>
      </c>
      <c r="BJ97" s="346" t="str">
        <f aca="false">IF($A97="N/A"," ",IF(AND(AQ97=$AR$2+1,AZ97=0),MIN($BB$99,AH97),0))</f>
        <v> </v>
      </c>
      <c r="BK97" s="346" t="str">
        <f aca="false">IF($A97="N/A"," ",IF(AND(AR97=$AR$2+1,BA97=0),MIN($BB$99,AI97),0))</f>
        <v> </v>
      </c>
      <c r="BL97" s="347" t="s">
        <v>1359</v>
      </c>
      <c r="BM97" s="329" t="str">
        <f aca="false">IF($A97="N/A"," ",(IF(MONTH(A97)&gt;=4,IF(MONTH(A97)&lt;=10,Inputs!$F$13-Inputs!$G$13,Inputs!$F$14-Inputs!$G$14),Inputs!$F$14-Inputs!$G$14))*$CK97*Availability)</f>
        <v> </v>
      </c>
      <c r="BN97" s="330" t="str">
        <f aca="false">IF($A97="N/A"," ",(IF(AS97&gt;0,($BM97*(8*($HD97))*R97),0)+IF(BC97&gt;0,($BM97*((BC97/AA97)*8*$HD97)*R97),0)))</f>
        <v> </v>
      </c>
      <c r="BO97" s="330" t="str">
        <f aca="false">IF($A97="N/A"," ",(IF(AT97&gt;0,($BM97*(8*($HD97))*S97),0)+IF(BD97&gt;0,($BM97*((BD97/AB97)*8*$HD97)*S97),0)))</f>
        <v> </v>
      </c>
      <c r="BP97" s="330" t="str">
        <f aca="false">IF($A97="N/A"," ",(IF(AU97&gt;0,($BM97*(8*($HD97))*T97),0)+IF(BE97&gt;0,($BM97*((BE97))*T97),0)))</f>
        <v> </v>
      </c>
      <c r="BQ97" s="330" t="str">
        <f aca="false">IF($A97="N/A"," ",(IF(AV97&gt;0,($BM97*(8*($HE97))*U97),0)+IF(BF97&gt;0,($BM97*((BF97/AD97)*8*$HE97)*U97),0)))</f>
        <v> </v>
      </c>
      <c r="BR97" s="330" t="str">
        <f aca="false">IF($A97="N/A"," ",(IF(AW97&gt;0,($BM97*(8*($HE97))*V97),0)+IF(BG97&gt;0,($BM97*((BG97/AE97)*8*$HE97)*V97),0)))</f>
        <v> </v>
      </c>
      <c r="BS97" s="330" t="str">
        <f aca="false">IF($A97="N/A"," ",(IF(AX97&gt;0,($BM97*(8*($HE97))*W97),0)+IF(BH97&gt;0,($BM97*((BH97))*W97),0)))</f>
        <v> </v>
      </c>
      <c r="BT97" s="330" t="str">
        <f aca="false">IF($A97="N/A"," ",(IF(AY97&gt;0,($BM97*(8*($HF97))*X97),0)+IF(BI97&gt;0,($BM97*((BI97/AG97)*8*$HF97)*X97),0)))</f>
        <v> </v>
      </c>
      <c r="BU97" s="330" t="str">
        <f aca="false">IF($A97="N/A"," ",(IF(AZ97&gt;0,($BM97*(8*($HF97))*Y97),0)+IF(BJ97&gt;0,($BM97*((BJ97/AH97)*8*$HF97)*Y97),0)))</f>
        <v> </v>
      </c>
      <c r="BV97" s="330" t="str">
        <f aca="false">IF($A97="N/A"," ",(IF(BA97&gt;0,($BM97*(8*($HF97))*Z97),0)+IF(BK97&gt;0,($BM97*((BK97))*Z97),0)))</f>
        <v> </v>
      </c>
      <c r="BW97" s="330" t="str">
        <f aca="false">IF($A97="N/A"," ",SUM(BN97:BV97))</f>
        <v> </v>
      </c>
      <c r="BX97" s="331" t="str">
        <f aca="false">IF($A97="N/A"," ",(H97*(SUM(AS97:BA97)+SUM(BC97:BK97))*BM97))</f>
        <v> </v>
      </c>
      <c r="BY97" s="332" t="str">
        <f aca="false">IF($A97="N/A"," ",((C97*D97)*(SUM($AS97:$BA97)+SUM($BC97:$BK97))*$BM97))</f>
        <v> </v>
      </c>
      <c r="BZ97" s="332" t="str">
        <f aca="false">IF($A97="N/A"," ",(F97*(SUM($AS97:$BA97)+SUM($BC97:$BK97))*$BM97))</f>
        <v> </v>
      </c>
      <c r="CA97" s="333" t="str">
        <f aca="false">IF($A97="N/A"," ",(G97*(SUM($AS97:$BA97)+SUM($BC97:$BK97))*$BM97))</f>
        <v> </v>
      </c>
      <c r="CB97" s="334" t="str">
        <f aca="false">IF(A97="N/A"," ",(VLOOKUP(A97,PowerVolTable,(IF(BMO=2,7,IF(BMO=1,6,8))),FALSE())))</f>
        <v> </v>
      </c>
      <c r="CC97" s="334" t="str">
        <f aca="false">IF(A97="N/A"," ",(VLOOKUP(A97,IntraPowerVol,(IF(BMO=2,3,IF(BMO=1,2,4))),FALSE())*VLOOKUP(MONTH($A97),Volscale,2)))</f>
        <v> </v>
      </c>
      <c r="CD97" s="335" t="str">
        <f aca="false">IF($A97="N/A"," ",(IF(DateToday&gt;$A97,$CC97,((($CB97^2)*((($A97-1)-DateToday)/((EOMONTH($A97,0)+1)-DateToday-15)))+((($CC97)^2)*((15)/((EOMONTH($A97,0)+1)-DateToday-15))))^0.5)))</f>
        <v> </v>
      </c>
      <c r="CE97" s="334" t="str">
        <f aca="false">IF($A97="N/A"," ",(VLOOKUP($A97,GasVolTable,(IF(BMO=2,6,IF(BMO=1,7,5))),FALSE())))</f>
        <v> </v>
      </c>
      <c r="CF97" s="334" t="str">
        <f aca="false">IF($A97="N/A"," ",(VLOOKUP($A97,OmicronVol,(IF(BMO=2,3,IF(BMO=1,4,2))),FALSE())))</f>
        <v> </v>
      </c>
      <c r="CG97" s="335" t="str">
        <f aca="false">IF($A97="N/A"," ",(IF(DateToday&gt;$A97,$CF97,((($CE97^2)*((($A97-1)-DateToday)/((EOMONTH($A97,0)+1)-DateToday-15)))+((($CF97)^2)*((15)/((EOMONTH($A97,0)+1)-DateToday-15))))^0.5)))</f>
        <v> </v>
      </c>
      <c r="CH97" s="334" t="str">
        <f aca="false">IF($A97="N/A"," ",VLOOKUP($A97,CorrelationTable,2,FALSE()))</f>
        <v> </v>
      </c>
      <c r="CI97" s="336" t="str">
        <f aca="false">IF($A97="N/A"," ",F97+G97+(D97*('Pricing Inputs'!T130)))</f>
        <v> </v>
      </c>
      <c r="CJ97" s="334" t="str">
        <f aca="false">IF($A97="N/A"," ",IF(PV=1,0,'Pricing Inputs'!U130))</f>
        <v> </v>
      </c>
      <c r="CK97" s="337" t="str">
        <f aca="false">IF($A97="N/A"," ",(1+CJ97/2)^(-2*((EOMONTH(A97,0)+20)-DateToday)/365.25))</f>
        <v> </v>
      </c>
      <c r="CL97" s="338" t="str">
        <f aca="false">IF(A97="N/A"," ",IF(CC=2,(VLOOKUP(MONTH($A97),Hrtable,3))/1000,0))</f>
        <v> </v>
      </c>
      <c r="CM97" s="339" t="str">
        <f aca="false">IF(A97="N/A"," ",IF(CC=2,(CL97*C97)+F97,0))</f>
        <v> </v>
      </c>
      <c r="CN97" s="340" t="str">
        <f aca="false">IF($A97="N/A"," ",IF(CC=2,(VLOOKUP(A97,ScaledPrice,(IF(AND(Dayrun&gt;=1,Dayrun&lt;=6),2,4)))-((IF(R97&lt;&gt;0,$D97,$CL97)*$C97)+$F97+$G97)),0))</f>
        <v> </v>
      </c>
      <c r="CO97" s="340" t="str">
        <f aca="false">IF($A97="N/A"," ",IF(CC=2,(IF(AND(Dayrun&gt;=1,Dayrun&lt;=6),I97,(VLOOKUP(A97,ScaledPrice,2))*(2-(VLOOKUP(A97,ScaledPrice,3))))-((IF(S97&lt;&gt;0,$D97,$CL97)*$C97)+$F97+$G97)),0))</f>
        <v> </v>
      </c>
      <c r="CP97" s="340" t="str">
        <f aca="false">IF(A97="N/A"," ",IF(CC=2,(VLOOKUP(A97,ScaledPrice,9)-((IF(T97&lt;&gt;0,$D97,$CL97)*$C97)+$F97+$G97)),0))</f>
        <v> </v>
      </c>
      <c r="CQ97" s="340" t="str">
        <f aca="false">IF(A97="N/A"," ",IF(CC=2,(IF(OR(Dayrun=2,Dayrun=3,Dayrun=5,Dayrun=6,Dayrun=8,Dayrun=9),VLOOKUP(A97,ScaledPrice,IF(AND(Dayrun&gt;=2,Dayrun&lt;=6),5,6)),0)-((IF(U97&lt;&gt;0,$D97,$CL97)*$C97)+$F97+$G97)),0))</f>
        <v> </v>
      </c>
      <c r="CR97" s="340" t="str">
        <f aca="false">IF(A97="N/A"," ",IF(CC=2,(IF(OR(Dayrun=2,Dayrun=3,Dayrun=5,Dayrun=6,Dayrun=8,Dayrun=9),IF(AND(Dayrun&gt;=2,Dayrun&lt;=6),L97,(VLOOKUP(A97,ScaledPrice,5))*(2-(VLOOKUP(A97,ScaledPrice,3)))),0)-((IF(V97&lt;&gt;0,$D97,$CL97)*$C97)+$F97+$G97)),0))</f>
        <v> </v>
      </c>
      <c r="CS97" s="340" t="str">
        <f aca="false">IF(A97="N/A"," ",IF(CC=2,(VLOOKUP(A97,ScaledPrice,9)-((IF(W97&lt;&gt;0,$D97,$CL97)*$C97)+$F97+$G97)),0))</f>
        <v> </v>
      </c>
      <c r="CT97" s="340" t="str">
        <f aca="false">IF(A97="N/A"," ",IF(CC=2,(IF(OR(Dayrun=3,Dayrun=6,Dayrun=9),(VLOOKUP(A97,ScaledPrice,IF(AND(Dayrun&gt;=3,Dayrun&lt;=6),7,8))),0)-((IF(X97&lt;&gt;0,$D97,$CL97)*$C97)+$F97+$G97)),0))</f>
        <v> </v>
      </c>
      <c r="CU97" s="340" t="str">
        <f aca="false">IF(A97="N/A"," ",IF(CC=2,(IF(OR(Dayrun=3,Dayrun=6,Dayrun=9),IF(AND(Dayrun&gt;=3,Dayrun&lt;=6),O97,(VLOOKUP(A97,ScaledPrice,7))*(2-(VLOOKUP(A97,ScaledPrice,3)))),0)-((IF(Y97&lt;&gt;0,$D97,$CL97)*$C97)+$F97+$G97)),0))</f>
        <v> </v>
      </c>
      <c r="CV97" s="340" t="str">
        <f aca="false">IF(A97="N/A"," ",IF(CC=2,(VLOOKUP(A97,ScaledPrice,9)-((IF(Z97&lt;&gt;0,$D97,$CL97)*$C97)+$F97+$G97)),0))</f>
        <v> </v>
      </c>
      <c r="CW97" s="318" t="str">
        <f aca="false">IF($A97="N/A"," ",IF(0&lt;&gt;CN97,IF(CC=2,8*$HD97,0),0))</f>
        <v> </v>
      </c>
      <c r="CX97" s="318" t="str">
        <f aca="false">IF($A97="N/A"," ",IF(0&lt;&gt;CO97,IF(CC=2,8*$HD97,0),0))</f>
        <v> </v>
      </c>
      <c r="CY97" s="318" t="str">
        <f aca="false">IF($A97="N/A"," ",IF(0&lt;&gt;CP97,IF(CC=2,8*$HD97,0),0))</f>
        <v> </v>
      </c>
      <c r="CZ97" s="318" t="str">
        <f aca="false">IF($A97="N/A"," ",IF(0&lt;&gt;CQ97,IF(CC=2,8*$HE97,0),0))</f>
        <v> </v>
      </c>
      <c r="DA97" s="318" t="str">
        <f aca="false">IF($A97="N/A"," ",IF(0&lt;&gt;CR97,IF(CC=2,8*$HE97,0),0))</f>
        <v> </v>
      </c>
      <c r="DB97" s="318" t="str">
        <f aca="false">IF($A97="N/A"," ",IF(0&lt;&gt;CS97,IF(CC=2,8*$HE97,0),0))</f>
        <v> </v>
      </c>
      <c r="DC97" s="318" t="str">
        <f aca="false">IF($A97="N/A"," ",IF(0&lt;&gt;CT97,IF(CC=2,8*$HF97,0),0))</f>
        <v> </v>
      </c>
      <c r="DD97" s="318" t="str">
        <f aca="false">IF($A97="N/A"," ",IF(0&lt;&gt;CU97,IF(CC=2,8*$HF97,0),0))</f>
        <v> </v>
      </c>
      <c r="DE97" s="318" t="str">
        <f aca="false">IF($A97="N/A"," ",IF(0&lt;&gt;CV97,IF(CC=2,8*$HF97,0),0))</f>
        <v> </v>
      </c>
      <c r="DF97" s="341" t="str">
        <f aca="false">IF($A97="N/A"," ",IF(CC=2,(IF(MONTH(A97)&gt;=4,IF(MONTH(A97)&lt;=10,Inputs!$G$13,Inputs!$G$14),Inputs!$G$14))*$CK97,0))</f>
        <v> </v>
      </c>
      <c r="DG97" s="342" t="str">
        <f aca="false">IF($A97="N/A"," ",IF(CC=2,$DF97*CW97*CN97,0))</f>
        <v> </v>
      </c>
      <c r="DH97" s="342" t="str">
        <f aca="false">IF($A97="N/A"," ",IF(CC=2,$DF97*CX97*CO97,0))</f>
        <v> </v>
      </c>
      <c r="DI97" s="342" t="str">
        <f aca="false">IF($A97="N/A"," ",IF(CC=2,$DF97*CY97*CP97,0))</f>
        <v> </v>
      </c>
      <c r="DJ97" s="342" t="str">
        <f aca="false">IF($A97="N/A"," ",IF(CC=2,$DF97*CZ97*CQ97,0))</f>
        <v> </v>
      </c>
      <c r="DK97" s="342" t="str">
        <f aca="false">IF($A97="N/A"," ",IF(CC=2,$DF97*DA97*CR97,0))</f>
        <v> </v>
      </c>
      <c r="DL97" s="342" t="str">
        <f aca="false">IF($A97="N/A"," ",IF(CC=2,$DF97*DB97*CS97,0))</f>
        <v> </v>
      </c>
      <c r="DM97" s="342" t="str">
        <f aca="false">IF($A97="N/A"," ",IF(CC=2,$DF97*DC97*CT97,0))</f>
        <v> </v>
      </c>
      <c r="DN97" s="342" t="str">
        <f aca="false">IF($A97="N/A"," ",IF(CC=2,$DF97*DD97*CU97,0))</f>
        <v> </v>
      </c>
      <c r="DO97" s="342" t="str">
        <f aca="false">IF($A97="N/A"," ",IF(CC=2,$DF97*DE97*CV97,0))</f>
        <v> </v>
      </c>
      <c r="DP97" s="343" t="str">
        <f aca="false">IF($A97="N/A"," ",IF(CC=2,SUM(DG97:DO97),0))</f>
        <v> </v>
      </c>
      <c r="DQ97" s="0" t="str">
        <f aca="false">IF(A97="N/A"," ",Perstart)</f>
        <v> </v>
      </c>
      <c r="HD97" s="0" t="str">
        <f aca="false">IF($A97="N/A"," ",VLOOKUP($A97,NumberofDaysTable,2))</f>
        <v> </v>
      </c>
      <c r="HE97" s="0" t="str">
        <f aca="false">IF($A97="N/A"," ",VLOOKUP($A97,NumberofDaysTable,3))</f>
        <v> </v>
      </c>
      <c r="HF97" s="0" t="str">
        <f aca="false">IF($A97="N/A"," ",VLOOKUP($A97,NumberofDaysTable,4))</f>
        <v> </v>
      </c>
    </row>
    <row r="98" customFormat="false" ht="12.75" hidden="false" customHeight="false" outlineLevel="0" collapsed="false">
      <c r="A98" s="308" t="str">
        <f aca="false">IF(A97="N/A","N/A",IF(EDATE(A97,1)&gt;Inputs!$K$3,"N/A",EDATE(A97,1)))</f>
        <v>N/A</v>
      </c>
      <c r="B98" s="309" t="str">
        <f aca="false">IF(A98="N/A"," ",YEAR(A98))</f>
        <v> </v>
      </c>
      <c r="C98" s="310" t="str">
        <f aca="false">IF(A98="N/A"," ",VLOOKUP(A98,ScaledPrice,10))</f>
        <v> </v>
      </c>
      <c r="D98" s="311" t="str">
        <f aca="false">IF(A98="N/A"," ",(VLOOKUP(MONTH($A98),Hrtable,2))/1000)</f>
        <v> </v>
      </c>
      <c r="E98" s="312" t="str">
        <f aca="false">IF($A98="N/A"," ",(C98-'Pricing Inputs'!T131)*D98)</f>
        <v> </v>
      </c>
      <c r="F98" s="313" t="str">
        <f aca="false">IF(A98="N/A"," ",$F86*(1+VOMesc))</f>
        <v> </v>
      </c>
      <c r="G98" s="313" t="str">
        <f aca="false">IF(A98="N/A"," ",Perstart/IF(AND(Dayrun&gt;=4,Dayrun&lt;=6),16,IF(AND(Dayrun&gt;=7,Dayrun&lt;=9),8,24))/(BM98/CK98))</f>
        <v> </v>
      </c>
      <c r="H98" s="314" t="str">
        <f aca="false">IF(A98="N/A"," ",(C98*D98)+F98+G98)</f>
        <v> </v>
      </c>
      <c r="I98" s="315" t="str">
        <f aca="false">VLOOKUP(A98,ScaledPrice,(IF(AND(Dayrun&gt;=1,Dayrun&lt;=6),2,4)))</f>
        <v> </v>
      </c>
      <c r="J98" s="315" t="str">
        <f aca="false">IF(A98="N/A"," ",IF(AND(Dayrun&gt;=1,Dayrun&lt;=6),I98,(VLOOKUP(A98,ScaledPrice,2))*(2-(VLOOKUP(A98,ScaledPrice,3)))))</f>
        <v> </v>
      </c>
      <c r="K98" s="315" t="str">
        <f aca="false">IF(A98="N/A"," ",IF(AND(Dayrun&gt;=1,Dayrun&lt;=3),VLOOKUP(A98,ScaledPrice,9),0))</f>
        <v> </v>
      </c>
      <c r="L98" s="315" t="str">
        <f aca="false">IF(A98="N/A"," ",IF(OR(Dayrun=2,Dayrun=3,Dayrun=5,Dayrun=6,Dayrun=8,Dayrun=9),VLOOKUP(A98,ScaledPrice,IF(AND(Dayrun&gt;=2,Dayrun&lt;=6),5,6)),0))</f>
        <v> </v>
      </c>
      <c r="M98" s="315" t="str">
        <f aca="false">IF(A98="N/A"," ",IF(OR(Dayrun=2,Dayrun=3,Dayrun=5,Dayrun=6,Dayrun=8,Dayrun=9),IF(AND(Dayrun&gt;=2,Dayrun&lt;=6),L98,(VLOOKUP(A98,ScaledPrice,5))*(2-(VLOOKUP(A98,ScaledPrice,3)))),0))</f>
        <v> </v>
      </c>
      <c r="N98" s="315" t="str">
        <f aca="false">IF(A98="N/A"," ",IF(AND(Dayrun&gt;1,Dayrun&lt;=3),VLOOKUP(A98,ScaledPrice,9),0))</f>
        <v> </v>
      </c>
      <c r="O98" s="315" t="str">
        <f aca="false">IF(A98="N/A"," ",IF(OR(Dayrun=3,Dayrun=6,Dayrun=9),(VLOOKUP(A98,ScaledPrice,IF(AND(Dayrun&gt;=3,Dayrun&lt;=6),7,8))),0))</f>
        <v> </v>
      </c>
      <c r="P98" s="315" t="str">
        <f aca="false">IF(A98="N/A"," ",IF(OR(Dayrun=3,Dayrun=6,Dayrun=9),IF(AND(Dayrun&gt;=3,Dayrun&lt;=6),O98,(VLOOKUP(A98,ScaledPrice,7))*(2-(VLOOKUP(A98,ScaledPrice,3)))),0))</f>
        <v> </v>
      </c>
      <c r="Q98" s="315" t="str">
        <f aca="false">IF(A98="N/A"," ",IF(AND(Dayrun&gt;2,Dayrun&lt;=3),VLOOKUP(A98,ScaledPrice,9),0))</f>
        <v> </v>
      </c>
      <c r="R98" s="316" t="str">
        <f aca="false">IF($A98="N/A"," ",IF(Pricetype=2,MAX(I98-$H98,0),IF(Pricetype=1,(xSPRDOPT(I98,$E98,$CI98,0,($CD98+IF(Smile=TRUE(),VLOOKUP(MAX(-5,$H98-I98),Volsmile,2),0)),$CG98,$CH98,($A98-DateToday)+15,1,0)),I98-$H98)))</f>
        <v> </v>
      </c>
      <c r="S98" s="316" t="str">
        <f aca="false">IF($A98="N/A"," ",IF(Pricetype=2,MAX(J98-$H98,0),IF(Pricetype=1,(xSPRDOPT(J98,$E98,$CI98,0,($CD98+IF(Smile=TRUE(),VLOOKUP(MAX(-5,$H98-J98),Volsmile,2),0)),$CG98,$CH98,($A98-DateToday)+15,1,0)),J98-$H98)))</f>
        <v> </v>
      </c>
      <c r="T98" s="317" t="str">
        <f aca="false">IF($A98="N/A"," ",(IF(Pricetype=2,IF((K98-$H98)&lt;=0,0,(K98-$H98)),IF(K98&lt;&gt;0,(K98-$H98),0))))</f>
        <v> </v>
      </c>
      <c r="U98" s="316" t="str">
        <f aca="false">IF($A98="N/A"," ",IF(Pricetype=2,MAX(L98-$H98,0),IF(L98&lt;&gt;0,IF(Pricetype=1,(xSPRDOPT(L98,$E98,$CI98,0,($CD98+IF(Smile=TRUE(),VLOOKUP(MAX(-5,$H98-L98),Volsmile,2),0)),$CG98,$CH98,($A98-DateToday)+15,1,0)),L98-$H98),0)))</f>
        <v> </v>
      </c>
      <c r="V98" s="316" t="str">
        <f aca="false">IF($A98="N/A"," ",IF(Pricetype=2,MAX(M98-$H98,0),IF(M98&lt;&gt;0,IF(Pricetype=1,(xSPRDOPT(M98,$E98,$CI98,0,($CD98+IF(Smile=TRUE(),VLOOKUP(MAX(-5,$H98-M98),Volsmile,2),0)),$CG98,$CH98,($A98-DateToday)+15,1,0)),M98-$H98),0)))</f>
        <v> </v>
      </c>
      <c r="W98" s="317" t="str">
        <f aca="false">IF($A98="N/A"," ",(IF(Pricetype=2,IF((N98-$H98)&lt;=0,0,(N98-$H98)),IF(N98&lt;&gt;0,(N98-$H98),0))))</f>
        <v> </v>
      </c>
      <c r="X98" s="316" t="str">
        <f aca="false">IF($A98="N/A"," ",IF(Pricetype=2,MAX(O98-$H98,0),IF(O98&lt;&gt;0,IF(Pricetype=1,(xSPRDOPT(O98,$E98,$CI98,0,($CD98+IF(Smile=TRUE(),VLOOKUP(MAX(-5,$H98-O98),Volsmile,2),0)),$CG98,$CH98,($A98-DateToday)+15,1,0)),O98-$H98),0)))</f>
        <v> </v>
      </c>
      <c r="Y98" s="316" t="str">
        <f aca="false">IF($A98="N/A"," ",IF(Pricetype=2,MAX(P98-$H98,0),IF(P98&lt;&gt;0,IF(Pricetype=1,(xSPRDOPT(P98,$E98,$CI98,0,($CD98+IF(Smile=TRUE(),VLOOKUP(MAX(-5,$H98-P98),Volsmile,2),0)),$CG98,$CH98,($A98-DateToday)+15,1,0)),P98-$H98),0)))</f>
        <v> </v>
      </c>
      <c r="Z98" s="317" t="str">
        <f aca="false">IF($A98="N/A"," ",(IF(Pricetype=2,IF((Q98-$H98)&lt;=0,0,(Q98-$H98)),IF(Q98&lt;&gt;0,(Q98-$H98),0))))</f>
        <v> </v>
      </c>
      <c r="AA98" s="318" t="str">
        <f aca="false">IF($A98="N/A"," ",IF(VLOOKUP(MONTH(A98),ManualTable,2)=1,(IF(0&lt;&gt;R98,IF(Pricetype=1,(xSPRDOPT(I98,$E98,$CI98,0,($CD98+IF(Smile=TRUE(),VLOOKUP(MAX(-5,$H98-I98),Volsmile,2),0)),$CG98,$CH98,($A98-DateToday)+15,1,1))*(8*$HD98),8*$HD98),0)),0))</f>
        <v> </v>
      </c>
      <c r="AB98" s="318" t="str">
        <f aca="false">IF($A98="N/A"," ",IF(VLOOKUP(MONTH(A98),ManualTable,3)=1,(IF(S98&lt;&gt;0,IF(Pricetype=1,(xSPRDOPT(J98,$E98,$CI98,0,($CD98+IF(Smile=TRUE(),VLOOKUP(MAX(-5,$H98-J98),Volsmile,2),0)),$CG98,$CH98,($A98-DateToday)+15,1,1))*(8*$HD98),8*$HD98),0)),0))</f>
        <v> </v>
      </c>
      <c r="AC98" s="318" t="str">
        <f aca="false">IF($A98="N/A"," ",IF(VLOOKUP(MONTH(A98),ManualTable,4)=1,(IF(T98&lt;&gt;0,(8*$HD98),0)),0))</f>
        <v> </v>
      </c>
      <c r="AD98" s="318" t="str">
        <f aca="false">IF($A98="N/A"," ",IF(VLOOKUP(MONTH(A98),ManualTable,5)=1,(IF(U98&lt;&gt;0,IF(Pricetype=1,(xSPRDOPT(L98,$E98,$CI98,0,($CD98+IF(Smile=TRUE(),VLOOKUP(MAX(-5,$H98-L98),Volsmile,2),0)),$CG98,$CH98,($A98-DateToday)+15,1,1))*(8*$HE98),8*$HE98),0)),0))</f>
        <v> </v>
      </c>
      <c r="AE98" s="318" t="str">
        <f aca="false">IF($A98="N/A"," ",IF(VLOOKUP(MONTH(A98),ManualTable,6)=1,(IF(V98&lt;&gt;0,IF(Pricetype=1,(xSPRDOPT(M98,$E98,$CI98,0,($CD98+IF(Smile=TRUE(),VLOOKUP(MAX(-5,$H98-M98),Volsmile,2),0)),$CG98,$CH98,($A98-DateToday)+15,1,1))*(8*$HE98),8*$HE98),0)),0))</f>
        <v> </v>
      </c>
      <c r="AF98" s="318" t="str">
        <f aca="false">IF($A98="N/A"," ",IF(VLOOKUP(MONTH(A98),ManualTable,7)=1,(IF(W98&lt;&gt;0,(8*$HE98),0)),0))</f>
        <v> </v>
      </c>
      <c r="AG98" s="318" t="str">
        <f aca="false">IF($A98="N/A"," ",IF(VLOOKUP(MONTH(A98),ManualTable,8)=1,(IF(X98&lt;&gt;0,IF(Pricetype=1,(xSPRDOPT(O98,$E98,$CI98,0,($CD98+IF(Smile=TRUE(),VLOOKUP(MAX(-5,$H98-O98),Volsmile,2),0)),$CG98,$CH98,($A98-DateToday)+15,1,1))*(8*$HF98),8*$HF98),0)),0))</f>
        <v> </v>
      </c>
      <c r="AH98" s="318" t="str">
        <f aca="false">IF($A98="N/A"," ",IF(VLOOKUP(MONTH(A98),ManualTable,9)=1,(IF(Y98&lt;&gt;0,IF(Pricetype=1,(xSPRDOPT(P98,$E98,$CI98,0,($CD98+IF(Smile=TRUE(),VLOOKUP(MAX(-5,$H98-P98),Volsmile,2),0)),$CG98,$CH98,($A98-DateToday)+15,1,1))*(8*$HF98),8*$HF98),0)),0))</f>
        <v> </v>
      </c>
      <c r="AI98" s="318" t="str">
        <f aca="false">IF($A98="N/A"," ",IF(VLOOKUP(MONTH(A98),ManualTable,10)=1,(IF(Z98&lt;&gt;0,(8*($HF98)),0)),0))</f>
        <v> </v>
      </c>
      <c r="AJ98" s="344" t="str">
        <f aca="false">IF($A98="N/A"," ",RANK(R98,$R$88:$Z$99))</f>
        <v> </v>
      </c>
      <c r="AK98" s="321" t="str">
        <f aca="false">IF($A98="N/A"," ",RANK(S98,$R$88:$Z$99))</f>
        <v> </v>
      </c>
      <c r="AL98" s="321" t="str">
        <f aca="false">IF($A98="N/A"," ",RANK(T98,$R$88:$Z$99))</f>
        <v> </v>
      </c>
      <c r="AM98" s="321" t="str">
        <f aca="false">IF($A98="N/A"," ",RANK(U98,$R$88:$Z$99))</f>
        <v> </v>
      </c>
      <c r="AN98" s="321" t="str">
        <f aca="false">IF($A98="N/A"," ",RANK(V98,$R$88:$Z$99))</f>
        <v> </v>
      </c>
      <c r="AO98" s="321" t="str">
        <f aca="false">IF($A98="N/A"," ",RANK(W98,$R$88:$Z$99))</f>
        <v> </v>
      </c>
      <c r="AP98" s="321" t="str">
        <f aca="false">IF($A98="N/A"," ",RANK(X98,$R$88:$Z$99))</f>
        <v> </v>
      </c>
      <c r="AQ98" s="321" t="str">
        <f aca="false">IF($A98="N/A"," ",RANK(Y98,$R$88:$Z$99))</f>
        <v> </v>
      </c>
      <c r="AR98" s="345" t="str">
        <f aca="false">IF($A98="N/A"," ",RANK(Z98,$R$88:$Z$99))</f>
        <v> </v>
      </c>
      <c r="AS98" s="323" t="str">
        <f aca="false">IF($A98="N/A"," ",IF(AJ98&lt;=$AR$2,AA98,0))</f>
        <v> </v>
      </c>
      <c r="AT98" s="325" t="str">
        <f aca="false">IF($A98="N/A"," ",IF(AK98&lt;=$AR$2,AB98,0))</f>
        <v> </v>
      </c>
      <c r="AU98" s="325" t="str">
        <f aca="false">IF($A98="N/A"," ",IF(AL98&lt;=$AR$2,AC98,0))</f>
        <v> </v>
      </c>
      <c r="AV98" s="325" t="str">
        <f aca="false">IF($A98="N/A"," ",IF(AM98&lt;=$AR$2,AD98,0))</f>
        <v> </v>
      </c>
      <c r="AW98" s="325" t="str">
        <f aca="false">IF($A98="N/A"," ",IF(AN98&lt;=$AR$2,AE98,0))</f>
        <v> </v>
      </c>
      <c r="AX98" s="325" t="str">
        <f aca="false">IF($A98="N/A"," ",IF(AO98&lt;=$AR$2,AF98,0))</f>
        <v> </v>
      </c>
      <c r="AY98" s="325" t="str">
        <f aca="false">IF($A98="N/A"," ",IF(AP98&lt;=$AR$2,AG98,0))</f>
        <v> </v>
      </c>
      <c r="AZ98" s="325" t="str">
        <f aca="false">IF($A98="N/A"," ",IF(AQ98&lt;=$AR$2,AH98,0))</f>
        <v> </v>
      </c>
      <c r="BA98" s="325" t="str">
        <f aca="false">IF($A98="N/A"," ",IF(AR98&lt;=$AR$2,AI98,0))</f>
        <v> </v>
      </c>
      <c r="BB98" s="345" t="n">
        <f aca="false">SUM(AS88:BA99)</f>
        <v>0</v>
      </c>
      <c r="BC98" s="326" t="str">
        <f aca="false">IF($A98="N/A"," ",IF(AND(AJ98=$AR$2+1,AS98=0),MIN($BB$99,AA98),0))</f>
        <v> </v>
      </c>
      <c r="BD98" s="346" t="str">
        <f aca="false">IF($A98="N/A"," ",IF(AND(AK98=$AR$2+1,AT98=0),MIN($BB$99,AB98),0))</f>
        <v> </v>
      </c>
      <c r="BE98" s="346" t="str">
        <f aca="false">IF($A98="N/A"," ",IF(AND(AL98=$AR$2+1,AU98=0),MIN($BB$99,AC98),0))</f>
        <v> </v>
      </c>
      <c r="BF98" s="346" t="str">
        <f aca="false">IF($A98="N/A"," ",IF(AND(AM98=$AR$2+1,AV98=0),MIN($BB$99,AD98),0))</f>
        <v> </v>
      </c>
      <c r="BG98" s="346" t="str">
        <f aca="false">IF($A98="N/A"," ",IF(AND(AN98=$AR$2+1,AW98=0),MIN($BB$99,AE98),0))</f>
        <v> </v>
      </c>
      <c r="BH98" s="346" t="str">
        <f aca="false">IF($A98="N/A"," ",IF(AND(AO98=$AR$2+1,AX98=0),MIN($BB$99,AF98),0))</f>
        <v> </v>
      </c>
      <c r="BI98" s="346" t="str">
        <f aca="false">IF($A98="N/A"," ",IF(AND(AP98=$AR$2+1,AY98=0),MIN($BB$99,AG98),0))</f>
        <v> </v>
      </c>
      <c r="BJ98" s="346" t="str">
        <f aca="false">IF($A98="N/A"," ",IF(AND(AQ98=$AR$2+1,AZ98=0),MIN($BB$99,AH98),0))</f>
        <v> </v>
      </c>
      <c r="BK98" s="346" t="str">
        <f aca="false">IF($A98="N/A"," ",IF(AND(AR98=$AR$2+1,BA98=0),MIN($BB$99,AI98),0))</f>
        <v> </v>
      </c>
      <c r="BL98" s="345" t="n">
        <f aca="false">SUM(BC88:BK99)</f>
        <v>0</v>
      </c>
      <c r="BM98" s="329" t="str">
        <f aca="false">IF($A98="N/A"," ",(IF(MONTH(A98)&gt;=4,IF(MONTH(A98)&lt;=10,Inputs!$F$13-Inputs!$G$13,Inputs!$F$14-Inputs!$G$14),Inputs!$F$14-Inputs!$G$14))*$CK98*Availability)</f>
        <v> </v>
      </c>
      <c r="BN98" s="330" t="str">
        <f aca="false">IF($A98="N/A"," ",(IF(AS98&gt;0,($BM98*(8*($HD98))*R98),0)+IF(BC98&gt;0,($BM98*((BC98/AA98)*8*$HD98)*R98),0)))</f>
        <v> </v>
      </c>
      <c r="BO98" s="330" t="str">
        <f aca="false">IF($A98="N/A"," ",(IF(AT98&gt;0,($BM98*(8*($HD98))*S98),0)+IF(BD98&gt;0,($BM98*((BD98/AB98)*8*$HD98)*S98),0)))</f>
        <v> </v>
      </c>
      <c r="BP98" s="330" t="str">
        <f aca="false">IF($A98="N/A"," ",(IF(AU98&gt;0,($BM98*(8*($HD98))*T98),0)+IF(BE98&gt;0,($BM98*((BE98))*T98),0)))</f>
        <v> </v>
      </c>
      <c r="BQ98" s="330" t="str">
        <f aca="false">IF($A98="N/A"," ",(IF(AV98&gt;0,($BM98*(8*($HE98))*U98),0)+IF(BF98&gt;0,($BM98*((BF98/AD98)*8*$HE98)*U98),0)))</f>
        <v> </v>
      </c>
      <c r="BR98" s="330" t="str">
        <f aca="false">IF($A98="N/A"," ",(IF(AW98&gt;0,($BM98*(8*($HE98))*V98),0)+IF(BG98&gt;0,($BM98*((BG98/AE98)*8*$HE98)*V98),0)))</f>
        <v> </v>
      </c>
      <c r="BS98" s="330" t="str">
        <f aca="false">IF($A98="N/A"," ",(IF(AX98&gt;0,($BM98*(8*($HE98))*W98),0)+IF(BH98&gt;0,($BM98*((BH98))*W98),0)))</f>
        <v> </v>
      </c>
      <c r="BT98" s="330" t="str">
        <f aca="false">IF($A98="N/A"," ",(IF(AY98&gt;0,($BM98*(8*($HF98))*X98),0)+IF(BI98&gt;0,($BM98*((BI98/AG98)*8*$HF98)*X98),0)))</f>
        <v> </v>
      </c>
      <c r="BU98" s="330" t="str">
        <f aca="false">IF($A98="N/A"," ",(IF(AZ98&gt;0,($BM98*(8*($HF98))*Y98),0)+IF(BJ98&gt;0,($BM98*((BJ98/AH98)*8*$HF98)*Y98),0)))</f>
        <v> </v>
      </c>
      <c r="BV98" s="330" t="str">
        <f aca="false">IF($A98="N/A"," ",(IF(BA98&gt;0,($BM98*(8*($HF98))*Z98),0)+IF(BK98&gt;0,($BM98*((BK98))*Z98),0)))</f>
        <v> </v>
      </c>
      <c r="BW98" s="330" t="str">
        <f aca="false">IF($A98="N/A"," ",SUM(BN98:BV98))</f>
        <v> </v>
      </c>
      <c r="BX98" s="331" t="str">
        <f aca="false">IF($A98="N/A"," ",(H98*(SUM(AS98:BA98)+SUM(BC98:BK98))*BM98))</f>
        <v> </v>
      </c>
      <c r="BY98" s="332" t="str">
        <f aca="false">IF($A98="N/A"," ",((C98*D98)*(SUM($AS98:$BA98)+SUM($BC98:$BK98))*$BM98))</f>
        <v> </v>
      </c>
      <c r="BZ98" s="332" t="str">
        <f aca="false">IF($A98="N/A"," ",(F98*(SUM($AS98:$BA98)+SUM($BC98:$BK98))*$BM98))</f>
        <v> </v>
      </c>
      <c r="CA98" s="333" t="str">
        <f aca="false">IF($A98="N/A"," ",(G98*(SUM($AS98:$BA98)+SUM($BC98:$BK98))*$BM98))</f>
        <v> </v>
      </c>
      <c r="CB98" s="334" t="str">
        <f aca="false">IF(A98="N/A"," ",(VLOOKUP(A98,PowerVolTable,(IF(BMO=2,7,IF(BMO=1,6,8))),FALSE())))</f>
        <v> </v>
      </c>
      <c r="CC98" s="334" t="str">
        <f aca="false">IF(A98="N/A"," ",(VLOOKUP(A98,IntraPowerVol,(IF(BMO=2,3,IF(BMO=1,2,4))),FALSE())*VLOOKUP(MONTH($A98),Volscale,2)))</f>
        <v> </v>
      </c>
      <c r="CD98" s="335" t="str">
        <f aca="false">IF($A98="N/A"," ",(IF(DateToday&gt;$A98,$CC98,((($CB98^2)*((($A98-1)-DateToday)/((EOMONTH($A98,0)+1)-DateToday-15)))+((($CC98)^2)*((15)/((EOMONTH($A98,0)+1)-DateToday-15))))^0.5)))</f>
        <v> </v>
      </c>
      <c r="CE98" s="334" t="str">
        <f aca="false">IF($A98="N/A"," ",(VLOOKUP($A98,GasVolTable,(IF(BMO=2,6,IF(BMO=1,7,5))),FALSE())))</f>
        <v> </v>
      </c>
      <c r="CF98" s="334" t="str">
        <f aca="false">IF($A98="N/A"," ",(VLOOKUP($A98,OmicronVol,(IF(BMO=2,3,IF(BMO=1,4,2))),FALSE())))</f>
        <v> </v>
      </c>
      <c r="CG98" s="335" t="str">
        <f aca="false">IF($A98="N/A"," ",(IF(DateToday&gt;$A98,$CF98,((($CE98^2)*((($A98-1)-DateToday)/((EOMONTH($A98,0)+1)-DateToday-15)))+((($CF98)^2)*((15)/((EOMONTH($A98,0)+1)-DateToday-15))))^0.5)))</f>
        <v> </v>
      </c>
      <c r="CH98" s="334" t="str">
        <f aca="false">IF($A98="N/A"," ",VLOOKUP($A98,CorrelationTable,2,FALSE()))</f>
        <v> </v>
      </c>
      <c r="CI98" s="336" t="str">
        <f aca="false">IF($A98="N/A"," ",F98+G98+(D98*('Pricing Inputs'!T131)))</f>
        <v> </v>
      </c>
      <c r="CJ98" s="334" t="str">
        <f aca="false">IF($A98="N/A"," ",IF(PV=1,0,'Pricing Inputs'!U131))</f>
        <v> </v>
      </c>
      <c r="CK98" s="337" t="str">
        <f aca="false">IF($A98="N/A"," ",(1+CJ98/2)^(-2*((EOMONTH(A98,0)+20)-DateToday)/365.25))</f>
        <v> </v>
      </c>
      <c r="CL98" s="338" t="str">
        <f aca="false">IF(A98="N/A"," ",IF(CC=2,(VLOOKUP(MONTH($A98),Hrtable,3))/1000,0))</f>
        <v> </v>
      </c>
      <c r="CM98" s="339" t="str">
        <f aca="false">IF(A98="N/A"," ",IF(CC=2,(CL98*C98)+F98,0))</f>
        <v> </v>
      </c>
      <c r="CN98" s="340" t="str">
        <f aca="false">IF($A98="N/A"," ",IF(CC=2,(VLOOKUP(A98,ScaledPrice,(IF(AND(Dayrun&gt;=1,Dayrun&lt;=6),2,4)))-((IF(R98&lt;&gt;0,$D98,$CL98)*$C98)+$F98+$G98)),0))</f>
        <v> </v>
      </c>
      <c r="CO98" s="340" t="str">
        <f aca="false">IF($A98="N/A"," ",IF(CC=2,(IF(AND(Dayrun&gt;=1,Dayrun&lt;=6),I98,(VLOOKUP(A98,ScaledPrice,2))*(2-(VLOOKUP(A98,ScaledPrice,3))))-((IF(S98&lt;&gt;0,$D98,$CL98)*$C98)+$F98+$G98)),0))</f>
        <v> </v>
      </c>
      <c r="CP98" s="340" t="str">
        <f aca="false">IF(A98="N/A"," ",IF(CC=2,(VLOOKUP(A98,ScaledPrice,9)-((IF(T98&lt;&gt;0,$D98,$CL98)*$C98)+$F98+$G98)),0))</f>
        <v> </v>
      </c>
      <c r="CQ98" s="340" t="str">
        <f aca="false">IF(A98="N/A"," ",IF(CC=2,(IF(OR(Dayrun=2,Dayrun=3,Dayrun=5,Dayrun=6,Dayrun=8,Dayrun=9),VLOOKUP(A98,ScaledPrice,IF(AND(Dayrun&gt;=2,Dayrun&lt;=6),5,6)),0)-((IF(U98&lt;&gt;0,$D98,$CL98)*$C98)+$F98+$G98)),0))</f>
        <v> </v>
      </c>
      <c r="CR98" s="340" t="str">
        <f aca="false">IF(A98="N/A"," ",IF(CC=2,(IF(OR(Dayrun=2,Dayrun=3,Dayrun=5,Dayrun=6,Dayrun=8,Dayrun=9),IF(AND(Dayrun&gt;=2,Dayrun&lt;=6),L98,(VLOOKUP(A98,ScaledPrice,5))*(2-(VLOOKUP(A98,ScaledPrice,3)))),0)-((IF(V98&lt;&gt;0,$D98,$CL98)*$C98)+$F98+$G98)),0))</f>
        <v> </v>
      </c>
      <c r="CS98" s="340" t="str">
        <f aca="false">IF(A98="N/A"," ",IF(CC=2,(VLOOKUP(A98,ScaledPrice,9)-((IF(W98&lt;&gt;0,$D98,$CL98)*$C98)+$F98+$G98)),0))</f>
        <v> </v>
      </c>
      <c r="CT98" s="340" t="str">
        <f aca="false">IF(A98="N/A"," ",IF(CC=2,(IF(OR(Dayrun=3,Dayrun=6,Dayrun=9),(VLOOKUP(A98,ScaledPrice,IF(AND(Dayrun&gt;=3,Dayrun&lt;=6),7,8))),0)-((IF(X98&lt;&gt;0,$D98,$CL98)*$C98)+$F98+$G98)),0))</f>
        <v> </v>
      </c>
      <c r="CU98" s="340" t="str">
        <f aca="false">IF(A98="N/A"," ",IF(CC=2,(IF(OR(Dayrun=3,Dayrun=6,Dayrun=9),IF(AND(Dayrun&gt;=3,Dayrun&lt;=6),O98,(VLOOKUP(A98,ScaledPrice,7))*(2-(VLOOKUP(A98,ScaledPrice,3)))),0)-((IF(Y98&lt;&gt;0,$D98,$CL98)*$C98)+$F98+$G98)),0))</f>
        <v> </v>
      </c>
      <c r="CV98" s="340" t="str">
        <f aca="false">IF(A98="N/A"," ",IF(CC=2,(VLOOKUP(A98,ScaledPrice,9)-((IF(Z98&lt;&gt;0,$D98,$CL98)*$C98)+$F98+$G98)),0))</f>
        <v> </v>
      </c>
      <c r="CW98" s="318" t="str">
        <f aca="false">IF($A98="N/A"," ",IF(0&lt;&gt;CN98,IF(CC=2,8*$HD98,0),0))</f>
        <v> </v>
      </c>
      <c r="CX98" s="318" t="str">
        <f aca="false">IF($A98="N/A"," ",IF(0&lt;&gt;CO98,IF(CC=2,8*$HD98,0),0))</f>
        <v> </v>
      </c>
      <c r="CY98" s="318" t="str">
        <f aca="false">IF($A98="N/A"," ",IF(0&lt;&gt;CP98,IF(CC=2,8*$HD98,0),0))</f>
        <v> </v>
      </c>
      <c r="CZ98" s="318" t="str">
        <f aca="false">IF($A98="N/A"," ",IF(0&lt;&gt;CQ98,IF(CC=2,8*$HE98,0),0))</f>
        <v> </v>
      </c>
      <c r="DA98" s="318" t="str">
        <f aca="false">IF($A98="N/A"," ",IF(0&lt;&gt;CR98,IF(CC=2,8*$HE98,0),0))</f>
        <v> </v>
      </c>
      <c r="DB98" s="318" t="str">
        <f aca="false">IF($A98="N/A"," ",IF(0&lt;&gt;CS98,IF(CC=2,8*$HE98,0),0))</f>
        <v> </v>
      </c>
      <c r="DC98" s="318" t="str">
        <f aca="false">IF($A98="N/A"," ",IF(0&lt;&gt;CT98,IF(CC=2,8*$HF98,0),0))</f>
        <v> </v>
      </c>
      <c r="DD98" s="318" t="str">
        <f aca="false">IF($A98="N/A"," ",IF(0&lt;&gt;CU98,IF(CC=2,8*$HF98,0),0))</f>
        <v> </v>
      </c>
      <c r="DE98" s="318" t="str">
        <f aca="false">IF($A98="N/A"," ",IF(0&lt;&gt;CV98,IF(CC=2,8*$HF98,0),0))</f>
        <v> </v>
      </c>
      <c r="DF98" s="341" t="str">
        <f aca="false">IF($A98="N/A"," ",IF(CC=2,(IF(MONTH(A98)&gt;=4,IF(MONTH(A98)&lt;=10,Inputs!$G$13,Inputs!$G$14),Inputs!$G$14))*$CK98,0))</f>
        <v> </v>
      </c>
      <c r="DG98" s="342" t="str">
        <f aca="false">IF($A98="N/A"," ",IF(CC=2,$DF98*CW98*CN98,0))</f>
        <v> </v>
      </c>
      <c r="DH98" s="342" t="str">
        <f aca="false">IF($A98="N/A"," ",IF(CC=2,$DF98*CX98*CO98,0))</f>
        <v> </v>
      </c>
      <c r="DI98" s="342" t="str">
        <f aca="false">IF($A98="N/A"," ",IF(CC=2,$DF98*CY98*CP98,0))</f>
        <v> </v>
      </c>
      <c r="DJ98" s="342" t="str">
        <f aca="false">IF($A98="N/A"," ",IF(CC=2,$DF98*CZ98*CQ98,0))</f>
        <v> </v>
      </c>
      <c r="DK98" s="342" t="str">
        <f aca="false">IF($A98="N/A"," ",IF(CC=2,$DF98*DA98*CR98,0))</f>
        <v> </v>
      </c>
      <c r="DL98" s="342" t="str">
        <f aca="false">IF($A98="N/A"," ",IF(CC=2,$DF98*DB98*CS98,0))</f>
        <v> </v>
      </c>
      <c r="DM98" s="342" t="str">
        <f aca="false">IF($A98="N/A"," ",IF(CC=2,$DF98*DC98*CT98,0))</f>
        <v> </v>
      </c>
      <c r="DN98" s="342" t="str">
        <f aca="false">IF($A98="N/A"," ",IF(CC=2,$DF98*DD98*CU98,0))</f>
        <v> </v>
      </c>
      <c r="DO98" s="342" t="str">
        <f aca="false">IF($A98="N/A"," ",IF(CC=2,$DF98*DE98*CV98,0))</f>
        <v> </v>
      </c>
      <c r="DP98" s="343" t="str">
        <f aca="false">IF($A98="N/A"," ",IF(CC=2,SUM(DG98:DO98),0))</f>
        <v> </v>
      </c>
      <c r="DQ98" s="0" t="str">
        <f aca="false">IF(A98="N/A"," ",Perstart)</f>
        <v> </v>
      </c>
      <c r="HD98" s="0" t="str">
        <f aca="false">IF($A98="N/A"," ",VLOOKUP($A98,NumberofDaysTable,2))</f>
        <v> </v>
      </c>
      <c r="HE98" s="0" t="str">
        <f aca="false">IF($A98="N/A"," ",VLOOKUP($A98,NumberofDaysTable,3))</f>
        <v> </v>
      </c>
      <c r="HF98" s="0" t="str">
        <f aca="false">IF($A98="N/A"," ",VLOOKUP($A98,NumberofDaysTable,4))</f>
        <v> </v>
      </c>
    </row>
    <row r="99" customFormat="false" ht="12.75" hidden="false" customHeight="false" outlineLevel="0" collapsed="false">
      <c r="A99" s="308" t="str">
        <f aca="false">IF(A98="N/A","N/A",IF(EDATE(A98,1)&gt;Inputs!$K$3,"N/A",EDATE(A98,1)))</f>
        <v>N/A</v>
      </c>
      <c r="B99" s="309" t="str">
        <f aca="false">IF(A99="N/A"," ",YEAR(A99))</f>
        <v> </v>
      </c>
      <c r="C99" s="310" t="str">
        <f aca="false">IF(A99="N/A"," ",VLOOKUP(A99,ScaledPrice,10))</f>
        <v> </v>
      </c>
      <c r="D99" s="311" t="str">
        <f aca="false">IF(A99="N/A"," ",(VLOOKUP(MONTH($A99),Hrtable,2))/1000)</f>
        <v> </v>
      </c>
      <c r="E99" s="312" t="str">
        <f aca="false">IF($A99="N/A"," ",(C99-'Pricing Inputs'!T132)*D99)</f>
        <v> </v>
      </c>
      <c r="F99" s="313" t="str">
        <f aca="false">IF(A99="N/A"," ",$F87*(1+VOMesc))</f>
        <v> </v>
      </c>
      <c r="G99" s="313" t="str">
        <f aca="false">IF(A99="N/A"," ",Perstart/IF(AND(Dayrun&gt;=4,Dayrun&lt;=6),16,IF(AND(Dayrun&gt;=7,Dayrun&lt;=9),8,24))/(BM99/CK99))</f>
        <v> </v>
      </c>
      <c r="H99" s="314" t="str">
        <f aca="false">IF(A99="N/A"," ",(C99*D99)+F99+G99)</f>
        <v> </v>
      </c>
      <c r="I99" s="315" t="str">
        <f aca="false">VLOOKUP(A99,ScaledPrice,(IF(AND(Dayrun&gt;=1,Dayrun&lt;=6),2,4)))</f>
        <v> </v>
      </c>
      <c r="J99" s="315" t="str">
        <f aca="false">IF(A99="N/A"," ",IF(AND(Dayrun&gt;=1,Dayrun&lt;=6),I99,(VLOOKUP(A99,ScaledPrice,2))*(2-(VLOOKUP(A99,ScaledPrice,3)))))</f>
        <v> </v>
      </c>
      <c r="K99" s="315" t="str">
        <f aca="false">IF(A99="N/A"," ",IF(AND(Dayrun&gt;=1,Dayrun&lt;=3),VLOOKUP(A99,ScaledPrice,9),0))</f>
        <v> </v>
      </c>
      <c r="L99" s="315" t="str">
        <f aca="false">IF(A99="N/A"," ",IF(OR(Dayrun=2,Dayrun=3,Dayrun=5,Dayrun=6,Dayrun=8,Dayrun=9),VLOOKUP(A99,ScaledPrice,IF(AND(Dayrun&gt;=2,Dayrun&lt;=6),5,6)),0))</f>
        <v> </v>
      </c>
      <c r="M99" s="315" t="str">
        <f aca="false">IF(A99="N/A"," ",IF(OR(Dayrun=2,Dayrun=3,Dayrun=5,Dayrun=6,Dayrun=8,Dayrun=9),IF(AND(Dayrun&gt;=2,Dayrun&lt;=6),L99,(VLOOKUP(A99,ScaledPrice,5))*(2-(VLOOKUP(A99,ScaledPrice,3)))),0))</f>
        <v> </v>
      </c>
      <c r="N99" s="315" t="str">
        <f aca="false">IF(A99="N/A"," ",IF(AND(Dayrun&gt;1,Dayrun&lt;=3),VLOOKUP(A99,ScaledPrice,9),0))</f>
        <v> </v>
      </c>
      <c r="O99" s="315" t="str">
        <f aca="false">IF(A99="N/A"," ",IF(OR(Dayrun=3,Dayrun=6,Dayrun=9),(VLOOKUP(A99,ScaledPrice,IF(AND(Dayrun&gt;=3,Dayrun&lt;=6),7,8))),0))</f>
        <v> </v>
      </c>
      <c r="P99" s="315" t="str">
        <f aca="false">IF(A99="N/A"," ",IF(OR(Dayrun=3,Dayrun=6,Dayrun=9),IF(AND(Dayrun&gt;=3,Dayrun&lt;=6),O99,(VLOOKUP(A99,ScaledPrice,7))*(2-(VLOOKUP(A99,ScaledPrice,3)))),0))</f>
        <v> </v>
      </c>
      <c r="Q99" s="315" t="str">
        <f aca="false">IF(A99="N/A"," ",IF(AND(Dayrun&gt;2,Dayrun&lt;=3),VLOOKUP(A99,ScaledPrice,9),0))</f>
        <v> </v>
      </c>
      <c r="R99" s="316" t="str">
        <f aca="false">IF($A99="N/A"," ",IF(Pricetype=2,MAX(I99-$H99,0),IF(Pricetype=1,(xSPRDOPT(I99,$E99,$CI99,0,($CD99+IF(Smile=TRUE(),VLOOKUP(MAX(-5,$H99-I99),Volsmile,2),0)),$CG99,$CH99,($A99-DateToday)+15,1,0)),I99-$H99)))</f>
        <v> </v>
      </c>
      <c r="S99" s="316" t="str">
        <f aca="false">IF($A99="N/A"," ",IF(Pricetype=2,MAX(J99-$H99,0),IF(Pricetype=1,(xSPRDOPT(J99,$E99,$CI99,0,($CD99+IF(Smile=TRUE(),VLOOKUP(MAX(-5,$H99-J99),Volsmile,2),0)),$CG99,$CH99,($A99-DateToday)+15,1,0)),J99-$H99)))</f>
        <v> </v>
      </c>
      <c r="T99" s="317" t="str">
        <f aca="false">IF($A99="N/A"," ",(IF(Pricetype=2,IF((K99-$H99)&lt;=0,0,(K99-$H99)),IF(K99&lt;&gt;0,(K99-$H99),0))))</f>
        <v> </v>
      </c>
      <c r="U99" s="316" t="str">
        <f aca="false">IF($A99="N/A"," ",IF(Pricetype=2,MAX(L99-$H99,0),IF(L99&lt;&gt;0,IF(Pricetype=1,(xSPRDOPT(L99,$E99,$CI99,0,($CD99+IF(Smile=TRUE(),VLOOKUP(MAX(-5,$H99-L99),Volsmile,2),0)),$CG99,$CH99,($A99-DateToday)+15,1,0)),L99-$H99),0)))</f>
        <v> </v>
      </c>
      <c r="V99" s="316" t="str">
        <f aca="false">IF($A99="N/A"," ",IF(Pricetype=2,MAX(M99-$H99,0),IF(M99&lt;&gt;0,IF(Pricetype=1,(xSPRDOPT(M99,$E99,$CI99,0,($CD99+IF(Smile=TRUE(),VLOOKUP(MAX(-5,$H99-M99),Volsmile,2),0)),$CG99,$CH99,($A99-DateToday)+15,1,0)),M99-$H99),0)))</f>
        <v> </v>
      </c>
      <c r="W99" s="317" t="str">
        <f aca="false">IF($A99="N/A"," ",(IF(Pricetype=2,IF((N99-$H99)&lt;=0,0,(N99-$H99)),IF(N99&lt;&gt;0,(N99-$H99),0))))</f>
        <v> </v>
      </c>
      <c r="X99" s="316" t="str">
        <f aca="false">IF($A99="N/A"," ",IF(Pricetype=2,MAX(O99-$H99,0),IF(O99&lt;&gt;0,IF(Pricetype=1,(xSPRDOPT(O99,$E99,$CI99,0,($CD99+IF(Smile=TRUE(),VLOOKUP(MAX(-5,$H99-O99),Volsmile,2),0)),$CG99,$CH99,($A99-DateToday)+15,1,0)),O99-$H99),0)))</f>
        <v> </v>
      </c>
      <c r="Y99" s="316" t="str">
        <f aca="false">IF($A99="N/A"," ",IF(Pricetype=2,MAX(P99-$H99,0),IF(P99&lt;&gt;0,IF(Pricetype=1,(xSPRDOPT(P99,$E99,$CI99,0,($CD99+IF(Smile=TRUE(),VLOOKUP(MAX(-5,$H99-P99),Volsmile,2),0)),$CG99,$CH99,($A99-DateToday)+15,1,0)),P99-$H99),0)))</f>
        <v> </v>
      </c>
      <c r="Z99" s="317" t="str">
        <f aca="false">IF($A99="N/A"," ",(IF(Pricetype=2,IF((Q99-$H99)&lt;=0,0,(Q99-$H99)),IF(Q99&lt;&gt;0,(Q99-$H99),0))))</f>
        <v> </v>
      </c>
      <c r="AA99" s="318" t="str">
        <f aca="false">IF($A99="N/A"," ",IF(VLOOKUP(MONTH(A99),ManualTable,2)=1,(IF(0&lt;&gt;R99,IF(Pricetype=1,(xSPRDOPT(I99,$E99,$CI99,0,($CD99+IF(Smile=TRUE(),VLOOKUP(MAX(-5,$H99-I99),Volsmile,2),0)),$CG99,$CH99,($A99-DateToday)+15,1,1))*(8*$HD99),8*$HD99),0)),0))</f>
        <v> </v>
      </c>
      <c r="AB99" s="318" t="str">
        <f aca="false">IF($A99="N/A"," ",IF(VLOOKUP(MONTH(A99),ManualTable,3)=1,(IF(S99&lt;&gt;0,IF(Pricetype=1,(xSPRDOPT(J99,$E99,$CI99,0,($CD99+IF(Smile=TRUE(),VLOOKUP(MAX(-5,$H99-J99),Volsmile,2),0)),$CG99,$CH99,($A99-DateToday)+15,1,1))*(8*$HD99),8*$HD99),0)),0))</f>
        <v> </v>
      </c>
      <c r="AC99" s="318" t="str">
        <f aca="false">IF($A99="N/A"," ",IF(VLOOKUP(MONTH(A99),ManualTable,4)=1,(IF(T99&lt;&gt;0,(8*$HD99),0)),0))</f>
        <v> </v>
      </c>
      <c r="AD99" s="318" t="str">
        <f aca="false">IF($A99="N/A"," ",IF(VLOOKUP(MONTH(A99),ManualTable,5)=1,(IF(U99&lt;&gt;0,IF(Pricetype=1,(xSPRDOPT(L99,$E99,$CI99,0,($CD99+IF(Smile=TRUE(),VLOOKUP(MAX(-5,$H99-L99),Volsmile,2),0)),$CG99,$CH99,($A99-DateToday)+15,1,1))*(8*$HE99),8*$HE99),0)),0))</f>
        <v> </v>
      </c>
      <c r="AE99" s="318" t="str">
        <f aca="false">IF($A99="N/A"," ",IF(VLOOKUP(MONTH(A99),ManualTable,6)=1,(IF(V99&lt;&gt;0,IF(Pricetype=1,(xSPRDOPT(M99,$E99,$CI99,0,($CD99+IF(Smile=TRUE(),VLOOKUP(MAX(-5,$H99-M99),Volsmile,2),0)),$CG99,$CH99,($A99-DateToday)+15,1,1))*(8*$HE99),8*$HE99),0)),0))</f>
        <v> </v>
      </c>
      <c r="AF99" s="318" t="str">
        <f aca="false">IF($A99="N/A"," ",IF(VLOOKUP(MONTH(A99),ManualTable,7)=1,(IF(W99&lt;&gt;0,(8*$HE99),0)),0))</f>
        <v> </v>
      </c>
      <c r="AG99" s="318" t="str">
        <f aca="false">IF($A99="N/A"," ",IF(VLOOKUP(MONTH(A99),ManualTable,8)=1,(IF(X99&lt;&gt;0,IF(Pricetype=1,(xSPRDOPT(O99,$E99,$CI99,0,($CD99+IF(Smile=TRUE(),VLOOKUP(MAX(-5,$H99-O99),Volsmile,2),0)),$CG99,$CH99,($A99-DateToday)+15,1,1))*(8*$HF99),8*$HF99),0)),0))</f>
        <v> </v>
      </c>
      <c r="AH99" s="318" t="str">
        <f aca="false">IF($A99="N/A"," ",IF(VLOOKUP(MONTH(A99),ManualTable,9)=1,(IF(Y99&lt;&gt;0,IF(Pricetype=1,(xSPRDOPT(P99,$E99,$CI99,0,($CD99+IF(Smile=TRUE(),VLOOKUP(MAX(-5,$H99-P99),Volsmile,2),0)),$CG99,$CH99,($A99-DateToday)+15,1,1))*(8*$HF99),8*$HF99),0)),0))</f>
        <v> </v>
      </c>
      <c r="AI99" s="318" t="str">
        <f aca="false">IF($A99="N/A"," ",IF(VLOOKUP(MONTH(A99),ManualTable,10)=1,(IF(Z99&lt;&gt;0,(8*($HF99)),0)),0))</f>
        <v> </v>
      </c>
      <c r="AJ99" s="349" t="str">
        <f aca="false">IF($A99="N/A"," ",RANK(R99,$R$88:$Z$99))</f>
        <v> </v>
      </c>
      <c r="AK99" s="350" t="str">
        <f aca="false">IF($A99="N/A"," ",RANK(S99,$R$88:$Z$99))</f>
        <v> </v>
      </c>
      <c r="AL99" s="350" t="str">
        <f aca="false">IF($A99="N/A"," ",RANK(T99,$R$88:$Z$99))</f>
        <v> </v>
      </c>
      <c r="AM99" s="350" t="str">
        <f aca="false">IF($A99="N/A"," ",RANK(U99,$R$88:$Z$99))</f>
        <v> </v>
      </c>
      <c r="AN99" s="350" t="str">
        <f aca="false">IF($A99="N/A"," ",RANK(V99,$R$88:$Z$99))</f>
        <v> </v>
      </c>
      <c r="AO99" s="350" t="str">
        <f aca="false">IF($A99="N/A"," ",RANK(W99,$R$88:$Z$99))</f>
        <v> </v>
      </c>
      <c r="AP99" s="350" t="str">
        <f aca="false">IF($A99="N/A"," ",RANK(X99,$R$88:$Z$99))</f>
        <v> </v>
      </c>
      <c r="AQ99" s="350" t="str">
        <f aca="false">IF($A99="N/A"," ",RANK(Y99,$R$88:$Z$99))</f>
        <v> </v>
      </c>
      <c r="AR99" s="351" t="str">
        <f aca="false">IF($A99="N/A"," ",RANK(Z99,$R$88:$Z$99))</f>
        <v> </v>
      </c>
      <c r="AS99" s="352" t="str">
        <f aca="false">IF($A99="N/A"," ",IF(AJ99&lt;=$AR$2,AA99,0))</f>
        <v> </v>
      </c>
      <c r="AT99" s="353" t="str">
        <f aca="false">IF($A99="N/A"," ",IF(AK99&lt;=$AR$2,AB99,0))</f>
        <v> </v>
      </c>
      <c r="AU99" s="353" t="str">
        <f aca="false">IF($A99="N/A"," ",IF(AL99&lt;=$AR$2,AC99,0))</f>
        <v> </v>
      </c>
      <c r="AV99" s="353" t="str">
        <f aca="false">IF($A99="N/A"," ",IF(AM99&lt;=$AR$2,AD99,0))</f>
        <v> </v>
      </c>
      <c r="AW99" s="353" t="str">
        <f aca="false">IF($A99="N/A"," ",IF(AN99&lt;=$AR$2,AE99,0))</f>
        <v> </v>
      </c>
      <c r="AX99" s="353" t="str">
        <f aca="false">IF($A99="N/A"," ",IF(AO99&lt;=$AR$2,AF99,0))</f>
        <v> </v>
      </c>
      <c r="AY99" s="353" t="str">
        <f aca="false">IF($A99="N/A"," ",IF(AP99&lt;=$AR$2,AG99,0))</f>
        <v> </v>
      </c>
      <c r="AZ99" s="353" t="str">
        <f aca="false">IF($A99="N/A"," ",IF(AQ99&lt;=$AR$2,AH99,0))</f>
        <v> </v>
      </c>
      <c r="BA99" s="353" t="str">
        <f aca="false">IF($A99="N/A"," ",IF(AR99&lt;=$AR$2,AI99,0))</f>
        <v> </v>
      </c>
      <c r="BB99" s="351" t="n">
        <f aca="false">IF(($AZ$2-BB98)&gt;=0,$AZ$2-BB98,0)</f>
        <v>980</v>
      </c>
      <c r="BC99" s="354" t="str">
        <f aca="false">IF($A99="N/A"," ",IF(AND(AJ99=$AR$2+1,AS99=0),MIN($BB$99,AA99),0))</f>
        <v> </v>
      </c>
      <c r="BD99" s="355" t="str">
        <f aca="false">IF($A99="N/A"," ",IF(AND(AK99=$AR$2+1,AT99=0),MIN($BB$99,AB99),0))</f>
        <v> </v>
      </c>
      <c r="BE99" s="346" t="str">
        <f aca="false">IF($A99="N/A"," ",IF(AND(AL99=$AR$2+1,AU99=0),MIN($BB$99,AC99),0))</f>
        <v> </v>
      </c>
      <c r="BF99" s="355" t="str">
        <f aca="false">IF($A99="N/A"," ",IF(AND(AM99=$AR$2+1,AV99=0),MIN($BB$99,AD99),0))</f>
        <v> </v>
      </c>
      <c r="BG99" s="355" t="str">
        <f aca="false">IF($A99="N/A"," ",IF(AND(AN99=$AR$2+1,AW99=0),MIN($BB$99,AE99),0))</f>
        <v> </v>
      </c>
      <c r="BH99" s="346" t="str">
        <f aca="false">IF($A99="N/A"," ",IF(AND(AO99=$AR$2+1,AX99=0),MIN($BB$99,AF99),0))</f>
        <v> </v>
      </c>
      <c r="BI99" s="355" t="str">
        <f aca="false">IF($A99="N/A"," ",IF(AND(AP99=$AR$2+1,AY99=0),MIN($BB$99,AG99),0))</f>
        <v> </v>
      </c>
      <c r="BJ99" s="355" t="str">
        <f aca="false">IF($A99="N/A"," ",IF(AND(AQ99=$AR$2+1,AZ99=0),MIN($BB$99,AH99),0))</f>
        <v> </v>
      </c>
      <c r="BK99" s="355" t="str">
        <f aca="false">IF($A99="N/A"," ",IF(AND(AR99=$AR$2+1,BA99=0),MIN($BB$99,AI99),0))</f>
        <v> </v>
      </c>
      <c r="BL99" s="356" t="n">
        <f aca="false">BB98+BL98</f>
        <v>0</v>
      </c>
      <c r="BM99" s="329" t="str">
        <f aca="false">IF($A99="N/A"," ",(IF(MONTH(A99)&gt;=4,IF(MONTH(A99)&lt;=10,Inputs!$F$13-Inputs!$G$13,Inputs!$F$14-Inputs!$G$14),Inputs!$F$14-Inputs!$G$14))*$CK99*Availability)</f>
        <v> </v>
      </c>
      <c r="BN99" s="330" t="str">
        <f aca="false">IF($A99="N/A"," ",(IF(AS99&gt;0,($BM99*(8*($HD99))*R99),0)+IF(BC99&gt;0,($BM99*((BC99/AA99)*8*$HD99)*R99),0)))</f>
        <v> </v>
      </c>
      <c r="BO99" s="330" t="str">
        <f aca="false">IF($A99="N/A"," ",(IF(AT99&gt;0,($BM99*(8*($HD99))*S99),0)+IF(BD99&gt;0,($BM99*((BD99/AB99)*8*$HD99)*S99),0)))</f>
        <v> </v>
      </c>
      <c r="BP99" s="330" t="str">
        <f aca="false">IF($A99="N/A"," ",(IF(AU99&gt;0,($BM99*(8*($HD99))*T99),0)+IF(BE99&gt;0,($BM99*((BE99))*T99),0)))</f>
        <v> </v>
      </c>
      <c r="BQ99" s="330" t="str">
        <f aca="false">IF($A99="N/A"," ",(IF(AV99&gt;0,($BM99*(8*($HE99))*U99),0)+IF(BF99&gt;0,($BM99*((BF99/AD99)*8*$HE99)*U99),0)))</f>
        <v> </v>
      </c>
      <c r="BR99" s="330" t="str">
        <f aca="false">IF($A99="N/A"," ",(IF(AW99&gt;0,($BM99*(8*($HE99))*V99),0)+IF(BG99&gt;0,($BM99*((BG99/AE99)*8*$HE99)*V99),0)))</f>
        <v> </v>
      </c>
      <c r="BS99" s="330" t="str">
        <f aca="false">IF($A99="N/A"," ",(IF(AX99&gt;0,($BM99*(8*($HE99))*W99),0)+IF(BH99&gt;0,($BM99*((BH99))*W99),0)))</f>
        <v> </v>
      </c>
      <c r="BT99" s="330" t="str">
        <f aca="false">IF($A99="N/A"," ",(IF(AY99&gt;0,($BM99*(8*($HF99))*X99),0)+IF(BI99&gt;0,($BM99*((BI99/AG99)*8*$HF99)*X99),0)))</f>
        <v> </v>
      </c>
      <c r="BU99" s="330" t="str">
        <f aca="false">IF($A99="N/A"," ",(IF(AZ99&gt;0,($BM99*(8*($HF99))*Y99),0)+IF(BJ99&gt;0,($BM99*((BJ99/AH99)*8*$HF99)*Y99),0)))</f>
        <v> </v>
      </c>
      <c r="BV99" s="330" t="str">
        <f aca="false">IF($A99="N/A"," ",(IF(BA99&gt;0,($BM99*(8*($HF99))*Z99),0)+IF(BK99&gt;0,($BM99*((BK99))*Z99),0)))</f>
        <v> </v>
      </c>
      <c r="BW99" s="330" t="str">
        <f aca="false">IF($A99="N/A"," ",SUM(BN99:BV99))</f>
        <v> </v>
      </c>
      <c r="BX99" s="331" t="str">
        <f aca="false">IF($A99="N/A"," ",(H99*(SUM(AS99:BA99)+SUM(BC99:BK99))*BM99))</f>
        <v> </v>
      </c>
      <c r="BY99" s="332" t="str">
        <f aca="false">IF($A99="N/A"," ",((C99*D99)*(SUM($AS99:$BA99)+SUM($BC99:$BK99))*$BM99))</f>
        <v> </v>
      </c>
      <c r="BZ99" s="332" t="str">
        <f aca="false">IF($A99="N/A"," ",(F99*(SUM($AS99:$BA99)+SUM($BC99:$BK99))*$BM99))</f>
        <v> </v>
      </c>
      <c r="CA99" s="333" t="str">
        <f aca="false">IF($A99="N/A"," ",(G99*(SUM($AS99:$BA99)+SUM($BC99:$BK99))*$BM99))</f>
        <v> </v>
      </c>
      <c r="CB99" s="334" t="str">
        <f aca="false">IF(A99="N/A"," ",(VLOOKUP(A99,PowerVolTable,(IF(BMO=2,7,IF(BMO=1,6,8))),FALSE())))</f>
        <v> </v>
      </c>
      <c r="CC99" s="334" t="str">
        <f aca="false">IF(A99="N/A"," ",(VLOOKUP(A99,IntraPowerVol,(IF(BMO=2,3,IF(BMO=1,2,4))),FALSE())*VLOOKUP(MONTH($A99),Volscale,2)))</f>
        <v> </v>
      </c>
      <c r="CD99" s="335" t="str">
        <f aca="false">IF($A99="N/A"," ",(IF(DateToday&gt;$A99,$CC99,((($CB99^2)*((($A99-1)-DateToday)/((EOMONTH($A99,0)+1)-DateToday-15)))+((($CC99)^2)*((15)/((EOMONTH($A99,0)+1)-DateToday-15))))^0.5)))</f>
        <v> </v>
      </c>
      <c r="CE99" s="334" t="str">
        <f aca="false">IF($A99="N/A"," ",(VLOOKUP($A99,GasVolTable,(IF(BMO=2,6,IF(BMO=1,7,5))),FALSE())))</f>
        <v> </v>
      </c>
      <c r="CF99" s="334" t="str">
        <f aca="false">IF($A99="N/A"," ",(VLOOKUP($A99,OmicronVol,(IF(BMO=2,3,IF(BMO=1,4,2))),FALSE())))</f>
        <v> </v>
      </c>
      <c r="CG99" s="335" t="str">
        <f aca="false">IF($A99="N/A"," ",(IF(DateToday&gt;$A99,$CF99,((($CE99^2)*((($A99-1)-DateToday)/((EOMONTH($A99,0)+1)-DateToday-15)))+((($CF99)^2)*((15)/((EOMONTH($A99,0)+1)-DateToday-15))))^0.5)))</f>
        <v> </v>
      </c>
      <c r="CH99" s="334" t="str">
        <f aca="false">IF($A99="N/A"," ",VLOOKUP($A99,CorrelationTable,2,FALSE()))</f>
        <v> </v>
      </c>
      <c r="CI99" s="336" t="str">
        <f aca="false">IF($A99="N/A"," ",F99+G99+(D99*('Pricing Inputs'!T132)))</f>
        <v> </v>
      </c>
      <c r="CJ99" s="334" t="str">
        <f aca="false">IF($A99="N/A"," ",IF(PV=1,0,'Pricing Inputs'!U132))</f>
        <v> </v>
      </c>
      <c r="CK99" s="337" t="str">
        <f aca="false">IF($A99="N/A"," ",(1+CJ99/2)^(-2*((EOMONTH(A99,0)+20)-DateToday)/365.25))</f>
        <v> </v>
      </c>
      <c r="CL99" s="338" t="str">
        <f aca="false">IF(A99="N/A"," ",IF(CC=2,(VLOOKUP(MONTH($A99),Hrtable,3))/1000,0))</f>
        <v> </v>
      </c>
      <c r="CM99" s="339" t="str">
        <f aca="false">IF(A99="N/A"," ",IF(CC=2,(CL99*C99)+F99,0))</f>
        <v> </v>
      </c>
      <c r="CN99" s="340" t="str">
        <f aca="false">IF($A99="N/A"," ",IF(CC=2,(VLOOKUP(A99,ScaledPrice,(IF(AND(Dayrun&gt;=1,Dayrun&lt;=6),2,4)))-((IF(R99&lt;&gt;0,$D99,$CL99)*$C99)+$F99+$G99)),0))</f>
        <v> </v>
      </c>
      <c r="CO99" s="340" t="str">
        <f aca="false">IF($A99="N/A"," ",IF(CC=2,(IF(AND(Dayrun&gt;=1,Dayrun&lt;=6),I99,(VLOOKUP(A99,ScaledPrice,2))*(2-(VLOOKUP(A99,ScaledPrice,3))))-((IF(S99&lt;&gt;0,$D99,$CL99)*$C99)+$F99+$G99)),0))</f>
        <v> </v>
      </c>
      <c r="CP99" s="340" t="str">
        <f aca="false">IF(A99="N/A"," ",IF(CC=2,(VLOOKUP(A99,ScaledPrice,9)-((IF(T99&lt;&gt;0,$D99,$CL99)*$C99)+$F99+$G99)),0))</f>
        <v> </v>
      </c>
      <c r="CQ99" s="340" t="str">
        <f aca="false">IF(A99="N/A"," ",IF(CC=2,(IF(OR(Dayrun=2,Dayrun=3,Dayrun=5,Dayrun=6,Dayrun=8,Dayrun=9),VLOOKUP(A99,ScaledPrice,IF(AND(Dayrun&gt;=2,Dayrun&lt;=6),5,6)),0)-((IF(U99&lt;&gt;0,$D99,$CL99)*$C99)+$F99+$G99)),0))</f>
        <v> </v>
      </c>
      <c r="CR99" s="340" t="str">
        <f aca="false">IF(A99="N/A"," ",IF(CC=2,(IF(OR(Dayrun=2,Dayrun=3,Dayrun=5,Dayrun=6,Dayrun=8,Dayrun=9),IF(AND(Dayrun&gt;=2,Dayrun&lt;=6),L99,(VLOOKUP(A99,ScaledPrice,5))*(2-(VLOOKUP(A99,ScaledPrice,3)))),0)-((IF(V99&lt;&gt;0,$D99,$CL99)*$C99)+$F99+$G99)),0))</f>
        <v> </v>
      </c>
      <c r="CS99" s="340" t="str">
        <f aca="false">IF(A99="N/A"," ",IF(CC=2,(VLOOKUP(A99,ScaledPrice,9)-((IF(W99&lt;&gt;0,$D99,$CL99)*$C99)+$F99+$G99)),0))</f>
        <v> </v>
      </c>
      <c r="CT99" s="340" t="str">
        <f aca="false">IF(A99="N/A"," ",IF(CC=2,(IF(OR(Dayrun=3,Dayrun=6,Dayrun=9),(VLOOKUP(A99,ScaledPrice,IF(AND(Dayrun&gt;=3,Dayrun&lt;=6),7,8))),0)-((IF(X99&lt;&gt;0,$D99,$CL99)*$C99)+$F99+$G99)),0))</f>
        <v> </v>
      </c>
      <c r="CU99" s="340" t="str">
        <f aca="false">IF(A99="N/A"," ",IF(CC=2,(IF(OR(Dayrun=3,Dayrun=6,Dayrun=9),IF(AND(Dayrun&gt;=3,Dayrun&lt;=6),O99,(VLOOKUP(A99,ScaledPrice,7))*(2-(VLOOKUP(A99,ScaledPrice,3)))),0)-((IF(Y99&lt;&gt;0,$D99,$CL99)*$C99)+$F99+$G99)),0))</f>
        <v> </v>
      </c>
      <c r="CV99" s="340" t="str">
        <f aca="false">IF(A99="N/A"," ",IF(CC=2,(VLOOKUP(A99,ScaledPrice,9)-((IF(Z99&lt;&gt;0,$D99,$CL99)*$C99)+$F99+$G99)),0))</f>
        <v> </v>
      </c>
      <c r="CW99" s="318" t="str">
        <f aca="false">IF($A99="N/A"," ",IF(0&lt;&gt;CN99,IF(CC=2,8*$HD99,0),0))</f>
        <v> </v>
      </c>
      <c r="CX99" s="318" t="str">
        <f aca="false">IF($A99="N/A"," ",IF(0&lt;&gt;CO99,IF(CC=2,8*$HD99,0),0))</f>
        <v> </v>
      </c>
      <c r="CY99" s="318" t="str">
        <f aca="false">IF($A99="N/A"," ",IF(0&lt;&gt;CP99,IF(CC=2,8*$HD99,0),0))</f>
        <v> </v>
      </c>
      <c r="CZ99" s="318" t="str">
        <f aca="false">IF($A99="N/A"," ",IF(0&lt;&gt;CQ99,IF(CC=2,8*$HE99,0),0))</f>
        <v> </v>
      </c>
      <c r="DA99" s="318" t="str">
        <f aca="false">IF($A99="N/A"," ",IF(0&lt;&gt;CR99,IF(CC=2,8*$HE99,0),0))</f>
        <v> </v>
      </c>
      <c r="DB99" s="318" t="str">
        <f aca="false">IF($A99="N/A"," ",IF(0&lt;&gt;CS99,IF(CC=2,8*$HE99,0),0))</f>
        <v> </v>
      </c>
      <c r="DC99" s="318" t="str">
        <f aca="false">IF($A99="N/A"," ",IF(0&lt;&gt;CT99,IF(CC=2,8*$HF99,0),0))</f>
        <v> </v>
      </c>
      <c r="DD99" s="318" t="str">
        <f aca="false">IF($A99="N/A"," ",IF(0&lt;&gt;CU99,IF(CC=2,8*$HF99,0),0))</f>
        <v> </v>
      </c>
      <c r="DE99" s="318" t="str">
        <f aca="false">IF($A99="N/A"," ",IF(0&lt;&gt;CV99,IF(CC=2,8*$HF99,0),0))</f>
        <v> </v>
      </c>
      <c r="DF99" s="341" t="str">
        <f aca="false">IF($A99="N/A"," ",IF(CC=2,(IF(MONTH(A99)&gt;=4,IF(MONTH(A99)&lt;=10,Inputs!$G$13,Inputs!$G$14),Inputs!$G$14))*$CK99,0))</f>
        <v> </v>
      </c>
      <c r="DG99" s="342" t="str">
        <f aca="false">IF($A99="N/A"," ",IF(CC=2,$DF99*CW99*CN99,0))</f>
        <v> </v>
      </c>
      <c r="DH99" s="342" t="str">
        <f aca="false">IF($A99="N/A"," ",IF(CC=2,$DF99*CX99*CO99,0))</f>
        <v> </v>
      </c>
      <c r="DI99" s="342" t="str">
        <f aca="false">IF($A99="N/A"," ",IF(CC=2,$DF99*CY99*CP99,0))</f>
        <v> </v>
      </c>
      <c r="DJ99" s="342" t="str">
        <f aca="false">IF($A99="N/A"," ",IF(CC=2,$DF99*CZ99*CQ99,0))</f>
        <v> </v>
      </c>
      <c r="DK99" s="342" t="str">
        <f aca="false">IF($A99="N/A"," ",IF(CC=2,$DF99*DA99*CR99,0))</f>
        <v> </v>
      </c>
      <c r="DL99" s="342" t="str">
        <f aca="false">IF($A99="N/A"," ",IF(CC=2,$DF99*DB99*CS99,0))</f>
        <v> </v>
      </c>
      <c r="DM99" s="342" t="str">
        <f aca="false">IF($A99="N/A"," ",IF(CC=2,$DF99*DC99*CT99,0))</f>
        <v> </v>
      </c>
      <c r="DN99" s="342" t="str">
        <f aca="false">IF($A99="N/A"," ",IF(CC=2,$DF99*DD99*CU99,0))</f>
        <v> </v>
      </c>
      <c r="DO99" s="342" t="str">
        <f aca="false">IF($A99="N/A"," ",IF(CC=2,$DF99*DE99*CV99,0))</f>
        <v> </v>
      </c>
      <c r="DP99" s="343" t="str">
        <f aca="false">IF($A99="N/A"," ",IF(CC=2,SUM(DG99:DO99),0))</f>
        <v> </v>
      </c>
      <c r="DQ99" s="0" t="str">
        <f aca="false">IF(A99="N/A"," ",Perstart)</f>
        <v> </v>
      </c>
      <c r="HD99" s="0" t="str">
        <f aca="false">IF($A99="N/A"," ",VLOOKUP($A99,NumberofDaysTable,2))</f>
        <v> </v>
      </c>
      <c r="HE99" s="0" t="str">
        <f aca="false">IF($A99="N/A"," ",VLOOKUP($A99,NumberofDaysTable,3))</f>
        <v> </v>
      </c>
      <c r="HF99" s="0" t="str">
        <f aca="false">IF($A99="N/A"," ",VLOOKUP($A99,NumberofDaysTable,4))</f>
        <v> </v>
      </c>
    </row>
    <row r="100" customFormat="false" ht="12.75" hidden="false" customHeight="false" outlineLevel="0" collapsed="false">
      <c r="A100" s="308" t="str">
        <f aca="false">IF(A99="N/A","N/A",IF(EDATE(A99,1)&gt;Inputs!$K$3,"N/A",EDATE(A99,1)))</f>
        <v>N/A</v>
      </c>
      <c r="B100" s="309" t="str">
        <f aca="false">IF(A100="N/A"," ",YEAR(A100))</f>
        <v> </v>
      </c>
      <c r="C100" s="310" t="str">
        <f aca="false">IF(A100="N/A"," ",VLOOKUP(A100,ScaledPrice,10))</f>
        <v> </v>
      </c>
      <c r="D100" s="311" t="str">
        <f aca="false">IF(A100="N/A"," ",(VLOOKUP(MONTH($A100),Hrtable,2))/1000)</f>
        <v> </v>
      </c>
      <c r="E100" s="312" t="str">
        <f aca="false">IF($A100="N/A"," ",(C100-'Pricing Inputs'!T133)*D100)</f>
        <v> </v>
      </c>
      <c r="F100" s="313" t="str">
        <f aca="false">IF(A100="N/A"," ",$F88*(1+VOMesc))</f>
        <v> </v>
      </c>
      <c r="G100" s="313" t="str">
        <f aca="false">IF(A100="N/A"," ",Perstart/IF(AND(Dayrun&gt;=4,Dayrun&lt;=6),16,IF(AND(Dayrun&gt;=7,Dayrun&lt;=9),8,24))/(BM100/CK100))</f>
        <v> </v>
      </c>
      <c r="H100" s="314" t="str">
        <f aca="false">IF(A100="N/A"," ",(C100*D100)+F100+G100)</f>
        <v> </v>
      </c>
      <c r="I100" s="315" t="str">
        <f aca="false">VLOOKUP(A100,ScaledPrice,(IF(AND(Dayrun&gt;=1,Dayrun&lt;=6),2,4)))</f>
        <v> </v>
      </c>
      <c r="J100" s="315" t="str">
        <f aca="false">IF(A100="N/A"," ",IF(AND(Dayrun&gt;=1,Dayrun&lt;=6),I100,(VLOOKUP(A100,ScaledPrice,2))*(2-(VLOOKUP(A100,ScaledPrice,3)))))</f>
        <v> </v>
      </c>
      <c r="K100" s="315" t="str">
        <f aca="false">IF(A100="N/A"," ",IF(AND(Dayrun&gt;=1,Dayrun&lt;=3),VLOOKUP(A100,ScaledPrice,9),0))</f>
        <v> </v>
      </c>
      <c r="L100" s="315" t="str">
        <f aca="false">IF(A100="N/A"," ",IF(OR(Dayrun=2,Dayrun=3,Dayrun=5,Dayrun=6,Dayrun=8,Dayrun=9),VLOOKUP(A100,ScaledPrice,IF(AND(Dayrun&gt;=2,Dayrun&lt;=6),5,6)),0))</f>
        <v> </v>
      </c>
      <c r="M100" s="315" t="str">
        <f aca="false">IF(A100="N/A"," ",IF(OR(Dayrun=2,Dayrun=3,Dayrun=5,Dayrun=6,Dayrun=8,Dayrun=9),IF(AND(Dayrun&gt;=2,Dayrun&lt;=6),L100,(VLOOKUP(A100,ScaledPrice,5))*(2-(VLOOKUP(A100,ScaledPrice,3)))),0))</f>
        <v> </v>
      </c>
      <c r="N100" s="315" t="str">
        <f aca="false">IF(A100="N/A"," ",IF(AND(Dayrun&gt;1,Dayrun&lt;=3),VLOOKUP(A100,ScaledPrice,9),0))</f>
        <v> </v>
      </c>
      <c r="O100" s="315" t="str">
        <f aca="false">IF(A100="N/A"," ",IF(OR(Dayrun=3,Dayrun=6,Dayrun=9),(VLOOKUP(A100,ScaledPrice,IF(AND(Dayrun&gt;=3,Dayrun&lt;=6),7,8))),0))</f>
        <v> </v>
      </c>
      <c r="P100" s="315" t="str">
        <f aca="false">IF(A100="N/A"," ",IF(OR(Dayrun=3,Dayrun=6,Dayrun=9),IF(AND(Dayrun&gt;=3,Dayrun&lt;=6),O100,(VLOOKUP(A100,ScaledPrice,7))*(2-(VLOOKUP(A100,ScaledPrice,3)))),0))</f>
        <v> </v>
      </c>
      <c r="Q100" s="315" t="str">
        <f aca="false">IF(A100="N/A"," ",IF(AND(Dayrun&gt;2,Dayrun&lt;=3),VLOOKUP(A100,ScaledPrice,9),0))</f>
        <v> </v>
      </c>
      <c r="R100" s="316" t="str">
        <f aca="false">IF($A100="N/A"," ",IF(Pricetype=2,MAX(I100-$H100,0),IF(Pricetype=1,(xSPRDOPT(I100,$E100,$CI100,0,($CD100+IF(Smile=TRUE(),VLOOKUP(MAX(-5,$H100-I100),Volsmile,2),0)),$CG100,$CH100,($A100-DateToday)+15,1,0)),I100-$H100)))</f>
        <v> </v>
      </c>
      <c r="S100" s="316" t="str">
        <f aca="false">IF($A100="N/A"," ",IF(Pricetype=2,MAX(J100-$H100,0),IF(Pricetype=1,(xSPRDOPT(J100,$E100,$CI100,0,($CD100+IF(Smile=TRUE(),VLOOKUP(MAX(-5,$H100-J100),Volsmile,2),0)),$CG100,$CH100,($A100-DateToday)+15,1,0)),J100-$H100)))</f>
        <v> </v>
      </c>
      <c r="T100" s="317" t="str">
        <f aca="false">IF($A100="N/A"," ",(IF(Pricetype=2,IF((K100-$H100)&lt;=0,0,(K100-$H100)),IF(K100&lt;&gt;0,(K100-$H100),0))))</f>
        <v> </v>
      </c>
      <c r="U100" s="316" t="str">
        <f aca="false">IF($A100="N/A"," ",IF(Pricetype=2,MAX(L100-$H100,0),IF(L100&lt;&gt;0,IF(Pricetype=1,(xSPRDOPT(L100,$E100,$CI100,0,($CD100+IF(Smile=TRUE(),VLOOKUP(MAX(-5,$H100-L100),Volsmile,2),0)),$CG100,$CH100,($A100-DateToday)+15,1,0)),L100-$H100),0)))</f>
        <v> </v>
      </c>
      <c r="V100" s="316" t="str">
        <f aca="false">IF($A100="N/A"," ",IF(Pricetype=2,MAX(M100-$H100,0),IF(M100&lt;&gt;0,IF(Pricetype=1,(xSPRDOPT(M100,$E100,$CI100,0,($CD100+IF(Smile=TRUE(),VLOOKUP(MAX(-5,$H100-M100),Volsmile,2),0)),$CG100,$CH100,($A100-DateToday)+15,1,0)),M100-$H100),0)))</f>
        <v> </v>
      </c>
      <c r="W100" s="317" t="str">
        <f aca="false">IF($A100="N/A"," ",(IF(Pricetype=2,IF((N100-$H100)&lt;=0,0,(N100-$H100)),IF(N100&lt;&gt;0,(N100-$H100),0))))</f>
        <v> </v>
      </c>
      <c r="X100" s="316" t="str">
        <f aca="false">IF($A100="N/A"," ",IF(Pricetype=2,MAX(O100-$H100,0),IF(O100&lt;&gt;0,IF(Pricetype=1,(xSPRDOPT(O100,$E100,$CI100,0,($CD100+IF(Smile=TRUE(),VLOOKUP(MAX(-5,$H100-O100),Volsmile,2),0)),$CG100,$CH100,($A100-DateToday)+15,1,0)),O100-$H100),0)))</f>
        <v> </v>
      </c>
      <c r="Y100" s="316" t="str">
        <f aca="false">IF($A100="N/A"," ",IF(Pricetype=2,MAX(P100-$H100,0),IF(P100&lt;&gt;0,IF(Pricetype=1,(xSPRDOPT(P100,$E100,$CI100,0,($CD100+IF(Smile=TRUE(),VLOOKUP(MAX(-5,$H100-P100),Volsmile,2),0)),$CG100,$CH100,($A100-DateToday)+15,1,0)),P100-$H100),0)))</f>
        <v> </v>
      </c>
      <c r="Z100" s="317" t="str">
        <f aca="false">IF($A100="N/A"," ",(IF(Pricetype=2,IF((Q100-$H100)&lt;=0,0,(Q100-$H100)),IF(Q100&lt;&gt;0,(Q100-$H100),0))))</f>
        <v> </v>
      </c>
      <c r="AA100" s="318" t="str">
        <f aca="false">IF($A100="N/A"," ",IF(VLOOKUP(MONTH(A100),ManualTable,2)=1,(IF(0&lt;&gt;R100,IF(Pricetype=1,(xSPRDOPT(I100,$E100,$CI100,0,($CD100+IF(Smile=TRUE(),VLOOKUP(MAX(-5,$H100-I100),Volsmile,2),0)),$CG100,$CH100,($A100-DateToday)+15,1,1))*(8*$HD100),8*$HD100),0)),0))</f>
        <v> </v>
      </c>
      <c r="AB100" s="318" t="str">
        <f aca="false">IF($A100="N/A"," ",IF(VLOOKUP(MONTH(A100),ManualTable,3)=1,(IF(S100&lt;&gt;0,IF(Pricetype=1,(xSPRDOPT(J100,$E100,$CI100,0,($CD100+IF(Smile=TRUE(),VLOOKUP(MAX(-5,$H100-J100),Volsmile,2),0)),$CG100,$CH100,($A100-DateToday)+15,1,1))*(8*$HD100),8*$HD100),0)),0))</f>
        <v> </v>
      </c>
      <c r="AC100" s="318" t="str">
        <f aca="false">IF($A100="N/A"," ",IF(VLOOKUP(MONTH(A100),ManualTable,4)=1,(IF(T100&lt;&gt;0,(8*$HD100),0)),0))</f>
        <v> </v>
      </c>
      <c r="AD100" s="318" t="str">
        <f aca="false">IF($A100="N/A"," ",IF(VLOOKUP(MONTH(A100),ManualTable,5)=1,(IF(U100&lt;&gt;0,IF(Pricetype=1,(xSPRDOPT(L100,$E100,$CI100,0,($CD100+IF(Smile=TRUE(),VLOOKUP(MAX(-5,$H100-L100),Volsmile,2),0)),$CG100,$CH100,($A100-DateToday)+15,1,1))*(8*$HE100),8*$HE100),0)),0))</f>
        <v> </v>
      </c>
      <c r="AE100" s="318" t="str">
        <f aca="false">IF($A100="N/A"," ",IF(VLOOKUP(MONTH(A100),ManualTable,6)=1,(IF(V100&lt;&gt;0,IF(Pricetype=1,(xSPRDOPT(M100,$E100,$CI100,0,($CD100+IF(Smile=TRUE(),VLOOKUP(MAX(-5,$H100-M100),Volsmile,2),0)),$CG100,$CH100,($A100-DateToday)+15,1,1))*(8*$HE100),8*$HE100),0)),0))</f>
        <v> </v>
      </c>
      <c r="AF100" s="318" t="str">
        <f aca="false">IF($A100="N/A"," ",IF(VLOOKUP(MONTH(A100),ManualTable,7)=1,(IF(W100&lt;&gt;0,(8*$HE100),0)),0))</f>
        <v> </v>
      </c>
      <c r="AG100" s="318" t="str">
        <f aca="false">IF($A100="N/A"," ",IF(VLOOKUP(MONTH(A100),ManualTable,8)=1,(IF(X100&lt;&gt;0,IF(Pricetype=1,(xSPRDOPT(O100,$E100,$CI100,0,($CD100+IF(Smile=TRUE(),VLOOKUP(MAX(-5,$H100-O100),Volsmile,2),0)),$CG100,$CH100,($A100-DateToday)+15,1,1))*(8*$HF100),8*$HF100),0)),0))</f>
        <v> </v>
      </c>
      <c r="AH100" s="318" t="str">
        <f aca="false">IF($A100="N/A"," ",IF(VLOOKUP(MONTH(A100),ManualTable,9)=1,(IF(Y100&lt;&gt;0,IF(Pricetype=1,(xSPRDOPT(P100,$E100,$CI100,0,($CD100+IF(Smile=TRUE(),VLOOKUP(MAX(-5,$H100-P100),Volsmile,2),0)),$CG100,$CH100,($A100-DateToday)+15,1,1))*(8*$HF100),8*$HF100),0)),0))</f>
        <v> </v>
      </c>
      <c r="AI100" s="318" t="str">
        <f aca="false">IF($A100="N/A"," ",IF(VLOOKUP(MONTH(A100),ManualTable,10)=1,(IF(Z100&lt;&gt;0,(8*($HF100)),0)),0))</f>
        <v> </v>
      </c>
      <c r="AJ100" s="319" t="str">
        <f aca="false">IF($A100="N/A"," ",RANK(R100,$R$100:$Z$111))</f>
        <v> </v>
      </c>
      <c r="AK100" s="320" t="str">
        <f aca="false">IF($A100="N/A"," ",RANK(S100,$R$100:$Z$111))</f>
        <v> </v>
      </c>
      <c r="AL100" s="320" t="str">
        <f aca="false">IF($A100="N/A"," ",RANK(T100,$R$100:$Z$111))</f>
        <v> </v>
      </c>
      <c r="AM100" s="320" t="str">
        <f aca="false">IF($A100="N/A"," ",RANK(U100,$R$100:$Z$111))</f>
        <v> </v>
      </c>
      <c r="AN100" s="320" t="str">
        <f aca="false">IF($A100="N/A"," ",RANK(V100,$R$100:$Z$111))</f>
        <v> </v>
      </c>
      <c r="AO100" s="320" t="str">
        <f aca="false">IF($A100="N/A"," ",RANK(W100,$R$100:$Z$111))</f>
        <v> </v>
      </c>
      <c r="AP100" s="320" t="str">
        <f aca="false">IF($A100="N/A"," ",RANK(X100,$R$100:$Z$111))</f>
        <v> </v>
      </c>
      <c r="AQ100" s="320" t="str">
        <f aca="false">IF($A100="N/A"," ",RANK(Y100,$R$100:$Z$111))</f>
        <v> </v>
      </c>
      <c r="AR100" s="322" t="str">
        <f aca="false">IF($A100="N/A"," ",RANK(Z100,$R$100:$Z$111))</f>
        <v> </v>
      </c>
      <c r="AS100" s="357" t="str">
        <f aca="false">IF($A100="N/A"," ",IF(AJ100&lt;=$AR$2,AA100,0))</f>
        <v> </v>
      </c>
      <c r="AT100" s="324" t="str">
        <f aca="false">IF($A100="N/A"," ",IF(AK100&lt;=$AR$2,AB100,0))</f>
        <v> </v>
      </c>
      <c r="AU100" s="325" t="str">
        <f aca="false">IF($A100="N/A"," ",IF(AL100&lt;=$AR$2,AC100,0))</f>
        <v> </v>
      </c>
      <c r="AV100" s="325" t="str">
        <f aca="false">IF($A100="N/A"," ",IF(AM100&lt;=$AR$2,AD100,0))</f>
        <v> </v>
      </c>
      <c r="AW100" s="325" t="str">
        <f aca="false">IF($A100="N/A"," ",IF(AN100&lt;=$AR$2,AE100,0))</f>
        <v> </v>
      </c>
      <c r="AX100" s="325" t="str">
        <f aca="false">IF($A100="N/A"," ",IF(AO100&lt;=$AR$2,AF100,0))</f>
        <v> </v>
      </c>
      <c r="AY100" s="324" t="str">
        <f aca="false">IF($A100="N/A"," ",IF(AP100&lt;=$AR$2,AG100,0))</f>
        <v> </v>
      </c>
      <c r="AZ100" s="324" t="str">
        <f aca="false">IF($A100="N/A"," ",IF(AQ100&lt;=$AR$2,AH100,0))</f>
        <v> </v>
      </c>
      <c r="BA100" s="324" t="str">
        <f aca="false">IF($A100="N/A"," ",IF(AR100&lt;=$AR$2,AI100,0))</f>
        <v> </v>
      </c>
      <c r="BB100" s="322"/>
      <c r="BC100" s="358" t="str">
        <f aca="false">IF($A100="N/A"," ",IF(AND(AJ100=$AR$2+1,AS100=0),MIN($BB$111,AA100),0))</f>
        <v> </v>
      </c>
      <c r="BD100" s="327" t="str">
        <f aca="false">IF($A100="N/A"," ",IF(AND(AK100=$AR$2+1,AT100=0),MIN($BB$111,AB100),0))</f>
        <v> </v>
      </c>
      <c r="BE100" s="327" t="str">
        <f aca="false">IF($A100="N/A"," ",IF(AND(AL100=$AR$2+1,AU100=0),MIN($BB$111,AC100),0))</f>
        <v> </v>
      </c>
      <c r="BF100" s="327" t="str">
        <f aca="false">IF($A100="N/A"," ",IF(AND(AM100=$AR$2+1,AV100=0),MIN($BB$111,AD100),0))</f>
        <v> </v>
      </c>
      <c r="BG100" s="327" t="str">
        <f aca="false">IF($A100="N/A"," ",IF(AND(AN100=$AR$2+1,AW100=0),MIN($BB$111,AE100),0))</f>
        <v> </v>
      </c>
      <c r="BH100" s="327" t="str">
        <f aca="false">IF($A100="N/A"," ",IF(AND(AO100=$AR$2+1,AX100=0),MIN($BB$111,AF100),0))</f>
        <v> </v>
      </c>
      <c r="BI100" s="327" t="str">
        <f aca="false">IF($A100="N/A"," ",IF(AND(AP100=$AR$2+1,AY100=0),MIN($BB$111,AG100),0))</f>
        <v> </v>
      </c>
      <c r="BJ100" s="327" t="str">
        <f aca="false">IF($A100="N/A"," ",IF(AND(AQ100=$AR$2+1,AZ100=0),MIN($BB$111,AH100),0))</f>
        <v> </v>
      </c>
      <c r="BK100" s="327" t="str">
        <f aca="false">IF($A100="N/A"," ",IF(AND(AR100=$AR$2+1,BA100=0),MIN($BB$111,AI100),0))</f>
        <v> </v>
      </c>
      <c r="BL100" s="322"/>
      <c r="BM100" s="329" t="str">
        <f aca="false">IF($A100="N/A"," ",(IF(MONTH(A100)&gt;=4,IF(MONTH(A100)&lt;=10,Inputs!$F$13-Inputs!$G$13,Inputs!$F$14-Inputs!$G$14),Inputs!$F$14-Inputs!$G$14))*$CK100*Availability)</f>
        <v> </v>
      </c>
      <c r="BN100" s="330" t="str">
        <f aca="false">IF($A100="N/A"," ",(IF(AS100&gt;0,($BM100*(8*($HD100))*R100),0)+IF(BC100&gt;0,($BM100*((BC100/AA100)*8*$HD100)*R100),0)))</f>
        <v> </v>
      </c>
      <c r="BO100" s="330" t="str">
        <f aca="false">IF($A100="N/A"," ",(IF(AT100&gt;0,($BM100*(8*($HD100))*S100),0)+IF(BD100&gt;0,($BM100*((BD100/AB100)*8*$HD100)*S100),0)))</f>
        <v> </v>
      </c>
      <c r="BP100" s="330" t="str">
        <f aca="false">IF($A100="N/A"," ",(IF(AU100&gt;0,($BM100*(8*($HD100))*T100),0)+IF(BE100&gt;0,($BM100*((BE100))*T100),0)))</f>
        <v> </v>
      </c>
      <c r="BQ100" s="330" t="str">
        <f aca="false">IF($A100="N/A"," ",(IF(AV100&gt;0,($BM100*(8*($HE100))*U100),0)+IF(BF100&gt;0,($BM100*((BF100/AD100)*8*$HE100)*U100),0)))</f>
        <v> </v>
      </c>
      <c r="BR100" s="330" t="str">
        <f aca="false">IF($A100="N/A"," ",(IF(AW100&gt;0,($BM100*(8*($HE100))*V100),0)+IF(BG100&gt;0,($BM100*((BG100/AE100)*8*$HE100)*V100),0)))</f>
        <v> </v>
      </c>
      <c r="BS100" s="330" t="str">
        <f aca="false">IF($A100="N/A"," ",(IF(AX100&gt;0,($BM100*(8*($HE100))*W100),0)+IF(BH100&gt;0,($BM100*((BH100))*W100),0)))</f>
        <v> </v>
      </c>
      <c r="BT100" s="330" t="str">
        <f aca="false">IF($A100="N/A"," ",(IF(AY100&gt;0,($BM100*(8*($HF100))*X100),0)+IF(BI100&gt;0,($BM100*((BI100/AG100)*8*$HF100)*X100),0)))</f>
        <v> </v>
      </c>
      <c r="BU100" s="330" t="str">
        <f aca="false">IF($A100="N/A"," ",(IF(AZ100&gt;0,($BM100*(8*($HF100))*Y100),0)+IF(BJ100&gt;0,($BM100*((BJ100/AH100)*8*$HF100)*Y100),0)))</f>
        <v> </v>
      </c>
      <c r="BV100" s="330" t="str">
        <f aca="false">IF($A100="N/A"," ",(IF(BA100&gt;0,($BM100*(8*($HF100))*Z100),0)+IF(BK100&gt;0,($BM100*((BK100))*Z100),0)))</f>
        <v> </v>
      </c>
      <c r="BW100" s="330" t="str">
        <f aca="false">IF($A100="N/A"," ",SUM(BN100:BV100))</f>
        <v> </v>
      </c>
      <c r="BX100" s="331" t="str">
        <f aca="false">IF($A100="N/A"," ",(H100*(SUM(AS100:BA100)+SUM(BC100:BK100))*BM100))</f>
        <v> </v>
      </c>
      <c r="BY100" s="332" t="str">
        <f aca="false">IF($A100="N/A"," ",((C100*D100)*(SUM($AS100:$BA100)+SUM($BC100:$BK100))*$BM100))</f>
        <v> </v>
      </c>
      <c r="BZ100" s="332" t="str">
        <f aca="false">IF($A100="N/A"," ",(F100*(SUM($AS100:$BA100)+SUM($BC100:$BK100))*$BM100))</f>
        <v> </v>
      </c>
      <c r="CA100" s="333" t="str">
        <f aca="false">IF($A100="N/A"," ",(G100*(SUM($AS100:$BA100)+SUM($BC100:$BK100))*$BM100))</f>
        <v> </v>
      </c>
      <c r="CB100" s="334" t="str">
        <f aca="false">IF(A100="N/A"," ",(VLOOKUP(A100,PowerVolTable,(IF(BMO=2,7,IF(BMO=1,6,8))),FALSE())))</f>
        <v> </v>
      </c>
      <c r="CC100" s="334" t="str">
        <f aca="false">IF(A100="N/A"," ",(VLOOKUP(A100,IntraPowerVol,(IF(BMO=2,3,IF(BMO=1,2,4))),FALSE())*VLOOKUP(MONTH($A100),Volscale,2)))</f>
        <v> </v>
      </c>
      <c r="CD100" s="335" t="str">
        <f aca="false">IF($A100="N/A"," ",(IF(DateToday&gt;$A100,$CC100,((($CB100^2)*((($A100-1)-DateToday)/((EOMONTH($A100,0)+1)-DateToday-15)))+((($CC100)^2)*((15)/((EOMONTH($A100,0)+1)-DateToday-15))))^0.5)))</f>
        <v> </v>
      </c>
      <c r="CE100" s="334" t="str">
        <f aca="false">IF($A100="N/A"," ",(VLOOKUP($A100,GasVolTable,(IF(BMO=2,6,IF(BMO=1,7,5))),FALSE())))</f>
        <v> </v>
      </c>
      <c r="CF100" s="334" t="str">
        <f aca="false">IF($A100="N/A"," ",(VLOOKUP($A100,OmicronVol,(IF(BMO=2,3,IF(BMO=1,4,2))),FALSE())))</f>
        <v> </v>
      </c>
      <c r="CG100" s="335" t="str">
        <f aca="false">IF($A100="N/A"," ",(IF(DateToday&gt;$A100,$CF100,((($CE100^2)*((($A100-1)-DateToday)/((EOMONTH($A100,0)+1)-DateToday-15)))+((($CF100)^2)*((15)/((EOMONTH($A100,0)+1)-DateToday-15))))^0.5)))</f>
        <v> </v>
      </c>
      <c r="CH100" s="334" t="str">
        <f aca="false">IF($A100="N/A"," ",VLOOKUP($A100,CorrelationTable,2,FALSE()))</f>
        <v> </v>
      </c>
      <c r="CI100" s="336" t="str">
        <f aca="false">IF($A100="N/A"," ",F100+G100+(D100*('Pricing Inputs'!T133)))</f>
        <v> </v>
      </c>
      <c r="CJ100" s="334" t="str">
        <f aca="false">IF($A100="N/A"," ",IF(PV=1,0,'Pricing Inputs'!U133))</f>
        <v> </v>
      </c>
      <c r="CK100" s="337" t="str">
        <f aca="false">IF($A100="N/A"," ",(1+CJ100/2)^(-2*((EOMONTH(A100,0)+20)-DateToday)/365.25))</f>
        <v> </v>
      </c>
      <c r="CL100" s="338" t="str">
        <f aca="false">IF(A100="N/A"," ",IF(CC=2,(VLOOKUP(MONTH($A100),Hrtable,3))/1000,0))</f>
        <v> </v>
      </c>
      <c r="CM100" s="339" t="str">
        <f aca="false">IF(A100="N/A"," ",IF(CC=2,(CL100*C100)+F100,0))</f>
        <v> </v>
      </c>
      <c r="CN100" s="340" t="str">
        <f aca="false">IF($A100="N/A"," ",IF(CC=2,(VLOOKUP(A100,ScaledPrice,(IF(AND(Dayrun&gt;=1,Dayrun&lt;=6),2,4)))-((IF(R100&lt;&gt;0,$D100,$CL100)*$C100)+$F100+$G100)),0))</f>
        <v> </v>
      </c>
      <c r="CO100" s="340" t="str">
        <f aca="false">IF($A100="N/A"," ",IF(CC=2,(IF(AND(Dayrun&gt;=1,Dayrun&lt;=6),I100,(VLOOKUP(A100,ScaledPrice,2))*(2-(VLOOKUP(A100,ScaledPrice,3))))-((IF(S100&lt;&gt;0,$D100,$CL100)*$C100)+$F100+$G100)),0))</f>
        <v> </v>
      </c>
      <c r="CP100" s="340" t="str">
        <f aca="false">IF(A100="N/A"," ",IF(CC=2,(VLOOKUP(A100,ScaledPrice,9)-((IF(T100&lt;&gt;0,$D100,$CL100)*$C100)+$F100+$G100)),0))</f>
        <v> </v>
      </c>
      <c r="CQ100" s="340" t="str">
        <f aca="false">IF(A100="N/A"," ",IF(CC=2,(IF(OR(Dayrun=2,Dayrun=3,Dayrun=5,Dayrun=6,Dayrun=8,Dayrun=9),VLOOKUP(A100,ScaledPrice,IF(AND(Dayrun&gt;=2,Dayrun&lt;=6),5,6)),0)-((IF(U100&lt;&gt;0,$D100,$CL100)*$C100)+$F100+$G100)),0))</f>
        <v> </v>
      </c>
      <c r="CR100" s="340" t="str">
        <f aca="false">IF(A100="N/A"," ",IF(CC=2,(IF(OR(Dayrun=2,Dayrun=3,Dayrun=5,Dayrun=6,Dayrun=8,Dayrun=9),IF(AND(Dayrun&gt;=2,Dayrun&lt;=6),L100,(VLOOKUP(A100,ScaledPrice,5))*(2-(VLOOKUP(A100,ScaledPrice,3)))),0)-((IF(V100&lt;&gt;0,$D100,$CL100)*$C100)+$F100+$G100)),0))</f>
        <v> </v>
      </c>
      <c r="CS100" s="340" t="str">
        <f aca="false">IF(A100="N/A"," ",IF(CC=2,(VLOOKUP(A100,ScaledPrice,9)-((IF(W100&lt;&gt;0,$D100,$CL100)*$C100)+$F100+$G100)),0))</f>
        <v> </v>
      </c>
      <c r="CT100" s="340" t="str">
        <f aca="false">IF(A100="N/A"," ",IF(CC=2,(IF(OR(Dayrun=3,Dayrun=6,Dayrun=9),(VLOOKUP(A100,ScaledPrice,IF(AND(Dayrun&gt;=3,Dayrun&lt;=6),7,8))),0)-((IF(X100&lt;&gt;0,$D100,$CL100)*$C100)+$F100+$G100)),0))</f>
        <v> </v>
      </c>
      <c r="CU100" s="340" t="str">
        <f aca="false">IF(A100="N/A"," ",IF(CC=2,(IF(OR(Dayrun=3,Dayrun=6,Dayrun=9),IF(AND(Dayrun&gt;=3,Dayrun&lt;=6),O100,(VLOOKUP(A100,ScaledPrice,7))*(2-(VLOOKUP(A100,ScaledPrice,3)))),0)-((IF(Y100&lt;&gt;0,$D100,$CL100)*$C100)+$F100+$G100)),0))</f>
        <v> </v>
      </c>
      <c r="CV100" s="340" t="str">
        <f aca="false">IF(A100="N/A"," ",IF(CC=2,(VLOOKUP(A100,ScaledPrice,9)-((IF(Z100&lt;&gt;0,$D100,$CL100)*$C100)+$F100+$G100)),0))</f>
        <v> </v>
      </c>
      <c r="CW100" s="318" t="str">
        <f aca="false">IF($A100="N/A"," ",IF(0&lt;&gt;CN100,IF(CC=2,8*$HD100,0),0))</f>
        <v> </v>
      </c>
      <c r="CX100" s="318" t="str">
        <f aca="false">IF($A100="N/A"," ",IF(0&lt;&gt;CO100,IF(CC=2,8*$HD100,0),0))</f>
        <v> </v>
      </c>
      <c r="CY100" s="318" t="str">
        <f aca="false">IF($A100="N/A"," ",IF(0&lt;&gt;CP100,IF(CC=2,8*$HD100,0),0))</f>
        <v> </v>
      </c>
      <c r="CZ100" s="318" t="str">
        <f aca="false">IF($A100="N/A"," ",IF(0&lt;&gt;CQ100,IF(CC=2,8*$HE100,0),0))</f>
        <v> </v>
      </c>
      <c r="DA100" s="318" t="str">
        <f aca="false">IF($A100="N/A"," ",IF(0&lt;&gt;CR100,IF(CC=2,8*$HE100,0),0))</f>
        <v> </v>
      </c>
      <c r="DB100" s="318" t="str">
        <f aca="false">IF($A100="N/A"," ",IF(0&lt;&gt;CS100,IF(CC=2,8*$HE100,0),0))</f>
        <v> </v>
      </c>
      <c r="DC100" s="318" t="str">
        <f aca="false">IF($A100="N/A"," ",IF(0&lt;&gt;CT100,IF(CC=2,8*$HF100,0),0))</f>
        <v> </v>
      </c>
      <c r="DD100" s="318" t="str">
        <f aca="false">IF($A100="N/A"," ",IF(0&lt;&gt;CU100,IF(CC=2,8*$HF100,0),0))</f>
        <v> </v>
      </c>
      <c r="DE100" s="318" t="str">
        <f aca="false">IF($A100="N/A"," ",IF(0&lt;&gt;CV100,IF(CC=2,8*$HF100,0),0))</f>
        <v> </v>
      </c>
      <c r="DF100" s="341" t="str">
        <f aca="false">IF($A100="N/A"," ",IF(CC=2,(IF(MONTH(A100)&gt;=4,IF(MONTH(A100)&lt;=10,Inputs!$G$13,Inputs!$G$14),Inputs!$G$14))*$CK100,0))</f>
        <v> </v>
      </c>
      <c r="DG100" s="342" t="str">
        <f aca="false">IF($A100="N/A"," ",IF(CC=2,$DF100*CW100*CN100,0))</f>
        <v> </v>
      </c>
      <c r="DH100" s="342" t="str">
        <f aca="false">IF($A100="N/A"," ",IF(CC=2,$DF100*CX100*CO100,0))</f>
        <v> </v>
      </c>
      <c r="DI100" s="342" t="str">
        <f aca="false">IF($A100="N/A"," ",IF(CC=2,$DF100*CY100*CP100,0))</f>
        <v> </v>
      </c>
      <c r="DJ100" s="342" t="str">
        <f aca="false">IF($A100="N/A"," ",IF(CC=2,$DF100*CZ100*CQ100,0))</f>
        <v> </v>
      </c>
      <c r="DK100" s="342" t="str">
        <f aca="false">IF($A100="N/A"," ",IF(CC=2,$DF100*DA100*CR100,0))</f>
        <v> </v>
      </c>
      <c r="DL100" s="342" t="str">
        <f aca="false">IF($A100="N/A"," ",IF(CC=2,$DF100*DB100*CS100,0))</f>
        <v> </v>
      </c>
      <c r="DM100" s="342" t="str">
        <f aca="false">IF($A100="N/A"," ",IF(CC=2,$DF100*DC100*CT100,0))</f>
        <v> </v>
      </c>
      <c r="DN100" s="342" t="str">
        <f aca="false">IF($A100="N/A"," ",IF(CC=2,$DF100*DD100*CU100,0))</f>
        <v> </v>
      </c>
      <c r="DO100" s="342" t="str">
        <f aca="false">IF($A100="N/A"," ",IF(CC=2,$DF100*DE100*CV100,0))</f>
        <v> </v>
      </c>
      <c r="DP100" s="343" t="str">
        <f aca="false">IF($A100="N/A"," ",IF(CC=2,SUM(DG100:DO100),0))</f>
        <v> </v>
      </c>
      <c r="DQ100" s="0" t="str">
        <f aca="false">IF(A100="N/A"," ",Perstart)</f>
        <v> </v>
      </c>
      <c r="HD100" s="0" t="str">
        <f aca="false">IF($A100="N/A"," ",VLOOKUP($A100,NumberofDaysTable,2))</f>
        <v> </v>
      </c>
      <c r="HE100" s="0" t="str">
        <f aca="false">IF($A100="N/A"," ",VLOOKUP($A100,NumberofDaysTable,3))</f>
        <v> </v>
      </c>
      <c r="HF100" s="0" t="str">
        <f aca="false">IF($A100="N/A"," ",VLOOKUP($A100,NumberofDaysTable,4))</f>
        <v> </v>
      </c>
    </row>
    <row r="101" customFormat="false" ht="12.75" hidden="false" customHeight="false" outlineLevel="0" collapsed="false">
      <c r="A101" s="308" t="str">
        <f aca="false">IF(A100="N/A","N/A",IF(EDATE(A100,1)&gt;Inputs!$K$3,"N/A",EDATE(A100,1)))</f>
        <v>N/A</v>
      </c>
      <c r="B101" s="309" t="str">
        <f aca="false">IF(A101="N/A"," ",YEAR(A101))</f>
        <v> </v>
      </c>
      <c r="C101" s="310" t="str">
        <f aca="false">IF(A101="N/A"," ",VLOOKUP(A101,ScaledPrice,10))</f>
        <v> </v>
      </c>
      <c r="D101" s="311" t="str">
        <f aca="false">IF(A101="N/A"," ",(VLOOKUP(MONTH($A101),Hrtable,2))/1000)</f>
        <v> </v>
      </c>
      <c r="E101" s="312" t="str">
        <f aca="false">IF($A101="N/A"," ",(C101-'Pricing Inputs'!T134)*D101)</f>
        <v> </v>
      </c>
      <c r="F101" s="313" t="str">
        <f aca="false">IF(A101="N/A"," ",$F89*(1+VOMesc))</f>
        <v> </v>
      </c>
      <c r="G101" s="313" t="str">
        <f aca="false">IF(A101="N/A"," ",Perstart/IF(AND(Dayrun&gt;=4,Dayrun&lt;=6),16,IF(AND(Dayrun&gt;=7,Dayrun&lt;=9),8,24))/(BM101/CK101))</f>
        <v> </v>
      </c>
      <c r="H101" s="314" t="str">
        <f aca="false">IF(A101="N/A"," ",(C101*D101)+F101+G101)</f>
        <v> </v>
      </c>
      <c r="I101" s="315" t="str">
        <f aca="false">VLOOKUP(A101,ScaledPrice,(IF(AND(Dayrun&gt;=1,Dayrun&lt;=6),2,4)))</f>
        <v> </v>
      </c>
      <c r="J101" s="315" t="str">
        <f aca="false">IF(A101="N/A"," ",IF(AND(Dayrun&gt;=1,Dayrun&lt;=6),I101,(VLOOKUP(A101,ScaledPrice,2))*(2-(VLOOKUP(A101,ScaledPrice,3)))))</f>
        <v> </v>
      </c>
      <c r="K101" s="315" t="str">
        <f aca="false">IF(A101="N/A"," ",IF(AND(Dayrun&gt;=1,Dayrun&lt;=3),VLOOKUP(A101,ScaledPrice,9),0))</f>
        <v> </v>
      </c>
      <c r="L101" s="315" t="str">
        <f aca="false">IF(A101="N/A"," ",IF(OR(Dayrun=2,Dayrun=3,Dayrun=5,Dayrun=6,Dayrun=8,Dayrun=9),VLOOKUP(A101,ScaledPrice,IF(AND(Dayrun&gt;=2,Dayrun&lt;=6),5,6)),0))</f>
        <v> </v>
      </c>
      <c r="M101" s="315" t="str">
        <f aca="false">IF(A101="N/A"," ",IF(OR(Dayrun=2,Dayrun=3,Dayrun=5,Dayrun=6,Dayrun=8,Dayrun=9),IF(AND(Dayrun&gt;=2,Dayrun&lt;=6),L101,(VLOOKUP(A101,ScaledPrice,5))*(2-(VLOOKUP(A101,ScaledPrice,3)))),0))</f>
        <v> </v>
      </c>
      <c r="N101" s="315" t="str">
        <f aca="false">IF(A101="N/A"," ",IF(AND(Dayrun&gt;1,Dayrun&lt;=3),VLOOKUP(A101,ScaledPrice,9),0))</f>
        <v> </v>
      </c>
      <c r="O101" s="315" t="str">
        <f aca="false">IF(A101="N/A"," ",IF(OR(Dayrun=3,Dayrun=6,Dayrun=9),(VLOOKUP(A101,ScaledPrice,IF(AND(Dayrun&gt;=3,Dayrun&lt;=6),7,8))),0))</f>
        <v> </v>
      </c>
      <c r="P101" s="315" t="str">
        <f aca="false">IF(A101="N/A"," ",IF(OR(Dayrun=3,Dayrun=6,Dayrun=9),IF(AND(Dayrun&gt;=3,Dayrun&lt;=6),O101,(VLOOKUP(A101,ScaledPrice,7))*(2-(VLOOKUP(A101,ScaledPrice,3)))),0))</f>
        <v> </v>
      </c>
      <c r="Q101" s="315" t="str">
        <f aca="false">IF(A101="N/A"," ",IF(AND(Dayrun&gt;2,Dayrun&lt;=3),VLOOKUP(A101,ScaledPrice,9),0))</f>
        <v> </v>
      </c>
      <c r="R101" s="316" t="str">
        <f aca="false">IF($A101="N/A"," ",IF(Pricetype=2,MAX(I101-$H101,0),IF(Pricetype=1,(xSPRDOPT(I101,$E101,$CI101,0,($CD101+IF(Smile=TRUE(),VLOOKUP(MAX(-5,$H101-I101),Volsmile,2),0)),$CG101,$CH101,($A101-DateToday)+15,1,0)),I101-$H101)))</f>
        <v> </v>
      </c>
      <c r="S101" s="316" t="str">
        <f aca="false">IF($A101="N/A"," ",IF(Pricetype=2,MAX(J101-$H101,0),IF(Pricetype=1,(xSPRDOPT(J101,$E101,$CI101,0,($CD101+IF(Smile=TRUE(),VLOOKUP(MAX(-5,$H101-J101),Volsmile,2),0)),$CG101,$CH101,($A101-DateToday)+15,1,0)),J101-$H101)))</f>
        <v> </v>
      </c>
      <c r="T101" s="317" t="str">
        <f aca="false">IF($A101="N/A"," ",(IF(Pricetype=2,IF((K101-$H101)&lt;=0,0,(K101-$H101)),IF(K101&lt;&gt;0,(K101-$H101),0))))</f>
        <v> </v>
      </c>
      <c r="U101" s="316" t="str">
        <f aca="false">IF($A101="N/A"," ",IF(Pricetype=2,MAX(L101-$H101,0),IF(L101&lt;&gt;0,IF(Pricetype=1,(xSPRDOPT(L101,$E101,$CI101,0,($CD101+IF(Smile=TRUE(),VLOOKUP(MAX(-5,$H101-L101),Volsmile,2),0)),$CG101,$CH101,($A101-DateToday)+15,1,0)),L101-$H101),0)))</f>
        <v> </v>
      </c>
      <c r="V101" s="316" t="str">
        <f aca="false">IF($A101="N/A"," ",IF(Pricetype=2,MAX(M101-$H101,0),IF(M101&lt;&gt;0,IF(Pricetype=1,(xSPRDOPT(M101,$E101,$CI101,0,($CD101+IF(Smile=TRUE(),VLOOKUP(MAX(-5,$H101-M101),Volsmile,2),0)),$CG101,$CH101,($A101-DateToday)+15,1,0)),M101-$H101),0)))</f>
        <v> </v>
      </c>
      <c r="W101" s="317" t="str">
        <f aca="false">IF($A101="N/A"," ",(IF(Pricetype=2,IF((N101-$H101)&lt;=0,0,(N101-$H101)),IF(N101&lt;&gt;0,(N101-$H101),0))))</f>
        <v> </v>
      </c>
      <c r="X101" s="316" t="str">
        <f aca="false">IF($A101="N/A"," ",IF(Pricetype=2,MAX(O101-$H101,0),IF(O101&lt;&gt;0,IF(Pricetype=1,(xSPRDOPT(O101,$E101,$CI101,0,($CD101+IF(Smile=TRUE(),VLOOKUP(MAX(-5,$H101-O101),Volsmile,2),0)),$CG101,$CH101,($A101-DateToday)+15,1,0)),O101-$H101),0)))</f>
        <v> </v>
      </c>
      <c r="Y101" s="316" t="str">
        <f aca="false">IF($A101="N/A"," ",IF(Pricetype=2,MAX(P101-$H101,0),IF(P101&lt;&gt;0,IF(Pricetype=1,(xSPRDOPT(P101,$E101,$CI101,0,($CD101+IF(Smile=TRUE(),VLOOKUP(MAX(-5,$H101-P101),Volsmile,2),0)),$CG101,$CH101,($A101-DateToday)+15,1,0)),P101-$H101),0)))</f>
        <v> </v>
      </c>
      <c r="Z101" s="317" t="str">
        <f aca="false">IF($A101="N/A"," ",(IF(Pricetype=2,IF((Q101-$H101)&lt;=0,0,(Q101-$H101)),IF(Q101&lt;&gt;0,(Q101-$H101),0))))</f>
        <v> </v>
      </c>
      <c r="AA101" s="318" t="str">
        <f aca="false">IF($A101="N/A"," ",IF(VLOOKUP(MONTH(A101),ManualTable,2)=1,(IF(0&lt;&gt;R101,IF(Pricetype=1,(xSPRDOPT(I101,$E101,$CI101,0,($CD101+IF(Smile=TRUE(),VLOOKUP(MAX(-5,$H101-I101),Volsmile,2),0)),$CG101,$CH101,($A101-DateToday)+15,1,1))*(8*$HD101),8*$HD101),0)),0))</f>
        <v> </v>
      </c>
      <c r="AB101" s="318" t="str">
        <f aca="false">IF($A101="N/A"," ",IF(VLOOKUP(MONTH(A101),ManualTable,3)=1,(IF(S101&lt;&gt;0,IF(Pricetype=1,(xSPRDOPT(J101,$E101,$CI101,0,($CD101+IF(Smile=TRUE(),VLOOKUP(MAX(-5,$H101-J101),Volsmile,2),0)),$CG101,$CH101,($A101-DateToday)+15,1,1))*(8*$HD101),8*$HD101),0)),0))</f>
        <v> </v>
      </c>
      <c r="AC101" s="318" t="str">
        <f aca="false">IF($A101="N/A"," ",IF(VLOOKUP(MONTH(A101),ManualTable,4)=1,(IF(T101&lt;&gt;0,(8*$HD101),0)),0))</f>
        <v> </v>
      </c>
      <c r="AD101" s="318" t="str">
        <f aca="false">IF($A101="N/A"," ",IF(VLOOKUP(MONTH(A101),ManualTable,5)=1,(IF(U101&lt;&gt;0,IF(Pricetype=1,(xSPRDOPT(L101,$E101,$CI101,0,($CD101+IF(Smile=TRUE(),VLOOKUP(MAX(-5,$H101-L101),Volsmile,2),0)),$CG101,$CH101,($A101-DateToday)+15,1,1))*(8*$HE101),8*$HE101),0)),0))</f>
        <v> </v>
      </c>
      <c r="AE101" s="318" t="str">
        <f aca="false">IF($A101="N/A"," ",IF(VLOOKUP(MONTH(A101),ManualTable,6)=1,(IF(V101&lt;&gt;0,IF(Pricetype=1,(xSPRDOPT(M101,$E101,$CI101,0,($CD101+IF(Smile=TRUE(),VLOOKUP(MAX(-5,$H101-M101),Volsmile,2),0)),$CG101,$CH101,($A101-DateToday)+15,1,1))*(8*$HE101),8*$HE101),0)),0))</f>
        <v> </v>
      </c>
      <c r="AF101" s="318" t="str">
        <f aca="false">IF($A101="N/A"," ",IF(VLOOKUP(MONTH(A101),ManualTable,7)=1,(IF(W101&lt;&gt;0,(8*$HE101),0)),0))</f>
        <v> </v>
      </c>
      <c r="AG101" s="318" t="str">
        <f aca="false">IF($A101="N/A"," ",IF(VLOOKUP(MONTH(A101),ManualTable,8)=1,(IF(X101&lt;&gt;0,IF(Pricetype=1,(xSPRDOPT(O101,$E101,$CI101,0,($CD101+IF(Smile=TRUE(),VLOOKUP(MAX(-5,$H101-O101),Volsmile,2),0)),$CG101,$CH101,($A101-DateToday)+15,1,1))*(8*$HF101),8*$HF101),0)),0))</f>
        <v> </v>
      </c>
      <c r="AH101" s="318" t="str">
        <f aca="false">IF($A101="N/A"," ",IF(VLOOKUP(MONTH(A101),ManualTable,9)=1,(IF(Y101&lt;&gt;0,IF(Pricetype=1,(xSPRDOPT(P101,$E101,$CI101,0,($CD101+IF(Smile=TRUE(),VLOOKUP(MAX(-5,$H101-P101),Volsmile,2),0)),$CG101,$CH101,($A101-DateToday)+15,1,1))*(8*$HF101),8*$HF101),0)),0))</f>
        <v> </v>
      </c>
      <c r="AI101" s="318" t="str">
        <f aca="false">IF($A101="N/A"," ",IF(VLOOKUP(MONTH(A101),ManualTable,10)=1,(IF(Z101&lt;&gt;0,(8*($HF101)),0)),0))</f>
        <v> </v>
      </c>
      <c r="AJ101" s="344" t="str">
        <f aca="false">IF($A101="N/A"," ",RANK(R101,$R$100:$Z$111))</f>
        <v> </v>
      </c>
      <c r="AK101" s="321" t="str">
        <f aca="false">IF($A101="N/A"," ",RANK(S101,$R$100:$Z$111))</f>
        <v> </v>
      </c>
      <c r="AL101" s="321" t="str">
        <f aca="false">IF($A101="N/A"," ",RANK(T101,$R$100:$Z$111))</f>
        <v> </v>
      </c>
      <c r="AM101" s="321" t="str">
        <f aca="false">IF($A101="N/A"," ",RANK(U101,$R$100:$Z$111))</f>
        <v> </v>
      </c>
      <c r="AN101" s="321" t="str">
        <f aca="false">IF($A101="N/A"," ",RANK(V101,$R$100:$Z$111))</f>
        <v> </v>
      </c>
      <c r="AO101" s="321" t="str">
        <f aca="false">IF($A101="N/A"," ",RANK(W101,$R$100:$Z$111))</f>
        <v> </v>
      </c>
      <c r="AP101" s="321" t="str">
        <f aca="false">IF($A101="N/A"," ",RANK(X101,$R$100:$Z$111))</f>
        <v> </v>
      </c>
      <c r="AQ101" s="321" t="str">
        <f aca="false">IF($A101="N/A"," ",RANK(Y101,$R$100:$Z$111))</f>
        <v> </v>
      </c>
      <c r="AR101" s="345" t="str">
        <f aca="false">IF($A101="N/A"," ",RANK(Z101,$R$100:$Z$111))</f>
        <v> </v>
      </c>
      <c r="AS101" s="323" t="str">
        <f aca="false">IF($A101="N/A"," ",IF(AJ101&lt;=$AR$2,AA101,0))</f>
        <v> </v>
      </c>
      <c r="AT101" s="325" t="str">
        <f aca="false">IF($A101="N/A"," ",IF(AK101&lt;=$AR$2,AB101,0))</f>
        <v> </v>
      </c>
      <c r="AU101" s="325" t="str">
        <f aca="false">IF($A101="N/A"," ",IF(AL101&lt;=$AR$2,AC101,0))</f>
        <v> </v>
      </c>
      <c r="AV101" s="325" t="str">
        <f aca="false">IF($A101="N/A"," ",IF(AM101&lt;=$AR$2,AD101,0))</f>
        <v> </v>
      </c>
      <c r="AW101" s="325" t="str">
        <f aca="false">IF($A101="N/A"," ",IF(AN101&lt;=$AR$2,AE101,0))</f>
        <v> </v>
      </c>
      <c r="AX101" s="325" t="str">
        <f aca="false">IF($A101="N/A"," ",IF(AO101&lt;=$AR$2,AF101,0))</f>
        <v> </v>
      </c>
      <c r="AY101" s="325" t="str">
        <f aca="false">IF($A101="N/A"," ",IF(AP101&lt;=$AR$2,AG101,0))</f>
        <v> </v>
      </c>
      <c r="AZ101" s="325" t="str">
        <f aca="false">IF($A101="N/A"," ",IF(AQ101&lt;=$AR$2,AH101,0))</f>
        <v> </v>
      </c>
      <c r="BA101" s="325" t="str">
        <f aca="false">IF($A101="N/A"," ",IF(AR101&lt;=$AR$2,AI101,0))</f>
        <v> </v>
      </c>
      <c r="BB101" s="345"/>
      <c r="BC101" s="326" t="str">
        <f aca="false">IF($A101="N/A"," ",IF(AND(AJ101=$AR$2+1,AS101=0),MIN($BB$111,AA101),0))</f>
        <v> </v>
      </c>
      <c r="BD101" s="346" t="str">
        <f aca="false">IF($A101="N/A"," ",IF(AND(AK101=$AR$2+1,AT101=0),MIN($BB$111,AB101),0))</f>
        <v> </v>
      </c>
      <c r="BE101" s="346" t="str">
        <f aca="false">IF($A101="N/A"," ",IF(AND(AL101=$AR$2+1,AU101=0),MIN($BB$111,AC101),0))</f>
        <v> </v>
      </c>
      <c r="BF101" s="346" t="str">
        <f aca="false">IF($A101="N/A"," ",IF(AND(AM101=$AR$2+1,AV101=0),MIN($BB$111,AD101),0))</f>
        <v> </v>
      </c>
      <c r="BG101" s="346" t="str">
        <f aca="false">IF($A101="N/A"," ",IF(AND(AN101=$AR$2+1,AW101=0),MIN($BB$111,AE101),0))</f>
        <v> </v>
      </c>
      <c r="BH101" s="346" t="str">
        <f aca="false">IF($A101="N/A"," ",IF(AND(AO101=$AR$2+1,AX101=0),MIN($BB$111,AF101),0))</f>
        <v> </v>
      </c>
      <c r="BI101" s="346" t="str">
        <f aca="false">IF($A101="N/A"," ",IF(AND(AP101=$AR$2+1,AY101=0),MIN($BB$111,AG101),0))</f>
        <v> </v>
      </c>
      <c r="BJ101" s="346" t="str">
        <f aca="false">IF($A101="N/A"," ",IF(AND(AQ101=$AR$2+1,AZ101=0),MIN($BB$111,AH101),0))</f>
        <v> </v>
      </c>
      <c r="BK101" s="346" t="str">
        <f aca="false">IF($A101="N/A"," ",IF(AND(AR101=$AR$2+1,BA101=0),MIN($BB$111,AI101),0))</f>
        <v> </v>
      </c>
      <c r="BL101" s="345"/>
      <c r="BM101" s="329" t="str">
        <f aca="false">IF($A101="N/A"," ",(IF(MONTH(A101)&gt;=4,IF(MONTH(A101)&lt;=10,Inputs!$F$13-Inputs!$G$13,Inputs!$F$14-Inputs!$G$14),Inputs!$F$14-Inputs!$G$14))*$CK101*Availability)</f>
        <v> </v>
      </c>
      <c r="BN101" s="330" t="str">
        <f aca="false">IF($A101="N/A"," ",(IF(AS101&gt;0,($BM101*(8*($HD101))*R101),0)+IF(BC101&gt;0,($BM101*((BC101/AA101)*8*$HD101)*R101),0)))</f>
        <v> </v>
      </c>
      <c r="BO101" s="330" t="str">
        <f aca="false">IF($A101="N/A"," ",(IF(AT101&gt;0,($BM101*(8*($HD101))*S101),0)+IF(BD101&gt;0,($BM101*((BD101/AB101)*8*$HD101)*S101),0)))</f>
        <v> </v>
      </c>
      <c r="BP101" s="330" t="str">
        <f aca="false">IF($A101="N/A"," ",(IF(AU101&gt;0,($BM101*(8*($HD101))*T101),0)+IF(BE101&gt;0,($BM101*((BE101))*T101),0)))</f>
        <v> </v>
      </c>
      <c r="BQ101" s="330" t="str">
        <f aca="false">IF($A101="N/A"," ",(IF(AV101&gt;0,($BM101*(8*($HE101))*U101),0)+IF(BF101&gt;0,($BM101*((BF101/AD101)*8*$HE101)*U101),0)))</f>
        <v> </v>
      </c>
      <c r="BR101" s="330" t="str">
        <f aca="false">IF($A101="N/A"," ",(IF(AW101&gt;0,($BM101*(8*($HE101))*V101),0)+IF(BG101&gt;0,($BM101*((BG101/AE101)*8*$HE101)*V101),0)))</f>
        <v> </v>
      </c>
      <c r="BS101" s="330" t="str">
        <f aca="false">IF($A101="N/A"," ",(IF(AX101&gt;0,($BM101*(8*($HE101))*W101),0)+IF(BH101&gt;0,($BM101*((BH101))*W101),0)))</f>
        <v> </v>
      </c>
      <c r="BT101" s="330" t="str">
        <f aca="false">IF($A101="N/A"," ",(IF(AY101&gt;0,($BM101*(8*($HF101))*X101),0)+IF(BI101&gt;0,($BM101*((BI101/AG101)*8*$HF101)*X101),0)))</f>
        <v> </v>
      </c>
      <c r="BU101" s="330" t="str">
        <f aca="false">IF($A101="N/A"," ",(IF(AZ101&gt;0,($BM101*(8*($HF101))*Y101),0)+IF(BJ101&gt;0,($BM101*((BJ101/AH101)*8*$HF101)*Y101),0)))</f>
        <v> </v>
      </c>
      <c r="BV101" s="330" t="str">
        <f aca="false">IF($A101="N/A"," ",(IF(BA101&gt;0,($BM101*(8*($HF101))*Z101),0)+IF(BK101&gt;0,($BM101*((BK101))*Z101),0)))</f>
        <v> </v>
      </c>
      <c r="BW101" s="330" t="str">
        <f aca="false">IF($A101="N/A"," ",SUM(BN101:BV101))</f>
        <v> </v>
      </c>
      <c r="BX101" s="331" t="str">
        <f aca="false">IF($A101="N/A"," ",(H101*(SUM(AS101:BA101)+SUM(BC101:BK101))*BM101))</f>
        <v> </v>
      </c>
      <c r="BY101" s="332" t="str">
        <f aca="false">IF($A101="N/A"," ",((C101*D101)*(SUM($AS101:$BA101)+SUM($BC101:$BK101))*$BM101))</f>
        <v> </v>
      </c>
      <c r="BZ101" s="332" t="str">
        <f aca="false">IF($A101="N/A"," ",(F101*(SUM($AS101:$BA101)+SUM($BC101:$BK101))*$BM101))</f>
        <v> </v>
      </c>
      <c r="CA101" s="333" t="str">
        <f aca="false">IF($A101="N/A"," ",(G101*(SUM($AS101:$BA101)+SUM($BC101:$BK101))*$BM101))</f>
        <v> </v>
      </c>
      <c r="CB101" s="334" t="str">
        <f aca="false">IF(A101="N/A"," ",(VLOOKUP(A101,PowerVolTable,(IF(BMO=2,7,IF(BMO=1,6,8))),FALSE())))</f>
        <v> </v>
      </c>
      <c r="CC101" s="334" t="str">
        <f aca="false">IF(A101="N/A"," ",(VLOOKUP(A101,IntraPowerVol,(IF(BMO=2,3,IF(BMO=1,2,4))),FALSE())*VLOOKUP(MONTH($A101),Volscale,2)))</f>
        <v> </v>
      </c>
      <c r="CD101" s="335" t="str">
        <f aca="false">IF($A101="N/A"," ",(IF(DateToday&gt;$A101,$CC101,((($CB101^2)*((($A101-1)-DateToday)/((EOMONTH($A101,0)+1)-DateToday-15)))+((($CC101)^2)*((15)/((EOMONTH($A101,0)+1)-DateToday-15))))^0.5)))</f>
        <v> </v>
      </c>
      <c r="CE101" s="334" t="str">
        <f aca="false">IF($A101="N/A"," ",(VLOOKUP($A101,GasVolTable,(IF(BMO=2,6,IF(BMO=1,7,5))),FALSE())))</f>
        <v> </v>
      </c>
      <c r="CF101" s="334" t="str">
        <f aca="false">IF($A101="N/A"," ",(VLOOKUP($A101,OmicronVol,(IF(BMO=2,3,IF(BMO=1,4,2))),FALSE())))</f>
        <v> </v>
      </c>
      <c r="CG101" s="335" t="str">
        <f aca="false">IF($A101="N/A"," ",(IF(DateToday&gt;$A101,$CF101,((($CE101^2)*((($A101-1)-DateToday)/((EOMONTH($A101,0)+1)-DateToday-15)))+((($CF101)^2)*((15)/((EOMONTH($A101,0)+1)-DateToday-15))))^0.5)))</f>
        <v> </v>
      </c>
      <c r="CH101" s="334" t="str">
        <f aca="false">IF($A101="N/A"," ",VLOOKUP($A101,CorrelationTable,2,FALSE()))</f>
        <v> </v>
      </c>
      <c r="CI101" s="336" t="str">
        <f aca="false">IF($A101="N/A"," ",F101+G101+(D101*('Pricing Inputs'!T134)))</f>
        <v> </v>
      </c>
      <c r="CJ101" s="334" t="str">
        <f aca="false">IF($A101="N/A"," ",IF(PV=1,0,'Pricing Inputs'!U134))</f>
        <v> </v>
      </c>
      <c r="CK101" s="337" t="str">
        <f aca="false">IF($A101="N/A"," ",(1+CJ101/2)^(-2*((EOMONTH(A101,0)+20)-DateToday)/365.25))</f>
        <v> </v>
      </c>
      <c r="CL101" s="338" t="str">
        <f aca="false">IF(A101="N/A"," ",IF(CC=2,(VLOOKUP(MONTH($A101),Hrtable,3))/1000,0))</f>
        <v> </v>
      </c>
      <c r="CM101" s="339" t="str">
        <f aca="false">IF(A101="N/A"," ",IF(CC=2,(CL101*C101)+F101,0))</f>
        <v> </v>
      </c>
      <c r="CN101" s="340" t="str">
        <f aca="false">IF($A101="N/A"," ",IF(CC=2,(VLOOKUP(A101,ScaledPrice,(IF(AND(Dayrun&gt;=1,Dayrun&lt;=6),2,4)))-((IF(R101&lt;&gt;0,$D101,$CL101)*$C101)+$F101+$G101)),0))</f>
        <v> </v>
      </c>
      <c r="CO101" s="340" t="str">
        <f aca="false">IF($A101="N/A"," ",IF(CC=2,(IF(AND(Dayrun&gt;=1,Dayrun&lt;=6),I101,(VLOOKUP(A101,ScaledPrice,2))*(2-(VLOOKUP(A101,ScaledPrice,3))))-((IF(S101&lt;&gt;0,$D101,$CL101)*$C101)+$F101+$G101)),0))</f>
        <v> </v>
      </c>
      <c r="CP101" s="340" t="str">
        <f aca="false">IF(A101="N/A"," ",IF(CC=2,(VLOOKUP(A101,ScaledPrice,9)-((IF(T101&lt;&gt;0,$D101,$CL101)*$C101)+$F101+$G101)),0))</f>
        <v> </v>
      </c>
      <c r="CQ101" s="340" t="str">
        <f aca="false">IF(A101="N/A"," ",IF(CC=2,(IF(OR(Dayrun=2,Dayrun=3,Dayrun=5,Dayrun=6,Dayrun=8,Dayrun=9),VLOOKUP(A101,ScaledPrice,IF(AND(Dayrun&gt;=2,Dayrun&lt;=6),5,6)),0)-((IF(U101&lt;&gt;0,$D101,$CL101)*$C101)+$F101+$G101)),0))</f>
        <v> </v>
      </c>
      <c r="CR101" s="340" t="str">
        <f aca="false">IF(A101="N/A"," ",IF(CC=2,(IF(OR(Dayrun=2,Dayrun=3,Dayrun=5,Dayrun=6,Dayrun=8,Dayrun=9),IF(AND(Dayrun&gt;=2,Dayrun&lt;=6),L101,(VLOOKUP(A101,ScaledPrice,5))*(2-(VLOOKUP(A101,ScaledPrice,3)))),0)-((IF(V101&lt;&gt;0,$D101,$CL101)*$C101)+$F101+$G101)),0))</f>
        <v> </v>
      </c>
      <c r="CS101" s="340" t="str">
        <f aca="false">IF(A101="N/A"," ",IF(CC=2,(VLOOKUP(A101,ScaledPrice,9)-((IF(W101&lt;&gt;0,$D101,$CL101)*$C101)+$F101+$G101)),0))</f>
        <v> </v>
      </c>
      <c r="CT101" s="340" t="str">
        <f aca="false">IF(A101="N/A"," ",IF(CC=2,(IF(OR(Dayrun=3,Dayrun=6,Dayrun=9),(VLOOKUP(A101,ScaledPrice,IF(AND(Dayrun&gt;=3,Dayrun&lt;=6),7,8))),0)-((IF(X101&lt;&gt;0,$D101,$CL101)*$C101)+$F101+$G101)),0))</f>
        <v> </v>
      </c>
      <c r="CU101" s="340" t="str">
        <f aca="false">IF(A101="N/A"," ",IF(CC=2,(IF(OR(Dayrun=3,Dayrun=6,Dayrun=9),IF(AND(Dayrun&gt;=3,Dayrun&lt;=6),O101,(VLOOKUP(A101,ScaledPrice,7))*(2-(VLOOKUP(A101,ScaledPrice,3)))),0)-((IF(Y101&lt;&gt;0,$D101,$CL101)*$C101)+$F101+$G101)),0))</f>
        <v> </v>
      </c>
      <c r="CV101" s="340" t="str">
        <f aca="false">IF(A101="N/A"," ",IF(CC=2,(VLOOKUP(A101,ScaledPrice,9)-((IF(Z101&lt;&gt;0,$D101,$CL101)*$C101)+$F101+$G101)),0))</f>
        <v> </v>
      </c>
      <c r="CW101" s="318" t="str">
        <f aca="false">IF($A101="N/A"," ",IF(0&lt;&gt;CN101,IF(CC=2,8*$HD101,0),0))</f>
        <v> </v>
      </c>
      <c r="CX101" s="318" t="str">
        <f aca="false">IF($A101="N/A"," ",IF(0&lt;&gt;CO101,IF(CC=2,8*$HD101,0),0))</f>
        <v> </v>
      </c>
      <c r="CY101" s="318" t="str">
        <f aca="false">IF($A101="N/A"," ",IF(0&lt;&gt;CP101,IF(CC=2,8*$HD101,0),0))</f>
        <v> </v>
      </c>
      <c r="CZ101" s="318" t="str">
        <f aca="false">IF($A101="N/A"," ",IF(0&lt;&gt;CQ101,IF(CC=2,8*$HE101,0),0))</f>
        <v> </v>
      </c>
      <c r="DA101" s="318" t="str">
        <f aca="false">IF($A101="N/A"," ",IF(0&lt;&gt;CR101,IF(CC=2,8*$HE101,0),0))</f>
        <v> </v>
      </c>
      <c r="DB101" s="318" t="str">
        <f aca="false">IF($A101="N/A"," ",IF(0&lt;&gt;CS101,IF(CC=2,8*$HE101,0),0))</f>
        <v> </v>
      </c>
      <c r="DC101" s="318" t="str">
        <f aca="false">IF($A101="N/A"," ",IF(0&lt;&gt;CT101,IF(CC=2,8*$HF101,0),0))</f>
        <v> </v>
      </c>
      <c r="DD101" s="318" t="str">
        <f aca="false">IF($A101="N/A"," ",IF(0&lt;&gt;CU101,IF(CC=2,8*$HF101,0),0))</f>
        <v> </v>
      </c>
      <c r="DE101" s="318" t="str">
        <f aca="false">IF($A101="N/A"," ",IF(0&lt;&gt;CV101,IF(CC=2,8*$HF101,0),0))</f>
        <v> </v>
      </c>
      <c r="DF101" s="341" t="str">
        <f aca="false">IF($A101="N/A"," ",IF(CC=2,(IF(MONTH(A101)&gt;=4,IF(MONTH(A101)&lt;=10,Inputs!$G$13,Inputs!$G$14),Inputs!$G$14))*$CK101,0))</f>
        <v> </v>
      </c>
      <c r="DG101" s="342" t="str">
        <f aca="false">IF($A101="N/A"," ",IF(CC=2,$DF101*CW101*CN101,0))</f>
        <v> </v>
      </c>
      <c r="DH101" s="342" t="str">
        <f aca="false">IF($A101="N/A"," ",IF(CC=2,$DF101*CX101*CO101,0))</f>
        <v> </v>
      </c>
      <c r="DI101" s="342" t="str">
        <f aca="false">IF($A101="N/A"," ",IF(CC=2,$DF101*CY101*CP101,0))</f>
        <v> </v>
      </c>
      <c r="DJ101" s="342" t="str">
        <f aca="false">IF($A101="N/A"," ",IF(CC=2,$DF101*CZ101*CQ101,0))</f>
        <v> </v>
      </c>
      <c r="DK101" s="342" t="str">
        <f aca="false">IF($A101="N/A"," ",IF(CC=2,$DF101*DA101*CR101,0))</f>
        <v> </v>
      </c>
      <c r="DL101" s="342" t="str">
        <f aca="false">IF($A101="N/A"," ",IF(CC=2,$DF101*DB101*CS101,0))</f>
        <v> </v>
      </c>
      <c r="DM101" s="342" t="str">
        <f aca="false">IF($A101="N/A"," ",IF(CC=2,$DF101*DC101*CT101,0))</f>
        <v> </v>
      </c>
      <c r="DN101" s="342" t="str">
        <f aca="false">IF($A101="N/A"," ",IF(CC=2,$DF101*DD101*CU101,0))</f>
        <v> </v>
      </c>
      <c r="DO101" s="342" t="str">
        <f aca="false">IF($A101="N/A"," ",IF(CC=2,$DF101*DE101*CV101,0))</f>
        <v> </v>
      </c>
      <c r="DP101" s="343" t="str">
        <f aca="false">IF($A101="N/A"," ",IF(CC=2,SUM(DG101:DO101),0))</f>
        <v> </v>
      </c>
      <c r="DQ101" s="0" t="str">
        <f aca="false">IF(A101="N/A"," ",Perstart)</f>
        <v> </v>
      </c>
      <c r="HD101" s="0" t="str">
        <f aca="false">IF($A101="N/A"," ",VLOOKUP($A101,NumberofDaysTable,2))</f>
        <v> </v>
      </c>
      <c r="HE101" s="0" t="str">
        <f aca="false">IF($A101="N/A"," ",VLOOKUP($A101,NumberofDaysTable,3))</f>
        <v> </v>
      </c>
      <c r="HF101" s="0" t="str">
        <f aca="false">IF($A101="N/A"," ",VLOOKUP($A101,NumberofDaysTable,4))</f>
        <v> </v>
      </c>
    </row>
    <row r="102" customFormat="false" ht="12.75" hidden="false" customHeight="false" outlineLevel="0" collapsed="false">
      <c r="A102" s="308" t="str">
        <f aca="false">IF(A101="N/A","N/A",IF(EDATE(A101,1)&gt;Inputs!$K$3,"N/A",EDATE(A101,1)))</f>
        <v>N/A</v>
      </c>
      <c r="B102" s="309" t="str">
        <f aca="false">IF(A102="N/A"," ",YEAR(A102))</f>
        <v> </v>
      </c>
      <c r="C102" s="310" t="str">
        <f aca="false">IF(A102="N/A"," ",VLOOKUP(A102,ScaledPrice,10))</f>
        <v> </v>
      </c>
      <c r="D102" s="311" t="str">
        <f aca="false">IF(A102="N/A"," ",(VLOOKUP(MONTH($A102),Hrtable,2))/1000)</f>
        <v> </v>
      </c>
      <c r="E102" s="312" t="str">
        <f aca="false">IF($A102="N/A"," ",(C102-'Pricing Inputs'!T135)*D102)</f>
        <v> </v>
      </c>
      <c r="F102" s="313" t="str">
        <f aca="false">IF(A102="N/A"," ",$F90*(1+VOMesc))</f>
        <v> </v>
      </c>
      <c r="G102" s="313" t="str">
        <f aca="false">IF(A102="N/A"," ",Perstart/IF(AND(Dayrun&gt;=4,Dayrun&lt;=6),16,IF(AND(Dayrun&gt;=7,Dayrun&lt;=9),8,24))/(BM102/CK102))</f>
        <v> </v>
      </c>
      <c r="H102" s="314" t="str">
        <f aca="false">IF(A102="N/A"," ",(C102*D102)+F102+G102)</f>
        <v> </v>
      </c>
      <c r="I102" s="315" t="str">
        <f aca="false">VLOOKUP(A102,ScaledPrice,(IF(AND(Dayrun&gt;=1,Dayrun&lt;=6),2,4)))</f>
        <v> </v>
      </c>
      <c r="J102" s="315" t="str">
        <f aca="false">IF(A102="N/A"," ",IF(AND(Dayrun&gt;=1,Dayrun&lt;=6),I102,(VLOOKUP(A102,ScaledPrice,2))*(2-(VLOOKUP(A102,ScaledPrice,3)))))</f>
        <v> </v>
      </c>
      <c r="K102" s="315" t="str">
        <f aca="false">IF(A102="N/A"," ",IF(AND(Dayrun&gt;=1,Dayrun&lt;=3),VLOOKUP(A102,ScaledPrice,9),0))</f>
        <v> </v>
      </c>
      <c r="L102" s="315" t="str">
        <f aca="false">IF(A102="N/A"," ",IF(OR(Dayrun=2,Dayrun=3,Dayrun=5,Dayrun=6,Dayrun=8,Dayrun=9),VLOOKUP(A102,ScaledPrice,IF(AND(Dayrun&gt;=2,Dayrun&lt;=6),5,6)),0))</f>
        <v> </v>
      </c>
      <c r="M102" s="315" t="str">
        <f aca="false">IF(A102="N/A"," ",IF(OR(Dayrun=2,Dayrun=3,Dayrun=5,Dayrun=6,Dayrun=8,Dayrun=9),IF(AND(Dayrun&gt;=2,Dayrun&lt;=6),L102,(VLOOKUP(A102,ScaledPrice,5))*(2-(VLOOKUP(A102,ScaledPrice,3)))),0))</f>
        <v> </v>
      </c>
      <c r="N102" s="315" t="str">
        <f aca="false">IF(A102="N/A"," ",IF(AND(Dayrun&gt;1,Dayrun&lt;=3),VLOOKUP(A102,ScaledPrice,9),0))</f>
        <v> </v>
      </c>
      <c r="O102" s="315" t="str">
        <f aca="false">IF(A102="N/A"," ",IF(OR(Dayrun=3,Dayrun=6,Dayrun=9),(VLOOKUP(A102,ScaledPrice,IF(AND(Dayrun&gt;=3,Dayrun&lt;=6),7,8))),0))</f>
        <v> </v>
      </c>
      <c r="P102" s="315" t="str">
        <f aca="false">IF(A102="N/A"," ",IF(OR(Dayrun=3,Dayrun=6,Dayrun=9),IF(AND(Dayrun&gt;=3,Dayrun&lt;=6),O102,(VLOOKUP(A102,ScaledPrice,7))*(2-(VLOOKUP(A102,ScaledPrice,3)))),0))</f>
        <v> </v>
      </c>
      <c r="Q102" s="315" t="str">
        <f aca="false">IF(A102="N/A"," ",IF(AND(Dayrun&gt;2,Dayrun&lt;=3),VLOOKUP(A102,ScaledPrice,9),0))</f>
        <v> </v>
      </c>
      <c r="R102" s="316" t="str">
        <f aca="false">IF($A102="N/A"," ",IF(Pricetype=2,MAX(I102-$H102,0),IF(Pricetype=1,(xSPRDOPT(I102,$E102,$CI102,0,($CD102+IF(Smile=TRUE(),VLOOKUP(MAX(-5,$H102-I102),Volsmile,2),0)),$CG102,$CH102,($A102-DateToday)+15,1,0)),I102-$H102)))</f>
        <v> </v>
      </c>
      <c r="S102" s="316" t="str">
        <f aca="false">IF($A102="N/A"," ",IF(Pricetype=2,MAX(J102-$H102,0),IF(Pricetype=1,(xSPRDOPT(J102,$E102,$CI102,0,($CD102+IF(Smile=TRUE(),VLOOKUP(MAX(-5,$H102-J102),Volsmile,2),0)),$CG102,$CH102,($A102-DateToday)+15,1,0)),J102-$H102)))</f>
        <v> </v>
      </c>
      <c r="T102" s="317" t="str">
        <f aca="false">IF($A102="N/A"," ",(IF(Pricetype=2,IF((K102-$H102)&lt;=0,0,(K102-$H102)),IF(K102&lt;&gt;0,(K102-$H102),0))))</f>
        <v> </v>
      </c>
      <c r="U102" s="316" t="str">
        <f aca="false">IF($A102="N/A"," ",IF(Pricetype=2,MAX(L102-$H102,0),IF(L102&lt;&gt;0,IF(Pricetype=1,(xSPRDOPT(L102,$E102,$CI102,0,($CD102+IF(Smile=TRUE(),VLOOKUP(MAX(-5,$H102-L102),Volsmile,2),0)),$CG102,$CH102,($A102-DateToday)+15,1,0)),L102-$H102),0)))</f>
        <v> </v>
      </c>
      <c r="V102" s="316" t="str">
        <f aca="false">IF($A102="N/A"," ",IF(Pricetype=2,MAX(M102-$H102,0),IF(M102&lt;&gt;0,IF(Pricetype=1,(xSPRDOPT(M102,$E102,$CI102,0,($CD102+IF(Smile=TRUE(),VLOOKUP(MAX(-5,$H102-M102),Volsmile,2),0)),$CG102,$CH102,($A102-DateToday)+15,1,0)),M102-$H102),0)))</f>
        <v> </v>
      </c>
      <c r="W102" s="317" t="str">
        <f aca="false">IF($A102="N/A"," ",(IF(Pricetype=2,IF((N102-$H102)&lt;=0,0,(N102-$H102)),IF(N102&lt;&gt;0,(N102-$H102),0))))</f>
        <v> </v>
      </c>
      <c r="X102" s="316" t="str">
        <f aca="false">IF($A102="N/A"," ",IF(Pricetype=2,MAX(O102-$H102,0),IF(O102&lt;&gt;0,IF(Pricetype=1,(xSPRDOPT(O102,$E102,$CI102,0,($CD102+IF(Smile=TRUE(),VLOOKUP(MAX(-5,$H102-O102),Volsmile,2),0)),$CG102,$CH102,($A102-DateToday)+15,1,0)),O102-$H102),0)))</f>
        <v> </v>
      </c>
      <c r="Y102" s="316" t="str">
        <f aca="false">IF($A102="N/A"," ",IF(Pricetype=2,MAX(P102-$H102,0),IF(P102&lt;&gt;0,IF(Pricetype=1,(xSPRDOPT(P102,$E102,$CI102,0,($CD102+IF(Smile=TRUE(),VLOOKUP(MAX(-5,$H102-P102),Volsmile,2),0)),$CG102,$CH102,($A102-DateToday)+15,1,0)),P102-$H102),0)))</f>
        <v> </v>
      </c>
      <c r="Z102" s="317" t="str">
        <f aca="false">IF($A102="N/A"," ",(IF(Pricetype=2,IF((Q102-$H102)&lt;=0,0,(Q102-$H102)),IF(Q102&lt;&gt;0,(Q102-$H102),0))))</f>
        <v> </v>
      </c>
      <c r="AA102" s="318" t="str">
        <f aca="false">IF($A102="N/A"," ",IF(VLOOKUP(MONTH(A102),ManualTable,2)=1,(IF(0&lt;&gt;R102,IF(Pricetype=1,(xSPRDOPT(I102,$E102,$CI102,0,($CD102+IF(Smile=TRUE(),VLOOKUP(MAX(-5,$H102-I102),Volsmile,2),0)),$CG102,$CH102,($A102-DateToday)+15,1,1))*(8*$HD102),8*$HD102),0)),0))</f>
        <v> </v>
      </c>
      <c r="AB102" s="318" t="str">
        <f aca="false">IF($A102="N/A"," ",IF(VLOOKUP(MONTH(A102),ManualTable,3)=1,(IF(S102&lt;&gt;0,IF(Pricetype=1,(xSPRDOPT(J102,$E102,$CI102,0,($CD102+IF(Smile=TRUE(),VLOOKUP(MAX(-5,$H102-J102),Volsmile,2),0)),$CG102,$CH102,($A102-DateToday)+15,1,1))*(8*$HD102),8*$HD102),0)),0))</f>
        <v> </v>
      </c>
      <c r="AC102" s="318" t="str">
        <f aca="false">IF($A102="N/A"," ",IF(VLOOKUP(MONTH(A102),ManualTable,4)=1,(IF(T102&lt;&gt;0,(8*$HD102),0)),0))</f>
        <v> </v>
      </c>
      <c r="AD102" s="318" t="str">
        <f aca="false">IF($A102="N/A"," ",IF(VLOOKUP(MONTH(A102),ManualTable,5)=1,(IF(U102&lt;&gt;0,IF(Pricetype=1,(xSPRDOPT(L102,$E102,$CI102,0,($CD102+IF(Smile=TRUE(),VLOOKUP(MAX(-5,$H102-L102),Volsmile,2),0)),$CG102,$CH102,($A102-DateToday)+15,1,1))*(8*$HE102),8*$HE102),0)),0))</f>
        <v> </v>
      </c>
      <c r="AE102" s="318" t="str">
        <f aca="false">IF($A102="N/A"," ",IF(VLOOKUP(MONTH(A102),ManualTable,6)=1,(IF(V102&lt;&gt;0,IF(Pricetype=1,(xSPRDOPT(M102,$E102,$CI102,0,($CD102+IF(Smile=TRUE(),VLOOKUP(MAX(-5,$H102-M102),Volsmile,2),0)),$CG102,$CH102,($A102-DateToday)+15,1,1))*(8*$HE102),8*$HE102),0)),0))</f>
        <v> </v>
      </c>
      <c r="AF102" s="318" t="str">
        <f aca="false">IF($A102="N/A"," ",IF(VLOOKUP(MONTH(A102),ManualTable,7)=1,(IF(W102&lt;&gt;0,(8*$HE102),0)),0))</f>
        <v> </v>
      </c>
      <c r="AG102" s="318" t="str">
        <f aca="false">IF($A102="N/A"," ",IF(VLOOKUP(MONTH(A102),ManualTable,8)=1,(IF(X102&lt;&gt;0,IF(Pricetype=1,(xSPRDOPT(O102,$E102,$CI102,0,($CD102+IF(Smile=TRUE(),VLOOKUP(MAX(-5,$H102-O102),Volsmile,2),0)),$CG102,$CH102,($A102-DateToday)+15,1,1))*(8*$HF102),8*$HF102),0)),0))</f>
        <v> </v>
      </c>
      <c r="AH102" s="318" t="str">
        <f aca="false">IF($A102="N/A"," ",IF(VLOOKUP(MONTH(A102),ManualTable,9)=1,(IF(Y102&lt;&gt;0,IF(Pricetype=1,(xSPRDOPT(P102,$E102,$CI102,0,($CD102+IF(Smile=TRUE(),VLOOKUP(MAX(-5,$H102-P102),Volsmile,2),0)),$CG102,$CH102,($A102-DateToday)+15,1,1))*(8*$HF102),8*$HF102),0)),0))</f>
        <v> </v>
      </c>
      <c r="AI102" s="318" t="str">
        <f aca="false">IF($A102="N/A"," ",IF(VLOOKUP(MONTH(A102),ManualTable,10)=1,(IF(Z102&lt;&gt;0,(8*($HF102)),0)),0))</f>
        <v> </v>
      </c>
      <c r="AJ102" s="344" t="str">
        <f aca="false">IF($A102="N/A"," ",RANK(R102,$R$100:$Z$111))</f>
        <v> </v>
      </c>
      <c r="AK102" s="321" t="str">
        <f aca="false">IF($A102="N/A"," ",RANK(S102,$R$100:$Z$111))</f>
        <v> </v>
      </c>
      <c r="AL102" s="321" t="str">
        <f aca="false">IF($A102="N/A"," ",RANK(T102,$R$100:$Z$111))</f>
        <v> </v>
      </c>
      <c r="AM102" s="321" t="str">
        <f aca="false">IF($A102="N/A"," ",RANK(U102,$R$100:$Z$111))</f>
        <v> </v>
      </c>
      <c r="AN102" s="321" t="str">
        <f aca="false">IF($A102="N/A"," ",RANK(V102,$R$100:$Z$111))</f>
        <v> </v>
      </c>
      <c r="AO102" s="321" t="str">
        <f aca="false">IF($A102="N/A"," ",RANK(W102,$R$100:$Z$111))</f>
        <v> </v>
      </c>
      <c r="AP102" s="321" t="str">
        <f aca="false">IF($A102="N/A"," ",RANK(X102,$R$100:$Z$111))</f>
        <v> </v>
      </c>
      <c r="AQ102" s="321" t="str">
        <f aca="false">IF($A102="N/A"," ",RANK(Y102,$R$100:$Z$111))</f>
        <v> </v>
      </c>
      <c r="AR102" s="345" t="str">
        <f aca="false">IF($A102="N/A"," ",RANK(Z102,$R$100:$Z$111))</f>
        <v> </v>
      </c>
      <c r="AS102" s="323" t="str">
        <f aca="false">IF($A102="N/A"," ",IF(AJ102&lt;=$AR$2,AA102,0))</f>
        <v> </v>
      </c>
      <c r="AT102" s="325" t="str">
        <f aca="false">IF($A102="N/A"," ",IF(AK102&lt;=$AR$2,AB102,0))</f>
        <v> </v>
      </c>
      <c r="AU102" s="325" t="str">
        <f aca="false">IF($A102="N/A"," ",IF(AL102&lt;=$AR$2,AC102,0))</f>
        <v> </v>
      </c>
      <c r="AV102" s="325" t="str">
        <f aca="false">IF($A102="N/A"," ",IF(AM102&lt;=$AR$2,AD102,0))</f>
        <v> </v>
      </c>
      <c r="AW102" s="325" t="str">
        <f aca="false">IF($A102="N/A"," ",IF(AN102&lt;=$AR$2,AE102,0))</f>
        <v> </v>
      </c>
      <c r="AX102" s="325" t="str">
        <f aca="false">IF($A102="N/A"," ",IF(AO102&lt;=$AR$2,AF102,0))</f>
        <v> </v>
      </c>
      <c r="AY102" s="325" t="str">
        <f aca="false">IF($A102="N/A"," ",IF(AP102&lt;=$AR$2,AG102,0))</f>
        <v> </v>
      </c>
      <c r="AZ102" s="325" t="str">
        <f aca="false">IF($A102="N/A"," ",IF(AQ102&lt;=$AR$2,AH102,0))</f>
        <v> </v>
      </c>
      <c r="BA102" s="325" t="str">
        <f aca="false">IF($A102="N/A"," ",IF(AR102&lt;=$AR$2,AI102,0))</f>
        <v> </v>
      </c>
      <c r="BB102" s="345"/>
      <c r="BC102" s="326" t="str">
        <f aca="false">IF($A102="N/A"," ",IF(AND(AJ102=$AR$2+1,AS102=0),MIN($BB$111,AA102),0))</f>
        <v> </v>
      </c>
      <c r="BD102" s="346" t="str">
        <f aca="false">IF($A102="N/A"," ",IF(AND(AK102=$AR$2+1,AT102=0),MIN($BB$111,AB102),0))</f>
        <v> </v>
      </c>
      <c r="BE102" s="346" t="str">
        <f aca="false">IF($A102="N/A"," ",IF(AND(AL102=$AR$2+1,AU102=0),MIN($BB$111,AC102),0))</f>
        <v> </v>
      </c>
      <c r="BF102" s="346" t="str">
        <f aca="false">IF($A102="N/A"," ",IF(AND(AM102=$AR$2+1,AV102=0),MIN($BB$111,AD102),0))</f>
        <v> </v>
      </c>
      <c r="BG102" s="346" t="str">
        <f aca="false">IF($A102="N/A"," ",IF(AND(AN102=$AR$2+1,AW102=0),MIN($BB$111,AE102),0))</f>
        <v> </v>
      </c>
      <c r="BH102" s="346" t="str">
        <f aca="false">IF($A102="N/A"," ",IF(AND(AO102=$AR$2+1,AX102=0),MIN($BB$111,AF102),0))</f>
        <v> </v>
      </c>
      <c r="BI102" s="346" t="str">
        <f aca="false">IF($A102="N/A"," ",IF(AND(AP102=$AR$2+1,AY102=0),MIN($BB$111,AG102),0))</f>
        <v> </v>
      </c>
      <c r="BJ102" s="346" t="str">
        <f aca="false">IF($A102="N/A"," ",IF(AND(AQ102=$AR$2+1,AZ102=0),MIN($BB$111,AH102),0))</f>
        <v> </v>
      </c>
      <c r="BK102" s="346" t="str">
        <f aca="false">IF($A102="N/A"," ",IF(AND(AR102=$AR$2+1,BA102=0),MIN($BB$111,AI102),0))</f>
        <v> </v>
      </c>
      <c r="BL102" s="345"/>
      <c r="BM102" s="329" t="str">
        <f aca="false">IF($A102="N/A"," ",(IF(MONTH(A102)&gt;=4,IF(MONTH(A102)&lt;=10,Inputs!$F$13-Inputs!$G$13,Inputs!$F$14-Inputs!$G$14),Inputs!$F$14-Inputs!$G$14))*$CK102*Availability)</f>
        <v> </v>
      </c>
      <c r="BN102" s="330" t="str">
        <f aca="false">IF($A102="N/A"," ",(IF(AS102&gt;0,($BM102*(8*($HD102))*R102),0)+IF(BC102&gt;0,($BM102*((BC102/AA102)*8*$HD102)*R102),0)))</f>
        <v> </v>
      </c>
      <c r="BO102" s="330" t="str">
        <f aca="false">IF($A102="N/A"," ",(IF(AT102&gt;0,($BM102*(8*($HD102))*S102),0)+IF(BD102&gt;0,($BM102*((BD102/AB102)*8*$HD102)*S102),0)))</f>
        <v> </v>
      </c>
      <c r="BP102" s="330" t="str">
        <f aca="false">IF($A102="N/A"," ",(IF(AU102&gt;0,($BM102*(8*($HD102))*T102),0)+IF(BE102&gt;0,($BM102*((BE102))*T102),0)))</f>
        <v> </v>
      </c>
      <c r="BQ102" s="330" t="str">
        <f aca="false">IF($A102="N/A"," ",(IF(AV102&gt;0,($BM102*(8*($HE102))*U102),0)+IF(BF102&gt;0,($BM102*((BF102/AD102)*8*$HE102)*U102),0)))</f>
        <v> </v>
      </c>
      <c r="BR102" s="330" t="str">
        <f aca="false">IF($A102="N/A"," ",(IF(AW102&gt;0,($BM102*(8*($HE102))*V102),0)+IF(BG102&gt;0,($BM102*((BG102/AE102)*8*$HE102)*V102),0)))</f>
        <v> </v>
      </c>
      <c r="BS102" s="330" t="str">
        <f aca="false">IF($A102="N/A"," ",(IF(AX102&gt;0,($BM102*(8*($HE102))*W102),0)+IF(BH102&gt;0,($BM102*((BH102))*W102),0)))</f>
        <v> </v>
      </c>
      <c r="BT102" s="330" t="str">
        <f aca="false">IF($A102="N/A"," ",(IF(AY102&gt;0,($BM102*(8*($HF102))*X102),0)+IF(BI102&gt;0,($BM102*((BI102/AG102)*8*$HF102)*X102),0)))</f>
        <v> </v>
      </c>
      <c r="BU102" s="330" t="str">
        <f aca="false">IF($A102="N/A"," ",(IF(AZ102&gt;0,($BM102*(8*($HF102))*Y102),0)+IF(BJ102&gt;0,($BM102*((BJ102/AH102)*8*$HF102)*Y102),0)))</f>
        <v> </v>
      </c>
      <c r="BV102" s="330" t="str">
        <f aca="false">IF($A102="N/A"," ",(IF(BA102&gt;0,($BM102*(8*($HF102))*Z102),0)+IF(BK102&gt;0,($BM102*((BK102))*Z102),0)))</f>
        <v> </v>
      </c>
      <c r="BW102" s="330" t="str">
        <f aca="false">IF($A102="N/A"," ",SUM(BN102:BV102))</f>
        <v> </v>
      </c>
      <c r="BX102" s="331" t="str">
        <f aca="false">IF($A102="N/A"," ",(H102*(SUM(AS102:BA102)+SUM(BC102:BK102))*BM102))</f>
        <v> </v>
      </c>
      <c r="BY102" s="332" t="str">
        <f aca="false">IF($A102="N/A"," ",((C102*D102)*(SUM($AS102:$BA102)+SUM($BC102:$BK102))*$BM102))</f>
        <v> </v>
      </c>
      <c r="BZ102" s="332" t="str">
        <f aca="false">IF($A102="N/A"," ",(F102*(SUM($AS102:$BA102)+SUM($BC102:$BK102))*$BM102))</f>
        <v> </v>
      </c>
      <c r="CA102" s="333" t="str">
        <f aca="false">IF($A102="N/A"," ",(G102*(SUM($AS102:$BA102)+SUM($BC102:$BK102))*$BM102))</f>
        <v> </v>
      </c>
      <c r="CB102" s="334" t="str">
        <f aca="false">IF(A102="N/A"," ",(VLOOKUP(A102,PowerVolTable,(IF(BMO=2,7,IF(BMO=1,6,8))),FALSE())))</f>
        <v> </v>
      </c>
      <c r="CC102" s="334" t="str">
        <f aca="false">IF(A102="N/A"," ",(VLOOKUP(A102,IntraPowerVol,(IF(BMO=2,3,IF(BMO=1,2,4))),FALSE())*VLOOKUP(MONTH($A102),Volscale,2)))</f>
        <v> </v>
      </c>
      <c r="CD102" s="335" t="str">
        <f aca="false">IF($A102="N/A"," ",(IF(DateToday&gt;$A102,$CC102,((($CB102^2)*((($A102-1)-DateToday)/((EOMONTH($A102,0)+1)-DateToday-15)))+((($CC102)^2)*((15)/((EOMONTH($A102,0)+1)-DateToday-15))))^0.5)))</f>
        <v> </v>
      </c>
      <c r="CE102" s="334" t="str">
        <f aca="false">IF($A102="N/A"," ",(VLOOKUP($A102,GasVolTable,(IF(BMO=2,6,IF(BMO=1,7,5))),FALSE())))</f>
        <v> </v>
      </c>
      <c r="CF102" s="334" t="str">
        <f aca="false">IF($A102="N/A"," ",(VLOOKUP($A102,OmicronVol,(IF(BMO=2,3,IF(BMO=1,4,2))),FALSE())))</f>
        <v> </v>
      </c>
      <c r="CG102" s="335" t="str">
        <f aca="false">IF($A102="N/A"," ",(IF(DateToday&gt;$A102,$CF102,((($CE102^2)*((($A102-1)-DateToday)/((EOMONTH($A102,0)+1)-DateToday-15)))+((($CF102)^2)*((15)/((EOMONTH($A102,0)+1)-DateToday-15))))^0.5)))</f>
        <v> </v>
      </c>
      <c r="CH102" s="334" t="str">
        <f aca="false">IF($A102="N/A"," ",VLOOKUP($A102,CorrelationTable,2,FALSE()))</f>
        <v> </v>
      </c>
      <c r="CI102" s="336" t="str">
        <f aca="false">IF($A102="N/A"," ",F102+G102+(D102*('Pricing Inputs'!T135)))</f>
        <v> </v>
      </c>
      <c r="CJ102" s="334" t="str">
        <f aca="false">IF($A102="N/A"," ",IF(PV=1,0,'Pricing Inputs'!U135))</f>
        <v> </v>
      </c>
      <c r="CK102" s="337" t="str">
        <f aca="false">IF($A102="N/A"," ",(1+CJ102/2)^(-2*((EOMONTH(A102,0)+20)-DateToday)/365.25))</f>
        <v> </v>
      </c>
      <c r="CL102" s="338" t="str">
        <f aca="false">IF(A102="N/A"," ",IF(CC=2,(VLOOKUP(MONTH($A102),Hrtable,3))/1000,0))</f>
        <v> </v>
      </c>
      <c r="CM102" s="339" t="str">
        <f aca="false">IF(A102="N/A"," ",IF(CC=2,(CL102*C102)+F102,0))</f>
        <v> </v>
      </c>
      <c r="CN102" s="340" t="str">
        <f aca="false">IF($A102="N/A"," ",IF(CC=2,(VLOOKUP(A102,ScaledPrice,(IF(AND(Dayrun&gt;=1,Dayrun&lt;=6),2,4)))-((IF(R102&lt;&gt;0,$D102,$CL102)*$C102)+$F102+$G102)),0))</f>
        <v> </v>
      </c>
      <c r="CO102" s="340" t="str">
        <f aca="false">IF($A102="N/A"," ",IF(CC=2,(IF(AND(Dayrun&gt;=1,Dayrun&lt;=6),I102,(VLOOKUP(A102,ScaledPrice,2))*(2-(VLOOKUP(A102,ScaledPrice,3))))-((IF(S102&lt;&gt;0,$D102,$CL102)*$C102)+$F102+$G102)),0))</f>
        <v> </v>
      </c>
      <c r="CP102" s="340" t="str">
        <f aca="false">IF(A102="N/A"," ",IF(CC=2,(VLOOKUP(A102,ScaledPrice,9)-((IF(T102&lt;&gt;0,$D102,$CL102)*$C102)+$F102+$G102)),0))</f>
        <v> </v>
      </c>
      <c r="CQ102" s="340" t="str">
        <f aca="false">IF(A102="N/A"," ",IF(CC=2,(IF(OR(Dayrun=2,Dayrun=3,Dayrun=5,Dayrun=6,Dayrun=8,Dayrun=9),VLOOKUP(A102,ScaledPrice,IF(AND(Dayrun&gt;=2,Dayrun&lt;=6),5,6)),0)-((IF(U102&lt;&gt;0,$D102,$CL102)*$C102)+$F102+$G102)),0))</f>
        <v> </v>
      </c>
      <c r="CR102" s="340" t="str">
        <f aca="false">IF(A102="N/A"," ",IF(CC=2,(IF(OR(Dayrun=2,Dayrun=3,Dayrun=5,Dayrun=6,Dayrun=8,Dayrun=9),IF(AND(Dayrun&gt;=2,Dayrun&lt;=6),L102,(VLOOKUP(A102,ScaledPrice,5))*(2-(VLOOKUP(A102,ScaledPrice,3)))),0)-((IF(V102&lt;&gt;0,$D102,$CL102)*$C102)+$F102+$G102)),0))</f>
        <v> </v>
      </c>
      <c r="CS102" s="340" t="str">
        <f aca="false">IF(A102="N/A"," ",IF(CC=2,(VLOOKUP(A102,ScaledPrice,9)-((IF(W102&lt;&gt;0,$D102,$CL102)*$C102)+$F102+$G102)),0))</f>
        <v> </v>
      </c>
      <c r="CT102" s="340" t="str">
        <f aca="false">IF(A102="N/A"," ",IF(CC=2,(IF(OR(Dayrun=3,Dayrun=6,Dayrun=9),(VLOOKUP(A102,ScaledPrice,IF(AND(Dayrun&gt;=3,Dayrun&lt;=6),7,8))),0)-((IF(X102&lt;&gt;0,$D102,$CL102)*$C102)+$F102+$G102)),0))</f>
        <v> </v>
      </c>
      <c r="CU102" s="340" t="str">
        <f aca="false">IF(A102="N/A"," ",IF(CC=2,(IF(OR(Dayrun=3,Dayrun=6,Dayrun=9),IF(AND(Dayrun&gt;=3,Dayrun&lt;=6),O102,(VLOOKUP(A102,ScaledPrice,7))*(2-(VLOOKUP(A102,ScaledPrice,3)))),0)-((IF(Y102&lt;&gt;0,$D102,$CL102)*$C102)+$F102+$G102)),0))</f>
        <v> </v>
      </c>
      <c r="CV102" s="340" t="str">
        <f aca="false">IF(A102="N/A"," ",IF(CC=2,(VLOOKUP(A102,ScaledPrice,9)-((IF(Z102&lt;&gt;0,$D102,$CL102)*$C102)+$F102+$G102)),0))</f>
        <v> </v>
      </c>
      <c r="CW102" s="318" t="str">
        <f aca="false">IF($A102="N/A"," ",IF(0&lt;&gt;CN102,IF(CC=2,8*$HD102,0),0))</f>
        <v> </v>
      </c>
      <c r="CX102" s="318" t="str">
        <f aca="false">IF($A102="N/A"," ",IF(0&lt;&gt;CO102,IF(CC=2,8*$HD102,0),0))</f>
        <v> </v>
      </c>
      <c r="CY102" s="318" t="str">
        <f aca="false">IF($A102="N/A"," ",IF(0&lt;&gt;CP102,IF(CC=2,8*$HD102,0),0))</f>
        <v> </v>
      </c>
      <c r="CZ102" s="318" t="str">
        <f aca="false">IF($A102="N/A"," ",IF(0&lt;&gt;CQ102,IF(CC=2,8*$HE102,0),0))</f>
        <v> </v>
      </c>
      <c r="DA102" s="318" t="str">
        <f aca="false">IF($A102="N/A"," ",IF(0&lt;&gt;CR102,IF(CC=2,8*$HE102,0),0))</f>
        <v> </v>
      </c>
      <c r="DB102" s="318" t="str">
        <f aca="false">IF($A102="N/A"," ",IF(0&lt;&gt;CS102,IF(CC=2,8*$HE102,0),0))</f>
        <v> </v>
      </c>
      <c r="DC102" s="318" t="str">
        <f aca="false">IF($A102="N/A"," ",IF(0&lt;&gt;CT102,IF(CC=2,8*$HF102,0),0))</f>
        <v> </v>
      </c>
      <c r="DD102" s="318" t="str">
        <f aca="false">IF($A102="N/A"," ",IF(0&lt;&gt;CU102,IF(CC=2,8*$HF102,0),0))</f>
        <v> </v>
      </c>
      <c r="DE102" s="318" t="str">
        <f aca="false">IF($A102="N/A"," ",IF(0&lt;&gt;CV102,IF(CC=2,8*$HF102,0),0))</f>
        <v> </v>
      </c>
      <c r="DF102" s="341" t="str">
        <f aca="false">IF($A102="N/A"," ",IF(CC=2,(IF(MONTH(A102)&gt;=4,IF(MONTH(A102)&lt;=10,Inputs!$G$13,Inputs!$G$14),Inputs!$G$14))*$CK102,0))</f>
        <v> </v>
      </c>
      <c r="DG102" s="342" t="str">
        <f aca="false">IF($A102="N/A"," ",IF(CC=2,$DF102*CW102*CN102,0))</f>
        <v> </v>
      </c>
      <c r="DH102" s="342" t="str">
        <f aca="false">IF($A102="N/A"," ",IF(CC=2,$DF102*CX102*CO102,0))</f>
        <v> </v>
      </c>
      <c r="DI102" s="342" t="str">
        <f aca="false">IF($A102="N/A"," ",IF(CC=2,$DF102*CY102*CP102,0))</f>
        <v> </v>
      </c>
      <c r="DJ102" s="342" t="str">
        <f aca="false">IF($A102="N/A"," ",IF(CC=2,$DF102*CZ102*CQ102,0))</f>
        <v> </v>
      </c>
      <c r="DK102" s="342" t="str">
        <f aca="false">IF($A102="N/A"," ",IF(CC=2,$DF102*DA102*CR102,0))</f>
        <v> </v>
      </c>
      <c r="DL102" s="342" t="str">
        <f aca="false">IF($A102="N/A"," ",IF(CC=2,$DF102*DB102*CS102,0))</f>
        <v> </v>
      </c>
      <c r="DM102" s="342" t="str">
        <f aca="false">IF($A102="N/A"," ",IF(CC=2,$DF102*DC102*CT102,0))</f>
        <v> </v>
      </c>
      <c r="DN102" s="342" t="str">
        <f aca="false">IF($A102="N/A"," ",IF(CC=2,$DF102*DD102*CU102,0))</f>
        <v> </v>
      </c>
      <c r="DO102" s="342" t="str">
        <f aca="false">IF($A102="N/A"," ",IF(CC=2,$DF102*DE102*CV102,0))</f>
        <v> </v>
      </c>
      <c r="DP102" s="343" t="str">
        <f aca="false">IF($A102="N/A"," ",IF(CC=2,SUM(DG102:DO102),0))</f>
        <v> </v>
      </c>
      <c r="DQ102" s="0" t="str">
        <f aca="false">IF(A102="N/A"," ",Perstart)</f>
        <v> </v>
      </c>
      <c r="HD102" s="0" t="str">
        <f aca="false">IF($A102="N/A"," ",VLOOKUP($A102,NumberofDaysTable,2))</f>
        <v> </v>
      </c>
      <c r="HE102" s="0" t="str">
        <f aca="false">IF($A102="N/A"," ",VLOOKUP($A102,NumberofDaysTable,3))</f>
        <v> </v>
      </c>
      <c r="HF102" s="0" t="str">
        <f aca="false">IF($A102="N/A"," ",VLOOKUP($A102,NumberofDaysTable,4))</f>
        <v> </v>
      </c>
    </row>
    <row r="103" customFormat="false" ht="12.75" hidden="false" customHeight="false" outlineLevel="0" collapsed="false">
      <c r="A103" s="308" t="str">
        <f aca="false">IF(A102="N/A","N/A",IF(EDATE(A102,1)&gt;Inputs!$K$3,"N/A",EDATE(A102,1)))</f>
        <v>N/A</v>
      </c>
      <c r="B103" s="309" t="str">
        <f aca="false">IF(A103="N/A"," ",YEAR(A103))</f>
        <v> </v>
      </c>
      <c r="C103" s="310" t="str">
        <f aca="false">IF(A103="N/A"," ",VLOOKUP(A103,ScaledPrice,10))</f>
        <v> </v>
      </c>
      <c r="D103" s="311" t="str">
        <f aca="false">IF(A103="N/A"," ",(VLOOKUP(MONTH($A103),Hrtable,2))/1000)</f>
        <v> </v>
      </c>
      <c r="E103" s="312" t="str">
        <f aca="false">IF($A103="N/A"," ",(C103-'Pricing Inputs'!T136)*D103)</f>
        <v> </v>
      </c>
      <c r="F103" s="313" t="str">
        <f aca="false">IF(A103="N/A"," ",$F91*(1+VOMesc))</f>
        <v> </v>
      </c>
      <c r="G103" s="313" t="str">
        <f aca="false">IF(A103="N/A"," ",Perstart/IF(AND(Dayrun&gt;=4,Dayrun&lt;=6),16,IF(AND(Dayrun&gt;=7,Dayrun&lt;=9),8,24))/(BM103/CK103))</f>
        <v> </v>
      </c>
      <c r="H103" s="314" t="str">
        <f aca="false">IF(A103="N/A"," ",(C103*D103)+F103+G103)</f>
        <v> </v>
      </c>
      <c r="I103" s="315" t="str">
        <f aca="false">VLOOKUP(A103,ScaledPrice,(IF(AND(Dayrun&gt;=1,Dayrun&lt;=6),2,4)))</f>
        <v> </v>
      </c>
      <c r="J103" s="315" t="str">
        <f aca="false">IF(A103="N/A"," ",IF(AND(Dayrun&gt;=1,Dayrun&lt;=6),I103,(VLOOKUP(A103,ScaledPrice,2))*(2-(VLOOKUP(A103,ScaledPrice,3)))))</f>
        <v> </v>
      </c>
      <c r="K103" s="315" t="str">
        <f aca="false">IF(A103="N/A"," ",IF(AND(Dayrun&gt;=1,Dayrun&lt;=3),VLOOKUP(A103,ScaledPrice,9),0))</f>
        <v> </v>
      </c>
      <c r="L103" s="315" t="str">
        <f aca="false">IF(A103="N/A"," ",IF(OR(Dayrun=2,Dayrun=3,Dayrun=5,Dayrun=6,Dayrun=8,Dayrun=9),VLOOKUP(A103,ScaledPrice,IF(AND(Dayrun&gt;=2,Dayrun&lt;=6),5,6)),0))</f>
        <v> </v>
      </c>
      <c r="M103" s="315" t="str">
        <f aca="false">IF(A103="N/A"," ",IF(OR(Dayrun=2,Dayrun=3,Dayrun=5,Dayrun=6,Dayrun=8,Dayrun=9),IF(AND(Dayrun&gt;=2,Dayrun&lt;=6),L103,(VLOOKUP(A103,ScaledPrice,5))*(2-(VLOOKUP(A103,ScaledPrice,3)))),0))</f>
        <v> </v>
      </c>
      <c r="N103" s="315" t="str">
        <f aca="false">IF(A103="N/A"," ",IF(AND(Dayrun&gt;1,Dayrun&lt;=3),VLOOKUP(A103,ScaledPrice,9),0))</f>
        <v> </v>
      </c>
      <c r="O103" s="315" t="str">
        <f aca="false">IF(A103="N/A"," ",IF(OR(Dayrun=3,Dayrun=6,Dayrun=9),(VLOOKUP(A103,ScaledPrice,IF(AND(Dayrun&gt;=3,Dayrun&lt;=6),7,8))),0))</f>
        <v> </v>
      </c>
      <c r="P103" s="315" t="str">
        <f aca="false">IF(A103="N/A"," ",IF(OR(Dayrun=3,Dayrun=6,Dayrun=9),IF(AND(Dayrun&gt;=3,Dayrun&lt;=6),O103,(VLOOKUP(A103,ScaledPrice,7))*(2-(VLOOKUP(A103,ScaledPrice,3)))),0))</f>
        <v> </v>
      </c>
      <c r="Q103" s="315" t="str">
        <f aca="false">IF(A103="N/A"," ",IF(AND(Dayrun&gt;2,Dayrun&lt;=3),VLOOKUP(A103,ScaledPrice,9),0))</f>
        <v> </v>
      </c>
      <c r="R103" s="316" t="str">
        <f aca="false">IF($A103="N/A"," ",IF(Pricetype=2,MAX(I103-$H103,0),IF(Pricetype=1,(xSPRDOPT(I103,$E103,$CI103,0,($CD103+IF(Smile=TRUE(),VLOOKUP(MAX(-5,$H103-I103),Volsmile,2),0)),$CG103,$CH103,($A103-DateToday)+15,1,0)),I103-$H103)))</f>
        <v> </v>
      </c>
      <c r="S103" s="316" t="str">
        <f aca="false">IF($A103="N/A"," ",IF(Pricetype=2,MAX(J103-$H103,0),IF(Pricetype=1,(xSPRDOPT(J103,$E103,$CI103,0,($CD103+IF(Smile=TRUE(),VLOOKUP(MAX(-5,$H103-J103),Volsmile,2),0)),$CG103,$CH103,($A103-DateToday)+15,1,0)),J103-$H103)))</f>
        <v> </v>
      </c>
      <c r="T103" s="317" t="str">
        <f aca="false">IF($A103="N/A"," ",(IF(Pricetype=2,IF((K103-$H103)&lt;=0,0,(K103-$H103)),IF(K103&lt;&gt;0,(K103-$H103),0))))</f>
        <v> </v>
      </c>
      <c r="U103" s="316" t="str">
        <f aca="false">IF($A103="N/A"," ",IF(Pricetype=2,MAX(L103-$H103,0),IF(L103&lt;&gt;0,IF(Pricetype=1,(xSPRDOPT(L103,$E103,$CI103,0,($CD103+IF(Smile=TRUE(),VLOOKUP(MAX(-5,$H103-L103),Volsmile,2),0)),$CG103,$CH103,($A103-DateToday)+15,1,0)),L103-$H103),0)))</f>
        <v> </v>
      </c>
      <c r="V103" s="316" t="str">
        <f aca="false">IF($A103="N/A"," ",IF(Pricetype=2,MAX(M103-$H103,0),IF(M103&lt;&gt;0,IF(Pricetype=1,(xSPRDOPT(M103,$E103,$CI103,0,($CD103+IF(Smile=TRUE(),VLOOKUP(MAX(-5,$H103-M103),Volsmile,2),0)),$CG103,$CH103,($A103-DateToday)+15,1,0)),M103-$H103),0)))</f>
        <v> </v>
      </c>
      <c r="W103" s="317" t="str">
        <f aca="false">IF($A103="N/A"," ",(IF(Pricetype=2,IF((N103-$H103)&lt;=0,0,(N103-$H103)),IF(N103&lt;&gt;0,(N103-$H103),0))))</f>
        <v> </v>
      </c>
      <c r="X103" s="316" t="str">
        <f aca="false">IF($A103="N/A"," ",IF(Pricetype=2,MAX(O103-$H103,0),IF(O103&lt;&gt;0,IF(Pricetype=1,(xSPRDOPT(O103,$E103,$CI103,0,($CD103+IF(Smile=TRUE(),VLOOKUP(MAX(-5,$H103-O103),Volsmile,2),0)),$CG103,$CH103,($A103-DateToday)+15,1,0)),O103-$H103),0)))</f>
        <v> </v>
      </c>
      <c r="Y103" s="316" t="str">
        <f aca="false">IF($A103="N/A"," ",IF(Pricetype=2,MAX(P103-$H103,0),IF(P103&lt;&gt;0,IF(Pricetype=1,(xSPRDOPT(P103,$E103,$CI103,0,($CD103+IF(Smile=TRUE(),VLOOKUP(MAX(-5,$H103-P103),Volsmile,2),0)),$CG103,$CH103,($A103-DateToday)+15,1,0)),P103-$H103),0)))</f>
        <v> </v>
      </c>
      <c r="Z103" s="317" t="str">
        <f aca="false">IF($A103="N/A"," ",(IF(Pricetype=2,IF((Q103-$H103)&lt;=0,0,(Q103-$H103)),IF(Q103&lt;&gt;0,(Q103-$H103),0))))</f>
        <v> </v>
      </c>
      <c r="AA103" s="318" t="str">
        <f aca="false">IF($A103="N/A"," ",IF(VLOOKUP(MONTH(A103),ManualTable,2)=1,(IF(0&lt;&gt;R103,IF(Pricetype=1,(xSPRDOPT(I103,$E103,$CI103,0,($CD103+IF(Smile=TRUE(),VLOOKUP(MAX(-5,$H103-I103),Volsmile,2),0)),$CG103,$CH103,($A103-DateToday)+15,1,1))*(8*$HD103),8*$HD103),0)),0))</f>
        <v> </v>
      </c>
      <c r="AB103" s="318" t="str">
        <f aca="false">IF($A103="N/A"," ",IF(VLOOKUP(MONTH(A103),ManualTable,3)=1,(IF(S103&lt;&gt;0,IF(Pricetype=1,(xSPRDOPT(J103,$E103,$CI103,0,($CD103+IF(Smile=TRUE(),VLOOKUP(MAX(-5,$H103-J103),Volsmile,2),0)),$CG103,$CH103,($A103-DateToday)+15,1,1))*(8*$HD103),8*$HD103),0)),0))</f>
        <v> </v>
      </c>
      <c r="AC103" s="318" t="str">
        <f aca="false">IF($A103="N/A"," ",IF(VLOOKUP(MONTH(A103),ManualTable,4)=1,(IF(T103&lt;&gt;0,(8*$HD103),0)),0))</f>
        <v> </v>
      </c>
      <c r="AD103" s="318" t="str">
        <f aca="false">IF($A103="N/A"," ",IF(VLOOKUP(MONTH(A103),ManualTable,5)=1,(IF(U103&lt;&gt;0,IF(Pricetype=1,(xSPRDOPT(L103,$E103,$CI103,0,($CD103+IF(Smile=TRUE(),VLOOKUP(MAX(-5,$H103-L103),Volsmile,2),0)),$CG103,$CH103,($A103-DateToday)+15,1,1))*(8*$HE103),8*$HE103),0)),0))</f>
        <v> </v>
      </c>
      <c r="AE103" s="318" t="str">
        <f aca="false">IF($A103="N/A"," ",IF(VLOOKUP(MONTH(A103),ManualTable,6)=1,(IF(V103&lt;&gt;0,IF(Pricetype=1,(xSPRDOPT(M103,$E103,$CI103,0,($CD103+IF(Smile=TRUE(),VLOOKUP(MAX(-5,$H103-M103),Volsmile,2),0)),$CG103,$CH103,($A103-DateToday)+15,1,1))*(8*$HE103),8*$HE103),0)),0))</f>
        <v> </v>
      </c>
      <c r="AF103" s="318" t="str">
        <f aca="false">IF($A103="N/A"," ",IF(VLOOKUP(MONTH(A103),ManualTable,7)=1,(IF(W103&lt;&gt;0,(8*$HE103),0)),0))</f>
        <v> </v>
      </c>
      <c r="AG103" s="318" t="str">
        <f aca="false">IF($A103="N/A"," ",IF(VLOOKUP(MONTH(A103),ManualTable,8)=1,(IF(X103&lt;&gt;0,IF(Pricetype=1,(xSPRDOPT(O103,$E103,$CI103,0,($CD103+IF(Smile=TRUE(),VLOOKUP(MAX(-5,$H103-O103),Volsmile,2),0)),$CG103,$CH103,($A103-DateToday)+15,1,1))*(8*$HF103),8*$HF103),0)),0))</f>
        <v> </v>
      </c>
      <c r="AH103" s="318" t="str">
        <f aca="false">IF($A103="N/A"," ",IF(VLOOKUP(MONTH(A103),ManualTable,9)=1,(IF(Y103&lt;&gt;0,IF(Pricetype=1,(xSPRDOPT(P103,$E103,$CI103,0,($CD103+IF(Smile=TRUE(),VLOOKUP(MAX(-5,$H103-P103),Volsmile,2),0)),$CG103,$CH103,($A103-DateToday)+15,1,1))*(8*$HF103),8*$HF103),0)),0))</f>
        <v> </v>
      </c>
      <c r="AI103" s="318" t="str">
        <f aca="false">IF($A103="N/A"," ",IF(VLOOKUP(MONTH(A103),ManualTable,10)=1,(IF(Z103&lt;&gt;0,(8*($HF103)),0)),0))</f>
        <v> </v>
      </c>
      <c r="AJ103" s="344" t="str">
        <f aca="false">IF($A103="N/A"," ",RANK(R103,$R$100:$Z$111))</f>
        <v> </v>
      </c>
      <c r="AK103" s="321" t="str">
        <f aca="false">IF($A103="N/A"," ",RANK(S103,$R$100:$Z$111))</f>
        <v> </v>
      </c>
      <c r="AL103" s="321" t="str">
        <f aca="false">IF($A103="N/A"," ",RANK(T103,$R$100:$Z$111))</f>
        <v> </v>
      </c>
      <c r="AM103" s="321" t="str">
        <f aca="false">IF($A103="N/A"," ",RANK(U103,$R$100:$Z$111))</f>
        <v> </v>
      </c>
      <c r="AN103" s="321" t="str">
        <f aca="false">IF($A103="N/A"," ",RANK(V103,$R$100:$Z$111))</f>
        <v> </v>
      </c>
      <c r="AO103" s="321" t="str">
        <f aca="false">IF($A103="N/A"," ",RANK(W103,$R$100:$Z$111))</f>
        <v> </v>
      </c>
      <c r="AP103" s="321" t="str">
        <f aca="false">IF($A103="N/A"," ",RANK(X103,$R$100:$Z$111))</f>
        <v> </v>
      </c>
      <c r="AQ103" s="321" t="str">
        <f aca="false">IF($A103="N/A"," ",RANK(Y103,$R$100:$Z$111))</f>
        <v> </v>
      </c>
      <c r="AR103" s="345" t="str">
        <f aca="false">IF($A103="N/A"," ",RANK(Z103,$R$100:$Z$111))</f>
        <v> </v>
      </c>
      <c r="AS103" s="323" t="str">
        <f aca="false">IF($A103="N/A"," ",IF(AJ103&lt;=$AR$2,AA103,0))</f>
        <v> </v>
      </c>
      <c r="AT103" s="325" t="str">
        <f aca="false">IF($A103="N/A"," ",IF(AK103&lt;=$AR$2,AB103,0))</f>
        <v> </v>
      </c>
      <c r="AU103" s="325" t="str">
        <f aca="false">IF($A103="N/A"," ",IF(AL103&lt;=$AR$2,AC103,0))</f>
        <v> </v>
      </c>
      <c r="AV103" s="325" t="str">
        <f aca="false">IF($A103="N/A"," ",IF(AM103&lt;=$AR$2,AD103,0))</f>
        <v> </v>
      </c>
      <c r="AW103" s="325" t="str">
        <f aca="false">IF($A103="N/A"," ",IF(AN103&lt;=$AR$2,AE103,0))</f>
        <v> </v>
      </c>
      <c r="AX103" s="325" t="str">
        <f aca="false">IF($A103="N/A"," ",IF(AO103&lt;=$AR$2,AF103,0))</f>
        <v> </v>
      </c>
      <c r="AY103" s="325" t="str">
        <f aca="false">IF($A103="N/A"," ",IF(AP103&lt;=$AR$2,AG103,0))</f>
        <v> </v>
      </c>
      <c r="AZ103" s="325" t="str">
        <f aca="false">IF($A103="N/A"," ",IF(AQ103&lt;=$AR$2,AH103,0))</f>
        <v> </v>
      </c>
      <c r="BA103" s="325" t="str">
        <f aca="false">IF($A103="N/A"," ",IF(AR103&lt;=$AR$2,AI103,0))</f>
        <v> </v>
      </c>
      <c r="BB103" s="345"/>
      <c r="BC103" s="326" t="str">
        <f aca="false">IF($A103="N/A"," ",IF(AND(AJ103=$AR$2+1,AS103=0),MIN($BB$111,AA103),0))</f>
        <v> </v>
      </c>
      <c r="BD103" s="346" t="str">
        <f aca="false">IF($A103="N/A"," ",IF(AND(AK103=$AR$2+1,AT103=0),MIN($BB$111,AB103),0))</f>
        <v> </v>
      </c>
      <c r="BE103" s="346" t="str">
        <f aca="false">IF($A103="N/A"," ",IF(AND(AL103=$AR$2+1,AU103=0),MIN($BB$111,AC103),0))</f>
        <v> </v>
      </c>
      <c r="BF103" s="346" t="str">
        <f aca="false">IF($A103="N/A"," ",IF(AND(AM103=$AR$2+1,AV103=0),MIN($BB$111,AD103),0))</f>
        <v> </v>
      </c>
      <c r="BG103" s="346" t="str">
        <f aca="false">IF($A103="N/A"," ",IF(AND(AN103=$AR$2+1,AW103=0),MIN($BB$111,AE103),0))</f>
        <v> </v>
      </c>
      <c r="BH103" s="346" t="str">
        <f aca="false">IF($A103="N/A"," ",IF(AND(AO103=$AR$2+1,AX103=0),MIN($BB$111,AF103),0))</f>
        <v> </v>
      </c>
      <c r="BI103" s="346" t="str">
        <f aca="false">IF($A103="N/A"," ",IF(AND(AP103=$AR$2+1,AY103=0),MIN($BB$111,AG103),0))</f>
        <v> </v>
      </c>
      <c r="BJ103" s="346" t="str">
        <f aca="false">IF($A103="N/A"," ",IF(AND(AQ103=$AR$2+1,AZ103=0),MIN($BB$111,AH103),0))</f>
        <v> </v>
      </c>
      <c r="BK103" s="346" t="str">
        <f aca="false">IF($A103="N/A"," ",IF(AND(AR103=$AR$2+1,BA103=0),MIN($BB$111,AI103),0))</f>
        <v> </v>
      </c>
      <c r="BL103" s="345"/>
      <c r="BM103" s="329" t="str">
        <f aca="false">IF($A103="N/A"," ",(IF(MONTH(A103)&gt;=4,IF(MONTH(A103)&lt;=10,Inputs!$F$13-Inputs!$G$13,Inputs!$F$14-Inputs!$G$14),Inputs!$F$14-Inputs!$G$14))*$CK103*Availability)</f>
        <v> </v>
      </c>
      <c r="BN103" s="330" t="str">
        <f aca="false">IF($A103="N/A"," ",(IF(AS103&gt;0,($BM103*(8*($HD103))*R103),0)+IF(BC103&gt;0,($BM103*((BC103/AA103)*8*$HD103)*R103),0)))</f>
        <v> </v>
      </c>
      <c r="BO103" s="330" t="str">
        <f aca="false">IF($A103="N/A"," ",(IF(AT103&gt;0,($BM103*(8*($HD103))*S103),0)+IF(BD103&gt;0,($BM103*((BD103/AB103)*8*$HD103)*S103),0)))</f>
        <v> </v>
      </c>
      <c r="BP103" s="330" t="str">
        <f aca="false">IF($A103="N/A"," ",(IF(AU103&gt;0,($BM103*(8*($HD103))*T103),0)+IF(BE103&gt;0,($BM103*((BE103))*T103),0)))</f>
        <v> </v>
      </c>
      <c r="BQ103" s="330" t="str">
        <f aca="false">IF($A103="N/A"," ",(IF(AV103&gt;0,($BM103*(8*($HE103))*U103),0)+IF(BF103&gt;0,($BM103*((BF103/AD103)*8*$HE103)*U103),0)))</f>
        <v> </v>
      </c>
      <c r="BR103" s="330" t="str">
        <f aca="false">IF($A103="N/A"," ",(IF(AW103&gt;0,($BM103*(8*($HE103))*V103),0)+IF(BG103&gt;0,($BM103*((BG103/AE103)*8*$HE103)*V103),0)))</f>
        <v> </v>
      </c>
      <c r="BS103" s="330" t="str">
        <f aca="false">IF($A103="N/A"," ",(IF(AX103&gt;0,($BM103*(8*($HE103))*W103),0)+IF(BH103&gt;0,($BM103*((BH103))*W103),0)))</f>
        <v> </v>
      </c>
      <c r="BT103" s="330" t="str">
        <f aca="false">IF($A103="N/A"," ",(IF(AY103&gt;0,($BM103*(8*($HF103))*X103),0)+IF(BI103&gt;0,($BM103*((BI103/AG103)*8*$HF103)*X103),0)))</f>
        <v> </v>
      </c>
      <c r="BU103" s="330" t="str">
        <f aca="false">IF($A103="N/A"," ",(IF(AZ103&gt;0,($BM103*(8*($HF103))*Y103),0)+IF(BJ103&gt;0,($BM103*((BJ103/AH103)*8*$HF103)*Y103),0)))</f>
        <v> </v>
      </c>
      <c r="BV103" s="330" t="str">
        <f aca="false">IF($A103="N/A"," ",(IF(BA103&gt;0,($BM103*(8*($HF103))*Z103),0)+IF(BK103&gt;0,($BM103*((BK103))*Z103),0)))</f>
        <v> </v>
      </c>
      <c r="BW103" s="330" t="str">
        <f aca="false">IF($A103="N/A"," ",SUM(BN103:BV103))</f>
        <v> </v>
      </c>
      <c r="BX103" s="331" t="str">
        <f aca="false">IF($A103="N/A"," ",(H103*(SUM(AS103:BA103)+SUM(BC103:BK103))*BM103))</f>
        <v> </v>
      </c>
      <c r="BY103" s="332" t="str">
        <f aca="false">IF($A103="N/A"," ",((C103*D103)*(SUM($AS103:$BA103)+SUM($BC103:$BK103))*$BM103))</f>
        <v> </v>
      </c>
      <c r="BZ103" s="332" t="str">
        <f aca="false">IF($A103="N/A"," ",(F103*(SUM($AS103:$BA103)+SUM($BC103:$BK103))*$BM103))</f>
        <v> </v>
      </c>
      <c r="CA103" s="333" t="str">
        <f aca="false">IF($A103="N/A"," ",(G103*(SUM($AS103:$BA103)+SUM($BC103:$BK103))*$BM103))</f>
        <v> </v>
      </c>
      <c r="CB103" s="334" t="str">
        <f aca="false">IF(A103="N/A"," ",(VLOOKUP(A103,PowerVolTable,(IF(BMO=2,7,IF(BMO=1,6,8))),FALSE())))</f>
        <v> </v>
      </c>
      <c r="CC103" s="334" t="str">
        <f aca="false">IF(A103="N/A"," ",(VLOOKUP(A103,IntraPowerVol,(IF(BMO=2,3,IF(BMO=1,2,4))),FALSE())*VLOOKUP(MONTH($A103),Volscale,2)))</f>
        <v> </v>
      </c>
      <c r="CD103" s="335" t="str">
        <f aca="false">IF($A103="N/A"," ",(IF(DateToday&gt;$A103,$CC103,((($CB103^2)*((($A103-1)-DateToday)/((EOMONTH($A103,0)+1)-DateToday-15)))+((($CC103)^2)*((15)/((EOMONTH($A103,0)+1)-DateToday-15))))^0.5)))</f>
        <v> </v>
      </c>
      <c r="CE103" s="334" t="str">
        <f aca="false">IF($A103="N/A"," ",(VLOOKUP($A103,GasVolTable,(IF(BMO=2,6,IF(BMO=1,7,5))),FALSE())))</f>
        <v> </v>
      </c>
      <c r="CF103" s="334" t="str">
        <f aca="false">IF($A103="N/A"," ",(VLOOKUP($A103,OmicronVol,(IF(BMO=2,3,IF(BMO=1,4,2))),FALSE())))</f>
        <v> </v>
      </c>
      <c r="CG103" s="335" t="str">
        <f aca="false">IF($A103="N/A"," ",(IF(DateToday&gt;$A103,$CF103,((($CE103^2)*((($A103-1)-DateToday)/((EOMONTH($A103,0)+1)-DateToday-15)))+((($CF103)^2)*((15)/((EOMONTH($A103,0)+1)-DateToday-15))))^0.5)))</f>
        <v> </v>
      </c>
      <c r="CH103" s="334" t="str">
        <f aca="false">IF($A103="N/A"," ",VLOOKUP($A103,CorrelationTable,2,FALSE()))</f>
        <v> </v>
      </c>
      <c r="CI103" s="336" t="str">
        <f aca="false">IF($A103="N/A"," ",F103+G103+(D103*('Pricing Inputs'!T136)))</f>
        <v> </v>
      </c>
      <c r="CJ103" s="334" t="str">
        <f aca="false">IF($A103="N/A"," ",IF(PV=1,0,'Pricing Inputs'!U136))</f>
        <v> </v>
      </c>
      <c r="CK103" s="337" t="str">
        <f aca="false">IF($A103="N/A"," ",(1+CJ103/2)^(-2*((EOMONTH(A103,0)+20)-DateToday)/365.25))</f>
        <v> </v>
      </c>
      <c r="CL103" s="338" t="str">
        <f aca="false">IF(A103="N/A"," ",IF(CC=2,(VLOOKUP(MONTH($A103),Hrtable,3))/1000,0))</f>
        <v> </v>
      </c>
      <c r="CM103" s="339" t="str">
        <f aca="false">IF(A103="N/A"," ",IF(CC=2,(CL103*C103)+F103,0))</f>
        <v> </v>
      </c>
      <c r="CN103" s="340" t="str">
        <f aca="false">IF($A103="N/A"," ",IF(CC=2,(VLOOKUP(A103,ScaledPrice,(IF(AND(Dayrun&gt;=1,Dayrun&lt;=6),2,4)))-((IF(R103&lt;&gt;0,$D103,$CL103)*$C103)+$F103+$G103)),0))</f>
        <v> </v>
      </c>
      <c r="CO103" s="340" t="str">
        <f aca="false">IF($A103="N/A"," ",IF(CC=2,(IF(AND(Dayrun&gt;=1,Dayrun&lt;=6),I103,(VLOOKUP(A103,ScaledPrice,2))*(2-(VLOOKUP(A103,ScaledPrice,3))))-((IF(S103&lt;&gt;0,$D103,$CL103)*$C103)+$F103+$G103)),0))</f>
        <v> </v>
      </c>
      <c r="CP103" s="340" t="str">
        <f aca="false">IF(A103="N/A"," ",IF(CC=2,(VLOOKUP(A103,ScaledPrice,9)-((IF(T103&lt;&gt;0,$D103,$CL103)*$C103)+$F103+$G103)),0))</f>
        <v> </v>
      </c>
      <c r="CQ103" s="340" t="str">
        <f aca="false">IF(A103="N/A"," ",IF(CC=2,(IF(OR(Dayrun=2,Dayrun=3,Dayrun=5,Dayrun=6,Dayrun=8,Dayrun=9),VLOOKUP(A103,ScaledPrice,IF(AND(Dayrun&gt;=2,Dayrun&lt;=6),5,6)),0)-((IF(U103&lt;&gt;0,$D103,$CL103)*$C103)+$F103+$G103)),0))</f>
        <v> </v>
      </c>
      <c r="CR103" s="340" t="str">
        <f aca="false">IF(A103="N/A"," ",IF(CC=2,(IF(OR(Dayrun=2,Dayrun=3,Dayrun=5,Dayrun=6,Dayrun=8,Dayrun=9),IF(AND(Dayrun&gt;=2,Dayrun&lt;=6),L103,(VLOOKUP(A103,ScaledPrice,5))*(2-(VLOOKUP(A103,ScaledPrice,3)))),0)-((IF(V103&lt;&gt;0,$D103,$CL103)*$C103)+$F103+$G103)),0))</f>
        <v> </v>
      </c>
      <c r="CS103" s="340" t="str">
        <f aca="false">IF(A103="N/A"," ",IF(CC=2,(VLOOKUP(A103,ScaledPrice,9)-((IF(W103&lt;&gt;0,$D103,$CL103)*$C103)+$F103+$G103)),0))</f>
        <v> </v>
      </c>
      <c r="CT103" s="340" t="str">
        <f aca="false">IF(A103="N/A"," ",IF(CC=2,(IF(OR(Dayrun=3,Dayrun=6,Dayrun=9),(VLOOKUP(A103,ScaledPrice,IF(AND(Dayrun&gt;=3,Dayrun&lt;=6),7,8))),0)-((IF(X103&lt;&gt;0,$D103,$CL103)*$C103)+$F103+$G103)),0))</f>
        <v> </v>
      </c>
      <c r="CU103" s="340" t="str">
        <f aca="false">IF(A103="N/A"," ",IF(CC=2,(IF(OR(Dayrun=3,Dayrun=6,Dayrun=9),IF(AND(Dayrun&gt;=3,Dayrun&lt;=6),O103,(VLOOKUP(A103,ScaledPrice,7))*(2-(VLOOKUP(A103,ScaledPrice,3)))),0)-((IF(Y103&lt;&gt;0,$D103,$CL103)*$C103)+$F103+$G103)),0))</f>
        <v> </v>
      </c>
      <c r="CV103" s="340" t="str">
        <f aca="false">IF(A103="N/A"," ",IF(CC=2,(VLOOKUP(A103,ScaledPrice,9)-((IF(Z103&lt;&gt;0,$D103,$CL103)*$C103)+$F103+$G103)),0))</f>
        <v> </v>
      </c>
      <c r="CW103" s="318" t="str">
        <f aca="false">IF($A103="N/A"," ",IF(0&lt;&gt;CN103,IF(CC=2,8*$HD103,0),0))</f>
        <v> </v>
      </c>
      <c r="CX103" s="318" t="str">
        <f aca="false">IF($A103="N/A"," ",IF(0&lt;&gt;CO103,IF(CC=2,8*$HD103,0),0))</f>
        <v> </v>
      </c>
      <c r="CY103" s="318" t="str">
        <f aca="false">IF($A103="N/A"," ",IF(0&lt;&gt;CP103,IF(CC=2,8*$HD103,0),0))</f>
        <v> </v>
      </c>
      <c r="CZ103" s="318" t="str">
        <f aca="false">IF($A103="N/A"," ",IF(0&lt;&gt;CQ103,IF(CC=2,8*$HE103,0),0))</f>
        <v> </v>
      </c>
      <c r="DA103" s="318" t="str">
        <f aca="false">IF($A103="N/A"," ",IF(0&lt;&gt;CR103,IF(CC=2,8*$HE103,0),0))</f>
        <v> </v>
      </c>
      <c r="DB103" s="318" t="str">
        <f aca="false">IF($A103="N/A"," ",IF(0&lt;&gt;CS103,IF(CC=2,8*$HE103,0),0))</f>
        <v> </v>
      </c>
      <c r="DC103" s="318" t="str">
        <f aca="false">IF($A103="N/A"," ",IF(0&lt;&gt;CT103,IF(CC=2,8*$HF103,0),0))</f>
        <v> </v>
      </c>
      <c r="DD103" s="318" t="str">
        <f aca="false">IF($A103="N/A"," ",IF(0&lt;&gt;CU103,IF(CC=2,8*$HF103,0),0))</f>
        <v> </v>
      </c>
      <c r="DE103" s="318" t="str">
        <f aca="false">IF($A103="N/A"," ",IF(0&lt;&gt;CV103,IF(CC=2,8*$HF103,0),0))</f>
        <v> </v>
      </c>
      <c r="DF103" s="341" t="str">
        <f aca="false">IF($A103="N/A"," ",IF(CC=2,(IF(MONTH(A103)&gt;=4,IF(MONTH(A103)&lt;=10,Inputs!$G$13,Inputs!$G$14),Inputs!$G$14))*$CK103,0))</f>
        <v> </v>
      </c>
      <c r="DG103" s="342" t="str">
        <f aca="false">IF($A103="N/A"," ",IF(CC=2,$DF103*CW103*CN103,0))</f>
        <v> </v>
      </c>
      <c r="DH103" s="342" t="str">
        <f aca="false">IF($A103="N/A"," ",IF(CC=2,$DF103*CX103*CO103,0))</f>
        <v> </v>
      </c>
      <c r="DI103" s="342" t="str">
        <f aca="false">IF($A103="N/A"," ",IF(CC=2,$DF103*CY103*CP103,0))</f>
        <v> </v>
      </c>
      <c r="DJ103" s="342" t="str">
        <f aca="false">IF($A103="N/A"," ",IF(CC=2,$DF103*CZ103*CQ103,0))</f>
        <v> </v>
      </c>
      <c r="DK103" s="342" t="str">
        <f aca="false">IF($A103="N/A"," ",IF(CC=2,$DF103*DA103*CR103,0))</f>
        <v> </v>
      </c>
      <c r="DL103" s="342" t="str">
        <f aca="false">IF($A103="N/A"," ",IF(CC=2,$DF103*DB103*CS103,0))</f>
        <v> </v>
      </c>
      <c r="DM103" s="342" t="str">
        <f aca="false">IF($A103="N/A"," ",IF(CC=2,$DF103*DC103*CT103,0))</f>
        <v> </v>
      </c>
      <c r="DN103" s="342" t="str">
        <f aca="false">IF($A103="N/A"," ",IF(CC=2,$DF103*DD103*CU103,0))</f>
        <v> </v>
      </c>
      <c r="DO103" s="342" t="str">
        <f aca="false">IF($A103="N/A"," ",IF(CC=2,$DF103*DE103*CV103,0))</f>
        <v> </v>
      </c>
      <c r="DP103" s="343" t="str">
        <f aca="false">IF($A103="N/A"," ",IF(CC=2,SUM(DG103:DO103),0))</f>
        <v> </v>
      </c>
      <c r="DQ103" s="0" t="str">
        <f aca="false">IF(A103="N/A"," ",Perstart)</f>
        <v> </v>
      </c>
      <c r="HD103" s="0" t="str">
        <f aca="false">IF($A103="N/A"," ",VLOOKUP($A103,NumberofDaysTable,2))</f>
        <v> </v>
      </c>
      <c r="HE103" s="0" t="str">
        <f aca="false">IF($A103="N/A"," ",VLOOKUP($A103,NumberofDaysTable,3))</f>
        <v> </v>
      </c>
      <c r="HF103" s="0" t="str">
        <f aca="false">IF($A103="N/A"," ",VLOOKUP($A103,NumberofDaysTable,4))</f>
        <v> </v>
      </c>
    </row>
    <row r="104" customFormat="false" ht="12.75" hidden="false" customHeight="false" outlineLevel="0" collapsed="false">
      <c r="A104" s="308" t="str">
        <f aca="false">IF(A103="N/A","N/A",IF(EDATE(A103,1)&gt;Inputs!$K$3,"N/A",EDATE(A103,1)))</f>
        <v>N/A</v>
      </c>
      <c r="B104" s="309" t="str">
        <f aca="false">IF(A104="N/A"," ",YEAR(A104))</f>
        <v> </v>
      </c>
      <c r="C104" s="310" t="str">
        <f aca="false">IF(A104="N/A"," ",VLOOKUP(A104,ScaledPrice,10))</f>
        <v> </v>
      </c>
      <c r="D104" s="311" t="str">
        <f aca="false">IF(A104="N/A"," ",(VLOOKUP(MONTH($A104),Hrtable,2))/1000)</f>
        <v> </v>
      </c>
      <c r="E104" s="312" t="str">
        <f aca="false">IF($A104="N/A"," ",(C104-'Pricing Inputs'!T137)*D104)</f>
        <v> </v>
      </c>
      <c r="F104" s="313" t="str">
        <f aca="false">IF(A104="N/A"," ",$F92*(1+VOMesc))</f>
        <v> </v>
      </c>
      <c r="G104" s="313" t="str">
        <f aca="false">IF(A104="N/A"," ",Perstart/IF(AND(Dayrun&gt;=4,Dayrun&lt;=6),16,IF(AND(Dayrun&gt;=7,Dayrun&lt;=9),8,24))/(BM104/CK104))</f>
        <v> </v>
      </c>
      <c r="H104" s="314" t="str">
        <f aca="false">IF(A104="N/A"," ",(C104*D104)+F104+G104)</f>
        <v> </v>
      </c>
      <c r="I104" s="315" t="str">
        <f aca="false">VLOOKUP(A104,ScaledPrice,(IF(AND(Dayrun&gt;=1,Dayrun&lt;=6),2,4)))</f>
        <v> </v>
      </c>
      <c r="J104" s="315" t="str">
        <f aca="false">IF(A104="N/A"," ",IF(AND(Dayrun&gt;=1,Dayrun&lt;=6),I104,(VLOOKUP(A104,ScaledPrice,2))*(2-(VLOOKUP(A104,ScaledPrice,3)))))</f>
        <v> </v>
      </c>
      <c r="K104" s="315" t="str">
        <f aca="false">IF(A104="N/A"," ",IF(AND(Dayrun&gt;=1,Dayrun&lt;=3),VLOOKUP(A104,ScaledPrice,9),0))</f>
        <v> </v>
      </c>
      <c r="L104" s="315" t="str">
        <f aca="false">IF(A104="N/A"," ",IF(OR(Dayrun=2,Dayrun=3,Dayrun=5,Dayrun=6,Dayrun=8,Dayrun=9),VLOOKUP(A104,ScaledPrice,IF(AND(Dayrun&gt;=2,Dayrun&lt;=6),5,6)),0))</f>
        <v> </v>
      </c>
      <c r="M104" s="315" t="str">
        <f aca="false">IF(A104="N/A"," ",IF(OR(Dayrun=2,Dayrun=3,Dayrun=5,Dayrun=6,Dayrun=8,Dayrun=9),IF(AND(Dayrun&gt;=2,Dayrun&lt;=6),L104,(VLOOKUP(A104,ScaledPrice,5))*(2-(VLOOKUP(A104,ScaledPrice,3)))),0))</f>
        <v> </v>
      </c>
      <c r="N104" s="315" t="str">
        <f aca="false">IF(A104="N/A"," ",IF(AND(Dayrun&gt;1,Dayrun&lt;=3),VLOOKUP(A104,ScaledPrice,9),0))</f>
        <v> </v>
      </c>
      <c r="O104" s="315" t="str">
        <f aca="false">IF(A104="N/A"," ",IF(OR(Dayrun=3,Dayrun=6,Dayrun=9),(VLOOKUP(A104,ScaledPrice,IF(AND(Dayrun&gt;=3,Dayrun&lt;=6),7,8))),0))</f>
        <v> </v>
      </c>
      <c r="P104" s="315" t="str">
        <f aca="false">IF(A104="N/A"," ",IF(OR(Dayrun=3,Dayrun=6,Dayrun=9),IF(AND(Dayrun&gt;=3,Dayrun&lt;=6),O104,(VLOOKUP(A104,ScaledPrice,7))*(2-(VLOOKUP(A104,ScaledPrice,3)))),0))</f>
        <v> </v>
      </c>
      <c r="Q104" s="315" t="str">
        <f aca="false">IF(A104="N/A"," ",IF(AND(Dayrun&gt;2,Dayrun&lt;=3),VLOOKUP(A104,ScaledPrice,9),0))</f>
        <v> </v>
      </c>
      <c r="R104" s="316" t="str">
        <f aca="false">IF($A104="N/A"," ",IF(Pricetype=2,MAX(I104-$H104,0),IF(Pricetype=1,(xSPRDOPT(I104,$E104,$CI104,0,($CD104+IF(Smile=TRUE(),VLOOKUP(MAX(-5,$H104-I104),Volsmile,2),0)),$CG104,$CH104,($A104-DateToday)+15,1,0)),I104-$H104)))</f>
        <v> </v>
      </c>
      <c r="S104" s="316" t="str">
        <f aca="false">IF($A104="N/A"," ",IF(Pricetype=2,MAX(J104-$H104,0),IF(Pricetype=1,(xSPRDOPT(J104,$E104,$CI104,0,($CD104+IF(Smile=TRUE(),VLOOKUP(MAX(-5,$H104-J104),Volsmile,2),0)),$CG104,$CH104,($A104-DateToday)+15,1,0)),J104-$H104)))</f>
        <v> </v>
      </c>
      <c r="T104" s="317" t="str">
        <f aca="false">IF($A104="N/A"," ",(IF(Pricetype=2,IF((K104-$H104)&lt;=0,0,(K104-$H104)),IF(K104&lt;&gt;0,(K104-$H104),0))))</f>
        <v> </v>
      </c>
      <c r="U104" s="316" t="str">
        <f aca="false">IF($A104="N/A"," ",IF(Pricetype=2,MAX(L104-$H104,0),IF(L104&lt;&gt;0,IF(Pricetype=1,(xSPRDOPT(L104,$E104,$CI104,0,($CD104+IF(Smile=TRUE(),VLOOKUP(MAX(-5,$H104-L104),Volsmile,2),0)),$CG104,$CH104,($A104-DateToday)+15,1,0)),L104-$H104),0)))</f>
        <v> </v>
      </c>
      <c r="V104" s="316" t="str">
        <f aca="false">IF($A104="N/A"," ",IF(Pricetype=2,MAX(M104-$H104,0),IF(M104&lt;&gt;0,IF(Pricetype=1,(xSPRDOPT(M104,$E104,$CI104,0,($CD104+IF(Smile=TRUE(),VLOOKUP(MAX(-5,$H104-M104),Volsmile,2),0)),$CG104,$CH104,($A104-DateToday)+15,1,0)),M104-$H104),0)))</f>
        <v> </v>
      </c>
      <c r="W104" s="317" t="str">
        <f aca="false">IF($A104="N/A"," ",(IF(Pricetype=2,IF((N104-$H104)&lt;=0,0,(N104-$H104)),IF(N104&lt;&gt;0,(N104-$H104),0))))</f>
        <v> </v>
      </c>
      <c r="X104" s="316" t="str">
        <f aca="false">IF($A104="N/A"," ",IF(Pricetype=2,MAX(O104-$H104,0),IF(O104&lt;&gt;0,IF(Pricetype=1,(xSPRDOPT(O104,$E104,$CI104,0,($CD104+IF(Smile=TRUE(),VLOOKUP(MAX(-5,$H104-O104),Volsmile,2),0)),$CG104,$CH104,($A104-DateToday)+15,1,0)),O104-$H104),0)))</f>
        <v> </v>
      </c>
      <c r="Y104" s="316" t="str">
        <f aca="false">IF($A104="N/A"," ",IF(Pricetype=2,MAX(P104-$H104,0),IF(P104&lt;&gt;0,IF(Pricetype=1,(xSPRDOPT(P104,$E104,$CI104,0,($CD104+IF(Smile=TRUE(),VLOOKUP(MAX(-5,$H104-P104),Volsmile,2),0)),$CG104,$CH104,($A104-DateToday)+15,1,0)),P104-$H104),0)))</f>
        <v> </v>
      </c>
      <c r="Z104" s="317" t="str">
        <f aca="false">IF($A104="N/A"," ",(IF(Pricetype=2,IF((Q104-$H104)&lt;=0,0,(Q104-$H104)),IF(Q104&lt;&gt;0,(Q104-$H104),0))))</f>
        <v> </v>
      </c>
      <c r="AA104" s="318" t="str">
        <f aca="false">IF($A104="N/A"," ",IF(VLOOKUP(MONTH(A104),ManualTable,2)=1,(IF(0&lt;&gt;R104,IF(Pricetype=1,(xSPRDOPT(I104,$E104,$CI104,0,($CD104+IF(Smile=TRUE(),VLOOKUP(MAX(-5,$H104-I104),Volsmile,2),0)),$CG104,$CH104,($A104-DateToday)+15,1,1))*(8*$HD104),8*$HD104),0)),0))</f>
        <v> </v>
      </c>
      <c r="AB104" s="318" t="str">
        <f aca="false">IF($A104="N/A"," ",IF(VLOOKUP(MONTH(A104),ManualTable,3)=1,(IF(S104&lt;&gt;0,IF(Pricetype=1,(xSPRDOPT(J104,$E104,$CI104,0,($CD104+IF(Smile=TRUE(),VLOOKUP(MAX(-5,$H104-J104),Volsmile,2),0)),$CG104,$CH104,($A104-DateToday)+15,1,1))*(8*$HD104),8*$HD104),0)),0))</f>
        <v> </v>
      </c>
      <c r="AC104" s="318" t="str">
        <f aca="false">IF($A104="N/A"," ",IF(VLOOKUP(MONTH(A104),ManualTable,4)=1,(IF(T104&lt;&gt;0,(8*$HD104),0)),0))</f>
        <v> </v>
      </c>
      <c r="AD104" s="318" t="str">
        <f aca="false">IF($A104="N/A"," ",IF(VLOOKUP(MONTH(A104),ManualTable,5)=1,(IF(U104&lt;&gt;0,IF(Pricetype=1,(xSPRDOPT(L104,$E104,$CI104,0,($CD104+IF(Smile=TRUE(),VLOOKUP(MAX(-5,$H104-L104),Volsmile,2),0)),$CG104,$CH104,($A104-DateToday)+15,1,1))*(8*$HE104),8*$HE104),0)),0))</f>
        <v> </v>
      </c>
      <c r="AE104" s="318" t="str">
        <f aca="false">IF($A104="N/A"," ",IF(VLOOKUP(MONTH(A104),ManualTable,6)=1,(IF(V104&lt;&gt;0,IF(Pricetype=1,(xSPRDOPT(M104,$E104,$CI104,0,($CD104+IF(Smile=TRUE(),VLOOKUP(MAX(-5,$H104-M104),Volsmile,2),0)),$CG104,$CH104,($A104-DateToday)+15,1,1))*(8*$HE104),8*$HE104),0)),0))</f>
        <v> </v>
      </c>
      <c r="AF104" s="318" t="str">
        <f aca="false">IF($A104="N/A"," ",IF(VLOOKUP(MONTH(A104),ManualTable,7)=1,(IF(W104&lt;&gt;0,(8*$HE104),0)),0))</f>
        <v> </v>
      </c>
      <c r="AG104" s="318" t="str">
        <f aca="false">IF($A104="N/A"," ",IF(VLOOKUP(MONTH(A104),ManualTable,8)=1,(IF(X104&lt;&gt;0,IF(Pricetype=1,(xSPRDOPT(O104,$E104,$CI104,0,($CD104+IF(Smile=TRUE(),VLOOKUP(MAX(-5,$H104-O104),Volsmile,2),0)),$CG104,$CH104,($A104-DateToday)+15,1,1))*(8*$HF104),8*$HF104),0)),0))</f>
        <v> </v>
      </c>
      <c r="AH104" s="318" t="str">
        <f aca="false">IF($A104="N/A"," ",IF(VLOOKUP(MONTH(A104),ManualTable,9)=1,(IF(Y104&lt;&gt;0,IF(Pricetype=1,(xSPRDOPT(P104,$E104,$CI104,0,($CD104+IF(Smile=TRUE(),VLOOKUP(MAX(-5,$H104-P104),Volsmile,2),0)),$CG104,$CH104,($A104-DateToday)+15,1,1))*(8*$HF104),8*$HF104),0)),0))</f>
        <v> </v>
      </c>
      <c r="AI104" s="318" t="str">
        <f aca="false">IF($A104="N/A"," ",IF(VLOOKUP(MONTH(A104),ManualTable,10)=1,(IF(Z104&lt;&gt;0,(8*($HF104)),0)),0))</f>
        <v> </v>
      </c>
      <c r="AJ104" s="344" t="str">
        <f aca="false">IF($A104="N/A"," ",RANK(R104,$R$100:$Z$111))</f>
        <v> </v>
      </c>
      <c r="AK104" s="321" t="str">
        <f aca="false">IF($A104="N/A"," ",RANK(S104,$R$100:$Z$111))</f>
        <v> </v>
      </c>
      <c r="AL104" s="321" t="str">
        <f aca="false">IF($A104="N/A"," ",RANK(T104,$R$100:$Z$111))</f>
        <v> </v>
      </c>
      <c r="AM104" s="321" t="str">
        <f aca="false">IF($A104="N/A"," ",RANK(U104,$R$100:$Z$111))</f>
        <v> </v>
      </c>
      <c r="AN104" s="321" t="str">
        <f aca="false">IF($A104="N/A"," ",RANK(V104,$R$100:$Z$111))</f>
        <v> </v>
      </c>
      <c r="AO104" s="321" t="str">
        <f aca="false">IF($A104="N/A"," ",RANK(W104,$R$100:$Z$111))</f>
        <v> </v>
      </c>
      <c r="AP104" s="321" t="str">
        <f aca="false">IF($A104="N/A"," ",RANK(X104,$R$100:$Z$111))</f>
        <v> </v>
      </c>
      <c r="AQ104" s="321" t="str">
        <f aca="false">IF($A104="N/A"," ",RANK(Y104,$R$100:$Z$111))</f>
        <v> </v>
      </c>
      <c r="AR104" s="345" t="str">
        <f aca="false">IF($A104="N/A"," ",RANK(Z104,$R$100:$Z$111))</f>
        <v> </v>
      </c>
      <c r="AS104" s="323" t="str">
        <f aca="false">IF($A104="N/A"," ",IF(AJ104&lt;=$AR$2,AA104,0))</f>
        <v> </v>
      </c>
      <c r="AT104" s="325" t="str">
        <f aca="false">IF($A104="N/A"," ",IF(AK104&lt;=$AR$2,AB104,0))</f>
        <v> </v>
      </c>
      <c r="AU104" s="325" t="str">
        <f aca="false">IF($A104="N/A"," ",IF(AL104&lt;=$AR$2,AC104,0))</f>
        <v> </v>
      </c>
      <c r="AV104" s="325" t="str">
        <f aca="false">IF($A104="N/A"," ",IF(AM104&lt;=$AR$2,AD104,0))</f>
        <v> </v>
      </c>
      <c r="AW104" s="325" t="str">
        <f aca="false">IF($A104="N/A"," ",IF(AN104&lt;=$AR$2,AE104,0))</f>
        <v> </v>
      </c>
      <c r="AX104" s="325" t="str">
        <f aca="false">IF($A104="N/A"," ",IF(AO104&lt;=$AR$2,AF104,0))</f>
        <v> </v>
      </c>
      <c r="AY104" s="325" t="str">
        <f aca="false">IF($A104="N/A"," ",IF(AP104&lt;=$AR$2,AG104,0))</f>
        <v> </v>
      </c>
      <c r="AZ104" s="325" t="str">
        <f aca="false">IF($A104="N/A"," ",IF(AQ104&lt;=$AR$2,AH104,0))</f>
        <v> </v>
      </c>
      <c r="BA104" s="325" t="str">
        <f aca="false">IF($A104="N/A"," ",IF(AR104&lt;=$AR$2,AI104,0))</f>
        <v> </v>
      </c>
      <c r="BB104" s="345"/>
      <c r="BC104" s="326" t="str">
        <f aca="false">IF($A104="N/A"," ",IF(AND(AJ104=$AR$2+1,AS104=0),MIN($BB$111,AA104),0))</f>
        <v> </v>
      </c>
      <c r="BD104" s="346" t="str">
        <f aca="false">IF($A104="N/A"," ",IF(AND(AK104=$AR$2+1,AT104=0),MIN($BB$111,AB104),0))</f>
        <v> </v>
      </c>
      <c r="BE104" s="346" t="str">
        <f aca="false">IF($A104="N/A"," ",IF(AND(AL104=$AR$2+1,AU104=0),MIN($BB$111,AC104),0))</f>
        <v> </v>
      </c>
      <c r="BF104" s="346" t="str">
        <f aca="false">IF($A104="N/A"," ",IF(AND(AM104=$AR$2+1,AV104=0),MIN($BB$111,AD104),0))</f>
        <v> </v>
      </c>
      <c r="BG104" s="346" t="str">
        <f aca="false">IF($A104="N/A"," ",IF(AND(AN104=$AR$2+1,AW104=0),MIN($BB$111,AE104),0))</f>
        <v> </v>
      </c>
      <c r="BH104" s="346" t="str">
        <f aca="false">IF($A104="N/A"," ",IF(AND(AO104=$AR$2+1,AX104=0),MIN($BB$111,AF104),0))</f>
        <v> </v>
      </c>
      <c r="BI104" s="346" t="str">
        <f aca="false">IF($A104="N/A"," ",IF(AND(AP104=$AR$2+1,AY104=0),MIN($BB$111,AG104),0))</f>
        <v> </v>
      </c>
      <c r="BJ104" s="346" t="str">
        <f aca="false">IF($A104="N/A"," ",IF(AND(AQ104=$AR$2+1,AZ104=0),MIN($BB$111,AH104),0))</f>
        <v> </v>
      </c>
      <c r="BK104" s="346" t="str">
        <f aca="false">IF($A104="N/A"," ",IF(AND(AR104=$AR$2+1,BA104=0),MIN($BB$111,AI104),0))</f>
        <v> </v>
      </c>
      <c r="BL104" s="345"/>
      <c r="BM104" s="329" t="str">
        <f aca="false">IF($A104="N/A"," ",(IF(MONTH(A104)&gt;=4,IF(MONTH(A104)&lt;=10,Inputs!$F$13-Inputs!$G$13,Inputs!$F$14-Inputs!$G$14),Inputs!$F$14-Inputs!$G$14))*$CK104*Availability)</f>
        <v> </v>
      </c>
      <c r="BN104" s="330" t="str">
        <f aca="false">IF($A104="N/A"," ",(IF(AS104&gt;0,($BM104*(8*($HD104))*R104),0)+IF(BC104&gt;0,($BM104*((BC104/AA104)*8*$HD104)*R104),0)))</f>
        <v> </v>
      </c>
      <c r="BO104" s="330" t="str">
        <f aca="false">IF($A104="N/A"," ",(IF(AT104&gt;0,($BM104*(8*($HD104))*S104),0)+IF(BD104&gt;0,($BM104*((BD104/AB104)*8*$HD104)*S104),0)))</f>
        <v> </v>
      </c>
      <c r="BP104" s="330" t="str">
        <f aca="false">IF($A104="N/A"," ",(IF(AU104&gt;0,($BM104*(8*($HD104))*T104),0)+IF(BE104&gt;0,($BM104*((BE104))*T104),0)))</f>
        <v> </v>
      </c>
      <c r="BQ104" s="330" t="str">
        <f aca="false">IF($A104="N/A"," ",(IF(AV104&gt;0,($BM104*(8*($HE104))*U104),0)+IF(BF104&gt;0,($BM104*((BF104/AD104)*8*$HE104)*U104),0)))</f>
        <v> </v>
      </c>
      <c r="BR104" s="330" t="str">
        <f aca="false">IF($A104="N/A"," ",(IF(AW104&gt;0,($BM104*(8*($HE104))*V104),0)+IF(BG104&gt;0,($BM104*((BG104/AE104)*8*$HE104)*V104),0)))</f>
        <v> </v>
      </c>
      <c r="BS104" s="330" t="str">
        <f aca="false">IF($A104="N/A"," ",(IF(AX104&gt;0,($BM104*(8*($HE104))*W104),0)+IF(BH104&gt;0,($BM104*((BH104))*W104),0)))</f>
        <v> </v>
      </c>
      <c r="BT104" s="330" t="str">
        <f aca="false">IF($A104="N/A"," ",(IF(AY104&gt;0,($BM104*(8*($HF104))*X104),0)+IF(BI104&gt;0,($BM104*((BI104/AG104)*8*$HF104)*X104),0)))</f>
        <v> </v>
      </c>
      <c r="BU104" s="330" t="str">
        <f aca="false">IF($A104="N/A"," ",(IF(AZ104&gt;0,($BM104*(8*($HF104))*Y104),0)+IF(BJ104&gt;0,($BM104*((BJ104/AH104)*8*$HF104)*Y104),0)))</f>
        <v> </v>
      </c>
      <c r="BV104" s="330" t="str">
        <f aca="false">IF($A104="N/A"," ",(IF(BA104&gt;0,($BM104*(8*($HF104))*Z104),0)+IF(BK104&gt;0,($BM104*((BK104))*Z104),0)))</f>
        <v> </v>
      </c>
      <c r="BW104" s="330" t="str">
        <f aca="false">IF($A104="N/A"," ",SUM(BN104:BV104))</f>
        <v> </v>
      </c>
      <c r="BX104" s="331" t="str">
        <f aca="false">IF($A104="N/A"," ",(H104*(SUM(AS104:BA104)+SUM(BC104:BK104))*BM104))</f>
        <v> </v>
      </c>
      <c r="BY104" s="332" t="str">
        <f aca="false">IF($A104="N/A"," ",((C104*D104)*(SUM($AS104:$BA104)+SUM($BC104:$BK104))*$BM104))</f>
        <v> </v>
      </c>
      <c r="BZ104" s="332" t="str">
        <f aca="false">IF($A104="N/A"," ",(F104*(SUM($AS104:$BA104)+SUM($BC104:$BK104))*$BM104))</f>
        <v> </v>
      </c>
      <c r="CA104" s="333" t="str">
        <f aca="false">IF($A104="N/A"," ",(G104*(SUM($AS104:$BA104)+SUM($BC104:$BK104))*$BM104))</f>
        <v> </v>
      </c>
      <c r="CB104" s="334" t="str">
        <f aca="false">IF(A104="N/A"," ",(VLOOKUP(A104,PowerVolTable,(IF(BMO=2,7,IF(BMO=1,6,8))),FALSE())))</f>
        <v> </v>
      </c>
      <c r="CC104" s="334" t="str">
        <f aca="false">IF(A104="N/A"," ",(VLOOKUP(A104,IntraPowerVol,(IF(BMO=2,3,IF(BMO=1,2,4))),FALSE())*VLOOKUP(MONTH($A104),Volscale,2)))</f>
        <v> </v>
      </c>
      <c r="CD104" s="335" t="str">
        <f aca="false">IF($A104="N/A"," ",(IF(DateToday&gt;$A104,$CC104,((($CB104^2)*((($A104-1)-DateToday)/((EOMONTH($A104,0)+1)-DateToday-15)))+((($CC104)^2)*((15)/((EOMONTH($A104,0)+1)-DateToday-15))))^0.5)))</f>
        <v> </v>
      </c>
      <c r="CE104" s="334" t="str">
        <f aca="false">IF($A104="N/A"," ",(VLOOKUP($A104,GasVolTable,(IF(BMO=2,6,IF(BMO=1,7,5))),FALSE())))</f>
        <v> </v>
      </c>
      <c r="CF104" s="334" t="str">
        <f aca="false">IF($A104="N/A"," ",(VLOOKUP($A104,OmicronVol,(IF(BMO=2,3,IF(BMO=1,4,2))),FALSE())))</f>
        <v> </v>
      </c>
      <c r="CG104" s="335" t="str">
        <f aca="false">IF($A104="N/A"," ",(IF(DateToday&gt;$A104,$CF104,((($CE104^2)*((($A104-1)-DateToday)/((EOMONTH($A104,0)+1)-DateToday-15)))+((($CF104)^2)*((15)/((EOMONTH($A104,0)+1)-DateToday-15))))^0.5)))</f>
        <v> </v>
      </c>
      <c r="CH104" s="334" t="str">
        <f aca="false">IF($A104="N/A"," ",VLOOKUP($A104,CorrelationTable,2,FALSE()))</f>
        <v> </v>
      </c>
      <c r="CI104" s="336" t="str">
        <f aca="false">IF($A104="N/A"," ",F104+G104+(D104*('Pricing Inputs'!T137)))</f>
        <v> </v>
      </c>
      <c r="CJ104" s="334" t="str">
        <f aca="false">IF($A104="N/A"," ",IF(PV=1,0,'Pricing Inputs'!U137))</f>
        <v> </v>
      </c>
      <c r="CK104" s="337" t="str">
        <f aca="false">IF($A104="N/A"," ",(1+CJ104/2)^(-2*((EOMONTH(A104,0)+20)-DateToday)/365.25))</f>
        <v> </v>
      </c>
      <c r="CL104" s="338" t="str">
        <f aca="false">IF(A104="N/A"," ",IF(CC=2,(VLOOKUP(MONTH($A104),Hrtable,3))/1000,0))</f>
        <v> </v>
      </c>
      <c r="CM104" s="339" t="str">
        <f aca="false">IF(A104="N/A"," ",IF(CC=2,(CL104*C104)+F104,0))</f>
        <v> </v>
      </c>
      <c r="CN104" s="340" t="str">
        <f aca="false">IF($A104="N/A"," ",IF(CC=2,(VLOOKUP(A104,ScaledPrice,(IF(AND(Dayrun&gt;=1,Dayrun&lt;=6),2,4)))-((IF(R104&lt;&gt;0,$D104,$CL104)*$C104)+$F104+$G104)),0))</f>
        <v> </v>
      </c>
      <c r="CO104" s="340" t="str">
        <f aca="false">IF($A104="N/A"," ",IF(CC=2,(IF(AND(Dayrun&gt;=1,Dayrun&lt;=6),I104,(VLOOKUP(A104,ScaledPrice,2))*(2-(VLOOKUP(A104,ScaledPrice,3))))-((IF(S104&lt;&gt;0,$D104,$CL104)*$C104)+$F104+$G104)),0))</f>
        <v> </v>
      </c>
      <c r="CP104" s="340" t="str">
        <f aca="false">IF(A104="N/A"," ",IF(CC=2,(VLOOKUP(A104,ScaledPrice,9)-((IF(T104&lt;&gt;0,$D104,$CL104)*$C104)+$F104+$G104)),0))</f>
        <v> </v>
      </c>
      <c r="CQ104" s="340" t="str">
        <f aca="false">IF(A104="N/A"," ",IF(CC=2,(IF(OR(Dayrun=2,Dayrun=3,Dayrun=5,Dayrun=6,Dayrun=8,Dayrun=9),VLOOKUP(A104,ScaledPrice,IF(AND(Dayrun&gt;=2,Dayrun&lt;=6),5,6)),0)-((IF(U104&lt;&gt;0,$D104,$CL104)*$C104)+$F104+$G104)),0))</f>
        <v> </v>
      </c>
      <c r="CR104" s="340" t="str">
        <f aca="false">IF(A104="N/A"," ",IF(CC=2,(IF(OR(Dayrun=2,Dayrun=3,Dayrun=5,Dayrun=6,Dayrun=8,Dayrun=9),IF(AND(Dayrun&gt;=2,Dayrun&lt;=6),L104,(VLOOKUP(A104,ScaledPrice,5))*(2-(VLOOKUP(A104,ScaledPrice,3)))),0)-((IF(V104&lt;&gt;0,$D104,$CL104)*$C104)+$F104+$G104)),0))</f>
        <v> </v>
      </c>
      <c r="CS104" s="340" t="str">
        <f aca="false">IF(A104="N/A"," ",IF(CC=2,(VLOOKUP(A104,ScaledPrice,9)-((IF(W104&lt;&gt;0,$D104,$CL104)*$C104)+$F104+$G104)),0))</f>
        <v> </v>
      </c>
      <c r="CT104" s="340" t="str">
        <f aca="false">IF(A104="N/A"," ",IF(CC=2,(IF(OR(Dayrun=3,Dayrun=6,Dayrun=9),(VLOOKUP(A104,ScaledPrice,IF(AND(Dayrun&gt;=3,Dayrun&lt;=6),7,8))),0)-((IF(X104&lt;&gt;0,$D104,$CL104)*$C104)+$F104+$G104)),0))</f>
        <v> </v>
      </c>
      <c r="CU104" s="340" t="str">
        <f aca="false">IF(A104="N/A"," ",IF(CC=2,(IF(OR(Dayrun=3,Dayrun=6,Dayrun=9),IF(AND(Dayrun&gt;=3,Dayrun&lt;=6),O104,(VLOOKUP(A104,ScaledPrice,7))*(2-(VLOOKUP(A104,ScaledPrice,3)))),0)-((IF(Y104&lt;&gt;0,$D104,$CL104)*$C104)+$F104+$G104)),0))</f>
        <v> </v>
      </c>
      <c r="CV104" s="340" t="str">
        <f aca="false">IF(A104="N/A"," ",IF(CC=2,(VLOOKUP(A104,ScaledPrice,9)-((IF(Z104&lt;&gt;0,$D104,$CL104)*$C104)+$F104+$G104)),0))</f>
        <v> </v>
      </c>
      <c r="CW104" s="318" t="str">
        <f aca="false">IF($A104="N/A"," ",IF(0&lt;&gt;CN104,IF(CC=2,8*$HD104,0),0))</f>
        <v> </v>
      </c>
      <c r="CX104" s="318" t="str">
        <f aca="false">IF($A104="N/A"," ",IF(0&lt;&gt;CO104,IF(CC=2,8*$HD104,0),0))</f>
        <v> </v>
      </c>
      <c r="CY104" s="318" t="str">
        <f aca="false">IF($A104="N/A"," ",IF(0&lt;&gt;CP104,IF(CC=2,8*$HD104,0),0))</f>
        <v> </v>
      </c>
      <c r="CZ104" s="318" t="str">
        <f aca="false">IF($A104="N/A"," ",IF(0&lt;&gt;CQ104,IF(CC=2,8*$HE104,0),0))</f>
        <v> </v>
      </c>
      <c r="DA104" s="318" t="str">
        <f aca="false">IF($A104="N/A"," ",IF(0&lt;&gt;CR104,IF(CC=2,8*$HE104,0),0))</f>
        <v> </v>
      </c>
      <c r="DB104" s="318" t="str">
        <f aca="false">IF($A104="N/A"," ",IF(0&lt;&gt;CS104,IF(CC=2,8*$HE104,0),0))</f>
        <v> </v>
      </c>
      <c r="DC104" s="318" t="str">
        <f aca="false">IF($A104="N/A"," ",IF(0&lt;&gt;CT104,IF(CC=2,8*$HF104,0),0))</f>
        <v> </v>
      </c>
      <c r="DD104" s="318" t="str">
        <f aca="false">IF($A104="N/A"," ",IF(0&lt;&gt;CU104,IF(CC=2,8*$HF104,0),0))</f>
        <v> </v>
      </c>
      <c r="DE104" s="318" t="str">
        <f aca="false">IF($A104="N/A"," ",IF(0&lt;&gt;CV104,IF(CC=2,8*$HF104,0),0))</f>
        <v> </v>
      </c>
      <c r="DF104" s="341" t="str">
        <f aca="false">IF($A104="N/A"," ",IF(CC=2,(IF(MONTH(A104)&gt;=4,IF(MONTH(A104)&lt;=10,Inputs!$G$13,Inputs!$G$14),Inputs!$G$14))*$CK104,0))</f>
        <v> </v>
      </c>
      <c r="DG104" s="342" t="str">
        <f aca="false">IF($A104="N/A"," ",IF(CC=2,$DF104*CW104*CN104,0))</f>
        <v> </v>
      </c>
      <c r="DH104" s="342" t="str">
        <f aca="false">IF($A104="N/A"," ",IF(CC=2,$DF104*CX104*CO104,0))</f>
        <v> </v>
      </c>
      <c r="DI104" s="342" t="str">
        <f aca="false">IF($A104="N/A"," ",IF(CC=2,$DF104*CY104*CP104,0))</f>
        <v> </v>
      </c>
      <c r="DJ104" s="342" t="str">
        <f aca="false">IF($A104="N/A"," ",IF(CC=2,$DF104*CZ104*CQ104,0))</f>
        <v> </v>
      </c>
      <c r="DK104" s="342" t="str">
        <f aca="false">IF($A104="N/A"," ",IF(CC=2,$DF104*DA104*CR104,0))</f>
        <v> </v>
      </c>
      <c r="DL104" s="342" t="str">
        <f aca="false">IF($A104="N/A"," ",IF(CC=2,$DF104*DB104*CS104,0))</f>
        <v> </v>
      </c>
      <c r="DM104" s="342" t="str">
        <f aca="false">IF($A104="N/A"," ",IF(CC=2,$DF104*DC104*CT104,0))</f>
        <v> </v>
      </c>
      <c r="DN104" s="342" t="str">
        <f aca="false">IF($A104="N/A"," ",IF(CC=2,$DF104*DD104*CU104,0))</f>
        <v> </v>
      </c>
      <c r="DO104" s="342" t="str">
        <f aca="false">IF($A104="N/A"," ",IF(CC=2,$DF104*DE104*CV104,0))</f>
        <v> </v>
      </c>
      <c r="DP104" s="343" t="str">
        <f aca="false">IF($A104="N/A"," ",IF(CC=2,SUM(DG104:DO104),0))</f>
        <v> </v>
      </c>
      <c r="DQ104" s="0" t="str">
        <f aca="false">IF(A104="N/A"," ",Perstart)</f>
        <v> </v>
      </c>
      <c r="HD104" s="0" t="str">
        <f aca="false">IF($A104="N/A"," ",VLOOKUP($A104,NumberofDaysTable,2))</f>
        <v> </v>
      </c>
      <c r="HE104" s="0" t="str">
        <f aca="false">IF($A104="N/A"," ",VLOOKUP($A104,NumberofDaysTable,3))</f>
        <v> </v>
      </c>
      <c r="HF104" s="0" t="str">
        <f aca="false">IF($A104="N/A"," ",VLOOKUP($A104,NumberofDaysTable,4))</f>
        <v> </v>
      </c>
    </row>
    <row r="105" customFormat="false" ht="12.75" hidden="false" customHeight="false" outlineLevel="0" collapsed="false">
      <c r="A105" s="308" t="str">
        <f aca="false">IF(A104="N/A","N/A",IF(EDATE(A104,1)&gt;Inputs!$K$3,"N/A",EDATE(A104,1)))</f>
        <v>N/A</v>
      </c>
      <c r="B105" s="309" t="str">
        <f aca="false">IF(A105="N/A"," ",YEAR(A105))</f>
        <v> </v>
      </c>
      <c r="C105" s="310" t="str">
        <f aca="false">IF(A105="N/A"," ",VLOOKUP(A105,ScaledPrice,10))</f>
        <v> </v>
      </c>
      <c r="D105" s="311" t="str">
        <f aca="false">IF(A105="N/A"," ",(VLOOKUP(MONTH($A105),Hrtable,2))/1000)</f>
        <v> </v>
      </c>
      <c r="E105" s="312" t="str">
        <f aca="false">IF($A105="N/A"," ",(C105-'Pricing Inputs'!T138)*D105)</f>
        <v> </v>
      </c>
      <c r="F105" s="313" t="str">
        <f aca="false">IF(A105="N/A"," ",$F93*(1+VOMesc))</f>
        <v> </v>
      </c>
      <c r="G105" s="313" t="str">
        <f aca="false">IF(A105="N/A"," ",Perstart/IF(AND(Dayrun&gt;=4,Dayrun&lt;=6),16,IF(AND(Dayrun&gt;=7,Dayrun&lt;=9),8,24))/(BM105/CK105))</f>
        <v> </v>
      </c>
      <c r="H105" s="314" t="str">
        <f aca="false">IF(A105="N/A"," ",(C105*D105)+F105+G105)</f>
        <v> </v>
      </c>
      <c r="I105" s="315" t="str">
        <f aca="false">VLOOKUP(A105,ScaledPrice,(IF(AND(Dayrun&gt;=1,Dayrun&lt;=6),2,4)))</f>
        <v> </v>
      </c>
      <c r="J105" s="315" t="str">
        <f aca="false">IF(A105="N/A"," ",IF(AND(Dayrun&gt;=1,Dayrun&lt;=6),I105,(VLOOKUP(A105,ScaledPrice,2))*(2-(VLOOKUP(A105,ScaledPrice,3)))))</f>
        <v> </v>
      </c>
      <c r="K105" s="315" t="str">
        <f aca="false">IF(A105="N/A"," ",IF(AND(Dayrun&gt;=1,Dayrun&lt;=3),VLOOKUP(A105,ScaledPrice,9),0))</f>
        <v> </v>
      </c>
      <c r="L105" s="315" t="str">
        <f aca="false">IF(A105="N/A"," ",IF(OR(Dayrun=2,Dayrun=3,Dayrun=5,Dayrun=6,Dayrun=8,Dayrun=9),VLOOKUP(A105,ScaledPrice,IF(AND(Dayrun&gt;=2,Dayrun&lt;=6),5,6)),0))</f>
        <v> </v>
      </c>
      <c r="M105" s="315" t="str">
        <f aca="false">IF(A105="N/A"," ",IF(OR(Dayrun=2,Dayrun=3,Dayrun=5,Dayrun=6,Dayrun=8,Dayrun=9),IF(AND(Dayrun&gt;=2,Dayrun&lt;=6),L105,(VLOOKUP(A105,ScaledPrice,5))*(2-(VLOOKUP(A105,ScaledPrice,3)))),0))</f>
        <v> </v>
      </c>
      <c r="N105" s="315" t="str">
        <f aca="false">IF(A105="N/A"," ",IF(AND(Dayrun&gt;1,Dayrun&lt;=3),VLOOKUP(A105,ScaledPrice,9),0))</f>
        <v> </v>
      </c>
      <c r="O105" s="315" t="str">
        <f aca="false">IF(A105="N/A"," ",IF(OR(Dayrun=3,Dayrun=6,Dayrun=9),(VLOOKUP(A105,ScaledPrice,IF(AND(Dayrun&gt;=3,Dayrun&lt;=6),7,8))),0))</f>
        <v> </v>
      </c>
      <c r="P105" s="315" t="str">
        <f aca="false">IF(A105="N/A"," ",IF(OR(Dayrun=3,Dayrun=6,Dayrun=9),IF(AND(Dayrun&gt;=3,Dayrun&lt;=6),O105,(VLOOKUP(A105,ScaledPrice,7))*(2-(VLOOKUP(A105,ScaledPrice,3)))),0))</f>
        <v> </v>
      </c>
      <c r="Q105" s="315" t="str">
        <f aca="false">IF(A105="N/A"," ",IF(AND(Dayrun&gt;2,Dayrun&lt;=3),VLOOKUP(A105,ScaledPrice,9),0))</f>
        <v> </v>
      </c>
      <c r="R105" s="316" t="str">
        <f aca="false">IF($A105="N/A"," ",IF(Pricetype=2,MAX(I105-$H105,0),IF(Pricetype=1,(xSPRDOPT(I105,$E105,$CI105,0,($CD105+IF(Smile=TRUE(),VLOOKUP(MAX(-5,$H105-I105),Volsmile,2),0)),$CG105,$CH105,($A105-DateToday)+15,1,0)),I105-$H105)))</f>
        <v> </v>
      </c>
      <c r="S105" s="316" t="str">
        <f aca="false">IF($A105="N/A"," ",IF(Pricetype=2,MAX(J105-$H105,0),IF(Pricetype=1,(xSPRDOPT(J105,$E105,$CI105,0,($CD105+IF(Smile=TRUE(),VLOOKUP(MAX(-5,$H105-J105),Volsmile,2),0)),$CG105,$CH105,($A105-DateToday)+15,1,0)),J105-$H105)))</f>
        <v> </v>
      </c>
      <c r="T105" s="317" t="str">
        <f aca="false">IF($A105="N/A"," ",(IF(Pricetype=2,IF((K105-$H105)&lt;=0,0,(K105-$H105)),IF(K105&lt;&gt;0,(K105-$H105),0))))</f>
        <v> </v>
      </c>
      <c r="U105" s="316" t="str">
        <f aca="false">IF($A105="N/A"," ",IF(Pricetype=2,MAX(L105-$H105,0),IF(L105&lt;&gt;0,IF(Pricetype=1,(xSPRDOPT(L105,$E105,$CI105,0,($CD105+IF(Smile=TRUE(),VLOOKUP(MAX(-5,$H105-L105),Volsmile,2),0)),$CG105,$CH105,($A105-DateToday)+15,1,0)),L105-$H105),0)))</f>
        <v> </v>
      </c>
      <c r="V105" s="316" t="str">
        <f aca="false">IF($A105="N/A"," ",IF(Pricetype=2,MAX(M105-$H105,0),IF(M105&lt;&gt;0,IF(Pricetype=1,(xSPRDOPT(M105,$E105,$CI105,0,($CD105+IF(Smile=TRUE(),VLOOKUP(MAX(-5,$H105-M105),Volsmile,2),0)),$CG105,$CH105,($A105-DateToday)+15,1,0)),M105-$H105),0)))</f>
        <v> </v>
      </c>
      <c r="W105" s="317" t="str">
        <f aca="false">IF($A105="N/A"," ",(IF(Pricetype=2,IF((N105-$H105)&lt;=0,0,(N105-$H105)),IF(N105&lt;&gt;0,(N105-$H105),0))))</f>
        <v> </v>
      </c>
      <c r="X105" s="316" t="str">
        <f aca="false">IF($A105="N/A"," ",IF(Pricetype=2,MAX(O105-$H105,0),IF(O105&lt;&gt;0,IF(Pricetype=1,(xSPRDOPT(O105,$E105,$CI105,0,($CD105+IF(Smile=TRUE(),VLOOKUP(MAX(-5,$H105-O105),Volsmile,2),0)),$CG105,$CH105,($A105-DateToday)+15,1,0)),O105-$H105),0)))</f>
        <v> </v>
      </c>
      <c r="Y105" s="316" t="str">
        <f aca="false">IF($A105="N/A"," ",IF(Pricetype=2,MAX(P105-$H105,0),IF(P105&lt;&gt;0,IF(Pricetype=1,(xSPRDOPT(P105,$E105,$CI105,0,($CD105+IF(Smile=TRUE(),VLOOKUP(MAX(-5,$H105-P105),Volsmile,2),0)),$CG105,$CH105,($A105-DateToday)+15,1,0)),P105-$H105),0)))</f>
        <v> </v>
      </c>
      <c r="Z105" s="317" t="str">
        <f aca="false">IF($A105="N/A"," ",(IF(Pricetype=2,IF((Q105-$H105)&lt;=0,0,(Q105-$H105)),IF(Q105&lt;&gt;0,(Q105-$H105),0))))</f>
        <v> </v>
      </c>
      <c r="AA105" s="318" t="str">
        <f aca="false">IF($A105="N/A"," ",IF(VLOOKUP(MONTH(A105),ManualTable,2)=1,(IF(0&lt;&gt;R105,IF(Pricetype=1,(xSPRDOPT(I105,$E105,$CI105,0,($CD105+IF(Smile=TRUE(),VLOOKUP(MAX(-5,$H105-I105),Volsmile,2),0)),$CG105,$CH105,($A105-DateToday)+15,1,1))*(8*$HD105),8*$HD105),0)),0))</f>
        <v> </v>
      </c>
      <c r="AB105" s="318" t="str">
        <f aca="false">IF($A105="N/A"," ",IF(VLOOKUP(MONTH(A105),ManualTable,3)=1,(IF(S105&lt;&gt;0,IF(Pricetype=1,(xSPRDOPT(J105,$E105,$CI105,0,($CD105+IF(Smile=TRUE(),VLOOKUP(MAX(-5,$H105-J105),Volsmile,2),0)),$CG105,$CH105,($A105-DateToday)+15,1,1))*(8*$HD105),8*$HD105),0)),0))</f>
        <v> </v>
      </c>
      <c r="AC105" s="318" t="str">
        <f aca="false">IF($A105="N/A"," ",IF(VLOOKUP(MONTH(A105),ManualTable,4)=1,(IF(T105&lt;&gt;0,(8*$HD105),0)),0))</f>
        <v> </v>
      </c>
      <c r="AD105" s="318" t="str">
        <f aca="false">IF($A105="N/A"," ",IF(VLOOKUP(MONTH(A105),ManualTable,5)=1,(IF(U105&lt;&gt;0,IF(Pricetype=1,(xSPRDOPT(L105,$E105,$CI105,0,($CD105+IF(Smile=TRUE(),VLOOKUP(MAX(-5,$H105-L105),Volsmile,2),0)),$CG105,$CH105,($A105-DateToday)+15,1,1))*(8*$HE105),8*$HE105),0)),0))</f>
        <v> </v>
      </c>
      <c r="AE105" s="318" t="str">
        <f aca="false">IF($A105="N/A"," ",IF(VLOOKUP(MONTH(A105),ManualTable,6)=1,(IF(V105&lt;&gt;0,IF(Pricetype=1,(xSPRDOPT(M105,$E105,$CI105,0,($CD105+IF(Smile=TRUE(),VLOOKUP(MAX(-5,$H105-M105),Volsmile,2),0)),$CG105,$CH105,($A105-DateToday)+15,1,1))*(8*$HE105),8*$HE105),0)),0))</f>
        <v> </v>
      </c>
      <c r="AF105" s="318" t="str">
        <f aca="false">IF($A105="N/A"," ",IF(VLOOKUP(MONTH(A105),ManualTable,7)=1,(IF(W105&lt;&gt;0,(8*$HE105),0)),0))</f>
        <v> </v>
      </c>
      <c r="AG105" s="318" t="str">
        <f aca="false">IF($A105="N/A"," ",IF(VLOOKUP(MONTH(A105),ManualTable,8)=1,(IF(X105&lt;&gt;0,IF(Pricetype=1,(xSPRDOPT(O105,$E105,$CI105,0,($CD105+IF(Smile=TRUE(),VLOOKUP(MAX(-5,$H105-O105),Volsmile,2),0)),$CG105,$CH105,($A105-DateToday)+15,1,1))*(8*$HF105),8*$HF105),0)),0))</f>
        <v> </v>
      </c>
      <c r="AH105" s="318" t="str">
        <f aca="false">IF($A105="N/A"," ",IF(VLOOKUP(MONTH(A105),ManualTable,9)=1,(IF(Y105&lt;&gt;0,IF(Pricetype=1,(xSPRDOPT(P105,$E105,$CI105,0,($CD105+IF(Smile=TRUE(),VLOOKUP(MAX(-5,$H105-P105),Volsmile,2),0)),$CG105,$CH105,($A105-DateToday)+15,1,1))*(8*$HF105),8*$HF105),0)),0))</f>
        <v> </v>
      </c>
      <c r="AI105" s="318" t="str">
        <f aca="false">IF($A105="N/A"," ",IF(VLOOKUP(MONTH(A105),ManualTable,10)=1,(IF(Z105&lt;&gt;0,(8*($HF105)),0)),0))</f>
        <v> </v>
      </c>
      <c r="AJ105" s="344" t="str">
        <f aca="false">IF($A105="N/A"," ",RANK(R105,$R$100:$Z$111))</f>
        <v> </v>
      </c>
      <c r="AK105" s="321" t="str">
        <f aca="false">IF($A105="N/A"," ",RANK(S105,$R$100:$Z$111))</f>
        <v> </v>
      </c>
      <c r="AL105" s="321" t="str">
        <f aca="false">IF($A105="N/A"," ",RANK(T105,$R$100:$Z$111))</f>
        <v> </v>
      </c>
      <c r="AM105" s="321" t="str">
        <f aca="false">IF($A105="N/A"," ",RANK(U105,$R$100:$Z$111))</f>
        <v> </v>
      </c>
      <c r="AN105" s="321" t="str">
        <f aca="false">IF($A105="N/A"," ",RANK(V105,$R$100:$Z$111))</f>
        <v> </v>
      </c>
      <c r="AO105" s="321" t="str">
        <f aca="false">IF($A105="N/A"," ",RANK(W105,$R$100:$Z$111))</f>
        <v> </v>
      </c>
      <c r="AP105" s="321" t="str">
        <f aca="false">IF($A105="N/A"," ",RANK(X105,$R$100:$Z$111))</f>
        <v> </v>
      </c>
      <c r="AQ105" s="321" t="str">
        <f aca="false">IF($A105="N/A"," ",RANK(Y105,$R$100:$Z$111))</f>
        <v> </v>
      </c>
      <c r="AR105" s="345" t="str">
        <f aca="false">IF($A105="N/A"," ",RANK(Z105,$R$100:$Z$111))</f>
        <v> </v>
      </c>
      <c r="AS105" s="323" t="str">
        <f aca="false">IF($A105="N/A"," ",IF(AJ105&lt;=$AR$2,AA105,0))</f>
        <v> </v>
      </c>
      <c r="AT105" s="325" t="str">
        <f aca="false">IF($A105="N/A"," ",IF(AK105&lt;=$AR$2,AB105,0))</f>
        <v> </v>
      </c>
      <c r="AU105" s="325" t="str">
        <f aca="false">IF($A105="N/A"," ",IF(AL105&lt;=$AR$2,AC105,0))</f>
        <v> </v>
      </c>
      <c r="AV105" s="325" t="str">
        <f aca="false">IF($A105="N/A"," ",IF(AM105&lt;=$AR$2,AD105,0))</f>
        <v> </v>
      </c>
      <c r="AW105" s="325" t="str">
        <f aca="false">IF($A105="N/A"," ",IF(AN105&lt;=$AR$2,AE105,0))</f>
        <v> </v>
      </c>
      <c r="AX105" s="325" t="str">
        <f aca="false">IF($A105="N/A"," ",IF(AO105&lt;=$AR$2,AF105,0))</f>
        <v> </v>
      </c>
      <c r="AY105" s="325" t="str">
        <f aca="false">IF($A105="N/A"," ",IF(AP105&lt;=$AR$2,AG105,0))</f>
        <v> </v>
      </c>
      <c r="AZ105" s="325" t="str">
        <f aca="false">IF($A105="N/A"," ",IF(AQ105&lt;=$AR$2,AH105,0))</f>
        <v> </v>
      </c>
      <c r="BA105" s="325" t="str">
        <f aca="false">IF($A105="N/A"," ",IF(AR105&lt;=$AR$2,AI105,0))</f>
        <v> </v>
      </c>
      <c r="BB105" s="345"/>
      <c r="BC105" s="326" t="str">
        <f aca="false">IF($A105="N/A"," ",IF(AND(AJ105=$AR$2+1,AS105=0),MIN($BB$111,AA105),0))</f>
        <v> </v>
      </c>
      <c r="BD105" s="346" t="str">
        <f aca="false">IF($A105="N/A"," ",IF(AND(AK105=$AR$2+1,AT105=0),MIN($BB$111,AB105),0))</f>
        <v> </v>
      </c>
      <c r="BE105" s="346" t="str">
        <f aca="false">IF($A105="N/A"," ",IF(AND(AL105=$AR$2+1,AU105=0),MIN($BB$111,AC105),0))</f>
        <v> </v>
      </c>
      <c r="BF105" s="346" t="str">
        <f aca="false">IF($A105="N/A"," ",IF(AND(AM105=$AR$2+1,AV105=0),MIN($BB$111,AD105),0))</f>
        <v> </v>
      </c>
      <c r="BG105" s="346" t="str">
        <f aca="false">IF($A105="N/A"," ",IF(AND(AN105=$AR$2+1,AW105=0),MIN($BB$111,AE105),0))</f>
        <v> </v>
      </c>
      <c r="BH105" s="346" t="str">
        <f aca="false">IF($A105="N/A"," ",IF(AND(AO105=$AR$2+1,AX105=0),MIN($BB$111,AF105),0))</f>
        <v> </v>
      </c>
      <c r="BI105" s="346" t="str">
        <f aca="false">IF($A105="N/A"," ",IF(AND(AP105=$AR$2+1,AY105=0),MIN($BB$111,AG105),0))</f>
        <v> </v>
      </c>
      <c r="BJ105" s="346" t="str">
        <f aca="false">IF($A105="N/A"," ",IF(AND(AQ105=$AR$2+1,AZ105=0),MIN($BB$111,AH105),0))</f>
        <v> </v>
      </c>
      <c r="BK105" s="346" t="str">
        <f aca="false">IF($A105="N/A"," ",IF(AND(AR105=$AR$2+1,BA105=0),MIN($BB$111,AI105),0))</f>
        <v> </v>
      </c>
      <c r="BL105" s="345"/>
      <c r="BM105" s="329" t="str">
        <f aca="false">IF($A105="N/A"," ",(IF(MONTH(A105)&gt;=4,IF(MONTH(A105)&lt;=10,Inputs!$F$13-Inputs!$G$13,Inputs!$F$14-Inputs!$G$14),Inputs!$F$14-Inputs!$G$14))*$CK105*Availability)</f>
        <v> </v>
      </c>
      <c r="BN105" s="330" t="str">
        <f aca="false">IF($A105="N/A"," ",(IF(AS105&gt;0,($BM105*(8*($HD105))*R105),0)+IF(BC105&gt;0,($BM105*((BC105/AA105)*8*$HD105)*R105),0)))</f>
        <v> </v>
      </c>
      <c r="BO105" s="330" t="str">
        <f aca="false">IF($A105="N/A"," ",(IF(AT105&gt;0,($BM105*(8*($HD105))*S105),0)+IF(BD105&gt;0,($BM105*((BD105/AB105)*8*$HD105)*S105),0)))</f>
        <v> </v>
      </c>
      <c r="BP105" s="330" t="str">
        <f aca="false">IF($A105="N/A"," ",(IF(AU105&gt;0,($BM105*(8*($HD105))*T105),0)+IF(BE105&gt;0,($BM105*((BE105))*T105),0)))</f>
        <v> </v>
      </c>
      <c r="BQ105" s="330" t="str">
        <f aca="false">IF($A105="N/A"," ",(IF(AV105&gt;0,($BM105*(8*($HE105))*U105),0)+IF(BF105&gt;0,($BM105*((BF105/AD105)*8*$HE105)*U105),0)))</f>
        <v> </v>
      </c>
      <c r="BR105" s="330" t="str">
        <f aca="false">IF($A105="N/A"," ",(IF(AW105&gt;0,($BM105*(8*($HE105))*V105),0)+IF(BG105&gt;0,($BM105*((BG105/AE105)*8*$HE105)*V105),0)))</f>
        <v> </v>
      </c>
      <c r="BS105" s="330" t="str">
        <f aca="false">IF($A105="N/A"," ",(IF(AX105&gt;0,($BM105*(8*($HE105))*W105),0)+IF(BH105&gt;0,($BM105*((BH105))*W105),0)))</f>
        <v> </v>
      </c>
      <c r="BT105" s="330" t="str">
        <f aca="false">IF($A105="N/A"," ",(IF(AY105&gt;0,($BM105*(8*($HF105))*X105),0)+IF(BI105&gt;0,($BM105*((BI105/AG105)*8*$HF105)*X105),0)))</f>
        <v> </v>
      </c>
      <c r="BU105" s="330" t="str">
        <f aca="false">IF($A105="N/A"," ",(IF(AZ105&gt;0,($BM105*(8*($HF105))*Y105),0)+IF(BJ105&gt;0,($BM105*((BJ105/AH105)*8*$HF105)*Y105),0)))</f>
        <v> </v>
      </c>
      <c r="BV105" s="330" t="str">
        <f aca="false">IF($A105="N/A"," ",(IF(BA105&gt;0,($BM105*(8*($HF105))*Z105),0)+IF(BK105&gt;0,($BM105*((BK105))*Z105),0)))</f>
        <v> </v>
      </c>
      <c r="BW105" s="330" t="str">
        <f aca="false">IF($A105="N/A"," ",SUM(BN105:BV105))</f>
        <v> </v>
      </c>
      <c r="BX105" s="331" t="str">
        <f aca="false">IF($A105="N/A"," ",(H105*(SUM(AS105:BA105)+SUM(BC105:BK105))*BM105))</f>
        <v> </v>
      </c>
      <c r="BY105" s="332" t="str">
        <f aca="false">IF($A105="N/A"," ",((C105*D105)*(SUM($AS105:$BA105)+SUM($BC105:$BK105))*$BM105))</f>
        <v> </v>
      </c>
      <c r="BZ105" s="332" t="str">
        <f aca="false">IF($A105="N/A"," ",(F105*(SUM($AS105:$BA105)+SUM($BC105:$BK105))*$BM105))</f>
        <v> </v>
      </c>
      <c r="CA105" s="333" t="str">
        <f aca="false">IF($A105="N/A"," ",(G105*(SUM($AS105:$BA105)+SUM($BC105:$BK105))*$BM105))</f>
        <v> </v>
      </c>
      <c r="CB105" s="334" t="str">
        <f aca="false">IF(A105="N/A"," ",(VLOOKUP(A105,PowerVolTable,(IF(BMO=2,7,IF(BMO=1,6,8))),FALSE())))</f>
        <v> </v>
      </c>
      <c r="CC105" s="334" t="str">
        <f aca="false">IF(A105="N/A"," ",(VLOOKUP(A105,IntraPowerVol,(IF(BMO=2,3,IF(BMO=1,2,4))),FALSE())*VLOOKUP(MONTH($A105),Volscale,2)))</f>
        <v> </v>
      </c>
      <c r="CD105" s="335" t="str">
        <f aca="false">IF($A105="N/A"," ",(IF(DateToday&gt;$A105,$CC105,((($CB105^2)*((($A105-1)-DateToday)/((EOMONTH($A105,0)+1)-DateToday-15)))+((($CC105)^2)*((15)/((EOMONTH($A105,0)+1)-DateToday-15))))^0.5)))</f>
        <v> </v>
      </c>
      <c r="CE105" s="334" t="str">
        <f aca="false">IF($A105="N/A"," ",(VLOOKUP($A105,GasVolTable,(IF(BMO=2,6,IF(BMO=1,7,5))),FALSE())))</f>
        <v> </v>
      </c>
      <c r="CF105" s="334" t="str">
        <f aca="false">IF($A105="N/A"," ",(VLOOKUP($A105,OmicronVol,(IF(BMO=2,3,IF(BMO=1,4,2))),FALSE())))</f>
        <v> </v>
      </c>
      <c r="CG105" s="335" t="str">
        <f aca="false">IF($A105="N/A"," ",(IF(DateToday&gt;$A105,$CF105,((($CE105^2)*((($A105-1)-DateToday)/((EOMONTH($A105,0)+1)-DateToday-15)))+((($CF105)^2)*((15)/((EOMONTH($A105,0)+1)-DateToday-15))))^0.5)))</f>
        <v> </v>
      </c>
      <c r="CH105" s="334" t="str">
        <f aca="false">IF($A105="N/A"," ",VLOOKUP($A105,CorrelationTable,2,FALSE()))</f>
        <v> </v>
      </c>
      <c r="CI105" s="336" t="str">
        <f aca="false">IF($A105="N/A"," ",F105+G105+(D105*('Pricing Inputs'!T138)))</f>
        <v> </v>
      </c>
      <c r="CJ105" s="334" t="str">
        <f aca="false">IF($A105="N/A"," ",IF(PV=1,0,'Pricing Inputs'!U138))</f>
        <v> </v>
      </c>
      <c r="CK105" s="337" t="str">
        <f aca="false">IF($A105="N/A"," ",(1+CJ105/2)^(-2*((EOMONTH(A105,0)+20)-DateToday)/365.25))</f>
        <v> </v>
      </c>
      <c r="CL105" s="338" t="str">
        <f aca="false">IF(A105="N/A"," ",IF(CC=2,(VLOOKUP(MONTH($A105),Hrtable,3))/1000,0))</f>
        <v> </v>
      </c>
      <c r="CM105" s="339" t="str">
        <f aca="false">IF(A105="N/A"," ",IF(CC=2,(CL105*C105)+F105,0))</f>
        <v> </v>
      </c>
      <c r="CN105" s="340" t="str">
        <f aca="false">IF($A105="N/A"," ",IF(CC=2,(VLOOKUP(A105,ScaledPrice,(IF(AND(Dayrun&gt;=1,Dayrun&lt;=6),2,4)))-((IF(R105&lt;&gt;0,$D105,$CL105)*$C105)+$F105+$G105)),0))</f>
        <v> </v>
      </c>
      <c r="CO105" s="340" t="str">
        <f aca="false">IF($A105="N/A"," ",IF(CC=2,(IF(AND(Dayrun&gt;=1,Dayrun&lt;=6),I105,(VLOOKUP(A105,ScaledPrice,2))*(2-(VLOOKUP(A105,ScaledPrice,3))))-((IF(S105&lt;&gt;0,$D105,$CL105)*$C105)+$F105+$G105)),0))</f>
        <v> </v>
      </c>
      <c r="CP105" s="340" t="str">
        <f aca="false">IF(A105="N/A"," ",IF(CC=2,(VLOOKUP(A105,ScaledPrice,9)-((IF(T105&lt;&gt;0,$D105,$CL105)*$C105)+$F105+$G105)),0))</f>
        <v> </v>
      </c>
      <c r="CQ105" s="340" t="str">
        <f aca="false">IF(A105="N/A"," ",IF(CC=2,(IF(OR(Dayrun=2,Dayrun=3,Dayrun=5,Dayrun=6,Dayrun=8,Dayrun=9),VLOOKUP(A105,ScaledPrice,IF(AND(Dayrun&gt;=2,Dayrun&lt;=6),5,6)),0)-((IF(U105&lt;&gt;0,$D105,$CL105)*$C105)+$F105+$G105)),0))</f>
        <v> </v>
      </c>
      <c r="CR105" s="340" t="str">
        <f aca="false">IF(A105="N/A"," ",IF(CC=2,(IF(OR(Dayrun=2,Dayrun=3,Dayrun=5,Dayrun=6,Dayrun=8,Dayrun=9),IF(AND(Dayrun&gt;=2,Dayrun&lt;=6),L105,(VLOOKUP(A105,ScaledPrice,5))*(2-(VLOOKUP(A105,ScaledPrice,3)))),0)-((IF(V105&lt;&gt;0,$D105,$CL105)*$C105)+$F105+$G105)),0))</f>
        <v> </v>
      </c>
      <c r="CS105" s="340" t="str">
        <f aca="false">IF(A105="N/A"," ",IF(CC=2,(VLOOKUP(A105,ScaledPrice,9)-((IF(W105&lt;&gt;0,$D105,$CL105)*$C105)+$F105+$G105)),0))</f>
        <v> </v>
      </c>
      <c r="CT105" s="340" t="str">
        <f aca="false">IF(A105="N/A"," ",IF(CC=2,(IF(OR(Dayrun=3,Dayrun=6,Dayrun=9),(VLOOKUP(A105,ScaledPrice,IF(AND(Dayrun&gt;=3,Dayrun&lt;=6),7,8))),0)-((IF(X105&lt;&gt;0,$D105,$CL105)*$C105)+$F105+$G105)),0))</f>
        <v> </v>
      </c>
      <c r="CU105" s="340" t="str">
        <f aca="false">IF(A105="N/A"," ",IF(CC=2,(IF(OR(Dayrun=3,Dayrun=6,Dayrun=9),IF(AND(Dayrun&gt;=3,Dayrun&lt;=6),O105,(VLOOKUP(A105,ScaledPrice,7))*(2-(VLOOKUP(A105,ScaledPrice,3)))),0)-((IF(Y105&lt;&gt;0,$D105,$CL105)*$C105)+$F105+$G105)),0))</f>
        <v> </v>
      </c>
      <c r="CV105" s="340" t="str">
        <f aca="false">IF(A105="N/A"," ",IF(CC=2,(VLOOKUP(A105,ScaledPrice,9)-((IF(Z105&lt;&gt;0,$D105,$CL105)*$C105)+$F105+$G105)),0))</f>
        <v> </v>
      </c>
      <c r="CW105" s="318" t="str">
        <f aca="false">IF($A105="N/A"," ",IF(0&lt;&gt;CN105,IF(CC=2,8*$HD105,0),0))</f>
        <v> </v>
      </c>
      <c r="CX105" s="318" t="str">
        <f aca="false">IF($A105="N/A"," ",IF(0&lt;&gt;CO105,IF(CC=2,8*$HD105,0),0))</f>
        <v> </v>
      </c>
      <c r="CY105" s="318" t="str">
        <f aca="false">IF($A105="N/A"," ",IF(0&lt;&gt;CP105,IF(CC=2,8*$HD105,0),0))</f>
        <v> </v>
      </c>
      <c r="CZ105" s="318" t="str">
        <f aca="false">IF($A105="N/A"," ",IF(0&lt;&gt;CQ105,IF(CC=2,8*$HE105,0),0))</f>
        <v> </v>
      </c>
      <c r="DA105" s="318" t="str">
        <f aca="false">IF($A105="N/A"," ",IF(0&lt;&gt;CR105,IF(CC=2,8*$HE105,0),0))</f>
        <v> </v>
      </c>
      <c r="DB105" s="318" t="str">
        <f aca="false">IF($A105="N/A"," ",IF(0&lt;&gt;CS105,IF(CC=2,8*$HE105,0),0))</f>
        <v> </v>
      </c>
      <c r="DC105" s="318" t="str">
        <f aca="false">IF($A105="N/A"," ",IF(0&lt;&gt;CT105,IF(CC=2,8*$HF105,0),0))</f>
        <v> </v>
      </c>
      <c r="DD105" s="318" t="str">
        <f aca="false">IF($A105="N/A"," ",IF(0&lt;&gt;CU105,IF(CC=2,8*$HF105,0),0))</f>
        <v> </v>
      </c>
      <c r="DE105" s="318" t="str">
        <f aca="false">IF($A105="N/A"," ",IF(0&lt;&gt;CV105,IF(CC=2,8*$HF105,0),0))</f>
        <v> </v>
      </c>
      <c r="DF105" s="341" t="str">
        <f aca="false">IF($A105="N/A"," ",IF(CC=2,(IF(MONTH(A105)&gt;=4,IF(MONTH(A105)&lt;=10,Inputs!$G$13,Inputs!$G$14),Inputs!$G$14))*$CK105,0))</f>
        <v> </v>
      </c>
      <c r="DG105" s="342" t="str">
        <f aca="false">IF($A105="N/A"," ",IF(CC=2,$DF105*CW105*CN105,0))</f>
        <v> </v>
      </c>
      <c r="DH105" s="342" t="str">
        <f aca="false">IF($A105="N/A"," ",IF(CC=2,$DF105*CX105*CO105,0))</f>
        <v> </v>
      </c>
      <c r="DI105" s="342" t="str">
        <f aca="false">IF($A105="N/A"," ",IF(CC=2,$DF105*CY105*CP105,0))</f>
        <v> </v>
      </c>
      <c r="DJ105" s="342" t="str">
        <f aca="false">IF($A105="N/A"," ",IF(CC=2,$DF105*CZ105*CQ105,0))</f>
        <v> </v>
      </c>
      <c r="DK105" s="342" t="str">
        <f aca="false">IF($A105="N/A"," ",IF(CC=2,$DF105*DA105*CR105,0))</f>
        <v> </v>
      </c>
      <c r="DL105" s="342" t="str">
        <f aca="false">IF($A105="N/A"," ",IF(CC=2,$DF105*DB105*CS105,0))</f>
        <v> </v>
      </c>
      <c r="DM105" s="342" t="str">
        <f aca="false">IF($A105="N/A"," ",IF(CC=2,$DF105*DC105*CT105,0))</f>
        <v> </v>
      </c>
      <c r="DN105" s="342" t="str">
        <f aca="false">IF($A105="N/A"," ",IF(CC=2,$DF105*DD105*CU105,0))</f>
        <v> </v>
      </c>
      <c r="DO105" s="342" t="str">
        <f aca="false">IF($A105="N/A"," ",IF(CC=2,$DF105*DE105*CV105,0))</f>
        <v> </v>
      </c>
      <c r="DP105" s="343" t="str">
        <f aca="false">IF($A105="N/A"," ",IF(CC=2,SUM(DG105:DO105),0))</f>
        <v> </v>
      </c>
      <c r="DQ105" s="0" t="str">
        <f aca="false">IF(A105="N/A"," ",Perstart)</f>
        <v> </v>
      </c>
      <c r="HD105" s="0" t="str">
        <f aca="false">IF($A105="N/A"," ",VLOOKUP($A105,NumberofDaysTable,2))</f>
        <v> </v>
      </c>
      <c r="HE105" s="0" t="str">
        <f aca="false">IF($A105="N/A"," ",VLOOKUP($A105,NumberofDaysTable,3))</f>
        <v> </v>
      </c>
      <c r="HF105" s="0" t="str">
        <f aca="false">IF($A105="N/A"," ",VLOOKUP($A105,NumberofDaysTable,4))</f>
        <v> </v>
      </c>
    </row>
    <row r="106" customFormat="false" ht="12.75" hidden="false" customHeight="false" outlineLevel="0" collapsed="false">
      <c r="A106" s="308" t="str">
        <f aca="false">IF(A105="N/A","N/A",IF(EDATE(A105,1)&gt;Inputs!$K$3,"N/A",EDATE(A105,1)))</f>
        <v>N/A</v>
      </c>
      <c r="B106" s="309" t="str">
        <f aca="false">IF(A106="N/A"," ",YEAR(A106))</f>
        <v> </v>
      </c>
      <c r="C106" s="310" t="str">
        <f aca="false">IF(A106="N/A"," ",VLOOKUP(A106,ScaledPrice,10))</f>
        <v> </v>
      </c>
      <c r="D106" s="311" t="str">
        <f aca="false">IF(A106="N/A"," ",(VLOOKUP(MONTH($A106),Hrtable,2))/1000)</f>
        <v> </v>
      </c>
      <c r="E106" s="312" t="str">
        <f aca="false">IF($A106="N/A"," ",(C106-'Pricing Inputs'!T139)*D106)</f>
        <v> </v>
      </c>
      <c r="F106" s="313" t="str">
        <f aca="false">IF(A106="N/A"," ",$F94*(1+VOMesc))</f>
        <v> </v>
      </c>
      <c r="G106" s="313" t="str">
        <f aca="false">IF(A106="N/A"," ",Perstart/IF(AND(Dayrun&gt;=4,Dayrun&lt;=6),16,IF(AND(Dayrun&gt;=7,Dayrun&lt;=9),8,24))/(BM106/CK106))</f>
        <v> </v>
      </c>
      <c r="H106" s="314" t="str">
        <f aca="false">IF(A106="N/A"," ",(C106*D106)+F106+G106)</f>
        <v> </v>
      </c>
      <c r="I106" s="315" t="str">
        <f aca="false">VLOOKUP(A106,ScaledPrice,(IF(AND(Dayrun&gt;=1,Dayrun&lt;=6),2,4)))</f>
        <v> </v>
      </c>
      <c r="J106" s="315" t="str">
        <f aca="false">IF(A106="N/A"," ",IF(AND(Dayrun&gt;=1,Dayrun&lt;=6),I106,(VLOOKUP(A106,ScaledPrice,2))*(2-(VLOOKUP(A106,ScaledPrice,3)))))</f>
        <v> </v>
      </c>
      <c r="K106" s="315" t="str">
        <f aca="false">IF(A106="N/A"," ",IF(AND(Dayrun&gt;=1,Dayrun&lt;=3),VLOOKUP(A106,ScaledPrice,9),0))</f>
        <v> </v>
      </c>
      <c r="L106" s="315" t="str">
        <f aca="false">IF(A106="N/A"," ",IF(OR(Dayrun=2,Dayrun=3,Dayrun=5,Dayrun=6,Dayrun=8,Dayrun=9),VLOOKUP(A106,ScaledPrice,IF(AND(Dayrun&gt;=2,Dayrun&lt;=6),5,6)),0))</f>
        <v> </v>
      </c>
      <c r="M106" s="315" t="str">
        <f aca="false">IF(A106="N/A"," ",IF(OR(Dayrun=2,Dayrun=3,Dayrun=5,Dayrun=6,Dayrun=8,Dayrun=9),IF(AND(Dayrun&gt;=2,Dayrun&lt;=6),L106,(VLOOKUP(A106,ScaledPrice,5))*(2-(VLOOKUP(A106,ScaledPrice,3)))),0))</f>
        <v> </v>
      </c>
      <c r="N106" s="315" t="str">
        <f aca="false">IF(A106="N/A"," ",IF(AND(Dayrun&gt;1,Dayrun&lt;=3),VLOOKUP(A106,ScaledPrice,9),0))</f>
        <v> </v>
      </c>
      <c r="O106" s="315" t="str">
        <f aca="false">IF(A106="N/A"," ",IF(OR(Dayrun=3,Dayrun=6,Dayrun=9),(VLOOKUP(A106,ScaledPrice,IF(AND(Dayrun&gt;=3,Dayrun&lt;=6),7,8))),0))</f>
        <v> </v>
      </c>
      <c r="P106" s="315" t="str">
        <f aca="false">IF(A106="N/A"," ",IF(OR(Dayrun=3,Dayrun=6,Dayrun=9),IF(AND(Dayrun&gt;=3,Dayrun&lt;=6),O106,(VLOOKUP(A106,ScaledPrice,7))*(2-(VLOOKUP(A106,ScaledPrice,3)))),0))</f>
        <v> </v>
      </c>
      <c r="Q106" s="315" t="str">
        <f aca="false">IF(A106="N/A"," ",IF(AND(Dayrun&gt;2,Dayrun&lt;=3),VLOOKUP(A106,ScaledPrice,9),0))</f>
        <v> </v>
      </c>
      <c r="R106" s="316" t="str">
        <f aca="false">IF($A106="N/A"," ",IF(Pricetype=2,MAX(I106-$H106,0),IF(Pricetype=1,(xSPRDOPT(I106,$E106,$CI106,0,($CD106+IF(Smile=TRUE(),VLOOKUP(MAX(-5,$H106-I106),Volsmile,2),0)),$CG106,$CH106,($A106-DateToday)+15,1,0)),I106-$H106)))</f>
        <v> </v>
      </c>
      <c r="S106" s="316" t="str">
        <f aca="false">IF($A106="N/A"," ",IF(Pricetype=2,MAX(J106-$H106,0),IF(Pricetype=1,(xSPRDOPT(J106,$E106,$CI106,0,($CD106+IF(Smile=TRUE(),VLOOKUP(MAX(-5,$H106-J106),Volsmile,2),0)),$CG106,$CH106,($A106-DateToday)+15,1,0)),J106-$H106)))</f>
        <v> </v>
      </c>
      <c r="T106" s="317" t="str">
        <f aca="false">IF($A106="N/A"," ",(IF(Pricetype=2,IF((K106-$H106)&lt;=0,0,(K106-$H106)),IF(K106&lt;&gt;0,(K106-$H106),0))))</f>
        <v> </v>
      </c>
      <c r="U106" s="316" t="str">
        <f aca="false">IF($A106="N/A"," ",IF(Pricetype=2,MAX(L106-$H106,0),IF(L106&lt;&gt;0,IF(Pricetype=1,(xSPRDOPT(L106,$E106,$CI106,0,($CD106+IF(Smile=TRUE(),VLOOKUP(MAX(-5,$H106-L106),Volsmile,2),0)),$CG106,$CH106,($A106-DateToday)+15,1,0)),L106-$H106),0)))</f>
        <v> </v>
      </c>
      <c r="V106" s="316" t="str">
        <f aca="false">IF($A106="N/A"," ",IF(Pricetype=2,MAX(M106-$H106,0),IF(M106&lt;&gt;0,IF(Pricetype=1,(xSPRDOPT(M106,$E106,$CI106,0,($CD106+IF(Smile=TRUE(),VLOOKUP(MAX(-5,$H106-M106),Volsmile,2),0)),$CG106,$CH106,($A106-DateToday)+15,1,0)),M106-$H106),0)))</f>
        <v> </v>
      </c>
      <c r="W106" s="317" t="str">
        <f aca="false">IF($A106="N/A"," ",(IF(Pricetype=2,IF((N106-$H106)&lt;=0,0,(N106-$H106)),IF(N106&lt;&gt;0,(N106-$H106),0))))</f>
        <v> </v>
      </c>
      <c r="X106" s="316" t="str">
        <f aca="false">IF($A106="N/A"," ",IF(Pricetype=2,MAX(O106-$H106,0),IF(O106&lt;&gt;0,IF(Pricetype=1,(xSPRDOPT(O106,$E106,$CI106,0,($CD106+IF(Smile=TRUE(),VLOOKUP(MAX(-5,$H106-O106),Volsmile,2),0)),$CG106,$CH106,($A106-DateToday)+15,1,0)),O106-$H106),0)))</f>
        <v> </v>
      </c>
      <c r="Y106" s="316" t="str">
        <f aca="false">IF($A106="N/A"," ",IF(Pricetype=2,MAX(P106-$H106,0),IF(P106&lt;&gt;0,IF(Pricetype=1,(xSPRDOPT(P106,$E106,$CI106,0,($CD106+IF(Smile=TRUE(),VLOOKUP(MAX(-5,$H106-P106),Volsmile,2),0)),$CG106,$CH106,($A106-DateToday)+15,1,0)),P106-$H106),0)))</f>
        <v> </v>
      </c>
      <c r="Z106" s="317" t="str">
        <f aca="false">IF($A106="N/A"," ",(IF(Pricetype=2,IF((Q106-$H106)&lt;=0,0,(Q106-$H106)),IF(Q106&lt;&gt;0,(Q106-$H106),0))))</f>
        <v> </v>
      </c>
      <c r="AA106" s="318" t="str">
        <f aca="false">IF($A106="N/A"," ",IF(VLOOKUP(MONTH(A106),ManualTable,2)=1,(IF(0&lt;&gt;R106,IF(Pricetype=1,(xSPRDOPT(I106,$E106,$CI106,0,($CD106+IF(Smile=TRUE(),VLOOKUP(MAX(-5,$H106-I106),Volsmile,2),0)),$CG106,$CH106,($A106-DateToday)+15,1,1))*(8*$HD106),8*$HD106),0)),0))</f>
        <v> </v>
      </c>
      <c r="AB106" s="318" t="str">
        <f aca="false">IF($A106="N/A"," ",IF(VLOOKUP(MONTH(A106),ManualTable,3)=1,(IF(S106&lt;&gt;0,IF(Pricetype=1,(xSPRDOPT(J106,$E106,$CI106,0,($CD106+IF(Smile=TRUE(),VLOOKUP(MAX(-5,$H106-J106),Volsmile,2),0)),$CG106,$CH106,($A106-DateToday)+15,1,1))*(8*$HD106),8*$HD106),0)),0))</f>
        <v> </v>
      </c>
      <c r="AC106" s="318" t="str">
        <f aca="false">IF($A106="N/A"," ",IF(VLOOKUP(MONTH(A106),ManualTable,4)=1,(IF(T106&lt;&gt;0,(8*$HD106),0)),0))</f>
        <v> </v>
      </c>
      <c r="AD106" s="318" t="str">
        <f aca="false">IF($A106="N/A"," ",IF(VLOOKUP(MONTH(A106),ManualTable,5)=1,(IF(U106&lt;&gt;0,IF(Pricetype=1,(xSPRDOPT(L106,$E106,$CI106,0,($CD106+IF(Smile=TRUE(),VLOOKUP(MAX(-5,$H106-L106),Volsmile,2),0)),$CG106,$CH106,($A106-DateToday)+15,1,1))*(8*$HE106),8*$HE106),0)),0))</f>
        <v> </v>
      </c>
      <c r="AE106" s="318" t="str">
        <f aca="false">IF($A106="N/A"," ",IF(VLOOKUP(MONTH(A106),ManualTable,6)=1,(IF(V106&lt;&gt;0,IF(Pricetype=1,(xSPRDOPT(M106,$E106,$CI106,0,($CD106+IF(Smile=TRUE(),VLOOKUP(MAX(-5,$H106-M106),Volsmile,2),0)),$CG106,$CH106,($A106-DateToday)+15,1,1))*(8*$HE106),8*$HE106),0)),0))</f>
        <v> </v>
      </c>
      <c r="AF106" s="318" t="str">
        <f aca="false">IF($A106="N/A"," ",IF(VLOOKUP(MONTH(A106),ManualTable,7)=1,(IF(W106&lt;&gt;0,(8*$HE106),0)),0))</f>
        <v> </v>
      </c>
      <c r="AG106" s="318" t="str">
        <f aca="false">IF($A106="N/A"," ",IF(VLOOKUP(MONTH(A106),ManualTable,8)=1,(IF(X106&lt;&gt;0,IF(Pricetype=1,(xSPRDOPT(O106,$E106,$CI106,0,($CD106+IF(Smile=TRUE(),VLOOKUP(MAX(-5,$H106-O106),Volsmile,2),0)),$CG106,$CH106,($A106-DateToday)+15,1,1))*(8*$HF106),8*$HF106),0)),0))</f>
        <v> </v>
      </c>
      <c r="AH106" s="318" t="str">
        <f aca="false">IF($A106="N/A"," ",IF(VLOOKUP(MONTH(A106),ManualTable,9)=1,(IF(Y106&lt;&gt;0,IF(Pricetype=1,(xSPRDOPT(P106,$E106,$CI106,0,($CD106+IF(Smile=TRUE(),VLOOKUP(MAX(-5,$H106-P106),Volsmile,2),0)),$CG106,$CH106,($A106-DateToday)+15,1,1))*(8*$HF106),8*$HF106),0)),0))</f>
        <v> </v>
      </c>
      <c r="AI106" s="318" t="str">
        <f aca="false">IF($A106="N/A"," ",IF(VLOOKUP(MONTH(A106),ManualTable,10)=1,(IF(Z106&lt;&gt;0,(8*($HF106)),0)),0))</f>
        <v> </v>
      </c>
      <c r="AJ106" s="344" t="str">
        <f aca="false">IF($A106="N/A"," ",RANK(R106,$R$100:$Z$111))</f>
        <v> </v>
      </c>
      <c r="AK106" s="321" t="str">
        <f aca="false">IF($A106="N/A"," ",RANK(S106,$R$100:$Z$111))</f>
        <v> </v>
      </c>
      <c r="AL106" s="321" t="str">
        <f aca="false">IF($A106="N/A"," ",RANK(T106,$R$100:$Z$111))</f>
        <v> </v>
      </c>
      <c r="AM106" s="321" t="str">
        <f aca="false">IF($A106="N/A"," ",RANK(U106,$R$100:$Z$111))</f>
        <v> </v>
      </c>
      <c r="AN106" s="321" t="str">
        <f aca="false">IF($A106="N/A"," ",RANK(V106,$R$100:$Z$111))</f>
        <v> </v>
      </c>
      <c r="AO106" s="321" t="str">
        <f aca="false">IF($A106="N/A"," ",RANK(W106,$R$100:$Z$111))</f>
        <v> </v>
      </c>
      <c r="AP106" s="321" t="str">
        <f aca="false">IF($A106="N/A"," ",RANK(X106,$R$100:$Z$111))</f>
        <v> </v>
      </c>
      <c r="AQ106" s="321" t="str">
        <f aca="false">IF($A106="N/A"," ",RANK(Y106,$R$100:$Z$111))</f>
        <v> </v>
      </c>
      <c r="AR106" s="345" t="str">
        <f aca="false">IF($A106="N/A"," ",RANK(Z106,$R$100:$Z$111))</f>
        <v> </v>
      </c>
      <c r="AS106" s="323" t="str">
        <f aca="false">IF($A106="N/A"," ",IF(AJ106&lt;=$AR$2,AA106,0))</f>
        <v> </v>
      </c>
      <c r="AT106" s="325" t="str">
        <f aca="false">IF($A106="N/A"," ",IF(AK106&lt;=$AR$2,AB106,0))</f>
        <v> </v>
      </c>
      <c r="AU106" s="325" t="str">
        <f aca="false">IF($A106="N/A"," ",IF(AL106&lt;=$AR$2,AC106,0))</f>
        <v> </v>
      </c>
      <c r="AV106" s="325" t="str">
        <f aca="false">IF($A106="N/A"," ",IF(AM106&lt;=$AR$2,AD106,0))</f>
        <v> </v>
      </c>
      <c r="AW106" s="325" t="str">
        <f aca="false">IF($A106="N/A"," ",IF(AN106&lt;=$AR$2,AE106,0))</f>
        <v> </v>
      </c>
      <c r="AX106" s="325" t="str">
        <f aca="false">IF($A106="N/A"," ",IF(AO106&lt;=$AR$2,AF106,0))</f>
        <v> </v>
      </c>
      <c r="AY106" s="325" t="str">
        <f aca="false">IF($A106="N/A"," ",IF(AP106&lt;=$AR$2,AG106,0))</f>
        <v> </v>
      </c>
      <c r="AZ106" s="325" t="str">
        <f aca="false">IF($A106="N/A"," ",IF(AQ106&lt;=$AR$2,AH106,0))</f>
        <v> </v>
      </c>
      <c r="BA106" s="325" t="str">
        <f aca="false">IF($A106="N/A"," ",IF(AR106&lt;=$AR$2,AI106,0))</f>
        <v> </v>
      </c>
      <c r="BB106" s="345"/>
      <c r="BC106" s="326" t="str">
        <f aca="false">IF($A106="N/A"," ",IF(AND(AJ106=$AR$2+1,AS106=0),MIN($BB$111,AA106),0))</f>
        <v> </v>
      </c>
      <c r="BD106" s="346" t="str">
        <f aca="false">IF($A106="N/A"," ",IF(AND(AK106=$AR$2+1,AT106=0),MIN($BB$111,AB106),0))</f>
        <v> </v>
      </c>
      <c r="BE106" s="346" t="str">
        <f aca="false">IF($A106="N/A"," ",IF(AND(AL106=$AR$2+1,AU106=0),MIN($BB$111,AC106),0))</f>
        <v> </v>
      </c>
      <c r="BF106" s="346" t="str">
        <f aca="false">IF($A106="N/A"," ",IF(AND(AM106=$AR$2+1,AV106=0),MIN($BB$111,AD106),0))</f>
        <v> </v>
      </c>
      <c r="BG106" s="346" t="str">
        <f aca="false">IF($A106="N/A"," ",IF(AND(AN106=$AR$2+1,AW106=0),MIN($BB$111,AE106),0))</f>
        <v> </v>
      </c>
      <c r="BH106" s="346" t="str">
        <f aca="false">IF($A106="N/A"," ",IF(AND(AO106=$AR$2+1,AX106=0),MIN($BB$111,AF106),0))</f>
        <v> </v>
      </c>
      <c r="BI106" s="346" t="str">
        <f aca="false">IF($A106="N/A"," ",IF(AND(AP106=$AR$2+1,AY106=0),MIN($BB$111,AG106),0))</f>
        <v> </v>
      </c>
      <c r="BJ106" s="346" t="str">
        <f aca="false">IF($A106="N/A"," ",IF(AND(AQ106=$AR$2+1,AZ106=0),MIN($BB$111,AH106),0))</f>
        <v> </v>
      </c>
      <c r="BK106" s="346" t="str">
        <f aca="false">IF($A106="N/A"," ",IF(AND(AR106=$AR$2+1,BA106=0),MIN($BB$111,AI106),0))</f>
        <v> </v>
      </c>
      <c r="BL106" s="345"/>
      <c r="BM106" s="329" t="str">
        <f aca="false">IF($A106="N/A"," ",(IF(MONTH(A106)&gt;=4,IF(MONTH(A106)&lt;=10,Inputs!$F$13-Inputs!$G$13,Inputs!$F$14-Inputs!$G$14),Inputs!$F$14-Inputs!$G$14))*$CK106*Availability)</f>
        <v> </v>
      </c>
      <c r="BN106" s="330" t="str">
        <f aca="false">IF($A106="N/A"," ",(IF(AS106&gt;0,($BM106*(8*($HD106))*R106),0)+IF(BC106&gt;0,($BM106*((BC106/AA106)*8*$HD106)*R106),0)))</f>
        <v> </v>
      </c>
      <c r="BO106" s="330" t="str">
        <f aca="false">IF($A106="N/A"," ",(IF(AT106&gt;0,($BM106*(8*($HD106))*S106),0)+IF(BD106&gt;0,($BM106*((BD106/AB106)*8*$HD106)*S106),0)))</f>
        <v> </v>
      </c>
      <c r="BP106" s="330" t="str">
        <f aca="false">IF($A106="N/A"," ",(IF(AU106&gt;0,($BM106*(8*($HD106))*T106),0)+IF(BE106&gt;0,($BM106*((BE106))*T106),0)))</f>
        <v> </v>
      </c>
      <c r="BQ106" s="330" t="str">
        <f aca="false">IF($A106="N/A"," ",(IF(AV106&gt;0,($BM106*(8*($HE106))*U106),0)+IF(BF106&gt;0,($BM106*((BF106/AD106)*8*$HE106)*U106),0)))</f>
        <v> </v>
      </c>
      <c r="BR106" s="330" t="str">
        <f aca="false">IF($A106="N/A"," ",(IF(AW106&gt;0,($BM106*(8*($HE106))*V106),0)+IF(BG106&gt;0,($BM106*((BG106/AE106)*8*$HE106)*V106),0)))</f>
        <v> </v>
      </c>
      <c r="BS106" s="330" t="str">
        <f aca="false">IF($A106="N/A"," ",(IF(AX106&gt;0,($BM106*(8*($HE106))*W106),0)+IF(BH106&gt;0,($BM106*((BH106))*W106),0)))</f>
        <v> </v>
      </c>
      <c r="BT106" s="330" t="str">
        <f aca="false">IF($A106="N/A"," ",(IF(AY106&gt;0,($BM106*(8*($HF106))*X106),0)+IF(BI106&gt;0,($BM106*((BI106/AG106)*8*$HF106)*X106),0)))</f>
        <v> </v>
      </c>
      <c r="BU106" s="330" t="str">
        <f aca="false">IF($A106="N/A"," ",(IF(AZ106&gt;0,($BM106*(8*($HF106))*Y106),0)+IF(BJ106&gt;0,($BM106*((BJ106/AH106)*8*$HF106)*Y106),0)))</f>
        <v> </v>
      </c>
      <c r="BV106" s="330" t="str">
        <f aca="false">IF($A106="N/A"," ",(IF(BA106&gt;0,($BM106*(8*($HF106))*Z106),0)+IF(BK106&gt;0,($BM106*((BK106))*Z106),0)))</f>
        <v> </v>
      </c>
      <c r="BW106" s="330" t="str">
        <f aca="false">IF($A106="N/A"," ",SUM(BN106:BV106))</f>
        <v> </v>
      </c>
      <c r="BX106" s="331" t="str">
        <f aca="false">IF($A106="N/A"," ",(H106*(SUM(AS106:BA106)+SUM(BC106:BK106))*BM106))</f>
        <v> </v>
      </c>
      <c r="BY106" s="332" t="str">
        <f aca="false">IF($A106="N/A"," ",((C106*D106)*(SUM($AS106:$BA106)+SUM($BC106:$BK106))*$BM106))</f>
        <v> </v>
      </c>
      <c r="BZ106" s="332" t="str">
        <f aca="false">IF($A106="N/A"," ",(F106*(SUM($AS106:$BA106)+SUM($BC106:$BK106))*$BM106))</f>
        <v> </v>
      </c>
      <c r="CA106" s="333" t="str">
        <f aca="false">IF($A106="N/A"," ",(G106*(SUM($AS106:$BA106)+SUM($BC106:$BK106))*$BM106))</f>
        <v> </v>
      </c>
      <c r="CB106" s="334" t="str">
        <f aca="false">IF(A106="N/A"," ",(VLOOKUP(A106,PowerVolTable,(IF(BMO=2,7,IF(BMO=1,6,8))),FALSE())))</f>
        <v> </v>
      </c>
      <c r="CC106" s="334" t="str">
        <f aca="false">IF(A106="N/A"," ",(VLOOKUP(A106,IntraPowerVol,(IF(BMO=2,3,IF(BMO=1,2,4))),FALSE())*VLOOKUP(MONTH($A106),Volscale,2)))</f>
        <v> </v>
      </c>
      <c r="CD106" s="335" t="str">
        <f aca="false">IF($A106="N/A"," ",(IF(DateToday&gt;$A106,$CC106,((($CB106^2)*((($A106-1)-DateToday)/((EOMONTH($A106,0)+1)-DateToday-15)))+((($CC106)^2)*((15)/((EOMONTH($A106,0)+1)-DateToday-15))))^0.5)))</f>
        <v> </v>
      </c>
      <c r="CE106" s="334" t="str">
        <f aca="false">IF($A106="N/A"," ",(VLOOKUP($A106,GasVolTable,(IF(BMO=2,6,IF(BMO=1,7,5))),FALSE())))</f>
        <v> </v>
      </c>
      <c r="CF106" s="334" t="str">
        <f aca="false">IF($A106="N/A"," ",(VLOOKUP($A106,OmicronVol,(IF(BMO=2,3,IF(BMO=1,4,2))),FALSE())))</f>
        <v> </v>
      </c>
      <c r="CG106" s="335" t="str">
        <f aca="false">IF($A106="N/A"," ",(IF(DateToday&gt;$A106,$CF106,((($CE106^2)*((($A106-1)-DateToday)/((EOMONTH($A106,0)+1)-DateToday-15)))+((($CF106)^2)*((15)/((EOMONTH($A106,0)+1)-DateToday-15))))^0.5)))</f>
        <v> </v>
      </c>
      <c r="CH106" s="334" t="str">
        <f aca="false">IF($A106="N/A"," ",VLOOKUP($A106,CorrelationTable,2,FALSE()))</f>
        <v> </v>
      </c>
      <c r="CI106" s="336" t="str">
        <f aca="false">IF($A106="N/A"," ",F106+G106+(D106*('Pricing Inputs'!T139)))</f>
        <v> </v>
      </c>
      <c r="CJ106" s="334" t="str">
        <f aca="false">IF($A106="N/A"," ",IF(PV=1,0,'Pricing Inputs'!U139))</f>
        <v> </v>
      </c>
      <c r="CK106" s="337" t="str">
        <f aca="false">IF($A106="N/A"," ",(1+CJ106/2)^(-2*((EOMONTH(A106,0)+20)-DateToday)/365.25))</f>
        <v> </v>
      </c>
      <c r="CL106" s="338" t="str">
        <f aca="false">IF(A106="N/A"," ",IF(CC=2,(VLOOKUP(MONTH($A106),Hrtable,3))/1000,0))</f>
        <v> </v>
      </c>
      <c r="CM106" s="339" t="str">
        <f aca="false">IF(A106="N/A"," ",IF(CC=2,(CL106*C106)+F106,0))</f>
        <v> </v>
      </c>
      <c r="CN106" s="340" t="str">
        <f aca="false">IF($A106="N/A"," ",IF(CC=2,(VLOOKUP(A106,ScaledPrice,(IF(AND(Dayrun&gt;=1,Dayrun&lt;=6),2,4)))-((IF(R106&lt;&gt;0,$D106,$CL106)*$C106)+$F106+$G106)),0))</f>
        <v> </v>
      </c>
      <c r="CO106" s="340" t="str">
        <f aca="false">IF($A106="N/A"," ",IF(CC=2,(IF(AND(Dayrun&gt;=1,Dayrun&lt;=6),I106,(VLOOKUP(A106,ScaledPrice,2))*(2-(VLOOKUP(A106,ScaledPrice,3))))-((IF(S106&lt;&gt;0,$D106,$CL106)*$C106)+$F106+$G106)),0))</f>
        <v> </v>
      </c>
      <c r="CP106" s="340" t="str">
        <f aca="false">IF(A106="N/A"," ",IF(CC=2,(VLOOKUP(A106,ScaledPrice,9)-((IF(T106&lt;&gt;0,$D106,$CL106)*$C106)+$F106+$G106)),0))</f>
        <v> </v>
      </c>
      <c r="CQ106" s="340" t="str">
        <f aca="false">IF(A106="N/A"," ",IF(CC=2,(IF(OR(Dayrun=2,Dayrun=3,Dayrun=5,Dayrun=6,Dayrun=8,Dayrun=9),VLOOKUP(A106,ScaledPrice,IF(AND(Dayrun&gt;=2,Dayrun&lt;=6),5,6)),0)-((IF(U106&lt;&gt;0,$D106,$CL106)*$C106)+$F106+$G106)),0))</f>
        <v> </v>
      </c>
      <c r="CR106" s="340" t="str">
        <f aca="false">IF(A106="N/A"," ",IF(CC=2,(IF(OR(Dayrun=2,Dayrun=3,Dayrun=5,Dayrun=6,Dayrun=8,Dayrun=9),IF(AND(Dayrun&gt;=2,Dayrun&lt;=6),L106,(VLOOKUP(A106,ScaledPrice,5))*(2-(VLOOKUP(A106,ScaledPrice,3)))),0)-((IF(V106&lt;&gt;0,$D106,$CL106)*$C106)+$F106+$G106)),0))</f>
        <v> </v>
      </c>
      <c r="CS106" s="340" t="str">
        <f aca="false">IF(A106="N/A"," ",IF(CC=2,(VLOOKUP(A106,ScaledPrice,9)-((IF(W106&lt;&gt;0,$D106,$CL106)*$C106)+$F106+$G106)),0))</f>
        <v> </v>
      </c>
      <c r="CT106" s="340" t="str">
        <f aca="false">IF(A106="N/A"," ",IF(CC=2,(IF(OR(Dayrun=3,Dayrun=6,Dayrun=9),(VLOOKUP(A106,ScaledPrice,IF(AND(Dayrun&gt;=3,Dayrun&lt;=6),7,8))),0)-((IF(X106&lt;&gt;0,$D106,$CL106)*$C106)+$F106+$G106)),0))</f>
        <v> </v>
      </c>
      <c r="CU106" s="340" t="str">
        <f aca="false">IF(A106="N/A"," ",IF(CC=2,(IF(OR(Dayrun=3,Dayrun=6,Dayrun=9),IF(AND(Dayrun&gt;=3,Dayrun&lt;=6),O106,(VLOOKUP(A106,ScaledPrice,7))*(2-(VLOOKUP(A106,ScaledPrice,3)))),0)-((IF(Y106&lt;&gt;0,$D106,$CL106)*$C106)+$F106+$G106)),0))</f>
        <v> </v>
      </c>
      <c r="CV106" s="340" t="str">
        <f aca="false">IF(A106="N/A"," ",IF(CC=2,(VLOOKUP(A106,ScaledPrice,9)-((IF(Z106&lt;&gt;0,$D106,$CL106)*$C106)+$F106+$G106)),0))</f>
        <v> </v>
      </c>
      <c r="CW106" s="318" t="str">
        <f aca="false">IF($A106="N/A"," ",IF(0&lt;&gt;CN106,IF(CC=2,8*$HD106,0),0))</f>
        <v> </v>
      </c>
      <c r="CX106" s="318" t="str">
        <f aca="false">IF($A106="N/A"," ",IF(0&lt;&gt;CO106,IF(CC=2,8*$HD106,0),0))</f>
        <v> </v>
      </c>
      <c r="CY106" s="318" t="str">
        <f aca="false">IF($A106="N/A"," ",IF(0&lt;&gt;CP106,IF(CC=2,8*$HD106,0),0))</f>
        <v> </v>
      </c>
      <c r="CZ106" s="318" t="str">
        <f aca="false">IF($A106="N/A"," ",IF(0&lt;&gt;CQ106,IF(CC=2,8*$HE106,0),0))</f>
        <v> </v>
      </c>
      <c r="DA106" s="318" t="str">
        <f aca="false">IF($A106="N/A"," ",IF(0&lt;&gt;CR106,IF(CC=2,8*$HE106,0),0))</f>
        <v> </v>
      </c>
      <c r="DB106" s="318" t="str">
        <f aca="false">IF($A106="N/A"," ",IF(0&lt;&gt;CS106,IF(CC=2,8*$HE106,0),0))</f>
        <v> </v>
      </c>
      <c r="DC106" s="318" t="str">
        <f aca="false">IF($A106="N/A"," ",IF(0&lt;&gt;CT106,IF(CC=2,8*$HF106,0),0))</f>
        <v> </v>
      </c>
      <c r="DD106" s="318" t="str">
        <f aca="false">IF($A106="N/A"," ",IF(0&lt;&gt;CU106,IF(CC=2,8*$HF106,0),0))</f>
        <v> </v>
      </c>
      <c r="DE106" s="318" t="str">
        <f aca="false">IF($A106="N/A"," ",IF(0&lt;&gt;CV106,IF(CC=2,8*$HF106,0),0))</f>
        <v> </v>
      </c>
      <c r="DF106" s="341" t="str">
        <f aca="false">IF($A106="N/A"," ",IF(CC=2,(IF(MONTH(A106)&gt;=4,IF(MONTH(A106)&lt;=10,Inputs!$G$13,Inputs!$G$14),Inputs!$G$14))*$CK106,0))</f>
        <v> </v>
      </c>
      <c r="DG106" s="342" t="str">
        <f aca="false">IF($A106="N/A"," ",IF(CC=2,$DF106*CW106*CN106,0))</f>
        <v> </v>
      </c>
      <c r="DH106" s="342" t="str">
        <f aca="false">IF($A106="N/A"," ",IF(CC=2,$DF106*CX106*CO106,0))</f>
        <v> </v>
      </c>
      <c r="DI106" s="342" t="str">
        <f aca="false">IF($A106="N/A"," ",IF(CC=2,$DF106*CY106*CP106,0))</f>
        <v> </v>
      </c>
      <c r="DJ106" s="342" t="str">
        <f aca="false">IF($A106="N/A"," ",IF(CC=2,$DF106*CZ106*CQ106,0))</f>
        <v> </v>
      </c>
      <c r="DK106" s="342" t="str">
        <f aca="false">IF($A106="N/A"," ",IF(CC=2,$DF106*DA106*CR106,0))</f>
        <v> </v>
      </c>
      <c r="DL106" s="342" t="str">
        <f aca="false">IF($A106="N/A"," ",IF(CC=2,$DF106*DB106*CS106,0))</f>
        <v> </v>
      </c>
      <c r="DM106" s="342" t="str">
        <f aca="false">IF($A106="N/A"," ",IF(CC=2,$DF106*DC106*CT106,0))</f>
        <v> </v>
      </c>
      <c r="DN106" s="342" t="str">
        <f aca="false">IF($A106="N/A"," ",IF(CC=2,$DF106*DD106*CU106,0))</f>
        <v> </v>
      </c>
      <c r="DO106" s="342" t="str">
        <f aca="false">IF($A106="N/A"," ",IF(CC=2,$DF106*DE106*CV106,0))</f>
        <v> </v>
      </c>
      <c r="DP106" s="343" t="str">
        <f aca="false">IF($A106="N/A"," ",IF(CC=2,SUM(DG106:DO106),0))</f>
        <v> </v>
      </c>
      <c r="DQ106" s="0" t="str">
        <f aca="false">IF(A106="N/A"," ",Perstart)</f>
        <v> </v>
      </c>
      <c r="HD106" s="0" t="str">
        <f aca="false">IF($A106="N/A"," ",VLOOKUP($A106,NumberofDaysTable,2))</f>
        <v> </v>
      </c>
      <c r="HE106" s="0" t="str">
        <f aca="false">IF($A106="N/A"," ",VLOOKUP($A106,NumberofDaysTable,3))</f>
        <v> </v>
      </c>
      <c r="HF106" s="0" t="str">
        <f aca="false">IF($A106="N/A"," ",VLOOKUP($A106,NumberofDaysTable,4))</f>
        <v> </v>
      </c>
    </row>
    <row r="107" customFormat="false" ht="12.75" hidden="false" customHeight="false" outlineLevel="0" collapsed="false">
      <c r="A107" s="308" t="str">
        <f aca="false">IF(A106="N/A","N/A",IF(EDATE(A106,1)&gt;Inputs!$K$3,"N/A",EDATE(A106,1)))</f>
        <v>N/A</v>
      </c>
      <c r="B107" s="309" t="str">
        <f aca="false">IF(A107="N/A"," ",YEAR(A107))</f>
        <v> </v>
      </c>
      <c r="C107" s="310" t="str">
        <f aca="false">IF(A107="N/A"," ",VLOOKUP(A107,ScaledPrice,10))</f>
        <v> </v>
      </c>
      <c r="D107" s="311" t="str">
        <f aca="false">IF(A107="N/A"," ",(VLOOKUP(MONTH($A107),Hrtable,2))/1000)</f>
        <v> </v>
      </c>
      <c r="E107" s="312" t="str">
        <f aca="false">IF($A107="N/A"," ",(C107-'Pricing Inputs'!T140)*D107)</f>
        <v> </v>
      </c>
      <c r="F107" s="313" t="str">
        <f aca="false">IF(A107="N/A"," ",$F95*(1+VOMesc))</f>
        <v> </v>
      </c>
      <c r="G107" s="313" t="str">
        <f aca="false">IF(A107="N/A"," ",Perstart/IF(AND(Dayrun&gt;=4,Dayrun&lt;=6),16,IF(AND(Dayrun&gt;=7,Dayrun&lt;=9),8,24))/(BM107/CK107))</f>
        <v> </v>
      </c>
      <c r="H107" s="314" t="str">
        <f aca="false">IF(A107="N/A"," ",(C107*D107)+F107+G107)</f>
        <v> </v>
      </c>
      <c r="I107" s="315" t="str">
        <f aca="false">VLOOKUP(A107,ScaledPrice,(IF(AND(Dayrun&gt;=1,Dayrun&lt;=6),2,4)))</f>
        <v> </v>
      </c>
      <c r="J107" s="315" t="str">
        <f aca="false">IF(A107="N/A"," ",IF(AND(Dayrun&gt;=1,Dayrun&lt;=6),I107,(VLOOKUP(A107,ScaledPrice,2))*(2-(VLOOKUP(A107,ScaledPrice,3)))))</f>
        <v> </v>
      </c>
      <c r="K107" s="315" t="str">
        <f aca="false">IF(A107="N/A"," ",IF(AND(Dayrun&gt;=1,Dayrun&lt;=3),VLOOKUP(A107,ScaledPrice,9),0))</f>
        <v> </v>
      </c>
      <c r="L107" s="315" t="str">
        <f aca="false">IF(A107="N/A"," ",IF(OR(Dayrun=2,Dayrun=3,Dayrun=5,Dayrun=6,Dayrun=8,Dayrun=9),VLOOKUP(A107,ScaledPrice,IF(AND(Dayrun&gt;=2,Dayrun&lt;=6),5,6)),0))</f>
        <v> </v>
      </c>
      <c r="M107" s="315" t="str">
        <f aca="false">IF(A107="N/A"," ",IF(OR(Dayrun=2,Dayrun=3,Dayrun=5,Dayrun=6,Dayrun=8,Dayrun=9),IF(AND(Dayrun&gt;=2,Dayrun&lt;=6),L107,(VLOOKUP(A107,ScaledPrice,5))*(2-(VLOOKUP(A107,ScaledPrice,3)))),0))</f>
        <v> </v>
      </c>
      <c r="N107" s="315" t="str">
        <f aca="false">IF(A107="N/A"," ",IF(AND(Dayrun&gt;1,Dayrun&lt;=3),VLOOKUP(A107,ScaledPrice,9),0))</f>
        <v> </v>
      </c>
      <c r="O107" s="315" t="str">
        <f aca="false">IF(A107="N/A"," ",IF(OR(Dayrun=3,Dayrun=6,Dayrun=9),(VLOOKUP(A107,ScaledPrice,IF(AND(Dayrun&gt;=3,Dayrun&lt;=6),7,8))),0))</f>
        <v> </v>
      </c>
      <c r="P107" s="315" t="str">
        <f aca="false">IF(A107="N/A"," ",IF(OR(Dayrun=3,Dayrun=6,Dayrun=9),IF(AND(Dayrun&gt;=3,Dayrun&lt;=6),O107,(VLOOKUP(A107,ScaledPrice,7))*(2-(VLOOKUP(A107,ScaledPrice,3)))),0))</f>
        <v> </v>
      </c>
      <c r="Q107" s="315" t="str">
        <f aca="false">IF(A107="N/A"," ",IF(AND(Dayrun&gt;2,Dayrun&lt;=3),VLOOKUP(A107,ScaledPrice,9),0))</f>
        <v> </v>
      </c>
      <c r="R107" s="316" t="str">
        <f aca="false">IF($A107="N/A"," ",IF(Pricetype=2,MAX(I107-$H107,0),IF(Pricetype=1,(xSPRDOPT(I107,$E107,$CI107,0,($CD107+IF(Smile=TRUE(),VLOOKUP(MAX(-5,$H107-I107),Volsmile,2),0)),$CG107,$CH107,($A107-DateToday)+15,1,0)),I107-$H107)))</f>
        <v> </v>
      </c>
      <c r="S107" s="316" t="str">
        <f aca="false">IF($A107="N/A"," ",IF(Pricetype=2,MAX(J107-$H107,0),IF(Pricetype=1,(xSPRDOPT(J107,$E107,$CI107,0,($CD107+IF(Smile=TRUE(),VLOOKUP(MAX(-5,$H107-J107),Volsmile,2),0)),$CG107,$CH107,($A107-DateToday)+15,1,0)),J107-$H107)))</f>
        <v> </v>
      </c>
      <c r="T107" s="317" t="str">
        <f aca="false">IF($A107="N/A"," ",(IF(Pricetype=2,IF((K107-$H107)&lt;=0,0,(K107-$H107)),IF(K107&lt;&gt;0,(K107-$H107),0))))</f>
        <v> </v>
      </c>
      <c r="U107" s="316" t="str">
        <f aca="false">IF($A107="N/A"," ",IF(Pricetype=2,MAX(L107-$H107,0),IF(L107&lt;&gt;0,IF(Pricetype=1,(xSPRDOPT(L107,$E107,$CI107,0,($CD107+IF(Smile=TRUE(),VLOOKUP(MAX(-5,$H107-L107),Volsmile,2),0)),$CG107,$CH107,($A107-DateToday)+15,1,0)),L107-$H107),0)))</f>
        <v> </v>
      </c>
      <c r="V107" s="316" t="str">
        <f aca="false">IF($A107="N/A"," ",IF(Pricetype=2,MAX(M107-$H107,0),IF(M107&lt;&gt;0,IF(Pricetype=1,(xSPRDOPT(M107,$E107,$CI107,0,($CD107+IF(Smile=TRUE(),VLOOKUP(MAX(-5,$H107-M107),Volsmile,2),0)),$CG107,$CH107,($A107-DateToday)+15,1,0)),M107-$H107),0)))</f>
        <v> </v>
      </c>
      <c r="W107" s="317" t="str">
        <f aca="false">IF($A107="N/A"," ",(IF(Pricetype=2,IF((N107-$H107)&lt;=0,0,(N107-$H107)),IF(N107&lt;&gt;0,(N107-$H107),0))))</f>
        <v> </v>
      </c>
      <c r="X107" s="316" t="str">
        <f aca="false">IF($A107="N/A"," ",IF(Pricetype=2,MAX(O107-$H107,0),IF(O107&lt;&gt;0,IF(Pricetype=1,(xSPRDOPT(O107,$E107,$CI107,0,($CD107+IF(Smile=TRUE(),VLOOKUP(MAX(-5,$H107-O107),Volsmile,2),0)),$CG107,$CH107,($A107-DateToday)+15,1,0)),O107-$H107),0)))</f>
        <v> </v>
      </c>
      <c r="Y107" s="316" t="str">
        <f aca="false">IF($A107="N/A"," ",IF(Pricetype=2,MAX(P107-$H107,0),IF(P107&lt;&gt;0,IF(Pricetype=1,(xSPRDOPT(P107,$E107,$CI107,0,($CD107+IF(Smile=TRUE(),VLOOKUP(MAX(-5,$H107-P107),Volsmile,2),0)),$CG107,$CH107,($A107-DateToday)+15,1,0)),P107-$H107),0)))</f>
        <v> </v>
      </c>
      <c r="Z107" s="317" t="str">
        <f aca="false">IF($A107="N/A"," ",(IF(Pricetype=2,IF((Q107-$H107)&lt;=0,0,(Q107-$H107)),IF(Q107&lt;&gt;0,(Q107-$H107),0))))</f>
        <v> </v>
      </c>
      <c r="AA107" s="318" t="str">
        <f aca="false">IF($A107="N/A"," ",IF(VLOOKUP(MONTH(A107),ManualTable,2)=1,(IF(0&lt;&gt;R107,IF(Pricetype=1,(xSPRDOPT(I107,$E107,$CI107,0,($CD107+IF(Smile=TRUE(),VLOOKUP(MAX(-5,$H107-I107),Volsmile,2),0)),$CG107,$CH107,($A107-DateToday)+15,1,1))*(8*$HD107),8*$HD107),0)),0))</f>
        <v> </v>
      </c>
      <c r="AB107" s="318" t="str">
        <f aca="false">IF($A107="N/A"," ",IF(VLOOKUP(MONTH(A107),ManualTable,3)=1,(IF(S107&lt;&gt;0,IF(Pricetype=1,(xSPRDOPT(J107,$E107,$CI107,0,($CD107+IF(Smile=TRUE(),VLOOKUP(MAX(-5,$H107-J107),Volsmile,2),0)),$CG107,$CH107,($A107-DateToday)+15,1,1))*(8*$HD107),8*$HD107),0)),0))</f>
        <v> </v>
      </c>
      <c r="AC107" s="318" t="str">
        <f aca="false">IF($A107="N/A"," ",IF(VLOOKUP(MONTH(A107),ManualTable,4)=1,(IF(T107&lt;&gt;0,(8*$HD107),0)),0))</f>
        <v> </v>
      </c>
      <c r="AD107" s="318" t="str">
        <f aca="false">IF($A107="N/A"," ",IF(VLOOKUP(MONTH(A107),ManualTable,5)=1,(IF(U107&lt;&gt;0,IF(Pricetype=1,(xSPRDOPT(L107,$E107,$CI107,0,($CD107+IF(Smile=TRUE(),VLOOKUP(MAX(-5,$H107-L107),Volsmile,2),0)),$CG107,$CH107,($A107-DateToday)+15,1,1))*(8*$HE107),8*$HE107),0)),0))</f>
        <v> </v>
      </c>
      <c r="AE107" s="318" t="str">
        <f aca="false">IF($A107="N/A"," ",IF(VLOOKUP(MONTH(A107),ManualTable,6)=1,(IF(V107&lt;&gt;0,IF(Pricetype=1,(xSPRDOPT(M107,$E107,$CI107,0,($CD107+IF(Smile=TRUE(),VLOOKUP(MAX(-5,$H107-M107),Volsmile,2),0)),$CG107,$CH107,($A107-DateToday)+15,1,1))*(8*$HE107),8*$HE107),0)),0))</f>
        <v> </v>
      </c>
      <c r="AF107" s="318" t="str">
        <f aca="false">IF($A107="N/A"," ",IF(VLOOKUP(MONTH(A107),ManualTable,7)=1,(IF(W107&lt;&gt;0,(8*$HE107),0)),0))</f>
        <v> </v>
      </c>
      <c r="AG107" s="318" t="str">
        <f aca="false">IF($A107="N/A"," ",IF(VLOOKUP(MONTH(A107),ManualTable,8)=1,(IF(X107&lt;&gt;0,IF(Pricetype=1,(xSPRDOPT(O107,$E107,$CI107,0,($CD107+IF(Smile=TRUE(),VLOOKUP(MAX(-5,$H107-O107),Volsmile,2),0)),$CG107,$CH107,($A107-DateToday)+15,1,1))*(8*$HF107),8*$HF107),0)),0))</f>
        <v> </v>
      </c>
      <c r="AH107" s="318" t="str">
        <f aca="false">IF($A107="N/A"," ",IF(VLOOKUP(MONTH(A107),ManualTable,9)=1,(IF(Y107&lt;&gt;0,IF(Pricetype=1,(xSPRDOPT(P107,$E107,$CI107,0,($CD107+IF(Smile=TRUE(),VLOOKUP(MAX(-5,$H107-P107),Volsmile,2),0)),$CG107,$CH107,($A107-DateToday)+15,1,1))*(8*$HF107),8*$HF107),0)),0))</f>
        <v> </v>
      </c>
      <c r="AI107" s="318" t="str">
        <f aca="false">IF($A107="N/A"," ",IF(VLOOKUP(MONTH(A107),ManualTable,10)=1,(IF(Z107&lt;&gt;0,(8*($HF107)),0)),0))</f>
        <v> </v>
      </c>
      <c r="AJ107" s="344" t="str">
        <f aca="false">IF($A107="N/A"," ",RANK(R107,$R$100:$Z$111))</f>
        <v> </v>
      </c>
      <c r="AK107" s="321" t="str">
        <f aca="false">IF($A107="N/A"," ",RANK(S107,$R$100:$Z$111))</f>
        <v> </v>
      </c>
      <c r="AL107" s="321" t="str">
        <f aca="false">IF($A107="N/A"," ",RANK(T107,$R$100:$Z$111))</f>
        <v> </v>
      </c>
      <c r="AM107" s="321" t="str">
        <f aca="false">IF($A107="N/A"," ",RANK(U107,$R$100:$Z$111))</f>
        <v> </v>
      </c>
      <c r="AN107" s="321" t="str">
        <f aca="false">IF($A107="N/A"," ",RANK(V107,$R$100:$Z$111))</f>
        <v> </v>
      </c>
      <c r="AO107" s="321" t="str">
        <f aca="false">IF($A107="N/A"," ",RANK(W107,$R$100:$Z$111))</f>
        <v> </v>
      </c>
      <c r="AP107" s="321" t="str">
        <f aca="false">IF($A107="N/A"," ",RANK(X107,$R$100:$Z$111))</f>
        <v> </v>
      </c>
      <c r="AQ107" s="321" t="str">
        <f aca="false">IF($A107="N/A"," ",RANK(Y107,$R$100:$Z$111))</f>
        <v> </v>
      </c>
      <c r="AR107" s="345" t="str">
        <f aca="false">IF($A107="N/A"," ",RANK(Z107,$R$100:$Z$111))</f>
        <v> </v>
      </c>
      <c r="AS107" s="323" t="str">
        <f aca="false">IF($A107="N/A"," ",IF(AJ107&lt;=$AR$2,AA107,0))</f>
        <v> </v>
      </c>
      <c r="AT107" s="325" t="str">
        <f aca="false">IF($A107="N/A"," ",IF(AK107&lt;=$AR$2,AB107,0))</f>
        <v> </v>
      </c>
      <c r="AU107" s="325" t="str">
        <f aca="false">IF($A107="N/A"," ",IF(AL107&lt;=$AR$2,AC107,0))</f>
        <v> </v>
      </c>
      <c r="AV107" s="325" t="str">
        <f aca="false">IF($A107="N/A"," ",IF(AM107&lt;=$AR$2,AD107,0))</f>
        <v> </v>
      </c>
      <c r="AW107" s="325" t="str">
        <f aca="false">IF($A107="N/A"," ",IF(AN107&lt;=$AR$2,AE107,0))</f>
        <v> </v>
      </c>
      <c r="AX107" s="325" t="str">
        <f aca="false">IF($A107="N/A"," ",IF(AO107&lt;=$AR$2,AF107,0))</f>
        <v> </v>
      </c>
      <c r="AY107" s="325" t="str">
        <f aca="false">IF($A107="N/A"," ",IF(AP107&lt;=$AR$2,AG107,0))</f>
        <v> </v>
      </c>
      <c r="AZ107" s="325" t="str">
        <f aca="false">IF($A107="N/A"," ",IF(AQ107&lt;=$AR$2,AH107,0))</f>
        <v> </v>
      </c>
      <c r="BA107" s="325" t="str">
        <f aca="false">IF($A107="N/A"," ",IF(AR107&lt;=$AR$2,AI107,0))</f>
        <v> </v>
      </c>
      <c r="BB107" s="345"/>
      <c r="BC107" s="326" t="str">
        <f aca="false">IF($A107="N/A"," ",IF(AND(AJ107=$AR$2+1,AS107=0),MIN($BB$111,AA107),0))</f>
        <v> </v>
      </c>
      <c r="BD107" s="346" t="str">
        <f aca="false">IF($A107="N/A"," ",IF(AND(AK107=$AR$2+1,AT107=0),MIN($BB$111,AB107),0))</f>
        <v> </v>
      </c>
      <c r="BE107" s="346" t="str">
        <f aca="false">IF($A107="N/A"," ",IF(AND(AL107=$AR$2+1,AU107=0),MIN($BB$111,AC107),0))</f>
        <v> </v>
      </c>
      <c r="BF107" s="346" t="str">
        <f aca="false">IF($A107="N/A"," ",IF(AND(AM107=$AR$2+1,AV107=0),MIN($BB$111,AD107),0))</f>
        <v> </v>
      </c>
      <c r="BG107" s="346" t="str">
        <f aca="false">IF($A107="N/A"," ",IF(AND(AN107=$AR$2+1,AW107=0),MIN($BB$111,AE107),0))</f>
        <v> </v>
      </c>
      <c r="BH107" s="346" t="str">
        <f aca="false">IF($A107="N/A"," ",IF(AND(AO107=$AR$2+1,AX107=0),MIN($BB$111,AF107),0))</f>
        <v> </v>
      </c>
      <c r="BI107" s="346" t="str">
        <f aca="false">IF($A107="N/A"," ",IF(AND(AP107=$AR$2+1,AY107=0),MIN($BB$111,AG107),0))</f>
        <v> </v>
      </c>
      <c r="BJ107" s="346" t="str">
        <f aca="false">IF($A107="N/A"," ",IF(AND(AQ107=$AR$2+1,AZ107=0),MIN($BB$111,AH107),0))</f>
        <v> </v>
      </c>
      <c r="BK107" s="346" t="str">
        <f aca="false">IF($A107="N/A"," ",IF(AND(AR107=$AR$2+1,BA107=0),MIN($BB$111,AI107),0))</f>
        <v> </v>
      </c>
      <c r="BL107" s="345"/>
      <c r="BM107" s="329" t="str">
        <f aca="false">IF($A107="N/A"," ",(IF(MONTH(A107)&gt;=4,IF(MONTH(A107)&lt;=10,Inputs!$F$13-Inputs!$G$13,Inputs!$F$14-Inputs!$G$14),Inputs!$F$14-Inputs!$G$14))*$CK107*Availability)</f>
        <v> </v>
      </c>
      <c r="BN107" s="330" t="str">
        <f aca="false">IF($A107="N/A"," ",(IF(AS107&gt;0,($BM107*(8*($HD107))*R107),0)+IF(BC107&gt;0,($BM107*((BC107/AA107)*8*$HD107)*R107),0)))</f>
        <v> </v>
      </c>
      <c r="BO107" s="330" t="str">
        <f aca="false">IF($A107="N/A"," ",(IF(AT107&gt;0,($BM107*(8*($HD107))*S107),0)+IF(BD107&gt;0,($BM107*((BD107/AB107)*8*$HD107)*S107),0)))</f>
        <v> </v>
      </c>
      <c r="BP107" s="330" t="str">
        <f aca="false">IF($A107="N/A"," ",(IF(AU107&gt;0,($BM107*(8*($HD107))*T107),0)+IF(BE107&gt;0,($BM107*((BE107))*T107),0)))</f>
        <v> </v>
      </c>
      <c r="BQ107" s="330" t="str">
        <f aca="false">IF($A107="N/A"," ",(IF(AV107&gt;0,($BM107*(8*($HE107))*U107),0)+IF(BF107&gt;0,($BM107*((BF107/AD107)*8*$HE107)*U107),0)))</f>
        <v> </v>
      </c>
      <c r="BR107" s="330" t="str">
        <f aca="false">IF($A107="N/A"," ",(IF(AW107&gt;0,($BM107*(8*($HE107))*V107),0)+IF(BG107&gt;0,($BM107*((BG107/AE107)*8*$HE107)*V107),0)))</f>
        <v> </v>
      </c>
      <c r="BS107" s="330" t="str">
        <f aca="false">IF($A107="N/A"," ",(IF(AX107&gt;0,($BM107*(8*($HE107))*W107),0)+IF(BH107&gt;0,($BM107*((BH107))*W107),0)))</f>
        <v> </v>
      </c>
      <c r="BT107" s="330" t="str">
        <f aca="false">IF($A107="N/A"," ",(IF(AY107&gt;0,($BM107*(8*($HF107))*X107),0)+IF(BI107&gt;0,($BM107*((BI107/AG107)*8*$HF107)*X107),0)))</f>
        <v> </v>
      </c>
      <c r="BU107" s="330" t="str">
        <f aca="false">IF($A107="N/A"," ",(IF(AZ107&gt;0,($BM107*(8*($HF107))*Y107),0)+IF(BJ107&gt;0,($BM107*((BJ107/AH107)*8*$HF107)*Y107),0)))</f>
        <v> </v>
      </c>
      <c r="BV107" s="330" t="str">
        <f aca="false">IF($A107="N/A"," ",(IF(BA107&gt;0,($BM107*(8*($HF107))*Z107),0)+IF(BK107&gt;0,($BM107*((BK107))*Z107),0)))</f>
        <v> </v>
      </c>
      <c r="BW107" s="330" t="str">
        <f aca="false">IF($A107="N/A"," ",SUM(BN107:BV107))</f>
        <v> </v>
      </c>
      <c r="BX107" s="331" t="str">
        <f aca="false">IF($A107="N/A"," ",(H107*(SUM(AS107:BA107)+SUM(BC107:BK107))*BM107))</f>
        <v> </v>
      </c>
      <c r="BY107" s="332" t="str">
        <f aca="false">IF($A107="N/A"," ",((C107*D107)*(SUM($AS107:$BA107)+SUM($BC107:$BK107))*$BM107))</f>
        <v> </v>
      </c>
      <c r="BZ107" s="332" t="str">
        <f aca="false">IF($A107="N/A"," ",(F107*(SUM($AS107:$BA107)+SUM($BC107:$BK107))*$BM107))</f>
        <v> </v>
      </c>
      <c r="CA107" s="333" t="str">
        <f aca="false">IF($A107="N/A"," ",(G107*(SUM($AS107:$BA107)+SUM($BC107:$BK107))*$BM107))</f>
        <v> </v>
      </c>
      <c r="CB107" s="334" t="str">
        <f aca="false">IF(A107="N/A"," ",(VLOOKUP(A107,PowerVolTable,(IF(BMO=2,7,IF(BMO=1,6,8))),FALSE())))</f>
        <v> </v>
      </c>
      <c r="CC107" s="334" t="str">
        <f aca="false">IF(A107="N/A"," ",(VLOOKUP(A107,IntraPowerVol,(IF(BMO=2,3,IF(BMO=1,2,4))),FALSE())*VLOOKUP(MONTH($A107),Volscale,2)))</f>
        <v> </v>
      </c>
      <c r="CD107" s="335" t="str">
        <f aca="false">IF($A107="N/A"," ",(IF(DateToday&gt;$A107,$CC107,((($CB107^2)*((($A107-1)-DateToday)/((EOMONTH($A107,0)+1)-DateToday-15)))+((($CC107)^2)*((15)/((EOMONTH($A107,0)+1)-DateToday-15))))^0.5)))</f>
        <v> </v>
      </c>
      <c r="CE107" s="334" t="str">
        <f aca="false">IF($A107="N/A"," ",(VLOOKUP($A107,GasVolTable,(IF(BMO=2,6,IF(BMO=1,7,5))),FALSE())))</f>
        <v> </v>
      </c>
      <c r="CF107" s="334" t="str">
        <f aca="false">IF($A107="N/A"," ",(VLOOKUP($A107,OmicronVol,(IF(BMO=2,3,IF(BMO=1,4,2))),FALSE())))</f>
        <v> </v>
      </c>
      <c r="CG107" s="335" t="str">
        <f aca="false">IF($A107="N/A"," ",(IF(DateToday&gt;$A107,$CF107,((($CE107^2)*((($A107-1)-DateToday)/((EOMONTH($A107,0)+1)-DateToday-15)))+((($CF107)^2)*((15)/((EOMONTH($A107,0)+1)-DateToday-15))))^0.5)))</f>
        <v> </v>
      </c>
      <c r="CH107" s="334" t="str">
        <f aca="false">IF($A107="N/A"," ",VLOOKUP($A107,CorrelationTable,2,FALSE()))</f>
        <v> </v>
      </c>
      <c r="CI107" s="336" t="str">
        <f aca="false">IF($A107="N/A"," ",F107+G107+(D107*('Pricing Inputs'!T140)))</f>
        <v> </v>
      </c>
      <c r="CJ107" s="334" t="str">
        <f aca="false">IF($A107="N/A"," ",IF(PV=1,0,'Pricing Inputs'!U140))</f>
        <v> </v>
      </c>
      <c r="CK107" s="337" t="str">
        <f aca="false">IF($A107="N/A"," ",(1+CJ107/2)^(-2*((EOMONTH(A107,0)+20)-DateToday)/365.25))</f>
        <v> </v>
      </c>
      <c r="CL107" s="338" t="str">
        <f aca="false">IF(A107="N/A"," ",IF(CC=2,(VLOOKUP(MONTH($A107),Hrtable,3))/1000,0))</f>
        <v> </v>
      </c>
      <c r="CM107" s="339" t="str">
        <f aca="false">IF(A107="N/A"," ",IF(CC=2,(CL107*C107)+F107,0))</f>
        <v> </v>
      </c>
      <c r="CN107" s="340" t="str">
        <f aca="false">IF($A107="N/A"," ",IF(CC=2,(VLOOKUP(A107,ScaledPrice,(IF(AND(Dayrun&gt;=1,Dayrun&lt;=6),2,4)))-((IF(R107&lt;&gt;0,$D107,$CL107)*$C107)+$F107+$G107)),0))</f>
        <v> </v>
      </c>
      <c r="CO107" s="340" t="str">
        <f aca="false">IF($A107="N/A"," ",IF(CC=2,(IF(AND(Dayrun&gt;=1,Dayrun&lt;=6),I107,(VLOOKUP(A107,ScaledPrice,2))*(2-(VLOOKUP(A107,ScaledPrice,3))))-((IF(S107&lt;&gt;0,$D107,$CL107)*$C107)+$F107+$G107)),0))</f>
        <v> </v>
      </c>
      <c r="CP107" s="340" t="str">
        <f aca="false">IF(A107="N/A"," ",IF(CC=2,(VLOOKUP(A107,ScaledPrice,9)-((IF(T107&lt;&gt;0,$D107,$CL107)*$C107)+$F107+$G107)),0))</f>
        <v> </v>
      </c>
      <c r="CQ107" s="340" t="str">
        <f aca="false">IF(A107="N/A"," ",IF(CC=2,(IF(OR(Dayrun=2,Dayrun=3,Dayrun=5,Dayrun=6,Dayrun=8,Dayrun=9),VLOOKUP(A107,ScaledPrice,IF(AND(Dayrun&gt;=2,Dayrun&lt;=6),5,6)),0)-((IF(U107&lt;&gt;0,$D107,$CL107)*$C107)+$F107+$G107)),0))</f>
        <v> </v>
      </c>
      <c r="CR107" s="340" t="str">
        <f aca="false">IF(A107="N/A"," ",IF(CC=2,(IF(OR(Dayrun=2,Dayrun=3,Dayrun=5,Dayrun=6,Dayrun=8,Dayrun=9),IF(AND(Dayrun&gt;=2,Dayrun&lt;=6),L107,(VLOOKUP(A107,ScaledPrice,5))*(2-(VLOOKUP(A107,ScaledPrice,3)))),0)-((IF(V107&lt;&gt;0,$D107,$CL107)*$C107)+$F107+$G107)),0))</f>
        <v> </v>
      </c>
      <c r="CS107" s="340" t="str">
        <f aca="false">IF(A107="N/A"," ",IF(CC=2,(VLOOKUP(A107,ScaledPrice,9)-((IF(W107&lt;&gt;0,$D107,$CL107)*$C107)+$F107+$G107)),0))</f>
        <v> </v>
      </c>
      <c r="CT107" s="340" t="str">
        <f aca="false">IF(A107="N/A"," ",IF(CC=2,(IF(OR(Dayrun=3,Dayrun=6,Dayrun=9),(VLOOKUP(A107,ScaledPrice,IF(AND(Dayrun&gt;=3,Dayrun&lt;=6),7,8))),0)-((IF(X107&lt;&gt;0,$D107,$CL107)*$C107)+$F107+$G107)),0))</f>
        <v> </v>
      </c>
      <c r="CU107" s="340" t="str">
        <f aca="false">IF(A107="N/A"," ",IF(CC=2,(IF(OR(Dayrun=3,Dayrun=6,Dayrun=9),IF(AND(Dayrun&gt;=3,Dayrun&lt;=6),O107,(VLOOKUP(A107,ScaledPrice,7))*(2-(VLOOKUP(A107,ScaledPrice,3)))),0)-((IF(Y107&lt;&gt;0,$D107,$CL107)*$C107)+$F107+$G107)),0))</f>
        <v> </v>
      </c>
      <c r="CV107" s="340" t="str">
        <f aca="false">IF(A107="N/A"," ",IF(CC=2,(VLOOKUP(A107,ScaledPrice,9)-((IF(Z107&lt;&gt;0,$D107,$CL107)*$C107)+$F107+$G107)),0))</f>
        <v> </v>
      </c>
      <c r="CW107" s="318" t="str">
        <f aca="false">IF($A107="N/A"," ",IF(0&lt;&gt;CN107,IF(CC=2,8*$HD107,0),0))</f>
        <v> </v>
      </c>
      <c r="CX107" s="318" t="str">
        <f aca="false">IF($A107="N/A"," ",IF(0&lt;&gt;CO107,IF(CC=2,8*$HD107,0),0))</f>
        <v> </v>
      </c>
      <c r="CY107" s="318" t="str">
        <f aca="false">IF($A107="N/A"," ",IF(0&lt;&gt;CP107,IF(CC=2,8*$HD107,0),0))</f>
        <v> </v>
      </c>
      <c r="CZ107" s="318" t="str">
        <f aca="false">IF($A107="N/A"," ",IF(0&lt;&gt;CQ107,IF(CC=2,8*$HE107,0),0))</f>
        <v> </v>
      </c>
      <c r="DA107" s="318" t="str">
        <f aca="false">IF($A107="N/A"," ",IF(0&lt;&gt;CR107,IF(CC=2,8*$HE107,0),0))</f>
        <v> </v>
      </c>
      <c r="DB107" s="318" t="str">
        <f aca="false">IF($A107="N/A"," ",IF(0&lt;&gt;CS107,IF(CC=2,8*$HE107,0),0))</f>
        <v> </v>
      </c>
      <c r="DC107" s="318" t="str">
        <f aca="false">IF($A107="N/A"," ",IF(0&lt;&gt;CT107,IF(CC=2,8*$HF107,0),0))</f>
        <v> </v>
      </c>
      <c r="DD107" s="318" t="str">
        <f aca="false">IF($A107="N/A"," ",IF(0&lt;&gt;CU107,IF(CC=2,8*$HF107,0),0))</f>
        <v> </v>
      </c>
      <c r="DE107" s="318" t="str">
        <f aca="false">IF($A107="N/A"," ",IF(0&lt;&gt;CV107,IF(CC=2,8*$HF107,0),0))</f>
        <v> </v>
      </c>
      <c r="DF107" s="341" t="str">
        <f aca="false">IF($A107="N/A"," ",IF(CC=2,(IF(MONTH(A107)&gt;=4,IF(MONTH(A107)&lt;=10,Inputs!$G$13,Inputs!$G$14),Inputs!$G$14))*$CK107,0))</f>
        <v> </v>
      </c>
      <c r="DG107" s="342" t="str">
        <f aca="false">IF($A107="N/A"," ",IF(CC=2,$DF107*CW107*CN107,0))</f>
        <v> </v>
      </c>
      <c r="DH107" s="342" t="str">
        <f aca="false">IF($A107="N/A"," ",IF(CC=2,$DF107*CX107*CO107,0))</f>
        <v> </v>
      </c>
      <c r="DI107" s="342" t="str">
        <f aca="false">IF($A107="N/A"," ",IF(CC=2,$DF107*CY107*CP107,0))</f>
        <v> </v>
      </c>
      <c r="DJ107" s="342" t="str">
        <f aca="false">IF($A107="N/A"," ",IF(CC=2,$DF107*CZ107*CQ107,0))</f>
        <v> </v>
      </c>
      <c r="DK107" s="342" t="str">
        <f aca="false">IF($A107="N/A"," ",IF(CC=2,$DF107*DA107*CR107,0))</f>
        <v> </v>
      </c>
      <c r="DL107" s="342" t="str">
        <f aca="false">IF($A107="N/A"," ",IF(CC=2,$DF107*DB107*CS107,0))</f>
        <v> </v>
      </c>
      <c r="DM107" s="342" t="str">
        <f aca="false">IF($A107="N/A"," ",IF(CC=2,$DF107*DC107*CT107,0))</f>
        <v> </v>
      </c>
      <c r="DN107" s="342" t="str">
        <f aca="false">IF($A107="N/A"," ",IF(CC=2,$DF107*DD107*CU107,0))</f>
        <v> </v>
      </c>
      <c r="DO107" s="342" t="str">
        <f aca="false">IF($A107="N/A"," ",IF(CC=2,$DF107*DE107*CV107,0))</f>
        <v> </v>
      </c>
      <c r="DP107" s="343" t="str">
        <f aca="false">IF($A107="N/A"," ",IF(CC=2,SUM(DG107:DO107),0))</f>
        <v> </v>
      </c>
      <c r="DQ107" s="0" t="str">
        <f aca="false">IF(A107="N/A"," ",Perstart)</f>
        <v> </v>
      </c>
      <c r="HD107" s="0" t="str">
        <f aca="false">IF($A107="N/A"," ",VLOOKUP($A107,NumberofDaysTable,2))</f>
        <v> </v>
      </c>
      <c r="HE107" s="0" t="str">
        <f aca="false">IF($A107="N/A"," ",VLOOKUP($A107,NumberofDaysTable,3))</f>
        <v> </v>
      </c>
      <c r="HF107" s="0" t="str">
        <f aca="false">IF($A107="N/A"," ",VLOOKUP($A107,NumberofDaysTable,4))</f>
        <v> </v>
      </c>
    </row>
    <row r="108" customFormat="false" ht="12.75" hidden="false" customHeight="false" outlineLevel="0" collapsed="false">
      <c r="A108" s="308" t="str">
        <f aca="false">IF(A107="N/A","N/A",IF(EDATE(A107,1)&gt;Inputs!$K$3,"N/A",EDATE(A107,1)))</f>
        <v>N/A</v>
      </c>
      <c r="B108" s="309" t="str">
        <f aca="false">IF(A108="N/A"," ",YEAR(A108))</f>
        <v> </v>
      </c>
      <c r="C108" s="310" t="str">
        <f aca="false">IF(A108="N/A"," ",VLOOKUP(A108,ScaledPrice,10))</f>
        <v> </v>
      </c>
      <c r="D108" s="311" t="str">
        <f aca="false">IF(A108="N/A"," ",(VLOOKUP(MONTH($A108),Hrtable,2))/1000)</f>
        <v> </v>
      </c>
      <c r="E108" s="312" t="str">
        <f aca="false">IF($A108="N/A"," ",(C108-'Pricing Inputs'!T141)*D108)</f>
        <v> </v>
      </c>
      <c r="F108" s="313" t="str">
        <f aca="false">IF(A108="N/A"," ",$F96*(1+VOMesc))</f>
        <v> </v>
      </c>
      <c r="G108" s="313" t="str">
        <f aca="false">IF(A108="N/A"," ",Perstart/IF(AND(Dayrun&gt;=4,Dayrun&lt;=6),16,IF(AND(Dayrun&gt;=7,Dayrun&lt;=9),8,24))/(BM108/CK108))</f>
        <v> </v>
      </c>
      <c r="H108" s="314" t="str">
        <f aca="false">IF(A108="N/A"," ",(C108*D108)+F108+G108)</f>
        <v> </v>
      </c>
      <c r="I108" s="315" t="str">
        <f aca="false">VLOOKUP(A108,ScaledPrice,(IF(AND(Dayrun&gt;=1,Dayrun&lt;=6),2,4)))</f>
        <v> </v>
      </c>
      <c r="J108" s="315" t="str">
        <f aca="false">IF(A108="N/A"," ",IF(AND(Dayrun&gt;=1,Dayrun&lt;=6),I108,(VLOOKUP(A108,ScaledPrice,2))*(2-(VLOOKUP(A108,ScaledPrice,3)))))</f>
        <v> </v>
      </c>
      <c r="K108" s="315" t="str">
        <f aca="false">IF(A108="N/A"," ",IF(AND(Dayrun&gt;=1,Dayrun&lt;=3),VLOOKUP(A108,ScaledPrice,9),0))</f>
        <v> </v>
      </c>
      <c r="L108" s="315" t="str">
        <f aca="false">IF(A108="N/A"," ",IF(OR(Dayrun=2,Dayrun=3,Dayrun=5,Dayrun=6,Dayrun=8,Dayrun=9),VLOOKUP(A108,ScaledPrice,IF(AND(Dayrun&gt;=2,Dayrun&lt;=6),5,6)),0))</f>
        <v> </v>
      </c>
      <c r="M108" s="315" t="str">
        <f aca="false">IF(A108="N/A"," ",IF(OR(Dayrun=2,Dayrun=3,Dayrun=5,Dayrun=6,Dayrun=8,Dayrun=9),IF(AND(Dayrun&gt;=2,Dayrun&lt;=6),L108,(VLOOKUP(A108,ScaledPrice,5))*(2-(VLOOKUP(A108,ScaledPrice,3)))),0))</f>
        <v> </v>
      </c>
      <c r="N108" s="315" t="str">
        <f aca="false">IF(A108="N/A"," ",IF(AND(Dayrun&gt;1,Dayrun&lt;=3),VLOOKUP(A108,ScaledPrice,9),0))</f>
        <v> </v>
      </c>
      <c r="O108" s="315" t="str">
        <f aca="false">IF(A108="N/A"," ",IF(OR(Dayrun=3,Dayrun=6,Dayrun=9),(VLOOKUP(A108,ScaledPrice,IF(AND(Dayrun&gt;=3,Dayrun&lt;=6),7,8))),0))</f>
        <v> </v>
      </c>
      <c r="P108" s="315" t="str">
        <f aca="false">IF(A108="N/A"," ",IF(OR(Dayrun=3,Dayrun=6,Dayrun=9),IF(AND(Dayrun&gt;=3,Dayrun&lt;=6),O108,(VLOOKUP(A108,ScaledPrice,7))*(2-(VLOOKUP(A108,ScaledPrice,3)))),0))</f>
        <v> </v>
      </c>
      <c r="Q108" s="315" t="str">
        <f aca="false">IF(A108="N/A"," ",IF(AND(Dayrun&gt;2,Dayrun&lt;=3),VLOOKUP(A108,ScaledPrice,9),0))</f>
        <v> </v>
      </c>
      <c r="R108" s="316" t="str">
        <f aca="false">IF($A108="N/A"," ",IF(Pricetype=2,MAX(I108-$H108,0),IF(Pricetype=1,(xSPRDOPT(I108,$E108,$CI108,0,($CD108+IF(Smile=TRUE(),VLOOKUP(MAX(-5,$H108-I108),Volsmile,2),0)),$CG108,$CH108,($A108-DateToday)+15,1,0)),I108-$H108)))</f>
        <v> </v>
      </c>
      <c r="S108" s="316" t="str">
        <f aca="false">IF($A108="N/A"," ",IF(Pricetype=2,MAX(J108-$H108,0),IF(Pricetype=1,(xSPRDOPT(J108,$E108,$CI108,0,($CD108+IF(Smile=TRUE(),VLOOKUP(MAX(-5,$H108-J108),Volsmile,2),0)),$CG108,$CH108,($A108-DateToday)+15,1,0)),J108-$H108)))</f>
        <v> </v>
      </c>
      <c r="T108" s="317" t="str">
        <f aca="false">IF($A108="N/A"," ",(IF(Pricetype=2,IF((K108-$H108)&lt;=0,0,(K108-$H108)),IF(K108&lt;&gt;0,(K108-$H108),0))))</f>
        <v> </v>
      </c>
      <c r="U108" s="316" t="str">
        <f aca="false">IF($A108="N/A"," ",IF(Pricetype=2,MAX(L108-$H108,0),IF(L108&lt;&gt;0,IF(Pricetype=1,(xSPRDOPT(L108,$E108,$CI108,0,($CD108+IF(Smile=TRUE(),VLOOKUP(MAX(-5,$H108-L108),Volsmile,2),0)),$CG108,$CH108,($A108-DateToday)+15,1,0)),L108-$H108),0)))</f>
        <v> </v>
      </c>
      <c r="V108" s="316" t="str">
        <f aca="false">IF($A108="N/A"," ",IF(Pricetype=2,MAX(M108-$H108,0),IF(M108&lt;&gt;0,IF(Pricetype=1,(xSPRDOPT(M108,$E108,$CI108,0,($CD108+IF(Smile=TRUE(),VLOOKUP(MAX(-5,$H108-M108),Volsmile,2),0)),$CG108,$CH108,($A108-DateToday)+15,1,0)),M108-$H108),0)))</f>
        <v> </v>
      </c>
      <c r="W108" s="317" t="str">
        <f aca="false">IF($A108="N/A"," ",(IF(Pricetype=2,IF((N108-$H108)&lt;=0,0,(N108-$H108)),IF(N108&lt;&gt;0,(N108-$H108),0))))</f>
        <v> </v>
      </c>
      <c r="X108" s="316" t="str">
        <f aca="false">IF($A108="N/A"," ",IF(Pricetype=2,MAX(O108-$H108,0),IF(O108&lt;&gt;0,IF(Pricetype=1,(xSPRDOPT(O108,$E108,$CI108,0,($CD108+IF(Smile=TRUE(),VLOOKUP(MAX(-5,$H108-O108),Volsmile,2),0)),$CG108,$CH108,($A108-DateToday)+15,1,0)),O108-$H108),0)))</f>
        <v> </v>
      </c>
      <c r="Y108" s="316" t="str">
        <f aca="false">IF($A108="N/A"," ",IF(Pricetype=2,MAX(P108-$H108,0),IF(P108&lt;&gt;0,IF(Pricetype=1,(xSPRDOPT(P108,$E108,$CI108,0,($CD108+IF(Smile=TRUE(),VLOOKUP(MAX(-5,$H108-P108),Volsmile,2),0)),$CG108,$CH108,($A108-DateToday)+15,1,0)),P108-$H108),0)))</f>
        <v> </v>
      </c>
      <c r="Z108" s="317" t="str">
        <f aca="false">IF($A108="N/A"," ",(IF(Pricetype=2,IF((Q108-$H108)&lt;=0,0,(Q108-$H108)),IF(Q108&lt;&gt;0,(Q108-$H108),0))))</f>
        <v> </v>
      </c>
      <c r="AA108" s="318" t="str">
        <f aca="false">IF($A108="N/A"," ",IF(VLOOKUP(MONTH(A108),ManualTable,2)=1,(IF(0&lt;&gt;R108,IF(Pricetype=1,(xSPRDOPT(I108,$E108,$CI108,0,($CD108+IF(Smile=TRUE(),VLOOKUP(MAX(-5,$H108-I108),Volsmile,2),0)),$CG108,$CH108,($A108-DateToday)+15,1,1))*(8*$HD108),8*$HD108),0)),0))</f>
        <v> </v>
      </c>
      <c r="AB108" s="318" t="str">
        <f aca="false">IF($A108="N/A"," ",IF(VLOOKUP(MONTH(A108),ManualTable,3)=1,(IF(S108&lt;&gt;0,IF(Pricetype=1,(xSPRDOPT(J108,$E108,$CI108,0,($CD108+IF(Smile=TRUE(),VLOOKUP(MAX(-5,$H108-J108),Volsmile,2),0)),$CG108,$CH108,($A108-DateToday)+15,1,1))*(8*$HD108),8*$HD108),0)),0))</f>
        <v> </v>
      </c>
      <c r="AC108" s="318" t="str">
        <f aca="false">IF($A108="N/A"," ",IF(VLOOKUP(MONTH(A108),ManualTable,4)=1,(IF(T108&lt;&gt;0,(8*$HD108),0)),0))</f>
        <v> </v>
      </c>
      <c r="AD108" s="318" t="str">
        <f aca="false">IF($A108="N/A"," ",IF(VLOOKUP(MONTH(A108),ManualTable,5)=1,(IF(U108&lt;&gt;0,IF(Pricetype=1,(xSPRDOPT(L108,$E108,$CI108,0,($CD108+IF(Smile=TRUE(),VLOOKUP(MAX(-5,$H108-L108),Volsmile,2),0)),$CG108,$CH108,($A108-DateToday)+15,1,1))*(8*$HE108),8*$HE108),0)),0))</f>
        <v> </v>
      </c>
      <c r="AE108" s="318" t="str">
        <f aca="false">IF($A108="N/A"," ",IF(VLOOKUP(MONTH(A108),ManualTable,6)=1,(IF(V108&lt;&gt;0,IF(Pricetype=1,(xSPRDOPT(M108,$E108,$CI108,0,($CD108+IF(Smile=TRUE(),VLOOKUP(MAX(-5,$H108-M108),Volsmile,2),0)),$CG108,$CH108,($A108-DateToday)+15,1,1))*(8*$HE108),8*$HE108),0)),0))</f>
        <v> </v>
      </c>
      <c r="AF108" s="318" t="str">
        <f aca="false">IF($A108="N/A"," ",IF(VLOOKUP(MONTH(A108),ManualTable,7)=1,(IF(W108&lt;&gt;0,(8*$HE108),0)),0))</f>
        <v> </v>
      </c>
      <c r="AG108" s="318" t="str">
        <f aca="false">IF($A108="N/A"," ",IF(VLOOKUP(MONTH(A108),ManualTable,8)=1,(IF(X108&lt;&gt;0,IF(Pricetype=1,(xSPRDOPT(O108,$E108,$CI108,0,($CD108+IF(Smile=TRUE(),VLOOKUP(MAX(-5,$H108-O108),Volsmile,2),0)),$CG108,$CH108,($A108-DateToday)+15,1,1))*(8*$HF108),8*$HF108),0)),0))</f>
        <v> </v>
      </c>
      <c r="AH108" s="318" t="str">
        <f aca="false">IF($A108="N/A"," ",IF(VLOOKUP(MONTH(A108),ManualTable,9)=1,(IF(Y108&lt;&gt;0,IF(Pricetype=1,(xSPRDOPT(P108,$E108,$CI108,0,($CD108+IF(Smile=TRUE(),VLOOKUP(MAX(-5,$H108-P108),Volsmile,2),0)),$CG108,$CH108,($A108-DateToday)+15,1,1))*(8*$HF108),8*$HF108),0)),0))</f>
        <v> </v>
      </c>
      <c r="AI108" s="318" t="str">
        <f aca="false">IF($A108="N/A"," ",IF(VLOOKUP(MONTH(A108),ManualTable,10)=1,(IF(Z108&lt;&gt;0,(8*($HF108)),0)),0))</f>
        <v> </v>
      </c>
      <c r="AJ108" s="344" t="str">
        <f aca="false">IF($A108="N/A"," ",RANK(R108,$R$100:$Z$111))</f>
        <v> </v>
      </c>
      <c r="AK108" s="321" t="str">
        <f aca="false">IF($A108="N/A"," ",RANK(S108,$R$100:$Z$111))</f>
        <v> </v>
      </c>
      <c r="AL108" s="321" t="str">
        <f aca="false">IF($A108="N/A"," ",RANK(T108,$R$100:$Z$111))</f>
        <v> </v>
      </c>
      <c r="AM108" s="321" t="str">
        <f aca="false">IF($A108="N/A"," ",RANK(U108,$R$100:$Z$111))</f>
        <v> </v>
      </c>
      <c r="AN108" s="321" t="str">
        <f aca="false">IF($A108="N/A"," ",RANK(V108,$R$100:$Z$111))</f>
        <v> </v>
      </c>
      <c r="AO108" s="321" t="str">
        <f aca="false">IF($A108="N/A"," ",RANK(W108,$R$100:$Z$111))</f>
        <v> </v>
      </c>
      <c r="AP108" s="321" t="str">
        <f aca="false">IF($A108="N/A"," ",RANK(X108,$R$100:$Z$111))</f>
        <v> </v>
      </c>
      <c r="AQ108" s="321" t="str">
        <f aca="false">IF($A108="N/A"," ",RANK(Y108,$R$100:$Z$111))</f>
        <v> </v>
      </c>
      <c r="AR108" s="345" t="str">
        <f aca="false">IF($A108="N/A"," ",RANK(Z108,$R$100:$Z$111))</f>
        <v> </v>
      </c>
      <c r="AS108" s="323" t="str">
        <f aca="false">IF($A108="N/A"," ",IF(AJ108&lt;=$AR$2,AA108,0))</f>
        <v> </v>
      </c>
      <c r="AT108" s="325" t="str">
        <f aca="false">IF($A108="N/A"," ",IF(AK108&lt;=$AR$2,AB108,0))</f>
        <v> </v>
      </c>
      <c r="AU108" s="325" t="str">
        <f aca="false">IF($A108="N/A"," ",IF(AL108&lt;=$AR$2,AC108,0))</f>
        <v> </v>
      </c>
      <c r="AV108" s="325" t="str">
        <f aca="false">IF($A108="N/A"," ",IF(AM108&lt;=$AR$2,AD108,0))</f>
        <v> </v>
      </c>
      <c r="AW108" s="325" t="str">
        <f aca="false">IF($A108="N/A"," ",IF(AN108&lt;=$AR$2,AE108,0))</f>
        <v> </v>
      </c>
      <c r="AX108" s="325" t="str">
        <f aca="false">IF($A108="N/A"," ",IF(AO108&lt;=$AR$2,AF108,0))</f>
        <v> </v>
      </c>
      <c r="AY108" s="325" t="str">
        <f aca="false">IF($A108="N/A"," ",IF(AP108&lt;=$AR$2,AG108,0))</f>
        <v> </v>
      </c>
      <c r="AZ108" s="325" t="str">
        <f aca="false">IF($A108="N/A"," ",IF(AQ108&lt;=$AR$2,AH108,0))</f>
        <v> </v>
      </c>
      <c r="BA108" s="325" t="str">
        <f aca="false">IF($A108="N/A"," ",IF(AR108&lt;=$AR$2,AI108,0))</f>
        <v> </v>
      </c>
      <c r="BB108" s="345"/>
      <c r="BC108" s="326" t="str">
        <f aca="false">IF($A108="N/A"," ",IF(AND(AJ108=$AR$2+1,AS108=0),MIN($BB$111,AA108),0))</f>
        <v> </v>
      </c>
      <c r="BD108" s="346" t="str">
        <f aca="false">IF($A108="N/A"," ",IF(AND(AK108=$AR$2+1,AT108=0),MIN($BB$111,AB108),0))</f>
        <v> </v>
      </c>
      <c r="BE108" s="346" t="str">
        <f aca="false">IF($A108="N/A"," ",IF(AND(AL108=$AR$2+1,AU108=0),MIN($BB$111,AC108),0))</f>
        <v> </v>
      </c>
      <c r="BF108" s="346" t="str">
        <f aca="false">IF($A108="N/A"," ",IF(AND(AM108=$AR$2+1,AV108=0),MIN($BB$111,AD108),0))</f>
        <v> </v>
      </c>
      <c r="BG108" s="346" t="str">
        <f aca="false">IF($A108="N/A"," ",IF(AND(AN108=$AR$2+1,AW108=0),MIN($BB$111,AE108),0))</f>
        <v> </v>
      </c>
      <c r="BH108" s="346" t="str">
        <f aca="false">IF($A108="N/A"," ",IF(AND(AO108=$AR$2+1,AX108=0),MIN($BB$111,AF108),0))</f>
        <v> </v>
      </c>
      <c r="BI108" s="346" t="str">
        <f aca="false">IF($A108="N/A"," ",IF(AND(AP108=$AR$2+1,AY108=0),MIN($BB$111,AG108),0))</f>
        <v> </v>
      </c>
      <c r="BJ108" s="346" t="str">
        <f aca="false">IF($A108="N/A"," ",IF(AND(AQ108=$AR$2+1,AZ108=0),MIN($BB$111,AH108),0))</f>
        <v> </v>
      </c>
      <c r="BK108" s="346" t="str">
        <f aca="false">IF($A108="N/A"," ",IF(AND(AR108=$AR$2+1,BA108=0),MIN($BB$111,AI108),0))</f>
        <v> </v>
      </c>
      <c r="BL108" s="345"/>
      <c r="BM108" s="329" t="str">
        <f aca="false">IF($A108="N/A"," ",(IF(MONTH(A108)&gt;=4,IF(MONTH(A108)&lt;=10,Inputs!$F$13-Inputs!$G$13,Inputs!$F$14-Inputs!$G$14),Inputs!$F$14-Inputs!$G$14))*$CK108*Availability)</f>
        <v> </v>
      </c>
      <c r="BN108" s="330" t="str">
        <f aca="false">IF($A108="N/A"," ",(IF(AS108&gt;0,($BM108*(8*($HD108))*R108),0)+IF(BC108&gt;0,($BM108*((BC108/AA108)*8*$HD108)*R108),0)))</f>
        <v> </v>
      </c>
      <c r="BO108" s="330" t="str">
        <f aca="false">IF($A108="N/A"," ",(IF(AT108&gt;0,($BM108*(8*($HD108))*S108),0)+IF(BD108&gt;0,($BM108*((BD108/AB108)*8*$HD108)*S108),0)))</f>
        <v> </v>
      </c>
      <c r="BP108" s="330" t="str">
        <f aca="false">IF($A108="N/A"," ",(IF(AU108&gt;0,($BM108*(8*($HD108))*T108),0)+IF(BE108&gt;0,($BM108*((BE108))*T108),0)))</f>
        <v> </v>
      </c>
      <c r="BQ108" s="330" t="str">
        <f aca="false">IF($A108="N/A"," ",(IF(AV108&gt;0,($BM108*(8*($HE108))*U108),0)+IF(BF108&gt;0,($BM108*((BF108/AD108)*8*$HE108)*U108),0)))</f>
        <v> </v>
      </c>
      <c r="BR108" s="330" t="str">
        <f aca="false">IF($A108="N/A"," ",(IF(AW108&gt;0,($BM108*(8*($HE108))*V108),0)+IF(BG108&gt;0,($BM108*((BG108/AE108)*8*$HE108)*V108),0)))</f>
        <v> </v>
      </c>
      <c r="BS108" s="330" t="str">
        <f aca="false">IF($A108="N/A"," ",(IF(AX108&gt;0,($BM108*(8*($HE108))*W108),0)+IF(BH108&gt;0,($BM108*((BH108))*W108),0)))</f>
        <v> </v>
      </c>
      <c r="BT108" s="330" t="str">
        <f aca="false">IF($A108="N/A"," ",(IF(AY108&gt;0,($BM108*(8*($HF108))*X108),0)+IF(BI108&gt;0,($BM108*((BI108/AG108)*8*$HF108)*X108),0)))</f>
        <v> </v>
      </c>
      <c r="BU108" s="330" t="str">
        <f aca="false">IF($A108="N/A"," ",(IF(AZ108&gt;0,($BM108*(8*($HF108))*Y108),0)+IF(BJ108&gt;0,($BM108*((BJ108/AH108)*8*$HF108)*Y108),0)))</f>
        <v> </v>
      </c>
      <c r="BV108" s="330" t="str">
        <f aca="false">IF($A108="N/A"," ",(IF(BA108&gt;0,($BM108*(8*($HF108))*Z108),0)+IF(BK108&gt;0,($BM108*((BK108))*Z108),0)))</f>
        <v> </v>
      </c>
      <c r="BW108" s="330" t="str">
        <f aca="false">IF($A108="N/A"," ",SUM(BN108:BV108))</f>
        <v> </v>
      </c>
      <c r="BX108" s="331" t="str">
        <f aca="false">IF($A108="N/A"," ",(H108*(SUM(AS108:BA108)+SUM(BC108:BK108))*BM108))</f>
        <v> </v>
      </c>
      <c r="BY108" s="332" t="str">
        <f aca="false">IF($A108="N/A"," ",((C108*D108)*(SUM($AS108:$BA108)+SUM($BC108:$BK108))*$BM108))</f>
        <v> </v>
      </c>
      <c r="BZ108" s="332" t="str">
        <f aca="false">IF($A108="N/A"," ",(F108*(SUM($AS108:$BA108)+SUM($BC108:$BK108))*$BM108))</f>
        <v> </v>
      </c>
      <c r="CA108" s="333" t="str">
        <f aca="false">IF($A108="N/A"," ",(G108*(SUM($AS108:$BA108)+SUM($BC108:$BK108))*$BM108))</f>
        <v> </v>
      </c>
      <c r="CB108" s="334" t="str">
        <f aca="false">IF(A108="N/A"," ",(VLOOKUP(A108,PowerVolTable,(IF(BMO=2,7,IF(BMO=1,6,8))),FALSE())))</f>
        <v> </v>
      </c>
      <c r="CC108" s="334" t="str">
        <f aca="false">IF(A108="N/A"," ",(VLOOKUP(A108,IntraPowerVol,(IF(BMO=2,3,IF(BMO=1,2,4))),FALSE())*VLOOKUP(MONTH($A108),Volscale,2)))</f>
        <v> </v>
      </c>
      <c r="CD108" s="335" t="str">
        <f aca="false">IF($A108="N/A"," ",(IF(DateToday&gt;$A108,$CC108,((($CB108^2)*((($A108-1)-DateToday)/((EOMONTH($A108,0)+1)-DateToday-15)))+((($CC108)^2)*((15)/((EOMONTH($A108,0)+1)-DateToday-15))))^0.5)))</f>
        <v> </v>
      </c>
      <c r="CE108" s="334" t="str">
        <f aca="false">IF($A108="N/A"," ",(VLOOKUP($A108,GasVolTable,(IF(BMO=2,6,IF(BMO=1,7,5))),FALSE())))</f>
        <v> </v>
      </c>
      <c r="CF108" s="334" t="str">
        <f aca="false">IF($A108="N/A"," ",(VLOOKUP($A108,OmicronVol,(IF(BMO=2,3,IF(BMO=1,4,2))),FALSE())))</f>
        <v> </v>
      </c>
      <c r="CG108" s="335" t="str">
        <f aca="false">IF($A108="N/A"," ",(IF(DateToday&gt;$A108,$CF108,((($CE108^2)*((($A108-1)-DateToday)/((EOMONTH($A108,0)+1)-DateToday-15)))+((($CF108)^2)*((15)/((EOMONTH($A108,0)+1)-DateToday-15))))^0.5)))</f>
        <v> </v>
      </c>
      <c r="CH108" s="334" t="str">
        <f aca="false">IF($A108="N/A"," ",VLOOKUP($A108,CorrelationTable,2,FALSE()))</f>
        <v> </v>
      </c>
      <c r="CI108" s="336" t="str">
        <f aca="false">IF($A108="N/A"," ",F108+G108+(D108*('Pricing Inputs'!T141)))</f>
        <v> </v>
      </c>
      <c r="CJ108" s="334" t="str">
        <f aca="false">IF($A108="N/A"," ",IF(PV=1,0,'Pricing Inputs'!U141))</f>
        <v> </v>
      </c>
      <c r="CK108" s="337" t="str">
        <f aca="false">IF($A108="N/A"," ",(1+CJ108/2)^(-2*((EOMONTH(A108,0)+20)-DateToday)/365.25))</f>
        <v> </v>
      </c>
      <c r="CL108" s="338" t="str">
        <f aca="false">IF(A108="N/A"," ",IF(CC=2,(VLOOKUP(MONTH($A108),Hrtable,3))/1000,0))</f>
        <v> </v>
      </c>
      <c r="CM108" s="339" t="str">
        <f aca="false">IF(A108="N/A"," ",IF(CC=2,(CL108*C108)+F108,0))</f>
        <v> </v>
      </c>
      <c r="CN108" s="340" t="str">
        <f aca="false">IF($A108="N/A"," ",IF(CC=2,(VLOOKUP(A108,ScaledPrice,(IF(AND(Dayrun&gt;=1,Dayrun&lt;=6),2,4)))-((IF(R108&lt;&gt;0,$D108,$CL108)*$C108)+$F108+$G108)),0))</f>
        <v> </v>
      </c>
      <c r="CO108" s="340" t="str">
        <f aca="false">IF($A108="N/A"," ",IF(CC=2,(IF(AND(Dayrun&gt;=1,Dayrun&lt;=6),I108,(VLOOKUP(A108,ScaledPrice,2))*(2-(VLOOKUP(A108,ScaledPrice,3))))-((IF(S108&lt;&gt;0,$D108,$CL108)*$C108)+$F108+$G108)),0))</f>
        <v> </v>
      </c>
      <c r="CP108" s="340" t="str">
        <f aca="false">IF(A108="N/A"," ",IF(CC=2,(VLOOKUP(A108,ScaledPrice,9)-((IF(T108&lt;&gt;0,$D108,$CL108)*$C108)+$F108+$G108)),0))</f>
        <v> </v>
      </c>
      <c r="CQ108" s="340" t="str">
        <f aca="false">IF(A108="N/A"," ",IF(CC=2,(IF(OR(Dayrun=2,Dayrun=3,Dayrun=5,Dayrun=6,Dayrun=8,Dayrun=9),VLOOKUP(A108,ScaledPrice,IF(AND(Dayrun&gt;=2,Dayrun&lt;=6),5,6)),0)-((IF(U108&lt;&gt;0,$D108,$CL108)*$C108)+$F108+$G108)),0))</f>
        <v> </v>
      </c>
      <c r="CR108" s="340" t="str">
        <f aca="false">IF(A108="N/A"," ",IF(CC=2,(IF(OR(Dayrun=2,Dayrun=3,Dayrun=5,Dayrun=6,Dayrun=8,Dayrun=9),IF(AND(Dayrun&gt;=2,Dayrun&lt;=6),L108,(VLOOKUP(A108,ScaledPrice,5))*(2-(VLOOKUP(A108,ScaledPrice,3)))),0)-((IF(V108&lt;&gt;0,$D108,$CL108)*$C108)+$F108+$G108)),0))</f>
        <v> </v>
      </c>
      <c r="CS108" s="340" t="str">
        <f aca="false">IF(A108="N/A"," ",IF(CC=2,(VLOOKUP(A108,ScaledPrice,9)-((IF(W108&lt;&gt;0,$D108,$CL108)*$C108)+$F108+$G108)),0))</f>
        <v> </v>
      </c>
      <c r="CT108" s="340" t="str">
        <f aca="false">IF(A108="N/A"," ",IF(CC=2,(IF(OR(Dayrun=3,Dayrun=6,Dayrun=9),(VLOOKUP(A108,ScaledPrice,IF(AND(Dayrun&gt;=3,Dayrun&lt;=6),7,8))),0)-((IF(X108&lt;&gt;0,$D108,$CL108)*$C108)+$F108+$G108)),0))</f>
        <v> </v>
      </c>
      <c r="CU108" s="340" t="str">
        <f aca="false">IF(A108="N/A"," ",IF(CC=2,(IF(OR(Dayrun=3,Dayrun=6,Dayrun=9),IF(AND(Dayrun&gt;=3,Dayrun&lt;=6),O108,(VLOOKUP(A108,ScaledPrice,7))*(2-(VLOOKUP(A108,ScaledPrice,3)))),0)-((IF(Y108&lt;&gt;0,$D108,$CL108)*$C108)+$F108+$G108)),0))</f>
        <v> </v>
      </c>
      <c r="CV108" s="340" t="str">
        <f aca="false">IF(A108="N/A"," ",IF(CC=2,(VLOOKUP(A108,ScaledPrice,9)-((IF(Z108&lt;&gt;0,$D108,$CL108)*$C108)+$F108+$G108)),0))</f>
        <v> </v>
      </c>
      <c r="CW108" s="318" t="str">
        <f aca="false">IF($A108="N/A"," ",IF(0&lt;&gt;CN108,IF(CC=2,8*$HD108,0),0))</f>
        <v> </v>
      </c>
      <c r="CX108" s="318" t="str">
        <f aca="false">IF($A108="N/A"," ",IF(0&lt;&gt;CO108,IF(CC=2,8*$HD108,0),0))</f>
        <v> </v>
      </c>
      <c r="CY108" s="318" t="str">
        <f aca="false">IF($A108="N/A"," ",IF(0&lt;&gt;CP108,IF(CC=2,8*$HD108,0),0))</f>
        <v> </v>
      </c>
      <c r="CZ108" s="318" t="str">
        <f aca="false">IF($A108="N/A"," ",IF(0&lt;&gt;CQ108,IF(CC=2,8*$HE108,0),0))</f>
        <v> </v>
      </c>
      <c r="DA108" s="318" t="str">
        <f aca="false">IF($A108="N/A"," ",IF(0&lt;&gt;CR108,IF(CC=2,8*$HE108,0),0))</f>
        <v> </v>
      </c>
      <c r="DB108" s="318" t="str">
        <f aca="false">IF($A108="N/A"," ",IF(0&lt;&gt;CS108,IF(CC=2,8*$HE108,0),0))</f>
        <v> </v>
      </c>
      <c r="DC108" s="318" t="str">
        <f aca="false">IF($A108="N/A"," ",IF(0&lt;&gt;CT108,IF(CC=2,8*$HF108,0),0))</f>
        <v> </v>
      </c>
      <c r="DD108" s="318" t="str">
        <f aca="false">IF($A108="N/A"," ",IF(0&lt;&gt;CU108,IF(CC=2,8*$HF108,0),0))</f>
        <v> </v>
      </c>
      <c r="DE108" s="318" t="str">
        <f aca="false">IF($A108="N/A"," ",IF(0&lt;&gt;CV108,IF(CC=2,8*$HF108,0),0))</f>
        <v> </v>
      </c>
      <c r="DF108" s="341" t="str">
        <f aca="false">IF($A108="N/A"," ",IF(CC=2,(IF(MONTH(A108)&gt;=4,IF(MONTH(A108)&lt;=10,Inputs!$G$13,Inputs!$G$14),Inputs!$G$14))*$CK108,0))</f>
        <v> </v>
      </c>
      <c r="DG108" s="342" t="str">
        <f aca="false">IF($A108="N/A"," ",IF(CC=2,$DF108*CW108*CN108,0))</f>
        <v> </v>
      </c>
      <c r="DH108" s="342" t="str">
        <f aca="false">IF($A108="N/A"," ",IF(CC=2,$DF108*CX108*CO108,0))</f>
        <v> </v>
      </c>
      <c r="DI108" s="342" t="str">
        <f aca="false">IF($A108="N/A"," ",IF(CC=2,$DF108*CY108*CP108,0))</f>
        <v> </v>
      </c>
      <c r="DJ108" s="342" t="str">
        <f aca="false">IF($A108="N/A"," ",IF(CC=2,$DF108*CZ108*CQ108,0))</f>
        <v> </v>
      </c>
      <c r="DK108" s="342" t="str">
        <f aca="false">IF($A108="N/A"," ",IF(CC=2,$DF108*DA108*CR108,0))</f>
        <v> </v>
      </c>
      <c r="DL108" s="342" t="str">
        <f aca="false">IF($A108="N/A"," ",IF(CC=2,$DF108*DB108*CS108,0))</f>
        <v> </v>
      </c>
      <c r="DM108" s="342" t="str">
        <f aca="false">IF($A108="N/A"," ",IF(CC=2,$DF108*DC108*CT108,0))</f>
        <v> </v>
      </c>
      <c r="DN108" s="342" t="str">
        <f aca="false">IF($A108="N/A"," ",IF(CC=2,$DF108*DD108*CU108,0))</f>
        <v> </v>
      </c>
      <c r="DO108" s="342" t="str">
        <f aca="false">IF($A108="N/A"," ",IF(CC=2,$DF108*DE108*CV108,0))</f>
        <v> </v>
      </c>
      <c r="DP108" s="343" t="str">
        <f aca="false">IF($A108="N/A"," ",IF(CC=2,SUM(DG108:DO108),0))</f>
        <v> </v>
      </c>
      <c r="DQ108" s="0" t="str">
        <f aca="false">IF(A108="N/A"," ",Perstart)</f>
        <v> </v>
      </c>
      <c r="HD108" s="0" t="str">
        <f aca="false">IF($A108="N/A"," ",VLOOKUP($A108,NumberofDaysTable,2))</f>
        <v> </v>
      </c>
      <c r="HE108" s="0" t="str">
        <f aca="false">IF($A108="N/A"," ",VLOOKUP($A108,NumberofDaysTable,3))</f>
        <v> </v>
      </c>
      <c r="HF108" s="0" t="str">
        <f aca="false">IF($A108="N/A"," ",VLOOKUP($A108,NumberofDaysTable,4))</f>
        <v> </v>
      </c>
    </row>
    <row r="109" customFormat="false" ht="12.75" hidden="false" customHeight="false" outlineLevel="0" collapsed="false">
      <c r="A109" s="308" t="str">
        <f aca="false">IF(A108="N/A","N/A",IF(EDATE(A108,1)&gt;Inputs!$K$3,"N/A",EDATE(A108,1)))</f>
        <v>N/A</v>
      </c>
      <c r="B109" s="309" t="str">
        <f aca="false">IF(A109="N/A"," ",YEAR(A109))</f>
        <v> </v>
      </c>
      <c r="C109" s="310" t="str">
        <f aca="false">IF(A109="N/A"," ",VLOOKUP(A109,ScaledPrice,10))</f>
        <v> </v>
      </c>
      <c r="D109" s="311" t="str">
        <f aca="false">IF(A109="N/A"," ",(VLOOKUP(MONTH($A109),Hrtable,2))/1000)</f>
        <v> </v>
      </c>
      <c r="E109" s="312" t="str">
        <f aca="false">IF($A109="N/A"," ",(C109-'Pricing Inputs'!T142)*D109)</f>
        <v> </v>
      </c>
      <c r="F109" s="313" t="str">
        <f aca="false">IF(A109="N/A"," ",$F97*(1+VOMesc))</f>
        <v> </v>
      </c>
      <c r="G109" s="313" t="str">
        <f aca="false">IF(A109="N/A"," ",Perstart/IF(AND(Dayrun&gt;=4,Dayrun&lt;=6),16,IF(AND(Dayrun&gt;=7,Dayrun&lt;=9),8,24))/(BM109/CK109))</f>
        <v> </v>
      </c>
      <c r="H109" s="314" t="str">
        <f aca="false">IF(A109="N/A"," ",(C109*D109)+F109+G109)</f>
        <v> </v>
      </c>
      <c r="I109" s="315" t="str">
        <f aca="false">VLOOKUP(A109,ScaledPrice,(IF(AND(Dayrun&gt;=1,Dayrun&lt;=6),2,4)))</f>
        <v> </v>
      </c>
      <c r="J109" s="315" t="str">
        <f aca="false">IF(A109="N/A"," ",IF(AND(Dayrun&gt;=1,Dayrun&lt;=6),I109,(VLOOKUP(A109,ScaledPrice,2))*(2-(VLOOKUP(A109,ScaledPrice,3)))))</f>
        <v> </v>
      </c>
      <c r="K109" s="315" t="str">
        <f aca="false">IF(A109="N/A"," ",IF(AND(Dayrun&gt;=1,Dayrun&lt;=3),VLOOKUP(A109,ScaledPrice,9),0))</f>
        <v> </v>
      </c>
      <c r="L109" s="315" t="str">
        <f aca="false">IF(A109="N/A"," ",IF(OR(Dayrun=2,Dayrun=3,Dayrun=5,Dayrun=6,Dayrun=8,Dayrun=9),VLOOKUP(A109,ScaledPrice,IF(AND(Dayrun&gt;=2,Dayrun&lt;=6),5,6)),0))</f>
        <v> </v>
      </c>
      <c r="M109" s="315" t="str">
        <f aca="false">IF(A109="N/A"," ",IF(OR(Dayrun=2,Dayrun=3,Dayrun=5,Dayrun=6,Dayrun=8,Dayrun=9),IF(AND(Dayrun&gt;=2,Dayrun&lt;=6),L109,(VLOOKUP(A109,ScaledPrice,5))*(2-(VLOOKUP(A109,ScaledPrice,3)))),0))</f>
        <v> </v>
      </c>
      <c r="N109" s="315" t="str">
        <f aca="false">IF(A109="N/A"," ",IF(AND(Dayrun&gt;1,Dayrun&lt;=3),VLOOKUP(A109,ScaledPrice,9),0))</f>
        <v> </v>
      </c>
      <c r="O109" s="315" t="str">
        <f aca="false">IF(A109="N/A"," ",IF(OR(Dayrun=3,Dayrun=6,Dayrun=9),(VLOOKUP(A109,ScaledPrice,IF(AND(Dayrun&gt;=3,Dayrun&lt;=6),7,8))),0))</f>
        <v> </v>
      </c>
      <c r="P109" s="315" t="str">
        <f aca="false">IF(A109="N/A"," ",IF(OR(Dayrun=3,Dayrun=6,Dayrun=9),IF(AND(Dayrun&gt;=3,Dayrun&lt;=6),O109,(VLOOKUP(A109,ScaledPrice,7))*(2-(VLOOKUP(A109,ScaledPrice,3)))),0))</f>
        <v> </v>
      </c>
      <c r="Q109" s="315" t="str">
        <f aca="false">IF(A109="N/A"," ",IF(AND(Dayrun&gt;2,Dayrun&lt;=3),VLOOKUP(A109,ScaledPrice,9),0))</f>
        <v> </v>
      </c>
      <c r="R109" s="316" t="str">
        <f aca="false">IF($A109="N/A"," ",IF(Pricetype=2,MAX(I109-$H109,0),IF(Pricetype=1,(xSPRDOPT(I109,$E109,$CI109,0,($CD109+IF(Smile=TRUE(),VLOOKUP(MAX(-5,$H109-I109),Volsmile,2),0)),$CG109,$CH109,($A109-DateToday)+15,1,0)),I109-$H109)))</f>
        <v> </v>
      </c>
      <c r="S109" s="316" t="str">
        <f aca="false">IF($A109="N/A"," ",IF(Pricetype=2,MAX(J109-$H109,0),IF(Pricetype=1,(xSPRDOPT(J109,$E109,$CI109,0,($CD109+IF(Smile=TRUE(),VLOOKUP(MAX(-5,$H109-J109),Volsmile,2),0)),$CG109,$CH109,($A109-DateToday)+15,1,0)),J109-$H109)))</f>
        <v> </v>
      </c>
      <c r="T109" s="317" t="str">
        <f aca="false">IF($A109="N/A"," ",(IF(Pricetype=2,IF((K109-$H109)&lt;=0,0,(K109-$H109)),IF(K109&lt;&gt;0,(K109-$H109),0))))</f>
        <v> </v>
      </c>
      <c r="U109" s="316" t="str">
        <f aca="false">IF($A109="N/A"," ",IF(Pricetype=2,MAX(L109-$H109,0),IF(L109&lt;&gt;0,IF(Pricetype=1,(xSPRDOPT(L109,$E109,$CI109,0,($CD109+IF(Smile=TRUE(),VLOOKUP(MAX(-5,$H109-L109),Volsmile,2),0)),$CG109,$CH109,($A109-DateToday)+15,1,0)),L109-$H109),0)))</f>
        <v> </v>
      </c>
      <c r="V109" s="316" t="str">
        <f aca="false">IF($A109="N/A"," ",IF(Pricetype=2,MAX(M109-$H109,0),IF(M109&lt;&gt;0,IF(Pricetype=1,(xSPRDOPT(M109,$E109,$CI109,0,($CD109+IF(Smile=TRUE(),VLOOKUP(MAX(-5,$H109-M109),Volsmile,2),0)),$CG109,$CH109,($A109-DateToday)+15,1,0)),M109-$H109),0)))</f>
        <v> </v>
      </c>
      <c r="W109" s="317" t="str">
        <f aca="false">IF($A109="N/A"," ",(IF(Pricetype=2,IF((N109-$H109)&lt;=0,0,(N109-$H109)),IF(N109&lt;&gt;0,(N109-$H109),0))))</f>
        <v> </v>
      </c>
      <c r="X109" s="316" t="str">
        <f aca="false">IF($A109="N/A"," ",IF(Pricetype=2,MAX(O109-$H109,0),IF(O109&lt;&gt;0,IF(Pricetype=1,(xSPRDOPT(O109,$E109,$CI109,0,($CD109+IF(Smile=TRUE(),VLOOKUP(MAX(-5,$H109-O109),Volsmile,2),0)),$CG109,$CH109,($A109-DateToday)+15,1,0)),O109-$H109),0)))</f>
        <v> </v>
      </c>
      <c r="Y109" s="316" t="str">
        <f aca="false">IF($A109="N/A"," ",IF(Pricetype=2,MAX(P109-$H109,0),IF(P109&lt;&gt;0,IF(Pricetype=1,(xSPRDOPT(P109,$E109,$CI109,0,($CD109+IF(Smile=TRUE(),VLOOKUP(MAX(-5,$H109-P109),Volsmile,2),0)),$CG109,$CH109,($A109-DateToday)+15,1,0)),P109-$H109),0)))</f>
        <v> </v>
      </c>
      <c r="Z109" s="317" t="str">
        <f aca="false">IF($A109="N/A"," ",(IF(Pricetype=2,IF((Q109-$H109)&lt;=0,0,(Q109-$H109)),IF(Q109&lt;&gt;0,(Q109-$H109),0))))</f>
        <v> </v>
      </c>
      <c r="AA109" s="318" t="str">
        <f aca="false">IF($A109="N/A"," ",IF(VLOOKUP(MONTH(A109),ManualTable,2)=1,(IF(0&lt;&gt;R109,IF(Pricetype=1,(xSPRDOPT(I109,$E109,$CI109,0,($CD109+IF(Smile=TRUE(),VLOOKUP(MAX(-5,$H109-I109),Volsmile,2),0)),$CG109,$CH109,($A109-DateToday)+15,1,1))*(8*$HD109),8*$HD109),0)),0))</f>
        <v> </v>
      </c>
      <c r="AB109" s="318" t="str">
        <f aca="false">IF($A109="N/A"," ",IF(VLOOKUP(MONTH(A109),ManualTable,3)=1,(IF(S109&lt;&gt;0,IF(Pricetype=1,(xSPRDOPT(J109,$E109,$CI109,0,($CD109+IF(Smile=TRUE(),VLOOKUP(MAX(-5,$H109-J109),Volsmile,2),0)),$CG109,$CH109,($A109-DateToday)+15,1,1))*(8*$HD109),8*$HD109),0)),0))</f>
        <v> </v>
      </c>
      <c r="AC109" s="318" t="str">
        <f aca="false">IF($A109="N/A"," ",IF(VLOOKUP(MONTH(A109),ManualTable,4)=1,(IF(T109&lt;&gt;0,(8*$HD109),0)),0))</f>
        <v> </v>
      </c>
      <c r="AD109" s="318" t="str">
        <f aca="false">IF($A109="N/A"," ",IF(VLOOKUP(MONTH(A109),ManualTable,5)=1,(IF(U109&lt;&gt;0,IF(Pricetype=1,(xSPRDOPT(L109,$E109,$CI109,0,($CD109+IF(Smile=TRUE(),VLOOKUP(MAX(-5,$H109-L109),Volsmile,2),0)),$CG109,$CH109,($A109-DateToday)+15,1,1))*(8*$HE109),8*$HE109),0)),0))</f>
        <v> </v>
      </c>
      <c r="AE109" s="318" t="str">
        <f aca="false">IF($A109="N/A"," ",IF(VLOOKUP(MONTH(A109),ManualTable,6)=1,(IF(V109&lt;&gt;0,IF(Pricetype=1,(xSPRDOPT(M109,$E109,$CI109,0,($CD109+IF(Smile=TRUE(),VLOOKUP(MAX(-5,$H109-M109),Volsmile,2),0)),$CG109,$CH109,($A109-DateToday)+15,1,1))*(8*$HE109),8*$HE109),0)),0))</f>
        <v> </v>
      </c>
      <c r="AF109" s="318" t="str">
        <f aca="false">IF($A109="N/A"," ",IF(VLOOKUP(MONTH(A109),ManualTable,7)=1,(IF(W109&lt;&gt;0,(8*$HE109),0)),0))</f>
        <v> </v>
      </c>
      <c r="AG109" s="318" t="str">
        <f aca="false">IF($A109="N/A"," ",IF(VLOOKUP(MONTH(A109),ManualTable,8)=1,(IF(X109&lt;&gt;0,IF(Pricetype=1,(xSPRDOPT(O109,$E109,$CI109,0,($CD109+IF(Smile=TRUE(),VLOOKUP(MAX(-5,$H109-O109),Volsmile,2),0)),$CG109,$CH109,($A109-DateToday)+15,1,1))*(8*$HF109),8*$HF109),0)),0))</f>
        <v> </v>
      </c>
      <c r="AH109" s="318" t="str">
        <f aca="false">IF($A109="N/A"," ",IF(VLOOKUP(MONTH(A109),ManualTable,9)=1,(IF(Y109&lt;&gt;0,IF(Pricetype=1,(xSPRDOPT(P109,$E109,$CI109,0,($CD109+IF(Smile=TRUE(),VLOOKUP(MAX(-5,$H109-P109),Volsmile,2),0)),$CG109,$CH109,($A109-DateToday)+15,1,1))*(8*$HF109),8*$HF109),0)),0))</f>
        <v> </v>
      </c>
      <c r="AI109" s="318" t="str">
        <f aca="false">IF($A109="N/A"," ",IF(VLOOKUP(MONTH(A109),ManualTable,10)=1,(IF(Z109&lt;&gt;0,(8*($HF109)),0)),0))</f>
        <v> </v>
      </c>
      <c r="AJ109" s="344" t="str">
        <f aca="false">IF($A109="N/A"," ",RANK(R109,$R$100:$Z$111))</f>
        <v> </v>
      </c>
      <c r="AK109" s="321" t="str">
        <f aca="false">IF($A109="N/A"," ",RANK(S109,$R$100:$Z$111))</f>
        <v> </v>
      </c>
      <c r="AL109" s="321" t="str">
        <f aca="false">IF($A109="N/A"," ",RANK(T109,$R$100:$Z$111))</f>
        <v> </v>
      </c>
      <c r="AM109" s="321" t="str">
        <f aca="false">IF($A109="N/A"," ",RANK(U109,$R$100:$Z$111))</f>
        <v> </v>
      </c>
      <c r="AN109" s="321" t="str">
        <f aca="false">IF($A109="N/A"," ",RANK(V109,$R$100:$Z$111))</f>
        <v> </v>
      </c>
      <c r="AO109" s="321" t="str">
        <f aca="false">IF($A109="N/A"," ",RANK(W109,$R$100:$Z$111))</f>
        <v> </v>
      </c>
      <c r="AP109" s="321" t="str">
        <f aca="false">IF($A109="N/A"," ",RANK(X109,$R$100:$Z$111))</f>
        <v> </v>
      </c>
      <c r="AQ109" s="321" t="str">
        <f aca="false">IF($A109="N/A"," ",RANK(Y109,$R$100:$Z$111))</f>
        <v> </v>
      </c>
      <c r="AR109" s="345" t="str">
        <f aca="false">IF($A109="N/A"," ",RANK(Z109,$R$100:$Z$111))</f>
        <v> </v>
      </c>
      <c r="AS109" s="323" t="str">
        <f aca="false">IF($A109="N/A"," ",IF(AJ109&lt;=$AR$2,AA109,0))</f>
        <v> </v>
      </c>
      <c r="AT109" s="325" t="str">
        <f aca="false">IF($A109="N/A"," ",IF(AK109&lt;=$AR$2,AB109,0))</f>
        <v> </v>
      </c>
      <c r="AU109" s="325" t="str">
        <f aca="false">IF($A109="N/A"," ",IF(AL109&lt;=$AR$2,AC109,0))</f>
        <v> </v>
      </c>
      <c r="AV109" s="325" t="str">
        <f aca="false">IF($A109="N/A"," ",IF(AM109&lt;=$AR$2,AD109,0))</f>
        <v> </v>
      </c>
      <c r="AW109" s="325" t="str">
        <f aca="false">IF($A109="N/A"," ",IF(AN109&lt;=$AR$2,AE109,0))</f>
        <v> </v>
      </c>
      <c r="AX109" s="325" t="str">
        <f aca="false">IF($A109="N/A"," ",IF(AO109&lt;=$AR$2,AF109,0))</f>
        <v> </v>
      </c>
      <c r="AY109" s="325" t="str">
        <f aca="false">IF($A109="N/A"," ",IF(AP109&lt;=$AR$2,AG109,0))</f>
        <v> </v>
      </c>
      <c r="AZ109" s="325" t="str">
        <f aca="false">IF($A109="N/A"," ",IF(AQ109&lt;=$AR$2,AH109,0))</f>
        <v> </v>
      </c>
      <c r="BA109" s="325" t="str">
        <f aca="false">IF($A109="N/A"," ",IF(AR109&lt;=$AR$2,AI109,0))</f>
        <v> </v>
      </c>
      <c r="BB109" s="348" t="s">
        <v>1319</v>
      </c>
      <c r="BC109" s="326" t="str">
        <f aca="false">IF($A109="N/A"," ",IF(AND(AJ109=$AR$2+1,AS109=0),MIN($BB$111,AA109),0))</f>
        <v> </v>
      </c>
      <c r="BD109" s="346" t="str">
        <f aca="false">IF($A109="N/A"," ",IF(AND(AK109=$AR$2+1,AT109=0),MIN($BB$111,AB109),0))</f>
        <v> </v>
      </c>
      <c r="BE109" s="346" t="str">
        <f aca="false">IF($A109="N/A"," ",IF(AND(AL109=$AR$2+1,AU109=0),MIN($BB$111,AC109),0))</f>
        <v> </v>
      </c>
      <c r="BF109" s="346" t="str">
        <f aca="false">IF($A109="N/A"," ",IF(AND(AM109=$AR$2+1,AV109=0),MIN($BB$111,AD109),0))</f>
        <v> </v>
      </c>
      <c r="BG109" s="346" t="str">
        <f aca="false">IF($A109="N/A"," ",IF(AND(AN109=$AR$2+1,AW109=0),MIN($BB$111,AE109),0))</f>
        <v> </v>
      </c>
      <c r="BH109" s="346" t="str">
        <f aca="false">IF($A109="N/A"," ",IF(AND(AO109=$AR$2+1,AX109=0),MIN($BB$111,AF109),0))</f>
        <v> </v>
      </c>
      <c r="BI109" s="346" t="str">
        <f aca="false">IF($A109="N/A"," ",IF(AND(AP109=$AR$2+1,AY109=0),MIN($BB$111,AG109),0))</f>
        <v> </v>
      </c>
      <c r="BJ109" s="346" t="str">
        <f aca="false">IF($A109="N/A"," ",IF(AND(AQ109=$AR$2+1,AZ109=0),MIN($BB$111,AH109),0))</f>
        <v> </v>
      </c>
      <c r="BK109" s="346" t="str">
        <f aca="false">IF($A109="N/A"," ",IF(AND(AR109=$AR$2+1,BA109=0),MIN($BB$111,AI109),0))</f>
        <v> </v>
      </c>
      <c r="BL109" s="347" t="s">
        <v>1359</v>
      </c>
      <c r="BM109" s="329" t="str">
        <f aca="false">IF($A109="N/A"," ",(IF(MONTH(A109)&gt;=4,IF(MONTH(A109)&lt;=10,Inputs!$F$13-Inputs!$G$13,Inputs!$F$14-Inputs!$G$14),Inputs!$F$14-Inputs!$G$14))*$CK109*Availability)</f>
        <v> </v>
      </c>
      <c r="BN109" s="330" t="str">
        <f aca="false">IF($A109="N/A"," ",(IF(AS109&gt;0,($BM109*(8*($HD109))*R109),0)+IF(BC109&gt;0,($BM109*((BC109/AA109)*8*$HD109)*R109),0)))</f>
        <v> </v>
      </c>
      <c r="BO109" s="330" t="str">
        <f aca="false">IF($A109="N/A"," ",(IF(AT109&gt;0,($BM109*(8*($HD109))*S109),0)+IF(BD109&gt;0,($BM109*((BD109/AB109)*8*$HD109)*S109),0)))</f>
        <v> </v>
      </c>
      <c r="BP109" s="330" t="str">
        <f aca="false">IF($A109="N/A"," ",(IF(AU109&gt;0,($BM109*(8*($HD109))*T109),0)+IF(BE109&gt;0,($BM109*((BE109))*T109),0)))</f>
        <v> </v>
      </c>
      <c r="BQ109" s="330" t="str">
        <f aca="false">IF($A109="N/A"," ",(IF(AV109&gt;0,($BM109*(8*($HE109))*U109),0)+IF(BF109&gt;0,($BM109*((BF109/AD109)*8*$HE109)*U109),0)))</f>
        <v> </v>
      </c>
      <c r="BR109" s="330" t="str">
        <f aca="false">IF($A109="N/A"," ",(IF(AW109&gt;0,($BM109*(8*($HE109))*V109),0)+IF(BG109&gt;0,($BM109*((BG109/AE109)*8*$HE109)*V109),0)))</f>
        <v> </v>
      </c>
      <c r="BS109" s="330" t="str">
        <f aca="false">IF($A109="N/A"," ",(IF(AX109&gt;0,($BM109*(8*($HE109))*W109),0)+IF(BH109&gt;0,($BM109*((BH109))*W109),0)))</f>
        <v> </v>
      </c>
      <c r="BT109" s="330" t="str">
        <f aca="false">IF($A109="N/A"," ",(IF(AY109&gt;0,($BM109*(8*($HF109))*X109),0)+IF(BI109&gt;0,($BM109*((BI109/AG109)*8*$HF109)*X109),0)))</f>
        <v> </v>
      </c>
      <c r="BU109" s="330" t="str">
        <f aca="false">IF($A109="N/A"," ",(IF(AZ109&gt;0,($BM109*(8*($HF109))*Y109),0)+IF(BJ109&gt;0,($BM109*((BJ109/AH109)*8*$HF109)*Y109),0)))</f>
        <v> </v>
      </c>
      <c r="BV109" s="330" t="str">
        <f aca="false">IF($A109="N/A"," ",(IF(BA109&gt;0,($BM109*(8*($HF109))*Z109),0)+IF(BK109&gt;0,($BM109*((BK109))*Z109),0)))</f>
        <v> </v>
      </c>
      <c r="BW109" s="330" t="str">
        <f aca="false">IF($A109="N/A"," ",SUM(BN109:BV109))</f>
        <v> </v>
      </c>
      <c r="BX109" s="331" t="str">
        <f aca="false">IF($A109="N/A"," ",(H109*(SUM(AS109:BA109)+SUM(BC109:BK109))*BM109))</f>
        <v> </v>
      </c>
      <c r="BY109" s="332" t="str">
        <f aca="false">IF($A109="N/A"," ",((C109*D109)*(SUM($AS109:$BA109)+SUM($BC109:$BK109))*$BM109))</f>
        <v> </v>
      </c>
      <c r="BZ109" s="332" t="str">
        <f aca="false">IF($A109="N/A"," ",(F109*(SUM($AS109:$BA109)+SUM($BC109:$BK109))*$BM109))</f>
        <v> </v>
      </c>
      <c r="CA109" s="333" t="str">
        <f aca="false">IF($A109="N/A"," ",(G109*(SUM($AS109:$BA109)+SUM($BC109:$BK109))*$BM109))</f>
        <v> </v>
      </c>
      <c r="CB109" s="334" t="str">
        <f aca="false">IF(A109="N/A"," ",(VLOOKUP(A109,PowerVolTable,(IF(BMO=2,7,IF(BMO=1,6,8))),FALSE())))</f>
        <v> </v>
      </c>
      <c r="CC109" s="334" t="str">
        <f aca="false">IF(A109="N/A"," ",(VLOOKUP(A109,IntraPowerVol,(IF(BMO=2,3,IF(BMO=1,2,4))),FALSE())*VLOOKUP(MONTH($A109),Volscale,2)))</f>
        <v> </v>
      </c>
      <c r="CD109" s="335" t="str">
        <f aca="false">IF($A109="N/A"," ",(IF(DateToday&gt;$A109,$CC109,((($CB109^2)*((($A109-1)-DateToday)/((EOMONTH($A109,0)+1)-DateToday-15)))+((($CC109)^2)*((15)/((EOMONTH($A109,0)+1)-DateToday-15))))^0.5)))</f>
        <v> </v>
      </c>
      <c r="CE109" s="334" t="str">
        <f aca="false">IF($A109="N/A"," ",(VLOOKUP($A109,GasVolTable,(IF(BMO=2,6,IF(BMO=1,7,5))),FALSE())))</f>
        <v> </v>
      </c>
      <c r="CF109" s="334" t="str">
        <f aca="false">IF($A109="N/A"," ",(VLOOKUP($A109,OmicronVol,(IF(BMO=2,3,IF(BMO=1,4,2))),FALSE())))</f>
        <v> </v>
      </c>
      <c r="CG109" s="335" t="str">
        <f aca="false">IF($A109="N/A"," ",(IF(DateToday&gt;$A109,$CF109,((($CE109^2)*((($A109-1)-DateToday)/((EOMONTH($A109,0)+1)-DateToday-15)))+((($CF109)^2)*((15)/((EOMONTH($A109,0)+1)-DateToday-15))))^0.5)))</f>
        <v> </v>
      </c>
      <c r="CH109" s="334" t="str">
        <f aca="false">IF($A109="N/A"," ",VLOOKUP($A109,CorrelationTable,2,FALSE()))</f>
        <v> </v>
      </c>
      <c r="CI109" s="336" t="str">
        <f aca="false">IF($A109="N/A"," ",F109+G109+(D109*('Pricing Inputs'!T142)))</f>
        <v> </v>
      </c>
      <c r="CJ109" s="334" t="str">
        <f aca="false">IF($A109="N/A"," ",IF(PV=1,0,'Pricing Inputs'!U142))</f>
        <v> </v>
      </c>
      <c r="CK109" s="337" t="str">
        <f aca="false">IF($A109="N/A"," ",(1+CJ109/2)^(-2*((EOMONTH(A109,0)+20)-DateToday)/365.25))</f>
        <v> </v>
      </c>
      <c r="CL109" s="338" t="str">
        <f aca="false">IF(A109="N/A"," ",IF(CC=2,(VLOOKUP(MONTH($A109),Hrtable,3))/1000,0))</f>
        <v> </v>
      </c>
      <c r="CM109" s="339" t="str">
        <f aca="false">IF(A109="N/A"," ",IF(CC=2,(CL109*C109)+F109,0))</f>
        <v> </v>
      </c>
      <c r="CN109" s="340" t="str">
        <f aca="false">IF($A109="N/A"," ",IF(CC=2,(VLOOKUP(A109,ScaledPrice,(IF(AND(Dayrun&gt;=1,Dayrun&lt;=6),2,4)))-((IF(R109&lt;&gt;0,$D109,$CL109)*$C109)+$F109+$G109)),0))</f>
        <v> </v>
      </c>
      <c r="CO109" s="340" t="str">
        <f aca="false">IF($A109="N/A"," ",IF(CC=2,(IF(AND(Dayrun&gt;=1,Dayrun&lt;=6),I109,(VLOOKUP(A109,ScaledPrice,2))*(2-(VLOOKUP(A109,ScaledPrice,3))))-((IF(S109&lt;&gt;0,$D109,$CL109)*$C109)+$F109+$G109)),0))</f>
        <v> </v>
      </c>
      <c r="CP109" s="340" t="str">
        <f aca="false">IF(A109="N/A"," ",IF(CC=2,(VLOOKUP(A109,ScaledPrice,9)-((IF(T109&lt;&gt;0,$D109,$CL109)*$C109)+$F109+$G109)),0))</f>
        <v> </v>
      </c>
      <c r="CQ109" s="340" t="str">
        <f aca="false">IF(A109="N/A"," ",IF(CC=2,(IF(OR(Dayrun=2,Dayrun=3,Dayrun=5,Dayrun=6,Dayrun=8,Dayrun=9),VLOOKUP(A109,ScaledPrice,IF(AND(Dayrun&gt;=2,Dayrun&lt;=6),5,6)),0)-((IF(U109&lt;&gt;0,$D109,$CL109)*$C109)+$F109+$G109)),0))</f>
        <v> </v>
      </c>
      <c r="CR109" s="340" t="str">
        <f aca="false">IF(A109="N/A"," ",IF(CC=2,(IF(OR(Dayrun=2,Dayrun=3,Dayrun=5,Dayrun=6,Dayrun=8,Dayrun=9),IF(AND(Dayrun&gt;=2,Dayrun&lt;=6),L109,(VLOOKUP(A109,ScaledPrice,5))*(2-(VLOOKUP(A109,ScaledPrice,3)))),0)-((IF(V109&lt;&gt;0,$D109,$CL109)*$C109)+$F109+$G109)),0))</f>
        <v> </v>
      </c>
      <c r="CS109" s="340" t="str">
        <f aca="false">IF(A109="N/A"," ",IF(CC=2,(VLOOKUP(A109,ScaledPrice,9)-((IF(W109&lt;&gt;0,$D109,$CL109)*$C109)+$F109+$G109)),0))</f>
        <v> </v>
      </c>
      <c r="CT109" s="340" t="str">
        <f aca="false">IF(A109="N/A"," ",IF(CC=2,(IF(OR(Dayrun=3,Dayrun=6,Dayrun=9),(VLOOKUP(A109,ScaledPrice,IF(AND(Dayrun&gt;=3,Dayrun&lt;=6),7,8))),0)-((IF(X109&lt;&gt;0,$D109,$CL109)*$C109)+$F109+$G109)),0))</f>
        <v> </v>
      </c>
      <c r="CU109" s="340" t="str">
        <f aca="false">IF(A109="N/A"," ",IF(CC=2,(IF(OR(Dayrun=3,Dayrun=6,Dayrun=9),IF(AND(Dayrun&gt;=3,Dayrun&lt;=6),O109,(VLOOKUP(A109,ScaledPrice,7))*(2-(VLOOKUP(A109,ScaledPrice,3)))),0)-((IF(Y109&lt;&gt;0,$D109,$CL109)*$C109)+$F109+$G109)),0))</f>
        <v> </v>
      </c>
      <c r="CV109" s="340" t="str">
        <f aca="false">IF(A109="N/A"," ",IF(CC=2,(VLOOKUP(A109,ScaledPrice,9)-((IF(Z109&lt;&gt;0,$D109,$CL109)*$C109)+$F109+$G109)),0))</f>
        <v> </v>
      </c>
      <c r="CW109" s="318" t="str">
        <f aca="false">IF($A109="N/A"," ",IF(0&lt;&gt;CN109,IF(CC=2,8*$HD109,0),0))</f>
        <v> </v>
      </c>
      <c r="CX109" s="318" t="str">
        <f aca="false">IF($A109="N/A"," ",IF(0&lt;&gt;CO109,IF(CC=2,8*$HD109,0),0))</f>
        <v> </v>
      </c>
      <c r="CY109" s="318" t="str">
        <f aca="false">IF($A109="N/A"," ",IF(0&lt;&gt;CP109,IF(CC=2,8*$HD109,0),0))</f>
        <v> </v>
      </c>
      <c r="CZ109" s="318" t="str">
        <f aca="false">IF($A109="N/A"," ",IF(0&lt;&gt;CQ109,IF(CC=2,8*$HE109,0),0))</f>
        <v> </v>
      </c>
      <c r="DA109" s="318" t="str">
        <f aca="false">IF($A109="N/A"," ",IF(0&lt;&gt;CR109,IF(CC=2,8*$HE109,0),0))</f>
        <v> </v>
      </c>
      <c r="DB109" s="318" t="str">
        <f aca="false">IF($A109="N/A"," ",IF(0&lt;&gt;CS109,IF(CC=2,8*$HE109,0),0))</f>
        <v> </v>
      </c>
      <c r="DC109" s="318" t="str">
        <f aca="false">IF($A109="N/A"," ",IF(0&lt;&gt;CT109,IF(CC=2,8*$HF109,0),0))</f>
        <v> </v>
      </c>
      <c r="DD109" s="318" t="str">
        <f aca="false">IF($A109="N/A"," ",IF(0&lt;&gt;CU109,IF(CC=2,8*$HF109,0),0))</f>
        <v> </v>
      </c>
      <c r="DE109" s="318" t="str">
        <f aca="false">IF($A109="N/A"," ",IF(0&lt;&gt;CV109,IF(CC=2,8*$HF109,0),0))</f>
        <v> </v>
      </c>
      <c r="DF109" s="341" t="str">
        <f aca="false">IF($A109="N/A"," ",IF(CC=2,(IF(MONTH(A109)&gt;=4,IF(MONTH(A109)&lt;=10,Inputs!$G$13,Inputs!$G$14),Inputs!$G$14))*$CK109,0))</f>
        <v> </v>
      </c>
      <c r="DG109" s="342" t="str">
        <f aca="false">IF($A109="N/A"," ",IF(CC=2,$DF109*CW109*CN109,0))</f>
        <v> </v>
      </c>
      <c r="DH109" s="342" t="str">
        <f aca="false">IF($A109="N/A"," ",IF(CC=2,$DF109*CX109*CO109,0))</f>
        <v> </v>
      </c>
      <c r="DI109" s="342" t="str">
        <f aca="false">IF($A109="N/A"," ",IF(CC=2,$DF109*CY109*CP109,0))</f>
        <v> </v>
      </c>
      <c r="DJ109" s="342" t="str">
        <f aca="false">IF($A109="N/A"," ",IF(CC=2,$DF109*CZ109*CQ109,0))</f>
        <v> </v>
      </c>
      <c r="DK109" s="342" t="str">
        <f aca="false">IF($A109="N/A"," ",IF(CC=2,$DF109*DA109*CR109,0))</f>
        <v> </v>
      </c>
      <c r="DL109" s="342" t="str">
        <f aca="false">IF($A109="N/A"," ",IF(CC=2,$DF109*DB109*CS109,0))</f>
        <v> </v>
      </c>
      <c r="DM109" s="342" t="str">
        <f aca="false">IF($A109="N/A"," ",IF(CC=2,$DF109*DC109*CT109,0))</f>
        <v> </v>
      </c>
      <c r="DN109" s="342" t="str">
        <f aca="false">IF($A109="N/A"," ",IF(CC=2,$DF109*DD109*CU109,0))</f>
        <v> </v>
      </c>
      <c r="DO109" s="342" t="str">
        <f aca="false">IF($A109="N/A"," ",IF(CC=2,$DF109*DE109*CV109,0))</f>
        <v> </v>
      </c>
      <c r="DP109" s="343" t="str">
        <f aca="false">IF($A109="N/A"," ",IF(CC=2,SUM(DG109:DO109),0))</f>
        <v> </v>
      </c>
      <c r="DQ109" s="0" t="str">
        <f aca="false">IF(A109="N/A"," ",Perstart)</f>
        <v> </v>
      </c>
      <c r="HD109" s="0" t="str">
        <f aca="false">IF($A109="N/A"," ",VLOOKUP($A109,NumberofDaysTable,2))</f>
        <v> </v>
      </c>
      <c r="HE109" s="0" t="str">
        <f aca="false">IF($A109="N/A"," ",VLOOKUP($A109,NumberofDaysTable,3))</f>
        <v> </v>
      </c>
      <c r="HF109" s="0" t="str">
        <f aca="false">IF($A109="N/A"," ",VLOOKUP($A109,NumberofDaysTable,4))</f>
        <v> </v>
      </c>
    </row>
    <row r="110" customFormat="false" ht="12.75" hidden="false" customHeight="false" outlineLevel="0" collapsed="false">
      <c r="A110" s="308" t="str">
        <f aca="false">IF(A109="N/A","N/A",IF(EDATE(A109,1)&gt;Inputs!$K$3,"N/A",EDATE(A109,1)))</f>
        <v>N/A</v>
      </c>
      <c r="B110" s="309" t="str">
        <f aca="false">IF(A110="N/A"," ",YEAR(A110))</f>
        <v> </v>
      </c>
      <c r="C110" s="310" t="str">
        <f aca="false">IF(A110="N/A"," ",VLOOKUP(A110,ScaledPrice,10))</f>
        <v> </v>
      </c>
      <c r="D110" s="311" t="str">
        <f aca="false">IF(A110="N/A"," ",(VLOOKUP(MONTH($A110),Hrtable,2))/1000)</f>
        <v> </v>
      </c>
      <c r="E110" s="312" t="str">
        <f aca="false">IF($A110="N/A"," ",(C110-'Pricing Inputs'!T143)*D110)</f>
        <v> </v>
      </c>
      <c r="F110" s="313" t="str">
        <f aca="false">IF(A110="N/A"," ",$F98*(1+VOMesc))</f>
        <v> </v>
      </c>
      <c r="G110" s="313" t="str">
        <f aca="false">IF(A110="N/A"," ",Perstart/IF(AND(Dayrun&gt;=4,Dayrun&lt;=6),16,IF(AND(Dayrun&gt;=7,Dayrun&lt;=9),8,24))/(BM110/CK110))</f>
        <v> </v>
      </c>
      <c r="H110" s="314" t="str">
        <f aca="false">IF(A110="N/A"," ",(C110*D110)+F110+G110)</f>
        <v> </v>
      </c>
      <c r="I110" s="315" t="str">
        <f aca="false">VLOOKUP(A110,ScaledPrice,(IF(AND(Dayrun&gt;=1,Dayrun&lt;=6),2,4)))</f>
        <v> </v>
      </c>
      <c r="J110" s="315" t="str">
        <f aca="false">IF(A110="N/A"," ",IF(AND(Dayrun&gt;=1,Dayrun&lt;=6),I110,(VLOOKUP(A110,ScaledPrice,2))*(2-(VLOOKUP(A110,ScaledPrice,3)))))</f>
        <v> </v>
      </c>
      <c r="K110" s="315" t="str">
        <f aca="false">IF(A110="N/A"," ",IF(AND(Dayrun&gt;=1,Dayrun&lt;=3),VLOOKUP(A110,ScaledPrice,9),0))</f>
        <v> </v>
      </c>
      <c r="L110" s="315" t="str">
        <f aca="false">IF(A110="N/A"," ",IF(OR(Dayrun=2,Dayrun=3,Dayrun=5,Dayrun=6,Dayrun=8,Dayrun=9),VLOOKUP(A110,ScaledPrice,IF(AND(Dayrun&gt;=2,Dayrun&lt;=6),5,6)),0))</f>
        <v> </v>
      </c>
      <c r="M110" s="315" t="str">
        <f aca="false">IF(A110="N/A"," ",IF(OR(Dayrun=2,Dayrun=3,Dayrun=5,Dayrun=6,Dayrun=8,Dayrun=9),IF(AND(Dayrun&gt;=2,Dayrun&lt;=6),L110,(VLOOKUP(A110,ScaledPrice,5))*(2-(VLOOKUP(A110,ScaledPrice,3)))),0))</f>
        <v> </v>
      </c>
      <c r="N110" s="315" t="str">
        <f aca="false">IF(A110="N/A"," ",IF(AND(Dayrun&gt;1,Dayrun&lt;=3),VLOOKUP(A110,ScaledPrice,9),0))</f>
        <v> </v>
      </c>
      <c r="O110" s="315" t="str">
        <f aca="false">IF(A110="N/A"," ",IF(OR(Dayrun=3,Dayrun=6,Dayrun=9),(VLOOKUP(A110,ScaledPrice,IF(AND(Dayrun&gt;=3,Dayrun&lt;=6),7,8))),0))</f>
        <v> </v>
      </c>
      <c r="P110" s="315" t="str">
        <f aca="false">IF(A110="N/A"," ",IF(OR(Dayrun=3,Dayrun=6,Dayrun=9),IF(AND(Dayrun&gt;=3,Dayrun&lt;=6),O110,(VLOOKUP(A110,ScaledPrice,7))*(2-(VLOOKUP(A110,ScaledPrice,3)))),0))</f>
        <v> </v>
      </c>
      <c r="Q110" s="315" t="str">
        <f aca="false">IF(A110="N/A"," ",IF(AND(Dayrun&gt;2,Dayrun&lt;=3),VLOOKUP(A110,ScaledPrice,9),0))</f>
        <v> </v>
      </c>
      <c r="R110" s="316" t="str">
        <f aca="false">IF($A110="N/A"," ",IF(Pricetype=2,MAX(I110-$H110,0),IF(Pricetype=1,(xSPRDOPT(I110,$E110,$CI110,0,($CD110+IF(Smile=TRUE(),VLOOKUP(MAX(-5,$H110-I110),Volsmile,2),0)),$CG110,$CH110,($A110-DateToday)+15,1,0)),I110-$H110)))</f>
        <v> </v>
      </c>
      <c r="S110" s="316" t="str">
        <f aca="false">IF($A110="N/A"," ",IF(Pricetype=2,MAX(J110-$H110,0),IF(Pricetype=1,(xSPRDOPT(J110,$E110,$CI110,0,($CD110+IF(Smile=TRUE(),VLOOKUP(MAX(-5,$H110-J110),Volsmile,2),0)),$CG110,$CH110,($A110-DateToday)+15,1,0)),J110-$H110)))</f>
        <v> </v>
      </c>
      <c r="T110" s="317" t="str">
        <f aca="false">IF($A110="N/A"," ",(IF(Pricetype=2,IF((K110-$H110)&lt;=0,0,(K110-$H110)),IF(K110&lt;&gt;0,(K110-$H110),0))))</f>
        <v> </v>
      </c>
      <c r="U110" s="316" t="str">
        <f aca="false">IF($A110="N/A"," ",IF(Pricetype=2,MAX(L110-$H110,0),IF(L110&lt;&gt;0,IF(Pricetype=1,(xSPRDOPT(L110,$E110,$CI110,0,($CD110+IF(Smile=TRUE(),VLOOKUP(MAX(-5,$H110-L110),Volsmile,2),0)),$CG110,$CH110,($A110-DateToday)+15,1,0)),L110-$H110),0)))</f>
        <v> </v>
      </c>
      <c r="V110" s="316" t="str">
        <f aca="false">IF($A110="N/A"," ",IF(Pricetype=2,MAX(M110-$H110,0),IF(M110&lt;&gt;0,IF(Pricetype=1,(xSPRDOPT(M110,$E110,$CI110,0,($CD110+IF(Smile=TRUE(),VLOOKUP(MAX(-5,$H110-M110),Volsmile,2),0)),$CG110,$CH110,($A110-DateToday)+15,1,0)),M110-$H110),0)))</f>
        <v> </v>
      </c>
      <c r="W110" s="317" t="str">
        <f aca="false">IF($A110="N/A"," ",(IF(Pricetype=2,IF((N110-$H110)&lt;=0,0,(N110-$H110)),IF(N110&lt;&gt;0,(N110-$H110),0))))</f>
        <v> </v>
      </c>
      <c r="X110" s="316" t="str">
        <f aca="false">IF($A110="N/A"," ",IF(Pricetype=2,MAX(O110-$H110,0),IF(O110&lt;&gt;0,IF(Pricetype=1,(xSPRDOPT(O110,$E110,$CI110,0,($CD110+IF(Smile=TRUE(),VLOOKUP(MAX(-5,$H110-O110),Volsmile,2),0)),$CG110,$CH110,($A110-DateToday)+15,1,0)),O110-$H110),0)))</f>
        <v> </v>
      </c>
      <c r="Y110" s="316" t="str">
        <f aca="false">IF($A110="N/A"," ",IF(Pricetype=2,MAX(P110-$H110,0),IF(P110&lt;&gt;0,IF(Pricetype=1,(xSPRDOPT(P110,$E110,$CI110,0,($CD110+IF(Smile=TRUE(),VLOOKUP(MAX(-5,$H110-P110),Volsmile,2),0)),$CG110,$CH110,($A110-DateToday)+15,1,0)),P110-$H110),0)))</f>
        <v> </v>
      </c>
      <c r="Z110" s="317" t="str">
        <f aca="false">IF($A110="N/A"," ",(IF(Pricetype=2,IF((Q110-$H110)&lt;=0,0,(Q110-$H110)),IF(Q110&lt;&gt;0,(Q110-$H110),0))))</f>
        <v> </v>
      </c>
      <c r="AA110" s="318" t="str">
        <f aca="false">IF($A110="N/A"," ",IF(VLOOKUP(MONTH(A110),ManualTable,2)=1,(IF(0&lt;&gt;R110,IF(Pricetype=1,(xSPRDOPT(I110,$E110,$CI110,0,($CD110+IF(Smile=TRUE(),VLOOKUP(MAX(-5,$H110-I110),Volsmile,2),0)),$CG110,$CH110,($A110-DateToday)+15,1,1))*(8*$HD110),8*$HD110),0)),0))</f>
        <v> </v>
      </c>
      <c r="AB110" s="318" t="str">
        <f aca="false">IF($A110="N/A"," ",IF(VLOOKUP(MONTH(A110),ManualTable,3)=1,(IF(S110&lt;&gt;0,IF(Pricetype=1,(xSPRDOPT(J110,$E110,$CI110,0,($CD110+IF(Smile=TRUE(),VLOOKUP(MAX(-5,$H110-J110),Volsmile,2),0)),$CG110,$CH110,($A110-DateToday)+15,1,1))*(8*$HD110),8*$HD110),0)),0))</f>
        <v> </v>
      </c>
      <c r="AC110" s="318" t="str">
        <f aca="false">IF($A110="N/A"," ",IF(VLOOKUP(MONTH(A110),ManualTable,4)=1,(IF(T110&lt;&gt;0,(8*$HD110),0)),0))</f>
        <v> </v>
      </c>
      <c r="AD110" s="318" t="str">
        <f aca="false">IF($A110="N/A"," ",IF(VLOOKUP(MONTH(A110),ManualTable,5)=1,(IF(U110&lt;&gt;0,IF(Pricetype=1,(xSPRDOPT(L110,$E110,$CI110,0,($CD110+IF(Smile=TRUE(),VLOOKUP(MAX(-5,$H110-L110),Volsmile,2),0)),$CG110,$CH110,($A110-DateToday)+15,1,1))*(8*$HE110),8*$HE110),0)),0))</f>
        <v> </v>
      </c>
      <c r="AE110" s="318" t="str">
        <f aca="false">IF($A110="N/A"," ",IF(VLOOKUP(MONTH(A110),ManualTable,6)=1,(IF(V110&lt;&gt;0,IF(Pricetype=1,(xSPRDOPT(M110,$E110,$CI110,0,($CD110+IF(Smile=TRUE(),VLOOKUP(MAX(-5,$H110-M110),Volsmile,2),0)),$CG110,$CH110,($A110-DateToday)+15,1,1))*(8*$HE110),8*$HE110),0)),0))</f>
        <v> </v>
      </c>
      <c r="AF110" s="318" t="str">
        <f aca="false">IF($A110="N/A"," ",IF(VLOOKUP(MONTH(A110),ManualTable,7)=1,(IF(W110&lt;&gt;0,(8*$HE110),0)),0))</f>
        <v> </v>
      </c>
      <c r="AG110" s="318" t="str">
        <f aca="false">IF($A110="N/A"," ",IF(VLOOKUP(MONTH(A110),ManualTable,8)=1,(IF(X110&lt;&gt;0,IF(Pricetype=1,(xSPRDOPT(O110,$E110,$CI110,0,($CD110+IF(Smile=TRUE(),VLOOKUP(MAX(-5,$H110-O110),Volsmile,2),0)),$CG110,$CH110,($A110-DateToday)+15,1,1))*(8*$HF110),8*$HF110),0)),0))</f>
        <v> </v>
      </c>
      <c r="AH110" s="318" t="str">
        <f aca="false">IF($A110="N/A"," ",IF(VLOOKUP(MONTH(A110),ManualTable,9)=1,(IF(Y110&lt;&gt;0,IF(Pricetype=1,(xSPRDOPT(P110,$E110,$CI110,0,($CD110+IF(Smile=TRUE(),VLOOKUP(MAX(-5,$H110-P110),Volsmile,2),0)),$CG110,$CH110,($A110-DateToday)+15,1,1))*(8*$HF110),8*$HF110),0)),0))</f>
        <v> </v>
      </c>
      <c r="AI110" s="318" t="str">
        <f aca="false">IF($A110="N/A"," ",IF(VLOOKUP(MONTH(A110),ManualTable,10)=1,(IF(Z110&lt;&gt;0,(8*($HF110)),0)),0))</f>
        <v> </v>
      </c>
      <c r="AJ110" s="344" t="str">
        <f aca="false">IF($A110="N/A"," ",RANK(R110,$R$100:$Z$111))</f>
        <v> </v>
      </c>
      <c r="AK110" s="321" t="str">
        <f aca="false">IF($A110="N/A"," ",RANK(S110,$R$100:$Z$111))</f>
        <v> </v>
      </c>
      <c r="AL110" s="321" t="str">
        <f aca="false">IF($A110="N/A"," ",RANK(T110,$R$100:$Z$111))</f>
        <v> </v>
      </c>
      <c r="AM110" s="321" t="str">
        <f aca="false">IF($A110="N/A"," ",RANK(U110,$R$100:$Z$111))</f>
        <v> </v>
      </c>
      <c r="AN110" s="321" t="str">
        <f aca="false">IF($A110="N/A"," ",RANK(V110,$R$100:$Z$111))</f>
        <v> </v>
      </c>
      <c r="AO110" s="321" t="str">
        <f aca="false">IF($A110="N/A"," ",RANK(W110,$R$100:$Z$111))</f>
        <v> </v>
      </c>
      <c r="AP110" s="321" t="str">
        <f aca="false">IF($A110="N/A"," ",RANK(X110,$R$100:$Z$111))</f>
        <v> </v>
      </c>
      <c r="AQ110" s="321" t="str">
        <f aca="false">IF($A110="N/A"," ",RANK(Y110,$R$100:$Z$111))</f>
        <v> </v>
      </c>
      <c r="AR110" s="345" t="str">
        <f aca="false">IF($A110="N/A"," ",RANK(Z110,$R$100:$Z$111))</f>
        <v> </v>
      </c>
      <c r="AS110" s="323" t="str">
        <f aca="false">IF($A110="N/A"," ",IF(AJ110&lt;=$AR$2,AA110,0))</f>
        <v> </v>
      </c>
      <c r="AT110" s="325" t="str">
        <f aca="false">IF($A110="N/A"," ",IF(AK110&lt;=$AR$2,AB110,0))</f>
        <v> </v>
      </c>
      <c r="AU110" s="325" t="str">
        <f aca="false">IF($A110="N/A"," ",IF(AL110&lt;=$AR$2,AC110,0))</f>
        <v> </v>
      </c>
      <c r="AV110" s="325" t="str">
        <f aca="false">IF($A110="N/A"," ",IF(AM110&lt;=$AR$2,AD110,0))</f>
        <v> </v>
      </c>
      <c r="AW110" s="325" t="str">
        <f aca="false">IF($A110="N/A"," ",IF(AN110&lt;=$AR$2,AE110,0))</f>
        <v> </v>
      </c>
      <c r="AX110" s="325" t="str">
        <f aca="false">IF($A110="N/A"," ",IF(AO110&lt;=$AR$2,AF110,0))</f>
        <v> </v>
      </c>
      <c r="AY110" s="325" t="str">
        <f aca="false">IF($A110="N/A"," ",IF(AP110&lt;=$AR$2,AG110,0))</f>
        <v> </v>
      </c>
      <c r="AZ110" s="325" t="str">
        <f aca="false">IF($A110="N/A"," ",IF(AQ110&lt;=$AR$2,AH110,0))</f>
        <v> </v>
      </c>
      <c r="BA110" s="325" t="str">
        <f aca="false">IF($A110="N/A"," ",IF(AR110&lt;=$AR$2,AI110,0))</f>
        <v> </v>
      </c>
      <c r="BB110" s="345" t="n">
        <f aca="false">SUM(AS100:BA111)</f>
        <v>0</v>
      </c>
      <c r="BC110" s="326" t="str">
        <f aca="false">IF($A110="N/A"," ",IF(AND(AJ110=$AR$2+1,AS110=0),MIN($BB$111,AA110),0))</f>
        <v> </v>
      </c>
      <c r="BD110" s="346" t="str">
        <f aca="false">IF($A110="N/A"," ",IF(AND(AK110=$AR$2+1,AT110=0),MIN($BB$111,AB110),0))</f>
        <v> </v>
      </c>
      <c r="BE110" s="346" t="str">
        <f aca="false">IF($A110="N/A"," ",IF(AND(AL110=$AR$2+1,AU110=0),MIN($BB$111,AC110),0))</f>
        <v> </v>
      </c>
      <c r="BF110" s="346" t="str">
        <f aca="false">IF($A110="N/A"," ",IF(AND(AM110=$AR$2+1,AV110=0),MIN($BB$111,AD110),0))</f>
        <v> </v>
      </c>
      <c r="BG110" s="346" t="str">
        <f aca="false">IF($A110="N/A"," ",IF(AND(AN110=$AR$2+1,AW110=0),MIN($BB$111,AE110),0))</f>
        <v> </v>
      </c>
      <c r="BH110" s="346" t="str">
        <f aca="false">IF($A110="N/A"," ",IF(AND(AO110=$AR$2+1,AX110=0),MIN($BB$111,AF110),0))</f>
        <v> </v>
      </c>
      <c r="BI110" s="346" t="str">
        <f aca="false">IF($A110="N/A"," ",IF(AND(AP110=$AR$2+1,AY110=0),MIN($BB$111,AG110),0))</f>
        <v> </v>
      </c>
      <c r="BJ110" s="346" t="str">
        <f aca="false">IF($A110="N/A"," ",IF(AND(AQ110=$AR$2+1,AZ110=0),MIN($BB$111,AH110),0))</f>
        <v> </v>
      </c>
      <c r="BK110" s="346" t="str">
        <f aca="false">IF($A110="N/A"," ",IF(AND(AR110=$AR$2+1,BA110=0),MIN($BB$111,AI110),0))</f>
        <v> </v>
      </c>
      <c r="BL110" s="345" t="n">
        <f aca="false">SUM(BC100:BK111)</f>
        <v>0</v>
      </c>
      <c r="BM110" s="329" t="str">
        <f aca="false">IF($A110="N/A"," ",(IF(MONTH(A110)&gt;=4,IF(MONTH(A110)&lt;=10,Inputs!$F$13-Inputs!$G$13,Inputs!$F$14-Inputs!$G$14),Inputs!$F$14-Inputs!$G$14))*$CK110*Availability)</f>
        <v> </v>
      </c>
      <c r="BN110" s="330" t="str">
        <f aca="false">IF($A110="N/A"," ",(IF(AS110&gt;0,($BM110*(8*($HD110))*R110),0)+IF(BC110&gt;0,($BM110*((BC110/AA110)*8*$HD110)*R110),0)))</f>
        <v> </v>
      </c>
      <c r="BO110" s="330" t="str">
        <f aca="false">IF($A110="N/A"," ",(IF(AT110&gt;0,($BM110*(8*($HD110))*S110),0)+IF(BD110&gt;0,($BM110*((BD110/AB110)*8*$HD110)*S110),0)))</f>
        <v> </v>
      </c>
      <c r="BP110" s="330" t="str">
        <f aca="false">IF($A110="N/A"," ",(IF(AU110&gt;0,($BM110*(8*($HD110))*T110),0)+IF(BE110&gt;0,($BM110*((BE110))*T110),0)))</f>
        <v> </v>
      </c>
      <c r="BQ110" s="330" t="str">
        <f aca="false">IF($A110="N/A"," ",(IF(AV110&gt;0,($BM110*(8*($HE110))*U110),0)+IF(BF110&gt;0,($BM110*((BF110/AD110)*8*$HE110)*U110),0)))</f>
        <v> </v>
      </c>
      <c r="BR110" s="330" t="str">
        <f aca="false">IF($A110="N/A"," ",(IF(AW110&gt;0,($BM110*(8*($HE110))*V110),0)+IF(BG110&gt;0,($BM110*((BG110/AE110)*8*$HE110)*V110),0)))</f>
        <v> </v>
      </c>
      <c r="BS110" s="330" t="str">
        <f aca="false">IF($A110="N/A"," ",(IF(AX110&gt;0,($BM110*(8*($HE110))*W110),0)+IF(BH110&gt;0,($BM110*((BH110))*W110),0)))</f>
        <v> </v>
      </c>
      <c r="BT110" s="330" t="str">
        <f aca="false">IF($A110="N/A"," ",(IF(AY110&gt;0,($BM110*(8*($HF110))*X110),0)+IF(BI110&gt;0,($BM110*((BI110/AG110)*8*$HF110)*X110),0)))</f>
        <v> </v>
      </c>
      <c r="BU110" s="330" t="str">
        <f aca="false">IF($A110="N/A"," ",(IF(AZ110&gt;0,($BM110*(8*($HF110))*Y110),0)+IF(BJ110&gt;0,($BM110*((BJ110/AH110)*8*$HF110)*Y110),0)))</f>
        <v> </v>
      </c>
      <c r="BV110" s="330" t="str">
        <f aca="false">IF($A110="N/A"," ",(IF(BA110&gt;0,($BM110*(8*($HF110))*Z110),0)+IF(BK110&gt;0,($BM110*((BK110))*Z110),0)))</f>
        <v> </v>
      </c>
      <c r="BW110" s="330" t="str">
        <f aca="false">IF($A110="N/A"," ",SUM(BN110:BV110))</f>
        <v> </v>
      </c>
      <c r="BX110" s="331" t="str">
        <f aca="false">IF($A110="N/A"," ",(H110*(SUM(AS110:BA110)+SUM(BC110:BK110))*BM110))</f>
        <v> </v>
      </c>
      <c r="BY110" s="332" t="str">
        <f aca="false">IF($A110="N/A"," ",((C110*D110)*(SUM($AS110:$BA110)+SUM($BC110:$BK110))*$BM110))</f>
        <v> </v>
      </c>
      <c r="BZ110" s="332" t="str">
        <f aca="false">IF($A110="N/A"," ",(F110*(SUM($AS110:$BA110)+SUM($BC110:$BK110))*$BM110))</f>
        <v> </v>
      </c>
      <c r="CA110" s="333" t="str">
        <f aca="false">IF($A110="N/A"," ",(G110*(SUM($AS110:$BA110)+SUM($BC110:$BK110))*$BM110))</f>
        <v> </v>
      </c>
      <c r="CB110" s="334" t="str">
        <f aca="false">IF(A110="N/A"," ",(VLOOKUP(A110,PowerVolTable,(IF(BMO=2,7,IF(BMO=1,6,8))),FALSE())))</f>
        <v> </v>
      </c>
      <c r="CC110" s="334" t="str">
        <f aca="false">IF(A110="N/A"," ",(VLOOKUP(A110,IntraPowerVol,(IF(BMO=2,3,IF(BMO=1,2,4))),FALSE())*VLOOKUP(MONTH($A110),Volscale,2)))</f>
        <v> </v>
      </c>
      <c r="CD110" s="335" t="str">
        <f aca="false">IF($A110="N/A"," ",(IF(DateToday&gt;$A110,$CC110,((($CB110^2)*((($A110-1)-DateToday)/((EOMONTH($A110,0)+1)-DateToday-15)))+((($CC110)^2)*((15)/((EOMONTH($A110,0)+1)-DateToday-15))))^0.5)))</f>
        <v> </v>
      </c>
      <c r="CE110" s="334" t="str">
        <f aca="false">IF($A110="N/A"," ",(VLOOKUP($A110,GasVolTable,(IF(BMO=2,6,IF(BMO=1,7,5))),FALSE())))</f>
        <v> </v>
      </c>
      <c r="CF110" s="334" t="str">
        <f aca="false">IF($A110="N/A"," ",(VLOOKUP($A110,OmicronVol,(IF(BMO=2,3,IF(BMO=1,4,2))),FALSE())))</f>
        <v> </v>
      </c>
      <c r="CG110" s="335" t="str">
        <f aca="false">IF($A110="N/A"," ",(IF(DateToday&gt;$A110,$CF110,((($CE110^2)*((($A110-1)-DateToday)/((EOMONTH($A110,0)+1)-DateToday-15)))+((($CF110)^2)*((15)/((EOMONTH($A110,0)+1)-DateToday-15))))^0.5)))</f>
        <v> </v>
      </c>
      <c r="CH110" s="334" t="str">
        <f aca="false">IF($A110="N/A"," ",VLOOKUP($A110,CorrelationTable,2,FALSE()))</f>
        <v> </v>
      </c>
      <c r="CI110" s="336" t="str">
        <f aca="false">IF($A110="N/A"," ",F110+G110+(D110*('Pricing Inputs'!T143)))</f>
        <v> </v>
      </c>
      <c r="CJ110" s="334" t="str">
        <f aca="false">IF($A110="N/A"," ",IF(PV=1,0,'Pricing Inputs'!U143))</f>
        <v> </v>
      </c>
      <c r="CK110" s="337" t="str">
        <f aca="false">IF($A110="N/A"," ",(1+CJ110/2)^(-2*((EOMONTH(A110,0)+20)-DateToday)/365.25))</f>
        <v> </v>
      </c>
      <c r="CL110" s="338" t="str">
        <f aca="false">IF(A110="N/A"," ",IF(CC=2,(VLOOKUP(MONTH($A110),Hrtable,3))/1000,0))</f>
        <v> </v>
      </c>
      <c r="CM110" s="339" t="str">
        <f aca="false">IF(A110="N/A"," ",IF(CC=2,(CL110*C110)+F110,0))</f>
        <v> </v>
      </c>
      <c r="CN110" s="340" t="str">
        <f aca="false">IF($A110="N/A"," ",IF(CC=2,(VLOOKUP(A110,ScaledPrice,(IF(AND(Dayrun&gt;=1,Dayrun&lt;=6),2,4)))-((IF(R110&lt;&gt;0,$D110,$CL110)*$C110)+$F110+$G110)),0))</f>
        <v> </v>
      </c>
      <c r="CO110" s="340" t="str">
        <f aca="false">IF($A110="N/A"," ",IF(CC=2,(IF(AND(Dayrun&gt;=1,Dayrun&lt;=6),I110,(VLOOKUP(A110,ScaledPrice,2))*(2-(VLOOKUP(A110,ScaledPrice,3))))-((IF(S110&lt;&gt;0,$D110,$CL110)*$C110)+$F110+$G110)),0))</f>
        <v> </v>
      </c>
      <c r="CP110" s="340" t="str">
        <f aca="false">IF(A110="N/A"," ",IF(CC=2,(VLOOKUP(A110,ScaledPrice,9)-((IF(T110&lt;&gt;0,$D110,$CL110)*$C110)+$F110+$G110)),0))</f>
        <v> </v>
      </c>
      <c r="CQ110" s="340" t="str">
        <f aca="false">IF(A110="N/A"," ",IF(CC=2,(IF(OR(Dayrun=2,Dayrun=3,Dayrun=5,Dayrun=6,Dayrun=8,Dayrun=9),VLOOKUP(A110,ScaledPrice,IF(AND(Dayrun&gt;=2,Dayrun&lt;=6),5,6)),0)-((IF(U110&lt;&gt;0,$D110,$CL110)*$C110)+$F110+$G110)),0))</f>
        <v> </v>
      </c>
      <c r="CR110" s="340" t="str">
        <f aca="false">IF(A110="N/A"," ",IF(CC=2,(IF(OR(Dayrun=2,Dayrun=3,Dayrun=5,Dayrun=6,Dayrun=8,Dayrun=9),IF(AND(Dayrun&gt;=2,Dayrun&lt;=6),L110,(VLOOKUP(A110,ScaledPrice,5))*(2-(VLOOKUP(A110,ScaledPrice,3)))),0)-((IF(V110&lt;&gt;0,$D110,$CL110)*$C110)+$F110+$G110)),0))</f>
        <v> </v>
      </c>
      <c r="CS110" s="340" t="str">
        <f aca="false">IF(A110="N/A"," ",IF(CC=2,(VLOOKUP(A110,ScaledPrice,9)-((IF(W110&lt;&gt;0,$D110,$CL110)*$C110)+$F110+$G110)),0))</f>
        <v> </v>
      </c>
      <c r="CT110" s="340" t="str">
        <f aca="false">IF(A110="N/A"," ",IF(CC=2,(IF(OR(Dayrun=3,Dayrun=6,Dayrun=9),(VLOOKUP(A110,ScaledPrice,IF(AND(Dayrun&gt;=3,Dayrun&lt;=6),7,8))),0)-((IF(X110&lt;&gt;0,$D110,$CL110)*$C110)+$F110+$G110)),0))</f>
        <v> </v>
      </c>
      <c r="CU110" s="340" t="str">
        <f aca="false">IF(A110="N/A"," ",IF(CC=2,(IF(OR(Dayrun=3,Dayrun=6,Dayrun=9),IF(AND(Dayrun&gt;=3,Dayrun&lt;=6),O110,(VLOOKUP(A110,ScaledPrice,7))*(2-(VLOOKUP(A110,ScaledPrice,3)))),0)-((IF(Y110&lt;&gt;0,$D110,$CL110)*$C110)+$F110+$G110)),0))</f>
        <v> </v>
      </c>
      <c r="CV110" s="340" t="str">
        <f aca="false">IF(A110="N/A"," ",IF(CC=2,(VLOOKUP(A110,ScaledPrice,9)-((IF(Z110&lt;&gt;0,$D110,$CL110)*$C110)+$F110+$G110)),0))</f>
        <v> </v>
      </c>
      <c r="CW110" s="318" t="str">
        <f aca="false">IF($A110="N/A"," ",IF(0&lt;&gt;CN110,IF(CC=2,8*$HD110,0),0))</f>
        <v> </v>
      </c>
      <c r="CX110" s="318" t="str">
        <f aca="false">IF($A110="N/A"," ",IF(0&lt;&gt;CO110,IF(CC=2,8*$HD110,0),0))</f>
        <v> </v>
      </c>
      <c r="CY110" s="318" t="str">
        <f aca="false">IF($A110="N/A"," ",IF(0&lt;&gt;CP110,IF(CC=2,8*$HD110,0),0))</f>
        <v> </v>
      </c>
      <c r="CZ110" s="318" t="str">
        <f aca="false">IF($A110="N/A"," ",IF(0&lt;&gt;CQ110,IF(CC=2,8*$HE110,0),0))</f>
        <v> </v>
      </c>
      <c r="DA110" s="318" t="str">
        <f aca="false">IF($A110="N/A"," ",IF(0&lt;&gt;CR110,IF(CC=2,8*$HE110,0),0))</f>
        <v> </v>
      </c>
      <c r="DB110" s="318" t="str">
        <f aca="false">IF($A110="N/A"," ",IF(0&lt;&gt;CS110,IF(CC=2,8*$HE110,0),0))</f>
        <v> </v>
      </c>
      <c r="DC110" s="318" t="str">
        <f aca="false">IF($A110="N/A"," ",IF(0&lt;&gt;CT110,IF(CC=2,8*$HF110,0),0))</f>
        <v> </v>
      </c>
      <c r="DD110" s="318" t="str">
        <f aca="false">IF($A110="N/A"," ",IF(0&lt;&gt;CU110,IF(CC=2,8*$HF110,0),0))</f>
        <v> </v>
      </c>
      <c r="DE110" s="318" t="str">
        <f aca="false">IF($A110="N/A"," ",IF(0&lt;&gt;CV110,IF(CC=2,8*$HF110,0),0))</f>
        <v> </v>
      </c>
      <c r="DF110" s="341" t="str">
        <f aca="false">IF($A110="N/A"," ",IF(CC=2,(IF(MONTH(A110)&gt;=4,IF(MONTH(A110)&lt;=10,Inputs!$G$13,Inputs!$G$14),Inputs!$G$14))*$CK110,0))</f>
        <v> </v>
      </c>
      <c r="DG110" s="342" t="str">
        <f aca="false">IF($A110="N/A"," ",IF(CC=2,$DF110*CW110*CN110,0))</f>
        <v> </v>
      </c>
      <c r="DH110" s="342" t="str">
        <f aca="false">IF($A110="N/A"," ",IF(CC=2,$DF110*CX110*CO110,0))</f>
        <v> </v>
      </c>
      <c r="DI110" s="342" t="str">
        <f aca="false">IF($A110="N/A"," ",IF(CC=2,$DF110*CY110*CP110,0))</f>
        <v> </v>
      </c>
      <c r="DJ110" s="342" t="str">
        <f aca="false">IF($A110="N/A"," ",IF(CC=2,$DF110*CZ110*CQ110,0))</f>
        <v> </v>
      </c>
      <c r="DK110" s="342" t="str">
        <f aca="false">IF($A110="N/A"," ",IF(CC=2,$DF110*DA110*CR110,0))</f>
        <v> </v>
      </c>
      <c r="DL110" s="342" t="str">
        <f aca="false">IF($A110="N/A"," ",IF(CC=2,$DF110*DB110*CS110,0))</f>
        <v> </v>
      </c>
      <c r="DM110" s="342" t="str">
        <f aca="false">IF($A110="N/A"," ",IF(CC=2,$DF110*DC110*CT110,0))</f>
        <v> </v>
      </c>
      <c r="DN110" s="342" t="str">
        <f aca="false">IF($A110="N/A"," ",IF(CC=2,$DF110*DD110*CU110,0))</f>
        <v> </v>
      </c>
      <c r="DO110" s="342" t="str">
        <f aca="false">IF($A110="N/A"," ",IF(CC=2,$DF110*DE110*CV110,0))</f>
        <v> </v>
      </c>
      <c r="DP110" s="343" t="str">
        <f aca="false">IF($A110="N/A"," ",IF(CC=2,SUM(DG110:DO110),0))</f>
        <v> </v>
      </c>
      <c r="DQ110" s="0" t="str">
        <f aca="false">IF(A110="N/A"," ",Perstart)</f>
        <v> </v>
      </c>
      <c r="HD110" s="0" t="str">
        <f aca="false">IF($A110="N/A"," ",VLOOKUP($A110,NumberofDaysTable,2))</f>
        <v> </v>
      </c>
      <c r="HE110" s="0" t="str">
        <f aca="false">IF($A110="N/A"," ",VLOOKUP($A110,NumberofDaysTable,3))</f>
        <v> </v>
      </c>
      <c r="HF110" s="0" t="str">
        <f aca="false">IF($A110="N/A"," ",VLOOKUP($A110,NumberofDaysTable,4))</f>
        <v> </v>
      </c>
    </row>
    <row r="111" customFormat="false" ht="12.75" hidden="false" customHeight="false" outlineLevel="0" collapsed="false">
      <c r="A111" s="308" t="str">
        <f aca="false">IF(A110="N/A","N/A",IF(EDATE(A110,1)&gt;Inputs!$K$3,"N/A",EDATE(A110,1)))</f>
        <v>N/A</v>
      </c>
      <c r="B111" s="309" t="str">
        <f aca="false">IF(A111="N/A"," ",YEAR(A111))</f>
        <v> </v>
      </c>
      <c r="C111" s="310" t="str">
        <f aca="false">IF(A111="N/A"," ",VLOOKUP(A111,ScaledPrice,10))</f>
        <v> </v>
      </c>
      <c r="D111" s="311" t="str">
        <f aca="false">IF(A111="N/A"," ",(VLOOKUP(MONTH($A111),Hrtable,2))/1000)</f>
        <v> </v>
      </c>
      <c r="E111" s="312" t="str">
        <f aca="false">IF($A111="N/A"," ",(C111-'Pricing Inputs'!T144)*D111)</f>
        <v> </v>
      </c>
      <c r="F111" s="313" t="str">
        <f aca="false">IF(A111="N/A"," ",$F99*(1+VOMesc))</f>
        <v> </v>
      </c>
      <c r="G111" s="313" t="str">
        <f aca="false">IF(A111="N/A"," ",Perstart/IF(AND(Dayrun&gt;=4,Dayrun&lt;=6),16,IF(AND(Dayrun&gt;=7,Dayrun&lt;=9),8,24))/(BM111/CK111))</f>
        <v> </v>
      </c>
      <c r="H111" s="314" t="str">
        <f aca="false">IF(A111="N/A"," ",(C111*D111)+F111+G111)</f>
        <v> </v>
      </c>
      <c r="I111" s="315" t="str">
        <f aca="false">VLOOKUP(A111,ScaledPrice,(IF(AND(Dayrun&gt;=1,Dayrun&lt;=6),2,4)))</f>
        <v> </v>
      </c>
      <c r="J111" s="315" t="str">
        <f aca="false">IF(A111="N/A"," ",IF(AND(Dayrun&gt;=1,Dayrun&lt;=6),I111,(VLOOKUP(A111,ScaledPrice,2))*(2-(VLOOKUP(A111,ScaledPrice,3)))))</f>
        <v> </v>
      </c>
      <c r="K111" s="315" t="str">
        <f aca="false">IF(A111="N/A"," ",IF(AND(Dayrun&gt;=1,Dayrun&lt;=3),VLOOKUP(A111,ScaledPrice,9),0))</f>
        <v> </v>
      </c>
      <c r="L111" s="315" t="str">
        <f aca="false">IF(A111="N/A"," ",IF(OR(Dayrun=2,Dayrun=3,Dayrun=5,Dayrun=6,Dayrun=8,Dayrun=9),VLOOKUP(A111,ScaledPrice,IF(AND(Dayrun&gt;=2,Dayrun&lt;=6),5,6)),0))</f>
        <v> </v>
      </c>
      <c r="M111" s="315" t="str">
        <f aca="false">IF(A111="N/A"," ",IF(OR(Dayrun=2,Dayrun=3,Dayrun=5,Dayrun=6,Dayrun=8,Dayrun=9),IF(AND(Dayrun&gt;=2,Dayrun&lt;=6),L111,(VLOOKUP(A111,ScaledPrice,5))*(2-(VLOOKUP(A111,ScaledPrice,3)))),0))</f>
        <v> </v>
      </c>
      <c r="N111" s="315" t="str">
        <f aca="false">IF(A111="N/A"," ",IF(AND(Dayrun&gt;1,Dayrun&lt;=3),VLOOKUP(A111,ScaledPrice,9),0))</f>
        <v> </v>
      </c>
      <c r="O111" s="315" t="str">
        <f aca="false">IF(A111="N/A"," ",IF(OR(Dayrun=3,Dayrun=6,Dayrun=9),(VLOOKUP(A111,ScaledPrice,IF(AND(Dayrun&gt;=3,Dayrun&lt;=6),7,8))),0))</f>
        <v> </v>
      </c>
      <c r="P111" s="315" t="str">
        <f aca="false">IF(A111="N/A"," ",IF(OR(Dayrun=3,Dayrun=6,Dayrun=9),IF(AND(Dayrun&gt;=3,Dayrun&lt;=6),O111,(VLOOKUP(A111,ScaledPrice,7))*(2-(VLOOKUP(A111,ScaledPrice,3)))),0))</f>
        <v> </v>
      </c>
      <c r="Q111" s="315" t="str">
        <f aca="false">IF(A111="N/A"," ",IF(AND(Dayrun&gt;2,Dayrun&lt;=3),VLOOKUP(A111,ScaledPrice,9),0))</f>
        <v> </v>
      </c>
      <c r="R111" s="316" t="str">
        <f aca="false">IF($A111="N/A"," ",IF(Pricetype=2,MAX(I111-$H111,0),IF(Pricetype=1,(xSPRDOPT(I111,$E111,$CI111,0,($CD111+IF(Smile=TRUE(),VLOOKUP(MAX(-5,$H111-I111),Volsmile,2),0)),$CG111,$CH111,($A111-DateToday)+15,1,0)),I111-$H111)))</f>
        <v> </v>
      </c>
      <c r="S111" s="316" t="str">
        <f aca="false">IF($A111="N/A"," ",IF(Pricetype=2,MAX(J111-$H111,0),IF(Pricetype=1,(xSPRDOPT(J111,$E111,$CI111,0,($CD111+IF(Smile=TRUE(),VLOOKUP(MAX(-5,$H111-J111),Volsmile,2),0)),$CG111,$CH111,($A111-DateToday)+15,1,0)),J111-$H111)))</f>
        <v> </v>
      </c>
      <c r="T111" s="317" t="str">
        <f aca="false">IF($A111="N/A"," ",(IF(Pricetype=2,IF((K111-$H111)&lt;=0,0,(K111-$H111)),IF(K111&lt;&gt;0,(K111-$H111),0))))</f>
        <v> </v>
      </c>
      <c r="U111" s="316" t="str">
        <f aca="false">IF($A111="N/A"," ",IF(Pricetype=2,MAX(L111-$H111,0),IF(L111&lt;&gt;0,IF(Pricetype=1,(xSPRDOPT(L111,$E111,$CI111,0,($CD111+IF(Smile=TRUE(),VLOOKUP(MAX(-5,$H111-L111),Volsmile,2),0)),$CG111,$CH111,($A111-DateToday)+15,1,0)),L111-$H111),0)))</f>
        <v> </v>
      </c>
      <c r="V111" s="316" t="str">
        <f aca="false">IF($A111="N/A"," ",IF(Pricetype=2,MAX(M111-$H111,0),IF(M111&lt;&gt;0,IF(Pricetype=1,(xSPRDOPT(M111,$E111,$CI111,0,($CD111+IF(Smile=TRUE(),VLOOKUP(MAX(-5,$H111-M111),Volsmile,2),0)),$CG111,$CH111,($A111-DateToday)+15,1,0)),M111-$H111),0)))</f>
        <v> </v>
      </c>
      <c r="W111" s="317" t="str">
        <f aca="false">IF($A111="N/A"," ",(IF(Pricetype=2,IF((N111-$H111)&lt;=0,0,(N111-$H111)),IF(N111&lt;&gt;0,(N111-$H111),0))))</f>
        <v> </v>
      </c>
      <c r="X111" s="316" t="str">
        <f aca="false">IF($A111="N/A"," ",IF(Pricetype=2,MAX(O111-$H111,0),IF(O111&lt;&gt;0,IF(Pricetype=1,(xSPRDOPT(O111,$E111,$CI111,0,($CD111+IF(Smile=TRUE(),VLOOKUP(MAX(-5,$H111-O111),Volsmile,2),0)),$CG111,$CH111,($A111-DateToday)+15,1,0)),O111-$H111),0)))</f>
        <v> </v>
      </c>
      <c r="Y111" s="316" t="str">
        <f aca="false">IF($A111="N/A"," ",IF(Pricetype=2,MAX(P111-$H111,0),IF(P111&lt;&gt;0,IF(Pricetype=1,(xSPRDOPT(P111,$E111,$CI111,0,($CD111+IF(Smile=TRUE(),VLOOKUP(MAX(-5,$H111-P111),Volsmile,2),0)),$CG111,$CH111,($A111-DateToday)+15,1,0)),P111-$H111),0)))</f>
        <v> </v>
      </c>
      <c r="Z111" s="317" t="str">
        <f aca="false">IF($A111="N/A"," ",(IF(Pricetype=2,IF((Q111-$H111)&lt;=0,0,(Q111-$H111)),IF(Q111&lt;&gt;0,(Q111-$H111),0))))</f>
        <v> </v>
      </c>
      <c r="AA111" s="318" t="str">
        <f aca="false">IF($A111="N/A"," ",IF(VLOOKUP(MONTH(A111),ManualTable,2)=1,(IF(0&lt;&gt;R111,IF(Pricetype=1,(xSPRDOPT(I111,$E111,$CI111,0,($CD111+IF(Smile=TRUE(),VLOOKUP(MAX(-5,$H111-I111),Volsmile,2),0)),$CG111,$CH111,($A111-DateToday)+15,1,1))*(8*$HD111),8*$HD111),0)),0))</f>
        <v> </v>
      </c>
      <c r="AB111" s="318" t="str">
        <f aca="false">IF($A111="N/A"," ",IF(VLOOKUP(MONTH(A111),ManualTable,3)=1,(IF(S111&lt;&gt;0,IF(Pricetype=1,(xSPRDOPT(J111,$E111,$CI111,0,($CD111+IF(Smile=TRUE(),VLOOKUP(MAX(-5,$H111-J111),Volsmile,2),0)),$CG111,$CH111,($A111-DateToday)+15,1,1))*(8*$HD111),8*$HD111),0)),0))</f>
        <v> </v>
      </c>
      <c r="AC111" s="318" t="str">
        <f aca="false">IF($A111="N/A"," ",IF(VLOOKUP(MONTH(A111),ManualTable,4)=1,(IF(T111&lt;&gt;0,(8*$HD111),0)),0))</f>
        <v> </v>
      </c>
      <c r="AD111" s="318" t="str">
        <f aca="false">IF($A111="N/A"," ",IF(VLOOKUP(MONTH(A111),ManualTable,5)=1,(IF(U111&lt;&gt;0,IF(Pricetype=1,(xSPRDOPT(L111,$E111,$CI111,0,($CD111+IF(Smile=TRUE(),VLOOKUP(MAX(-5,$H111-L111),Volsmile,2),0)),$CG111,$CH111,($A111-DateToday)+15,1,1))*(8*$HE111),8*$HE111),0)),0))</f>
        <v> </v>
      </c>
      <c r="AE111" s="318" t="str">
        <f aca="false">IF($A111="N/A"," ",IF(VLOOKUP(MONTH(A111),ManualTable,6)=1,(IF(V111&lt;&gt;0,IF(Pricetype=1,(xSPRDOPT(M111,$E111,$CI111,0,($CD111+IF(Smile=TRUE(),VLOOKUP(MAX(-5,$H111-M111),Volsmile,2),0)),$CG111,$CH111,($A111-DateToday)+15,1,1))*(8*$HE111),8*$HE111),0)),0))</f>
        <v> </v>
      </c>
      <c r="AF111" s="318" t="str">
        <f aca="false">IF($A111="N/A"," ",IF(VLOOKUP(MONTH(A111),ManualTable,7)=1,(IF(W111&lt;&gt;0,(8*$HE111),0)),0))</f>
        <v> </v>
      </c>
      <c r="AG111" s="318" t="str">
        <f aca="false">IF($A111="N/A"," ",IF(VLOOKUP(MONTH(A111),ManualTable,8)=1,(IF(X111&lt;&gt;0,IF(Pricetype=1,(xSPRDOPT(O111,$E111,$CI111,0,($CD111+IF(Smile=TRUE(),VLOOKUP(MAX(-5,$H111-O111),Volsmile,2),0)),$CG111,$CH111,($A111-DateToday)+15,1,1))*(8*$HF111),8*$HF111),0)),0))</f>
        <v> </v>
      </c>
      <c r="AH111" s="318" t="str">
        <f aca="false">IF($A111="N/A"," ",IF(VLOOKUP(MONTH(A111),ManualTable,9)=1,(IF(Y111&lt;&gt;0,IF(Pricetype=1,(xSPRDOPT(P111,$E111,$CI111,0,($CD111+IF(Smile=TRUE(),VLOOKUP(MAX(-5,$H111-P111),Volsmile,2),0)),$CG111,$CH111,($A111-DateToday)+15,1,1))*(8*$HF111),8*$HF111),0)),0))</f>
        <v> </v>
      </c>
      <c r="AI111" s="318" t="str">
        <f aca="false">IF($A111="N/A"," ",IF(VLOOKUP(MONTH(A111),ManualTable,10)=1,(IF(Z111&lt;&gt;0,(8*($HF111)),0)),0))</f>
        <v> </v>
      </c>
      <c r="AJ111" s="349" t="str">
        <f aca="false">IF($A111="N/A"," ",RANK(R111,$R$100:$Z$111))</f>
        <v> </v>
      </c>
      <c r="AK111" s="350" t="str">
        <f aca="false">IF($A111="N/A"," ",RANK(S111,$R$100:$Z$111))</f>
        <v> </v>
      </c>
      <c r="AL111" s="350" t="str">
        <f aca="false">IF($A111="N/A"," ",RANK(T111,$R$100:$Z$111))</f>
        <v> </v>
      </c>
      <c r="AM111" s="350" t="str">
        <f aca="false">IF($A111="N/A"," ",RANK(U111,$R$100:$Z$111))</f>
        <v> </v>
      </c>
      <c r="AN111" s="350" t="str">
        <f aca="false">IF($A111="N/A"," ",RANK(V111,$R$100:$Z$111))</f>
        <v> </v>
      </c>
      <c r="AO111" s="350" t="str">
        <f aca="false">IF($A111="N/A"," ",RANK(W111,$R$100:$Z$111))</f>
        <v> </v>
      </c>
      <c r="AP111" s="350" t="str">
        <f aca="false">IF($A111="N/A"," ",RANK(X111,$R$100:$Z$111))</f>
        <v> </v>
      </c>
      <c r="AQ111" s="350" t="str">
        <f aca="false">IF($A111="N/A"," ",RANK(Y111,$R$100:$Z$111))</f>
        <v> </v>
      </c>
      <c r="AR111" s="351" t="str">
        <f aca="false">IF($A111="N/A"," ",RANK(Z111,$R$100:$Z$111))</f>
        <v> </v>
      </c>
      <c r="AS111" s="352" t="str">
        <f aca="false">IF($A111="N/A"," ",IF(AJ111&lt;=$AR$2,AA111,0))</f>
        <v> </v>
      </c>
      <c r="AT111" s="353" t="str">
        <f aca="false">IF($A111="N/A"," ",IF(AK111&lt;=$AR$2,AB111,0))</f>
        <v> </v>
      </c>
      <c r="AU111" s="353" t="str">
        <f aca="false">IF($A111="N/A"," ",IF(AL111&lt;=$AR$2,AC111,0))</f>
        <v> </v>
      </c>
      <c r="AV111" s="353" t="str">
        <f aca="false">IF($A111="N/A"," ",IF(AM111&lt;=$AR$2,AD111,0))</f>
        <v> </v>
      </c>
      <c r="AW111" s="353" t="str">
        <f aca="false">IF($A111="N/A"," ",IF(AN111&lt;=$AR$2,AE111,0))</f>
        <v> </v>
      </c>
      <c r="AX111" s="353" t="str">
        <f aca="false">IF($A111="N/A"," ",IF(AO111&lt;=$AR$2,AF111,0))</f>
        <v> </v>
      </c>
      <c r="AY111" s="353" t="str">
        <f aca="false">IF($A111="N/A"," ",IF(AP111&lt;=$AR$2,AG111,0))</f>
        <v> </v>
      </c>
      <c r="AZ111" s="353" t="str">
        <f aca="false">IF($A111="N/A"," ",IF(AQ111&lt;=$AR$2,AH111,0))</f>
        <v> </v>
      </c>
      <c r="BA111" s="353" t="str">
        <f aca="false">IF($A111="N/A"," ",IF(AR111&lt;=$AR$2,AI111,0))</f>
        <v> </v>
      </c>
      <c r="BB111" s="351" t="n">
        <f aca="false">IF(($AZ$2-BB110)&gt;=0,$AZ$2-BB110,0)</f>
        <v>980</v>
      </c>
      <c r="BC111" s="354" t="str">
        <f aca="false">IF($A111="N/A"," ",IF(AND(AJ111=$AR$2+1,AS111=0),MIN($BB$111,AA111),0))</f>
        <v> </v>
      </c>
      <c r="BD111" s="355" t="str">
        <f aca="false">IF($A111="N/A"," ",IF(AND(AK111=$AR$2+1,AT111=0),MIN($BB$111,AB111),0))</f>
        <v> </v>
      </c>
      <c r="BE111" s="346" t="str">
        <f aca="false">IF($A111="N/A"," ",IF(AND(AL111=$AR$2+1,AU111=0),MIN($BB$111,AC111),0))</f>
        <v> </v>
      </c>
      <c r="BF111" s="355" t="str">
        <f aca="false">IF($A111="N/A"," ",IF(AND(AM111=$AR$2+1,AV111=0),MIN($BB$111,AD111),0))</f>
        <v> </v>
      </c>
      <c r="BG111" s="355" t="str">
        <f aca="false">IF($A111="N/A"," ",IF(AND(AN111=$AR$2+1,AW111=0),MIN($BB$111,AE111),0))</f>
        <v> </v>
      </c>
      <c r="BH111" s="346" t="str">
        <f aca="false">IF($A111="N/A"," ",IF(AND(AO111=$AR$2+1,AX111=0),MIN($BB$111,AF111),0))</f>
        <v> </v>
      </c>
      <c r="BI111" s="355" t="str">
        <f aca="false">IF($A111="N/A"," ",IF(AND(AP111=$AR$2+1,AY111=0),MIN($BB$111,AG111),0))</f>
        <v> </v>
      </c>
      <c r="BJ111" s="355" t="str">
        <f aca="false">IF($A111="N/A"," ",IF(AND(AQ111=$AR$2+1,AZ111=0),MIN($BB$111,AH111),0))</f>
        <v> </v>
      </c>
      <c r="BK111" s="355" t="str">
        <f aca="false">IF($A111="N/A"," ",IF(AND(AR111=$AR$2+1,BA111=0),MIN($BB$111,AI111),0))</f>
        <v> </v>
      </c>
      <c r="BL111" s="356" t="n">
        <f aca="false">BB110+BL110</f>
        <v>0</v>
      </c>
      <c r="BM111" s="329" t="str">
        <f aca="false">IF($A111="N/A"," ",(IF(MONTH(A111)&gt;=4,IF(MONTH(A111)&lt;=10,Inputs!$F$13-Inputs!$G$13,Inputs!$F$14-Inputs!$G$14),Inputs!$F$14-Inputs!$G$14))*$CK111*Availability)</f>
        <v> </v>
      </c>
      <c r="BN111" s="330" t="str">
        <f aca="false">IF($A111="N/A"," ",(IF(AS111&gt;0,($BM111*(8*($HD111))*R111),0)+IF(BC111&gt;0,($BM111*((BC111/AA111)*8*$HD111)*R111),0)))</f>
        <v> </v>
      </c>
      <c r="BO111" s="330" t="str">
        <f aca="false">IF($A111="N/A"," ",(IF(AT111&gt;0,($BM111*(8*($HD111))*S111),0)+IF(BD111&gt;0,($BM111*((BD111/AB111)*8*$HD111)*S111),0)))</f>
        <v> </v>
      </c>
      <c r="BP111" s="330" t="str">
        <f aca="false">IF($A111="N/A"," ",(IF(AU111&gt;0,($BM111*(8*($HD111))*T111),0)+IF(BE111&gt;0,($BM111*((BE111))*T111),0)))</f>
        <v> </v>
      </c>
      <c r="BQ111" s="330" t="str">
        <f aca="false">IF($A111="N/A"," ",(IF(AV111&gt;0,($BM111*(8*($HE111))*U111),0)+IF(BF111&gt;0,($BM111*((BF111/AD111)*8*$HE111)*U111),0)))</f>
        <v> </v>
      </c>
      <c r="BR111" s="330" t="str">
        <f aca="false">IF($A111="N/A"," ",(IF(AW111&gt;0,($BM111*(8*($HE111))*V111),0)+IF(BG111&gt;0,($BM111*((BG111/AE111)*8*$HE111)*V111),0)))</f>
        <v> </v>
      </c>
      <c r="BS111" s="330" t="str">
        <f aca="false">IF($A111="N/A"," ",(IF(AX111&gt;0,($BM111*(8*($HE111))*W111),0)+IF(BH111&gt;0,($BM111*((BH111))*W111),0)))</f>
        <v> </v>
      </c>
      <c r="BT111" s="330" t="str">
        <f aca="false">IF($A111="N/A"," ",(IF(AY111&gt;0,($BM111*(8*($HF111))*X111),0)+IF(BI111&gt;0,($BM111*((BI111/AG111)*8*$HF111)*X111),0)))</f>
        <v> </v>
      </c>
      <c r="BU111" s="330" t="str">
        <f aca="false">IF($A111="N/A"," ",(IF(AZ111&gt;0,($BM111*(8*($HF111))*Y111),0)+IF(BJ111&gt;0,($BM111*((BJ111/AH111)*8*$HF111)*Y111),0)))</f>
        <v> </v>
      </c>
      <c r="BV111" s="330" t="str">
        <f aca="false">IF($A111="N/A"," ",(IF(BA111&gt;0,($BM111*(8*($HF111))*Z111),0)+IF(BK111&gt;0,($BM111*((BK111))*Z111),0)))</f>
        <v> </v>
      </c>
      <c r="BW111" s="330" t="str">
        <f aca="false">IF($A111="N/A"," ",SUM(BN111:BV111))</f>
        <v> </v>
      </c>
      <c r="BX111" s="331" t="str">
        <f aca="false">IF($A111="N/A"," ",(H111*(SUM(AS111:BA111)+SUM(BC111:BK111))*BM111))</f>
        <v> </v>
      </c>
      <c r="BY111" s="332" t="str">
        <f aca="false">IF($A111="N/A"," ",((C111*D111)*(SUM($AS111:$BA111)+SUM($BC111:$BK111))*$BM111))</f>
        <v> </v>
      </c>
      <c r="BZ111" s="332" t="str">
        <f aca="false">IF($A111="N/A"," ",(F111*(SUM($AS111:$BA111)+SUM($BC111:$BK111))*$BM111))</f>
        <v> </v>
      </c>
      <c r="CA111" s="333" t="str">
        <f aca="false">IF($A111="N/A"," ",(G111*(SUM($AS111:$BA111)+SUM($BC111:$BK111))*$BM111))</f>
        <v> </v>
      </c>
      <c r="CB111" s="334" t="str">
        <f aca="false">IF(A111="N/A"," ",(VLOOKUP(A111,PowerVolTable,(IF(BMO=2,7,IF(BMO=1,6,8))),FALSE())))</f>
        <v> </v>
      </c>
      <c r="CC111" s="334" t="str">
        <f aca="false">IF(A111="N/A"," ",(VLOOKUP(A111,IntraPowerVol,(IF(BMO=2,3,IF(BMO=1,2,4))),FALSE())*VLOOKUP(MONTH($A111),Volscale,2)))</f>
        <v> </v>
      </c>
      <c r="CD111" s="335" t="str">
        <f aca="false">IF($A111="N/A"," ",(IF(DateToday&gt;$A111,$CC111,((($CB111^2)*((($A111-1)-DateToday)/((EOMONTH($A111,0)+1)-DateToday-15)))+((($CC111)^2)*((15)/((EOMONTH($A111,0)+1)-DateToday-15))))^0.5)))</f>
        <v> </v>
      </c>
      <c r="CE111" s="334" t="str">
        <f aca="false">IF($A111="N/A"," ",(VLOOKUP($A111,GasVolTable,(IF(BMO=2,6,IF(BMO=1,7,5))),FALSE())))</f>
        <v> </v>
      </c>
      <c r="CF111" s="334" t="str">
        <f aca="false">IF($A111="N/A"," ",(VLOOKUP($A111,OmicronVol,(IF(BMO=2,3,IF(BMO=1,4,2))),FALSE())))</f>
        <v> </v>
      </c>
      <c r="CG111" s="335" t="str">
        <f aca="false">IF($A111="N/A"," ",(IF(DateToday&gt;$A111,$CF111,((($CE111^2)*((($A111-1)-DateToday)/((EOMONTH($A111,0)+1)-DateToday-15)))+((($CF111)^2)*((15)/((EOMONTH($A111,0)+1)-DateToday-15))))^0.5)))</f>
        <v> </v>
      </c>
      <c r="CH111" s="334" t="str">
        <f aca="false">IF($A111="N/A"," ",VLOOKUP($A111,CorrelationTable,2,FALSE()))</f>
        <v> </v>
      </c>
      <c r="CI111" s="336" t="str">
        <f aca="false">IF($A111="N/A"," ",F111+G111+(D111*('Pricing Inputs'!T144)))</f>
        <v> </v>
      </c>
      <c r="CJ111" s="334" t="str">
        <f aca="false">IF($A111="N/A"," ",IF(PV=1,0,'Pricing Inputs'!U144))</f>
        <v> </v>
      </c>
      <c r="CK111" s="337" t="str">
        <f aca="false">IF($A111="N/A"," ",(1+CJ111/2)^(-2*((EOMONTH(A111,0)+20)-DateToday)/365.25))</f>
        <v> </v>
      </c>
      <c r="CL111" s="338" t="str">
        <f aca="false">IF(A111="N/A"," ",IF(CC=2,(VLOOKUP(MONTH($A111),Hrtable,3))/1000,0))</f>
        <v> </v>
      </c>
      <c r="CM111" s="339" t="str">
        <f aca="false">IF(A111="N/A"," ",IF(CC=2,(CL111*C111)+F111,0))</f>
        <v> </v>
      </c>
      <c r="CN111" s="340" t="str">
        <f aca="false">IF($A111="N/A"," ",IF(CC=2,(VLOOKUP(A111,ScaledPrice,(IF(AND(Dayrun&gt;=1,Dayrun&lt;=6),2,4)))-((IF(R111&lt;&gt;0,$D111,$CL111)*$C111)+$F111+$G111)),0))</f>
        <v> </v>
      </c>
      <c r="CO111" s="340" t="str">
        <f aca="false">IF($A111="N/A"," ",IF(CC=2,(IF(AND(Dayrun&gt;=1,Dayrun&lt;=6),I111,(VLOOKUP(A111,ScaledPrice,2))*(2-(VLOOKUP(A111,ScaledPrice,3))))-((IF(S111&lt;&gt;0,$D111,$CL111)*$C111)+$F111+$G111)),0))</f>
        <v> </v>
      </c>
      <c r="CP111" s="340" t="str">
        <f aca="false">IF(A111="N/A"," ",IF(CC=2,(VLOOKUP(A111,ScaledPrice,9)-((IF(T111&lt;&gt;0,$D111,$CL111)*$C111)+$F111+$G111)),0))</f>
        <v> </v>
      </c>
      <c r="CQ111" s="340" t="str">
        <f aca="false">IF(A111="N/A"," ",IF(CC=2,(IF(OR(Dayrun=2,Dayrun=3,Dayrun=5,Dayrun=6,Dayrun=8,Dayrun=9),VLOOKUP(A111,ScaledPrice,IF(AND(Dayrun&gt;=2,Dayrun&lt;=6),5,6)),0)-((IF(U111&lt;&gt;0,$D111,$CL111)*$C111)+$F111+$G111)),0))</f>
        <v> </v>
      </c>
      <c r="CR111" s="340" t="str">
        <f aca="false">IF(A111="N/A"," ",IF(CC=2,(IF(OR(Dayrun=2,Dayrun=3,Dayrun=5,Dayrun=6,Dayrun=8,Dayrun=9),IF(AND(Dayrun&gt;=2,Dayrun&lt;=6),L111,(VLOOKUP(A111,ScaledPrice,5))*(2-(VLOOKUP(A111,ScaledPrice,3)))),0)-((IF(V111&lt;&gt;0,$D111,$CL111)*$C111)+$F111+$G111)),0))</f>
        <v> </v>
      </c>
      <c r="CS111" s="340" t="str">
        <f aca="false">IF(A111="N/A"," ",IF(CC=2,(VLOOKUP(A111,ScaledPrice,9)-((IF(W111&lt;&gt;0,$D111,$CL111)*$C111)+$F111+$G111)),0))</f>
        <v> </v>
      </c>
      <c r="CT111" s="340" t="str">
        <f aca="false">IF(A111="N/A"," ",IF(CC=2,(IF(OR(Dayrun=3,Dayrun=6,Dayrun=9),(VLOOKUP(A111,ScaledPrice,IF(AND(Dayrun&gt;=3,Dayrun&lt;=6),7,8))),0)-((IF(X111&lt;&gt;0,$D111,$CL111)*$C111)+$F111+$G111)),0))</f>
        <v> </v>
      </c>
      <c r="CU111" s="340" t="str">
        <f aca="false">IF(A111="N/A"," ",IF(CC=2,(IF(OR(Dayrun=3,Dayrun=6,Dayrun=9),IF(AND(Dayrun&gt;=3,Dayrun&lt;=6),O111,(VLOOKUP(A111,ScaledPrice,7))*(2-(VLOOKUP(A111,ScaledPrice,3)))),0)-((IF(Y111&lt;&gt;0,$D111,$CL111)*$C111)+$F111+$G111)),0))</f>
        <v> </v>
      </c>
      <c r="CV111" s="340" t="str">
        <f aca="false">IF(A111="N/A"," ",IF(CC=2,(VLOOKUP(A111,ScaledPrice,9)-((IF(Z111&lt;&gt;0,$D111,$CL111)*$C111)+$F111+$G111)),0))</f>
        <v> </v>
      </c>
      <c r="CW111" s="318" t="str">
        <f aca="false">IF($A111="N/A"," ",IF(0&lt;&gt;CN111,IF(CC=2,8*$HD111,0),0))</f>
        <v> </v>
      </c>
      <c r="CX111" s="318" t="str">
        <f aca="false">IF($A111="N/A"," ",IF(0&lt;&gt;CO111,IF(CC=2,8*$HD111,0),0))</f>
        <v> </v>
      </c>
      <c r="CY111" s="318" t="str">
        <f aca="false">IF($A111="N/A"," ",IF(0&lt;&gt;CP111,IF(CC=2,8*$HD111,0),0))</f>
        <v> </v>
      </c>
      <c r="CZ111" s="318" t="str">
        <f aca="false">IF($A111="N/A"," ",IF(0&lt;&gt;CQ111,IF(CC=2,8*$HE111,0),0))</f>
        <v> </v>
      </c>
      <c r="DA111" s="318" t="str">
        <f aca="false">IF($A111="N/A"," ",IF(0&lt;&gt;CR111,IF(CC=2,8*$HE111,0),0))</f>
        <v> </v>
      </c>
      <c r="DB111" s="318" t="str">
        <f aca="false">IF($A111="N/A"," ",IF(0&lt;&gt;CS111,IF(CC=2,8*$HE111,0),0))</f>
        <v> </v>
      </c>
      <c r="DC111" s="318" t="str">
        <f aca="false">IF($A111="N/A"," ",IF(0&lt;&gt;CT111,IF(CC=2,8*$HF111,0),0))</f>
        <v> </v>
      </c>
      <c r="DD111" s="318" t="str">
        <f aca="false">IF($A111="N/A"," ",IF(0&lt;&gt;CU111,IF(CC=2,8*$HF111,0),0))</f>
        <v> </v>
      </c>
      <c r="DE111" s="318" t="str">
        <f aca="false">IF($A111="N/A"," ",IF(0&lt;&gt;CV111,IF(CC=2,8*$HF111,0),0))</f>
        <v> </v>
      </c>
      <c r="DF111" s="341" t="str">
        <f aca="false">IF($A111="N/A"," ",IF(CC=2,(IF(MONTH(A111)&gt;=4,IF(MONTH(A111)&lt;=10,Inputs!$G$13,Inputs!$G$14),Inputs!$G$14))*$CK111,0))</f>
        <v> </v>
      </c>
      <c r="DG111" s="342" t="str">
        <f aca="false">IF($A111="N/A"," ",IF(CC=2,$DF111*CW111*CN111,0))</f>
        <v> </v>
      </c>
      <c r="DH111" s="342" t="str">
        <f aca="false">IF($A111="N/A"," ",IF(CC=2,$DF111*CX111*CO111,0))</f>
        <v> </v>
      </c>
      <c r="DI111" s="342" t="str">
        <f aca="false">IF($A111="N/A"," ",IF(CC=2,$DF111*CY111*CP111,0))</f>
        <v> </v>
      </c>
      <c r="DJ111" s="342" t="str">
        <f aca="false">IF($A111="N/A"," ",IF(CC=2,$DF111*CZ111*CQ111,0))</f>
        <v> </v>
      </c>
      <c r="DK111" s="342" t="str">
        <f aca="false">IF($A111="N/A"," ",IF(CC=2,$DF111*DA111*CR111,0))</f>
        <v> </v>
      </c>
      <c r="DL111" s="342" t="str">
        <f aca="false">IF($A111="N/A"," ",IF(CC=2,$DF111*DB111*CS111,0))</f>
        <v> </v>
      </c>
      <c r="DM111" s="342" t="str">
        <f aca="false">IF($A111="N/A"," ",IF(CC=2,$DF111*DC111*CT111,0))</f>
        <v> </v>
      </c>
      <c r="DN111" s="342" t="str">
        <f aca="false">IF($A111="N/A"," ",IF(CC=2,$DF111*DD111*CU111,0))</f>
        <v> </v>
      </c>
      <c r="DO111" s="342" t="str">
        <f aca="false">IF($A111="N/A"," ",IF(CC=2,$DF111*DE111*CV111,0))</f>
        <v> </v>
      </c>
      <c r="DP111" s="343" t="str">
        <f aca="false">IF($A111="N/A"," ",IF(CC=2,SUM(DG111:DO111),0))</f>
        <v> </v>
      </c>
      <c r="DQ111" s="0" t="str">
        <f aca="false">IF(A111="N/A"," ",Perstart)</f>
        <v> </v>
      </c>
      <c r="HD111" s="0" t="str">
        <f aca="false">IF($A111="N/A"," ",VLOOKUP($A111,NumberofDaysTable,2))</f>
        <v> </v>
      </c>
      <c r="HE111" s="0" t="str">
        <f aca="false">IF($A111="N/A"," ",VLOOKUP($A111,NumberofDaysTable,3))</f>
        <v> </v>
      </c>
      <c r="HF111" s="0" t="str">
        <f aca="false">IF($A111="N/A"," ",VLOOKUP($A111,NumberofDaysTable,4))</f>
        <v> </v>
      </c>
    </row>
    <row r="112" customFormat="false" ht="12.75" hidden="false" customHeight="false" outlineLevel="0" collapsed="false">
      <c r="A112" s="308" t="str">
        <f aca="false">IF(A111="N/A","N/A",IF(EDATE(A111,1)&gt;Inputs!$K$3,"N/A",EDATE(A111,1)))</f>
        <v>N/A</v>
      </c>
      <c r="B112" s="309" t="str">
        <f aca="false">IF(A112="N/A"," ",YEAR(A112))</f>
        <v> </v>
      </c>
      <c r="C112" s="310" t="str">
        <f aca="false">IF(A112="N/A"," ",VLOOKUP(A112,ScaledPrice,10))</f>
        <v> </v>
      </c>
      <c r="D112" s="311" t="str">
        <f aca="false">IF(A112="N/A"," ",(VLOOKUP(MONTH($A112),Hrtable,2))/1000)</f>
        <v> </v>
      </c>
      <c r="E112" s="312" t="str">
        <f aca="false">IF($A112="N/A"," ",(C112-'Pricing Inputs'!T145)*D112)</f>
        <v> </v>
      </c>
      <c r="F112" s="313" t="str">
        <f aca="false">IF(A112="N/A"," ",$F100*(1+VOMesc))</f>
        <v> </v>
      </c>
      <c r="G112" s="313" t="str">
        <f aca="false">IF(A112="N/A"," ",Perstart/IF(AND(Dayrun&gt;=4,Dayrun&lt;=6),16,IF(AND(Dayrun&gt;=7,Dayrun&lt;=9),8,24))/(BM112/CK112))</f>
        <v> </v>
      </c>
      <c r="H112" s="314" t="str">
        <f aca="false">IF(A112="N/A"," ",(C112*D112)+F112+G112)</f>
        <v> </v>
      </c>
      <c r="I112" s="315" t="str">
        <f aca="false">VLOOKUP(A112,ScaledPrice,(IF(AND(Dayrun&gt;=1,Dayrun&lt;=6),2,4)))</f>
        <v> </v>
      </c>
      <c r="J112" s="315" t="str">
        <f aca="false">IF(A112="N/A"," ",IF(AND(Dayrun&gt;=1,Dayrun&lt;=6),I112,(VLOOKUP(A112,ScaledPrice,2))*(2-(VLOOKUP(A112,ScaledPrice,3)))))</f>
        <v> </v>
      </c>
      <c r="K112" s="315" t="str">
        <f aca="false">IF(A112="N/A"," ",IF(AND(Dayrun&gt;=1,Dayrun&lt;=3),VLOOKUP(A112,ScaledPrice,9),0))</f>
        <v> </v>
      </c>
      <c r="L112" s="315" t="str">
        <f aca="false">IF(A112="N/A"," ",IF(OR(Dayrun=2,Dayrun=3,Dayrun=5,Dayrun=6,Dayrun=8,Dayrun=9),VLOOKUP(A112,ScaledPrice,IF(AND(Dayrun&gt;=2,Dayrun&lt;=6),5,6)),0))</f>
        <v> </v>
      </c>
      <c r="M112" s="315" t="str">
        <f aca="false">IF(A112="N/A"," ",IF(OR(Dayrun=2,Dayrun=3,Dayrun=5,Dayrun=6,Dayrun=8,Dayrun=9),IF(AND(Dayrun&gt;=2,Dayrun&lt;=6),L112,(VLOOKUP(A112,ScaledPrice,5))*(2-(VLOOKUP(A112,ScaledPrice,3)))),0))</f>
        <v> </v>
      </c>
      <c r="N112" s="315" t="str">
        <f aca="false">IF(A112="N/A"," ",IF(AND(Dayrun&gt;1,Dayrun&lt;=3),VLOOKUP(A112,ScaledPrice,9),0))</f>
        <v> </v>
      </c>
      <c r="O112" s="315" t="str">
        <f aca="false">IF(A112="N/A"," ",IF(OR(Dayrun=3,Dayrun=6,Dayrun=9),(VLOOKUP(A112,ScaledPrice,IF(AND(Dayrun&gt;=3,Dayrun&lt;=6),7,8))),0))</f>
        <v> </v>
      </c>
      <c r="P112" s="315" t="str">
        <f aca="false">IF(A112="N/A"," ",IF(OR(Dayrun=3,Dayrun=6,Dayrun=9),IF(AND(Dayrun&gt;=3,Dayrun&lt;=6),O112,(VLOOKUP(A112,ScaledPrice,7))*(2-(VLOOKUP(A112,ScaledPrice,3)))),0))</f>
        <v> </v>
      </c>
      <c r="Q112" s="315" t="str">
        <f aca="false">IF(A112="N/A"," ",IF(AND(Dayrun&gt;2,Dayrun&lt;=3),VLOOKUP(A112,ScaledPrice,9),0))</f>
        <v> </v>
      </c>
      <c r="R112" s="316" t="str">
        <f aca="false">IF($A112="N/A"," ",IF(Pricetype=2,MAX(I112-$H112,0),IF(Pricetype=1,(xSPRDOPT(I112,$E112,$CI112,0,($CD112+IF(Smile=TRUE(),VLOOKUP(MAX(-5,$H112-I112),Volsmile,2),0)),$CG112,$CH112,($A112-DateToday)+15,1,0)),I112-$H112)))</f>
        <v> </v>
      </c>
      <c r="S112" s="316" t="str">
        <f aca="false">IF($A112="N/A"," ",IF(Pricetype=2,MAX(J112-$H112,0),IF(Pricetype=1,(xSPRDOPT(J112,$E112,$CI112,0,($CD112+IF(Smile=TRUE(),VLOOKUP(MAX(-5,$H112-J112),Volsmile,2),0)),$CG112,$CH112,($A112-DateToday)+15,1,0)),J112-$H112)))</f>
        <v> </v>
      </c>
      <c r="T112" s="317" t="str">
        <f aca="false">IF($A112="N/A"," ",(IF(Pricetype=2,IF((K112-$H112)&lt;=0,0,(K112-$H112)),IF(K112&lt;&gt;0,(K112-$H112),0))))</f>
        <v> </v>
      </c>
      <c r="U112" s="316" t="str">
        <f aca="false">IF($A112="N/A"," ",IF(Pricetype=2,MAX(L112-$H112,0),IF(L112&lt;&gt;0,IF(Pricetype=1,(xSPRDOPT(L112,$E112,$CI112,0,($CD112+IF(Smile=TRUE(),VLOOKUP(MAX(-5,$H112-L112),Volsmile,2),0)),$CG112,$CH112,($A112-DateToday)+15,1,0)),L112-$H112),0)))</f>
        <v> </v>
      </c>
      <c r="V112" s="316" t="str">
        <f aca="false">IF($A112="N/A"," ",IF(Pricetype=2,MAX(M112-$H112,0),IF(M112&lt;&gt;0,IF(Pricetype=1,(xSPRDOPT(M112,$E112,$CI112,0,($CD112+IF(Smile=TRUE(),VLOOKUP(MAX(-5,$H112-M112),Volsmile,2),0)),$CG112,$CH112,($A112-DateToday)+15,1,0)),M112-$H112),0)))</f>
        <v> </v>
      </c>
      <c r="W112" s="317" t="str">
        <f aca="false">IF($A112="N/A"," ",(IF(Pricetype=2,IF((N112-$H112)&lt;=0,0,(N112-$H112)),IF(N112&lt;&gt;0,(N112-$H112),0))))</f>
        <v> </v>
      </c>
      <c r="X112" s="316" t="str">
        <f aca="false">IF($A112="N/A"," ",IF(Pricetype=2,MAX(O112-$H112,0),IF(O112&lt;&gt;0,IF(Pricetype=1,(xSPRDOPT(O112,$E112,$CI112,0,($CD112+IF(Smile=TRUE(),VLOOKUP(MAX(-5,$H112-O112),Volsmile,2),0)),$CG112,$CH112,($A112-DateToday)+15,1,0)),O112-$H112),0)))</f>
        <v> </v>
      </c>
      <c r="Y112" s="316" t="str">
        <f aca="false">IF($A112="N/A"," ",IF(Pricetype=2,MAX(P112-$H112,0),IF(P112&lt;&gt;0,IF(Pricetype=1,(xSPRDOPT(P112,$E112,$CI112,0,($CD112+IF(Smile=TRUE(),VLOOKUP(MAX(-5,$H112-P112),Volsmile,2),0)),$CG112,$CH112,($A112-DateToday)+15,1,0)),P112-$H112),0)))</f>
        <v> </v>
      </c>
      <c r="Z112" s="317" t="str">
        <f aca="false">IF($A112="N/A"," ",(IF(Pricetype=2,IF((Q112-$H112)&lt;=0,0,(Q112-$H112)),IF(Q112&lt;&gt;0,(Q112-$H112),0))))</f>
        <v> </v>
      </c>
      <c r="AA112" s="318" t="str">
        <f aca="false">IF($A112="N/A"," ",IF(VLOOKUP(MONTH(A112),ManualTable,2)=1,(IF(0&lt;&gt;R112,IF(Pricetype=1,(xSPRDOPT(I112,$E112,$CI112,0,($CD112+IF(Smile=TRUE(),VLOOKUP(MAX(-5,$H112-I112),Volsmile,2),0)),$CG112,$CH112,($A112-DateToday)+15,1,1))*(8*$HD112),8*$HD112),0)),0))</f>
        <v> </v>
      </c>
      <c r="AB112" s="318" t="str">
        <f aca="false">IF($A112="N/A"," ",IF(VLOOKUP(MONTH(A112),ManualTable,3)=1,(IF(S112&lt;&gt;0,IF(Pricetype=1,(xSPRDOPT(J112,$E112,$CI112,0,($CD112+IF(Smile=TRUE(),VLOOKUP(MAX(-5,$H112-J112),Volsmile,2),0)),$CG112,$CH112,($A112-DateToday)+15,1,1))*(8*$HD112),8*$HD112),0)),0))</f>
        <v> </v>
      </c>
      <c r="AC112" s="318" t="str">
        <f aca="false">IF($A112="N/A"," ",IF(VLOOKUP(MONTH(A112),ManualTable,4)=1,(IF(T112&lt;&gt;0,(8*$HD112),0)),0))</f>
        <v> </v>
      </c>
      <c r="AD112" s="318" t="str">
        <f aca="false">IF($A112="N/A"," ",IF(VLOOKUP(MONTH(A112),ManualTable,5)=1,(IF(U112&lt;&gt;0,IF(Pricetype=1,(xSPRDOPT(L112,$E112,$CI112,0,($CD112+IF(Smile=TRUE(),VLOOKUP(MAX(-5,$H112-L112),Volsmile,2),0)),$CG112,$CH112,($A112-DateToday)+15,1,1))*(8*$HE112),8*$HE112),0)),0))</f>
        <v> </v>
      </c>
      <c r="AE112" s="318" t="str">
        <f aca="false">IF($A112="N/A"," ",IF(VLOOKUP(MONTH(A112),ManualTable,6)=1,(IF(V112&lt;&gt;0,IF(Pricetype=1,(xSPRDOPT(M112,$E112,$CI112,0,($CD112+IF(Smile=TRUE(),VLOOKUP(MAX(-5,$H112-M112),Volsmile,2),0)),$CG112,$CH112,($A112-DateToday)+15,1,1))*(8*$HE112),8*$HE112),0)),0))</f>
        <v> </v>
      </c>
      <c r="AF112" s="318" t="str">
        <f aca="false">IF($A112="N/A"," ",IF(VLOOKUP(MONTH(A112),ManualTable,7)=1,(IF(W112&lt;&gt;0,(8*$HE112),0)),0))</f>
        <v> </v>
      </c>
      <c r="AG112" s="318" t="str">
        <f aca="false">IF($A112="N/A"," ",IF(VLOOKUP(MONTH(A112),ManualTable,8)=1,(IF(X112&lt;&gt;0,IF(Pricetype=1,(xSPRDOPT(O112,$E112,$CI112,0,($CD112+IF(Smile=TRUE(),VLOOKUP(MAX(-5,$H112-O112),Volsmile,2),0)),$CG112,$CH112,($A112-DateToday)+15,1,1))*(8*$HF112),8*$HF112),0)),0))</f>
        <v> </v>
      </c>
      <c r="AH112" s="318" t="str">
        <f aca="false">IF($A112="N/A"," ",IF(VLOOKUP(MONTH(A112),ManualTable,9)=1,(IF(Y112&lt;&gt;0,IF(Pricetype=1,(xSPRDOPT(P112,$E112,$CI112,0,($CD112+IF(Smile=TRUE(),VLOOKUP(MAX(-5,$H112-P112),Volsmile,2),0)),$CG112,$CH112,($A112-DateToday)+15,1,1))*(8*$HF112),8*$HF112),0)),0))</f>
        <v> </v>
      </c>
      <c r="AI112" s="318" t="str">
        <f aca="false">IF($A112="N/A"," ",IF(VLOOKUP(MONTH(A112),ManualTable,10)=1,(IF(Z112&lt;&gt;0,(8*($HF112)),0)),0))</f>
        <v> </v>
      </c>
      <c r="AJ112" s="319" t="str">
        <f aca="false">IF($A112="N/A"," ",RANK(R112,$R$112:$Z$123))</f>
        <v> </v>
      </c>
      <c r="AK112" s="320" t="str">
        <f aca="false">IF($A112="N/A"," ",RANK(S112,$R$112:$Z$123))</f>
        <v> </v>
      </c>
      <c r="AL112" s="320" t="str">
        <f aca="false">IF($A112="N/A"," ",RANK(T112,$R$112:$Z$123))</f>
        <v> </v>
      </c>
      <c r="AM112" s="320" t="str">
        <f aca="false">IF($A112="N/A"," ",RANK(U112,$R$112:$Z$123))</f>
        <v> </v>
      </c>
      <c r="AN112" s="320" t="str">
        <f aca="false">IF($A112="N/A"," ",RANK(V112,$R$112:$Z$123))</f>
        <v> </v>
      </c>
      <c r="AO112" s="320" t="str">
        <f aca="false">IF($A112="N/A"," ",RANK(W112,$R$112:$Z$123))</f>
        <v> </v>
      </c>
      <c r="AP112" s="320" t="str">
        <f aca="false">IF($A112="N/A"," ",RANK(X112,$R$112:$Z$123))</f>
        <v> </v>
      </c>
      <c r="AQ112" s="320" t="str">
        <f aca="false">IF($A112="N/A"," ",RANK(Y112,$R$112:$Z$123))</f>
        <v> </v>
      </c>
      <c r="AR112" s="322" t="str">
        <f aca="false">IF($A112="N/A"," ",RANK(Z112,$R$112:$Z$123))</f>
        <v> </v>
      </c>
      <c r="AS112" s="357" t="str">
        <f aca="false">IF($A112="N/A"," ",IF(AJ112&lt;=$AR$2,AA112,0))</f>
        <v> </v>
      </c>
      <c r="AT112" s="324" t="str">
        <f aca="false">IF($A112="N/A"," ",IF(AK112&lt;=$AR$2,AB112,0))</f>
        <v> </v>
      </c>
      <c r="AU112" s="325" t="str">
        <f aca="false">IF($A112="N/A"," ",IF(AL112&lt;=$AR$2,AC112,0))</f>
        <v> </v>
      </c>
      <c r="AV112" s="325" t="str">
        <f aca="false">IF($A112="N/A"," ",IF(AM112&lt;=$AR$2,AD112,0))</f>
        <v> </v>
      </c>
      <c r="AW112" s="325" t="str">
        <f aca="false">IF($A112="N/A"," ",IF(AN112&lt;=$AR$2,AE112,0))</f>
        <v> </v>
      </c>
      <c r="AX112" s="325" t="str">
        <f aca="false">IF($A112="N/A"," ",IF(AO112&lt;=$AR$2,AF112,0))</f>
        <v> </v>
      </c>
      <c r="AY112" s="324" t="str">
        <f aca="false">IF($A112="N/A"," ",IF(AP112&lt;=$AR$2,AG112,0))</f>
        <v> </v>
      </c>
      <c r="AZ112" s="324" t="str">
        <f aca="false">IF($A112="N/A"," ",IF(AQ112&lt;=$AR$2,AH112,0))</f>
        <v> </v>
      </c>
      <c r="BA112" s="324" t="str">
        <f aca="false">IF($A112="N/A"," ",IF(AR112&lt;=$AR$2,AI112,0))</f>
        <v> </v>
      </c>
      <c r="BB112" s="322"/>
      <c r="BC112" s="358" t="str">
        <f aca="false">IF($A112="N/A"," ",IF(AND(AJ112=$AR$2+1,AS112=0),MIN($BB$123,AA112),0))</f>
        <v> </v>
      </c>
      <c r="BD112" s="327" t="str">
        <f aca="false">IF($A112="N/A"," ",IF(AND(AK112=$AR$2+1,AT112=0),MIN($BB$123,AB112),0))</f>
        <v> </v>
      </c>
      <c r="BE112" s="327" t="str">
        <f aca="false">IF($A112="N/A"," ",IF(AND(AL112=$AR$2+1,AU112=0),MIN($BB$123,AC112),0))</f>
        <v> </v>
      </c>
      <c r="BF112" s="327" t="str">
        <f aca="false">IF($A112="N/A"," ",IF(AND(AM112=$AR$2+1,AV112=0),MIN($BB$123,AD112),0))</f>
        <v> </v>
      </c>
      <c r="BG112" s="327" t="str">
        <f aca="false">IF($A112="N/A"," ",IF(AND(AN112=$AR$2+1,AW112=0),MIN($BB$123,AE112),0))</f>
        <v> </v>
      </c>
      <c r="BH112" s="327" t="str">
        <f aca="false">IF($A112="N/A"," ",IF(AND(AO112=$AR$2+1,AX112=0),MIN($BB$123,AF112),0))</f>
        <v> </v>
      </c>
      <c r="BI112" s="327" t="str">
        <f aca="false">IF($A112="N/A"," ",IF(AND(AP112=$AR$2+1,AY112=0),MIN($BB$123,AG112),0))</f>
        <v> </v>
      </c>
      <c r="BJ112" s="327" t="str">
        <f aca="false">IF($A112="N/A"," ",IF(AND(AQ112=$AR$2+1,AZ112=0),MIN($BB$123,AH112),0))</f>
        <v> </v>
      </c>
      <c r="BK112" s="327" t="str">
        <f aca="false">IF($A112="N/A"," ",IF(AND(AR112=$AR$2+1,BA112=0),MIN($BB$123,AI112),0))</f>
        <v> </v>
      </c>
      <c r="BL112" s="322"/>
      <c r="BM112" s="329" t="str">
        <f aca="false">IF($A112="N/A"," ",(IF(MONTH(A112)&gt;=4,IF(MONTH(A112)&lt;=10,Inputs!$F$13-Inputs!$G$13,Inputs!$F$14-Inputs!$G$14),Inputs!$F$14-Inputs!$G$14))*$CK112*Availability)</f>
        <v> </v>
      </c>
      <c r="BN112" s="330" t="str">
        <f aca="false">IF($A112="N/A"," ",(IF(AS112&gt;0,($BM112*(8*($HD112))*R112),0)+IF(BC112&gt;0,($BM112*((BC112/AA112)*8*$HD112)*R112),0)))</f>
        <v> </v>
      </c>
      <c r="BO112" s="330" t="str">
        <f aca="false">IF($A112="N/A"," ",(IF(AT112&gt;0,($BM112*(8*($HD112))*S112),0)+IF(BD112&gt;0,($BM112*((BD112/AB112)*8*$HD112)*S112),0)))</f>
        <v> </v>
      </c>
      <c r="BP112" s="330" t="str">
        <f aca="false">IF($A112="N/A"," ",(IF(AU112&gt;0,($BM112*(8*($HD112))*T112),0)+IF(BE112&gt;0,($BM112*((BE112))*T112),0)))</f>
        <v> </v>
      </c>
      <c r="BQ112" s="330" t="str">
        <f aca="false">IF($A112="N/A"," ",(IF(AV112&gt;0,($BM112*(8*($HE112))*U112),0)+IF(BF112&gt;0,($BM112*((BF112/AD112)*8*$HE112)*U112),0)))</f>
        <v> </v>
      </c>
      <c r="BR112" s="330" t="str">
        <f aca="false">IF($A112="N/A"," ",(IF(AW112&gt;0,($BM112*(8*($HE112))*V112),0)+IF(BG112&gt;0,($BM112*((BG112/AE112)*8*$HE112)*V112),0)))</f>
        <v> </v>
      </c>
      <c r="BS112" s="330" t="str">
        <f aca="false">IF($A112="N/A"," ",(IF(AX112&gt;0,($BM112*(8*($HE112))*W112),0)+IF(BH112&gt;0,($BM112*((BH112))*W112),0)))</f>
        <v> </v>
      </c>
      <c r="BT112" s="330" t="str">
        <f aca="false">IF($A112="N/A"," ",(IF(AY112&gt;0,($BM112*(8*($HF112))*X112),0)+IF(BI112&gt;0,($BM112*((BI112/AG112)*8*$HF112)*X112),0)))</f>
        <v> </v>
      </c>
      <c r="BU112" s="330" t="str">
        <f aca="false">IF($A112="N/A"," ",(IF(AZ112&gt;0,($BM112*(8*($HF112))*Y112),0)+IF(BJ112&gt;0,($BM112*((BJ112/AH112)*8*$HF112)*Y112),0)))</f>
        <v> </v>
      </c>
      <c r="BV112" s="330" t="str">
        <f aca="false">IF($A112="N/A"," ",(IF(BA112&gt;0,($BM112*(8*($HF112))*Z112),0)+IF(BK112&gt;0,($BM112*((BK112))*Z112),0)))</f>
        <v> </v>
      </c>
      <c r="BW112" s="330" t="str">
        <f aca="false">IF($A112="N/A"," ",SUM(BN112:BV112))</f>
        <v> </v>
      </c>
      <c r="BX112" s="331" t="str">
        <f aca="false">IF($A112="N/A"," ",(H112*(SUM(AS112:BA112)+SUM(BC112:BK112))*BM112))</f>
        <v> </v>
      </c>
      <c r="BY112" s="332" t="str">
        <f aca="false">IF($A112="N/A"," ",((C112*D112)*(SUM($AS112:$BA112)+SUM($BC112:$BK112))*$BM112))</f>
        <v> </v>
      </c>
      <c r="BZ112" s="332" t="str">
        <f aca="false">IF($A112="N/A"," ",(F112*(SUM($AS112:$BA112)+SUM($BC112:$BK112))*$BM112))</f>
        <v> </v>
      </c>
      <c r="CA112" s="333" t="str">
        <f aca="false">IF($A112="N/A"," ",(G112*(SUM($AS112:$BA112)+SUM($BC112:$BK112))*$BM112))</f>
        <v> </v>
      </c>
      <c r="CB112" s="334" t="str">
        <f aca="false">IF(A112="N/A"," ",(VLOOKUP(A112,PowerVolTable,(IF(BMO=2,7,IF(BMO=1,6,8))),FALSE())))</f>
        <v> </v>
      </c>
      <c r="CC112" s="334" t="str">
        <f aca="false">IF(A112="N/A"," ",(VLOOKUP(A112,IntraPowerVol,(IF(BMO=2,3,IF(BMO=1,2,4))),FALSE())*VLOOKUP(MONTH($A112),Volscale,2)))</f>
        <v> </v>
      </c>
      <c r="CD112" s="335" t="str">
        <f aca="false">IF($A112="N/A"," ",(IF(DateToday&gt;$A112,$CC112,((($CB112^2)*((($A112-1)-DateToday)/((EOMONTH($A112,0)+1)-DateToday-15)))+((($CC112)^2)*((15)/((EOMONTH($A112,0)+1)-DateToday-15))))^0.5)))</f>
        <v> </v>
      </c>
      <c r="CE112" s="334" t="str">
        <f aca="false">IF($A112="N/A"," ",(VLOOKUP($A112,GasVolTable,(IF(BMO=2,6,IF(BMO=1,7,5))),FALSE())))</f>
        <v> </v>
      </c>
      <c r="CF112" s="334" t="str">
        <f aca="false">IF($A112="N/A"," ",(VLOOKUP($A112,OmicronVol,(IF(BMO=2,3,IF(BMO=1,4,2))),FALSE())))</f>
        <v> </v>
      </c>
      <c r="CG112" s="335" t="str">
        <f aca="false">IF($A112="N/A"," ",(IF(DateToday&gt;$A112,$CF112,((($CE112^2)*((($A112-1)-DateToday)/((EOMONTH($A112,0)+1)-DateToday-15)))+((($CF112)^2)*((15)/((EOMONTH($A112,0)+1)-DateToday-15))))^0.5)))</f>
        <v> </v>
      </c>
      <c r="CH112" s="334" t="str">
        <f aca="false">IF($A112="N/A"," ",VLOOKUP($A112,CorrelationTable,2,FALSE()))</f>
        <v> </v>
      </c>
      <c r="CI112" s="336" t="str">
        <f aca="false">IF($A112="N/A"," ",F112+G112+(D112*('Pricing Inputs'!T145)))</f>
        <v> </v>
      </c>
      <c r="CJ112" s="334" t="str">
        <f aca="false">IF($A112="N/A"," ",IF(PV=1,0,'Pricing Inputs'!U145))</f>
        <v> </v>
      </c>
      <c r="CK112" s="337" t="str">
        <f aca="false">IF($A112="N/A"," ",(1+CJ112/2)^(-2*((EOMONTH(A112,0)+20)-DateToday)/365.25))</f>
        <v> </v>
      </c>
      <c r="CL112" s="338" t="str">
        <f aca="false">IF(A112="N/A"," ",IF(CC=2,(VLOOKUP(MONTH($A112),Hrtable,3))/1000,0))</f>
        <v> </v>
      </c>
      <c r="CM112" s="339" t="str">
        <f aca="false">IF(A112="N/A"," ",IF(CC=2,(CL112*C112)+F112,0))</f>
        <v> </v>
      </c>
      <c r="CN112" s="340" t="str">
        <f aca="false">IF($A112="N/A"," ",IF(CC=2,(VLOOKUP(A112,ScaledPrice,(IF(AND(Dayrun&gt;=1,Dayrun&lt;=6),2,4)))-((IF(R112&lt;&gt;0,$D112,$CL112)*$C112)+$F112+$G112)),0))</f>
        <v> </v>
      </c>
      <c r="CO112" s="340" t="str">
        <f aca="false">IF($A112="N/A"," ",IF(CC=2,(IF(AND(Dayrun&gt;=1,Dayrun&lt;=6),I112,(VLOOKUP(A112,ScaledPrice,2))*(2-(VLOOKUP(A112,ScaledPrice,3))))-((IF(S112&lt;&gt;0,$D112,$CL112)*$C112)+$F112+$G112)),0))</f>
        <v> </v>
      </c>
      <c r="CP112" s="340" t="str">
        <f aca="false">IF(A112="N/A"," ",IF(CC=2,(VLOOKUP(A112,ScaledPrice,9)-((IF(T112&lt;&gt;0,$D112,$CL112)*$C112)+$F112+$G112)),0))</f>
        <v> </v>
      </c>
      <c r="CQ112" s="340" t="str">
        <f aca="false">IF(A112="N/A"," ",IF(CC=2,(IF(OR(Dayrun=2,Dayrun=3,Dayrun=5,Dayrun=6,Dayrun=8,Dayrun=9),VLOOKUP(A112,ScaledPrice,IF(AND(Dayrun&gt;=2,Dayrun&lt;=6),5,6)),0)-((IF(U112&lt;&gt;0,$D112,$CL112)*$C112)+$F112+$G112)),0))</f>
        <v> </v>
      </c>
      <c r="CR112" s="340" t="str">
        <f aca="false">IF(A112="N/A"," ",IF(CC=2,(IF(OR(Dayrun=2,Dayrun=3,Dayrun=5,Dayrun=6,Dayrun=8,Dayrun=9),IF(AND(Dayrun&gt;=2,Dayrun&lt;=6),L112,(VLOOKUP(A112,ScaledPrice,5))*(2-(VLOOKUP(A112,ScaledPrice,3)))),0)-((IF(V112&lt;&gt;0,$D112,$CL112)*$C112)+$F112+$G112)),0))</f>
        <v> </v>
      </c>
      <c r="CS112" s="340" t="str">
        <f aca="false">IF(A112="N/A"," ",IF(CC=2,(VLOOKUP(A112,ScaledPrice,9)-((IF(W112&lt;&gt;0,$D112,$CL112)*$C112)+$F112+$G112)),0))</f>
        <v> </v>
      </c>
      <c r="CT112" s="340" t="str">
        <f aca="false">IF(A112="N/A"," ",IF(CC=2,(IF(OR(Dayrun=3,Dayrun=6,Dayrun=9),(VLOOKUP(A112,ScaledPrice,IF(AND(Dayrun&gt;=3,Dayrun&lt;=6),7,8))),0)-((IF(X112&lt;&gt;0,$D112,$CL112)*$C112)+$F112+$G112)),0))</f>
        <v> </v>
      </c>
      <c r="CU112" s="340" t="str">
        <f aca="false">IF(A112="N/A"," ",IF(CC=2,(IF(OR(Dayrun=3,Dayrun=6,Dayrun=9),IF(AND(Dayrun&gt;=3,Dayrun&lt;=6),O112,(VLOOKUP(A112,ScaledPrice,7))*(2-(VLOOKUP(A112,ScaledPrice,3)))),0)-((IF(Y112&lt;&gt;0,$D112,$CL112)*$C112)+$F112+$G112)),0))</f>
        <v> </v>
      </c>
      <c r="CV112" s="340" t="str">
        <f aca="false">IF(A112="N/A"," ",IF(CC=2,(VLOOKUP(A112,ScaledPrice,9)-((IF(Z112&lt;&gt;0,$D112,$CL112)*$C112)+$F112+$G112)),0))</f>
        <v> </v>
      </c>
      <c r="CW112" s="318" t="str">
        <f aca="false">IF($A112="N/A"," ",IF(0&lt;&gt;CN112,IF(CC=2,8*$HD112,0),0))</f>
        <v> </v>
      </c>
      <c r="CX112" s="318" t="str">
        <f aca="false">IF($A112="N/A"," ",IF(0&lt;&gt;CO112,IF(CC=2,8*$HD112,0),0))</f>
        <v> </v>
      </c>
      <c r="CY112" s="318" t="str">
        <f aca="false">IF($A112="N/A"," ",IF(0&lt;&gt;CP112,IF(CC=2,8*$HD112,0),0))</f>
        <v> </v>
      </c>
      <c r="CZ112" s="318" t="str">
        <f aca="false">IF($A112="N/A"," ",IF(0&lt;&gt;CQ112,IF(CC=2,8*$HE112,0),0))</f>
        <v> </v>
      </c>
      <c r="DA112" s="318" t="str">
        <f aca="false">IF($A112="N/A"," ",IF(0&lt;&gt;CR112,IF(CC=2,8*$HE112,0),0))</f>
        <v> </v>
      </c>
      <c r="DB112" s="318" t="str">
        <f aca="false">IF($A112="N/A"," ",IF(0&lt;&gt;CS112,IF(CC=2,8*$HE112,0),0))</f>
        <v> </v>
      </c>
      <c r="DC112" s="318" t="str">
        <f aca="false">IF($A112="N/A"," ",IF(0&lt;&gt;CT112,IF(CC=2,8*$HF112,0),0))</f>
        <v> </v>
      </c>
      <c r="DD112" s="318" t="str">
        <f aca="false">IF($A112="N/A"," ",IF(0&lt;&gt;CU112,IF(CC=2,8*$HF112,0),0))</f>
        <v> </v>
      </c>
      <c r="DE112" s="318" t="str">
        <f aca="false">IF($A112="N/A"," ",IF(0&lt;&gt;CV112,IF(CC=2,8*$HF112,0),0))</f>
        <v> </v>
      </c>
      <c r="DF112" s="341" t="str">
        <f aca="false">IF($A112="N/A"," ",IF(CC=2,(IF(MONTH(A112)&gt;=4,IF(MONTH(A112)&lt;=10,Inputs!$G$13,Inputs!$G$14),Inputs!$G$14))*$CK112,0))</f>
        <v> </v>
      </c>
      <c r="DG112" s="342" t="str">
        <f aca="false">IF($A112="N/A"," ",IF(CC=2,$DF112*CW112*CN112,0))</f>
        <v> </v>
      </c>
      <c r="DH112" s="342" t="str">
        <f aca="false">IF($A112="N/A"," ",IF(CC=2,$DF112*CX112*CO112,0))</f>
        <v> </v>
      </c>
      <c r="DI112" s="342" t="str">
        <f aca="false">IF($A112="N/A"," ",IF(CC=2,$DF112*CY112*CP112,0))</f>
        <v> </v>
      </c>
      <c r="DJ112" s="342" t="str">
        <f aca="false">IF($A112="N/A"," ",IF(CC=2,$DF112*CZ112*CQ112,0))</f>
        <v> </v>
      </c>
      <c r="DK112" s="342" t="str">
        <f aca="false">IF($A112="N/A"," ",IF(CC=2,$DF112*DA112*CR112,0))</f>
        <v> </v>
      </c>
      <c r="DL112" s="342" t="str">
        <f aca="false">IF($A112="N/A"," ",IF(CC=2,$DF112*DB112*CS112,0))</f>
        <v> </v>
      </c>
      <c r="DM112" s="342" t="str">
        <f aca="false">IF($A112="N/A"," ",IF(CC=2,$DF112*DC112*CT112,0))</f>
        <v> </v>
      </c>
      <c r="DN112" s="342" t="str">
        <f aca="false">IF($A112="N/A"," ",IF(CC=2,$DF112*DD112*CU112,0))</f>
        <v> </v>
      </c>
      <c r="DO112" s="342" t="str">
        <f aca="false">IF($A112="N/A"," ",IF(CC=2,$DF112*DE112*CV112,0))</f>
        <v> </v>
      </c>
      <c r="DP112" s="343" t="str">
        <f aca="false">IF($A112="N/A"," ",IF(CC=2,SUM(DG112:DO112),0))</f>
        <v> </v>
      </c>
      <c r="DQ112" s="0" t="str">
        <f aca="false">IF(A112="N/A"," ",Perstart)</f>
        <v> </v>
      </c>
      <c r="HD112" s="0" t="str">
        <f aca="false">IF($A112="N/A"," ",VLOOKUP($A112,NumberofDaysTable,2))</f>
        <v> </v>
      </c>
      <c r="HE112" s="0" t="str">
        <f aca="false">IF($A112="N/A"," ",VLOOKUP($A112,NumberofDaysTable,3))</f>
        <v> </v>
      </c>
      <c r="HF112" s="0" t="str">
        <f aca="false">IF($A112="N/A"," ",VLOOKUP($A112,NumberofDaysTable,4))</f>
        <v> </v>
      </c>
    </row>
    <row r="113" customFormat="false" ht="12.75" hidden="false" customHeight="false" outlineLevel="0" collapsed="false">
      <c r="A113" s="308" t="str">
        <f aca="false">IF(A112="N/A","N/A",IF(EDATE(A112,1)&gt;Inputs!$K$3,"N/A",EDATE(A112,1)))</f>
        <v>N/A</v>
      </c>
      <c r="B113" s="309" t="str">
        <f aca="false">IF(A113="N/A"," ",YEAR(A113))</f>
        <v> </v>
      </c>
      <c r="C113" s="310" t="str">
        <f aca="false">IF(A113="N/A"," ",VLOOKUP(A113,ScaledPrice,10))</f>
        <v> </v>
      </c>
      <c r="D113" s="311" t="str">
        <f aca="false">IF(A113="N/A"," ",(VLOOKUP(MONTH($A113),Hrtable,2))/1000)</f>
        <v> </v>
      </c>
      <c r="E113" s="312" t="str">
        <f aca="false">IF($A113="N/A"," ",(C113-'Pricing Inputs'!T146)*D113)</f>
        <v> </v>
      </c>
      <c r="F113" s="313" t="str">
        <f aca="false">IF(A113="N/A"," ",$F101*(1+VOMesc))</f>
        <v> </v>
      </c>
      <c r="G113" s="313" t="str">
        <f aca="false">IF(A113="N/A"," ",Perstart/IF(AND(Dayrun&gt;=4,Dayrun&lt;=6),16,IF(AND(Dayrun&gt;=7,Dayrun&lt;=9),8,24))/(BM113/CK113))</f>
        <v> </v>
      </c>
      <c r="H113" s="314" t="str">
        <f aca="false">IF(A113="N/A"," ",(C113*D113)+F113+G113)</f>
        <v> </v>
      </c>
      <c r="I113" s="315" t="str">
        <f aca="false">VLOOKUP(A113,ScaledPrice,(IF(AND(Dayrun&gt;=1,Dayrun&lt;=6),2,4)))</f>
        <v> </v>
      </c>
      <c r="J113" s="315" t="str">
        <f aca="false">IF(A113="N/A"," ",IF(AND(Dayrun&gt;=1,Dayrun&lt;=6),I113,(VLOOKUP(A113,ScaledPrice,2))*(2-(VLOOKUP(A113,ScaledPrice,3)))))</f>
        <v> </v>
      </c>
      <c r="K113" s="315" t="str">
        <f aca="false">IF(A113="N/A"," ",IF(AND(Dayrun&gt;=1,Dayrun&lt;=3),VLOOKUP(A113,ScaledPrice,9),0))</f>
        <v> </v>
      </c>
      <c r="L113" s="315" t="str">
        <f aca="false">IF(A113="N/A"," ",IF(OR(Dayrun=2,Dayrun=3,Dayrun=5,Dayrun=6,Dayrun=8,Dayrun=9),VLOOKUP(A113,ScaledPrice,IF(AND(Dayrun&gt;=2,Dayrun&lt;=6),5,6)),0))</f>
        <v> </v>
      </c>
      <c r="M113" s="315" t="str">
        <f aca="false">IF(A113="N/A"," ",IF(OR(Dayrun=2,Dayrun=3,Dayrun=5,Dayrun=6,Dayrun=8,Dayrun=9),IF(AND(Dayrun&gt;=2,Dayrun&lt;=6),L113,(VLOOKUP(A113,ScaledPrice,5))*(2-(VLOOKUP(A113,ScaledPrice,3)))),0))</f>
        <v> </v>
      </c>
      <c r="N113" s="315" t="str">
        <f aca="false">IF(A113="N/A"," ",IF(AND(Dayrun&gt;1,Dayrun&lt;=3),VLOOKUP(A113,ScaledPrice,9),0))</f>
        <v> </v>
      </c>
      <c r="O113" s="315" t="str">
        <f aca="false">IF(A113="N/A"," ",IF(OR(Dayrun=3,Dayrun=6,Dayrun=9),(VLOOKUP(A113,ScaledPrice,IF(AND(Dayrun&gt;=3,Dayrun&lt;=6),7,8))),0))</f>
        <v> </v>
      </c>
      <c r="P113" s="315" t="str">
        <f aca="false">IF(A113="N/A"," ",IF(OR(Dayrun=3,Dayrun=6,Dayrun=9),IF(AND(Dayrun&gt;=3,Dayrun&lt;=6),O113,(VLOOKUP(A113,ScaledPrice,7))*(2-(VLOOKUP(A113,ScaledPrice,3)))),0))</f>
        <v> </v>
      </c>
      <c r="Q113" s="315" t="str">
        <f aca="false">IF(A113="N/A"," ",IF(AND(Dayrun&gt;2,Dayrun&lt;=3),VLOOKUP(A113,ScaledPrice,9),0))</f>
        <v> </v>
      </c>
      <c r="R113" s="316" t="str">
        <f aca="false">IF($A113="N/A"," ",IF(Pricetype=2,MAX(I113-$H113,0),IF(Pricetype=1,(xSPRDOPT(I113,$E113,$CI113,0,($CD113+IF(Smile=TRUE(),VLOOKUP(MAX(-5,$H113-I113),Volsmile,2),0)),$CG113,$CH113,($A113-DateToday)+15,1,0)),I113-$H113)))</f>
        <v> </v>
      </c>
      <c r="S113" s="316" t="str">
        <f aca="false">IF($A113="N/A"," ",IF(Pricetype=2,MAX(J113-$H113,0),IF(Pricetype=1,(xSPRDOPT(J113,$E113,$CI113,0,($CD113+IF(Smile=TRUE(),VLOOKUP(MAX(-5,$H113-J113),Volsmile,2),0)),$CG113,$CH113,($A113-DateToday)+15,1,0)),J113-$H113)))</f>
        <v> </v>
      </c>
      <c r="T113" s="317" t="str">
        <f aca="false">IF($A113="N/A"," ",(IF(Pricetype=2,IF((K113-$H113)&lt;=0,0,(K113-$H113)),IF(K113&lt;&gt;0,(K113-$H113),0))))</f>
        <v> </v>
      </c>
      <c r="U113" s="316" t="str">
        <f aca="false">IF($A113="N/A"," ",IF(Pricetype=2,MAX(L113-$H113,0),IF(L113&lt;&gt;0,IF(Pricetype=1,(xSPRDOPT(L113,$E113,$CI113,0,($CD113+IF(Smile=TRUE(),VLOOKUP(MAX(-5,$H113-L113),Volsmile,2),0)),$CG113,$CH113,($A113-DateToday)+15,1,0)),L113-$H113),0)))</f>
        <v> </v>
      </c>
      <c r="V113" s="316" t="str">
        <f aca="false">IF($A113="N/A"," ",IF(Pricetype=2,MAX(M113-$H113,0),IF(M113&lt;&gt;0,IF(Pricetype=1,(xSPRDOPT(M113,$E113,$CI113,0,($CD113+IF(Smile=TRUE(),VLOOKUP(MAX(-5,$H113-M113),Volsmile,2),0)),$CG113,$CH113,($A113-DateToday)+15,1,0)),M113-$H113),0)))</f>
        <v> </v>
      </c>
      <c r="W113" s="317" t="str">
        <f aca="false">IF($A113="N/A"," ",(IF(Pricetype=2,IF((N113-$H113)&lt;=0,0,(N113-$H113)),IF(N113&lt;&gt;0,(N113-$H113),0))))</f>
        <v> </v>
      </c>
      <c r="X113" s="316" t="str">
        <f aca="false">IF($A113="N/A"," ",IF(Pricetype=2,MAX(O113-$H113,0),IF(O113&lt;&gt;0,IF(Pricetype=1,(xSPRDOPT(O113,$E113,$CI113,0,($CD113+IF(Smile=TRUE(),VLOOKUP(MAX(-5,$H113-O113),Volsmile,2),0)),$CG113,$CH113,($A113-DateToday)+15,1,0)),O113-$H113),0)))</f>
        <v> </v>
      </c>
      <c r="Y113" s="316" t="str">
        <f aca="false">IF($A113="N/A"," ",IF(Pricetype=2,MAX(P113-$H113,0),IF(P113&lt;&gt;0,IF(Pricetype=1,(xSPRDOPT(P113,$E113,$CI113,0,($CD113+IF(Smile=TRUE(),VLOOKUP(MAX(-5,$H113-P113),Volsmile,2),0)),$CG113,$CH113,($A113-DateToday)+15,1,0)),P113-$H113),0)))</f>
        <v> </v>
      </c>
      <c r="Z113" s="317" t="str">
        <f aca="false">IF($A113="N/A"," ",(IF(Pricetype=2,IF((Q113-$H113)&lt;=0,0,(Q113-$H113)),IF(Q113&lt;&gt;0,(Q113-$H113),0))))</f>
        <v> </v>
      </c>
      <c r="AA113" s="318" t="str">
        <f aca="false">IF($A113="N/A"," ",IF(VLOOKUP(MONTH(A113),ManualTable,2)=1,(IF(0&lt;&gt;R113,IF(Pricetype=1,(xSPRDOPT(I113,$E113,$CI113,0,($CD113+IF(Smile=TRUE(),VLOOKUP(MAX(-5,$H113-I113),Volsmile,2),0)),$CG113,$CH113,($A113-DateToday)+15,1,1))*(8*$HD113),8*$HD113),0)),0))</f>
        <v> </v>
      </c>
      <c r="AB113" s="318" t="str">
        <f aca="false">IF($A113="N/A"," ",IF(VLOOKUP(MONTH(A113),ManualTable,3)=1,(IF(S113&lt;&gt;0,IF(Pricetype=1,(xSPRDOPT(J113,$E113,$CI113,0,($CD113+IF(Smile=TRUE(),VLOOKUP(MAX(-5,$H113-J113),Volsmile,2),0)),$CG113,$CH113,($A113-DateToday)+15,1,1))*(8*$HD113),8*$HD113),0)),0))</f>
        <v> </v>
      </c>
      <c r="AC113" s="318" t="str">
        <f aca="false">IF($A113="N/A"," ",IF(VLOOKUP(MONTH(A113),ManualTable,4)=1,(IF(T113&lt;&gt;0,(8*$HD113),0)),0))</f>
        <v> </v>
      </c>
      <c r="AD113" s="318" t="str">
        <f aca="false">IF($A113="N/A"," ",IF(VLOOKUP(MONTH(A113),ManualTable,5)=1,(IF(U113&lt;&gt;0,IF(Pricetype=1,(xSPRDOPT(L113,$E113,$CI113,0,($CD113+IF(Smile=TRUE(),VLOOKUP(MAX(-5,$H113-L113),Volsmile,2),0)),$CG113,$CH113,($A113-DateToday)+15,1,1))*(8*$HE113),8*$HE113),0)),0))</f>
        <v> </v>
      </c>
      <c r="AE113" s="318" t="str">
        <f aca="false">IF($A113="N/A"," ",IF(VLOOKUP(MONTH(A113),ManualTable,6)=1,(IF(V113&lt;&gt;0,IF(Pricetype=1,(xSPRDOPT(M113,$E113,$CI113,0,($CD113+IF(Smile=TRUE(),VLOOKUP(MAX(-5,$H113-M113),Volsmile,2),0)),$CG113,$CH113,($A113-DateToday)+15,1,1))*(8*$HE113),8*$HE113),0)),0))</f>
        <v> </v>
      </c>
      <c r="AF113" s="318" t="str">
        <f aca="false">IF($A113="N/A"," ",IF(VLOOKUP(MONTH(A113),ManualTable,7)=1,(IF(W113&lt;&gt;0,(8*$HE113),0)),0))</f>
        <v> </v>
      </c>
      <c r="AG113" s="318" t="str">
        <f aca="false">IF($A113="N/A"," ",IF(VLOOKUP(MONTH(A113),ManualTable,8)=1,(IF(X113&lt;&gt;0,IF(Pricetype=1,(xSPRDOPT(O113,$E113,$CI113,0,($CD113+IF(Smile=TRUE(),VLOOKUP(MAX(-5,$H113-O113),Volsmile,2),0)),$CG113,$CH113,($A113-DateToday)+15,1,1))*(8*$HF113),8*$HF113),0)),0))</f>
        <v> </v>
      </c>
      <c r="AH113" s="318" t="str">
        <f aca="false">IF($A113="N/A"," ",IF(VLOOKUP(MONTH(A113),ManualTable,9)=1,(IF(Y113&lt;&gt;0,IF(Pricetype=1,(xSPRDOPT(P113,$E113,$CI113,0,($CD113+IF(Smile=TRUE(),VLOOKUP(MAX(-5,$H113-P113),Volsmile,2),0)),$CG113,$CH113,($A113-DateToday)+15,1,1))*(8*$HF113),8*$HF113),0)),0))</f>
        <v> </v>
      </c>
      <c r="AI113" s="318" t="str">
        <f aca="false">IF($A113="N/A"," ",IF(VLOOKUP(MONTH(A113),ManualTable,10)=1,(IF(Z113&lt;&gt;0,(8*($HF113)),0)),0))</f>
        <v> </v>
      </c>
      <c r="AJ113" s="344" t="str">
        <f aca="false">IF($A113="N/A"," ",RANK(R113,$R$112:$Z$123))</f>
        <v> </v>
      </c>
      <c r="AK113" s="321" t="str">
        <f aca="false">IF($A113="N/A"," ",RANK(S113,$R$112:$Z$123))</f>
        <v> </v>
      </c>
      <c r="AL113" s="321" t="str">
        <f aca="false">IF($A113="N/A"," ",RANK(T113,$R$112:$Z$123))</f>
        <v> </v>
      </c>
      <c r="AM113" s="321" t="str">
        <f aca="false">IF($A113="N/A"," ",RANK(U113,$R$112:$Z$123))</f>
        <v> </v>
      </c>
      <c r="AN113" s="321" t="str">
        <f aca="false">IF($A113="N/A"," ",RANK(V113,$R$112:$Z$123))</f>
        <v> </v>
      </c>
      <c r="AO113" s="321" t="str">
        <f aca="false">IF($A113="N/A"," ",RANK(W113,$R$112:$Z$123))</f>
        <v> </v>
      </c>
      <c r="AP113" s="321" t="str">
        <f aca="false">IF($A113="N/A"," ",RANK(X113,$R$112:$Z$123))</f>
        <v> </v>
      </c>
      <c r="AQ113" s="321" t="str">
        <f aca="false">IF($A113="N/A"," ",RANK(Y113,$R$112:$Z$123))</f>
        <v> </v>
      </c>
      <c r="AR113" s="345" t="str">
        <f aca="false">IF($A113="N/A"," ",RANK(Z113,$R$112:$Z$123))</f>
        <v> </v>
      </c>
      <c r="AS113" s="323" t="str">
        <f aca="false">IF($A113="N/A"," ",IF(AJ113&lt;=$AR$2,AA113,0))</f>
        <v> </v>
      </c>
      <c r="AT113" s="325" t="str">
        <f aca="false">IF($A113="N/A"," ",IF(AK113&lt;=$AR$2,AB113,0))</f>
        <v> </v>
      </c>
      <c r="AU113" s="325" t="str">
        <f aca="false">IF($A113="N/A"," ",IF(AL113&lt;=$AR$2,AC113,0))</f>
        <v> </v>
      </c>
      <c r="AV113" s="325" t="str">
        <f aca="false">IF($A113="N/A"," ",IF(AM113&lt;=$AR$2,AD113,0))</f>
        <v> </v>
      </c>
      <c r="AW113" s="325" t="str">
        <f aca="false">IF($A113="N/A"," ",IF(AN113&lt;=$AR$2,AE113,0))</f>
        <v> </v>
      </c>
      <c r="AX113" s="325" t="str">
        <f aca="false">IF($A113="N/A"," ",IF(AO113&lt;=$AR$2,AF113,0))</f>
        <v> </v>
      </c>
      <c r="AY113" s="325" t="str">
        <f aca="false">IF($A113="N/A"," ",IF(AP113&lt;=$AR$2,AG113,0))</f>
        <v> </v>
      </c>
      <c r="AZ113" s="325" t="str">
        <f aca="false">IF($A113="N/A"," ",IF(AQ113&lt;=$AR$2,AH113,0))</f>
        <v> </v>
      </c>
      <c r="BA113" s="325" t="str">
        <f aca="false">IF($A113="N/A"," ",IF(AR113&lt;=$AR$2,AI113,0))</f>
        <v> </v>
      </c>
      <c r="BB113" s="345"/>
      <c r="BC113" s="326" t="str">
        <f aca="false">IF($A113="N/A"," ",IF(AND(AJ113=$AR$2+1,AS113=0),MIN($BB$123,AA113),0))</f>
        <v> </v>
      </c>
      <c r="BD113" s="346" t="str">
        <f aca="false">IF($A113="N/A"," ",IF(AND(AK113=$AR$2+1,AT113=0),MIN($BB$123,AB113),0))</f>
        <v> </v>
      </c>
      <c r="BE113" s="346" t="str">
        <f aca="false">IF($A113="N/A"," ",IF(AND(AL113=$AR$2+1,AU113=0),MIN($BB$123,AC113),0))</f>
        <v> </v>
      </c>
      <c r="BF113" s="346" t="str">
        <f aca="false">IF($A113="N/A"," ",IF(AND(AM113=$AR$2+1,AV113=0),MIN($BB$123,AD113),0))</f>
        <v> </v>
      </c>
      <c r="BG113" s="346" t="str">
        <f aca="false">IF($A113="N/A"," ",IF(AND(AN113=$AR$2+1,AW113=0),MIN($BB$123,AE113),0))</f>
        <v> </v>
      </c>
      <c r="BH113" s="346" t="str">
        <f aca="false">IF($A113="N/A"," ",IF(AND(AO113=$AR$2+1,AX113=0),MIN($BB$123,AF113),0))</f>
        <v> </v>
      </c>
      <c r="BI113" s="346" t="str">
        <f aca="false">IF($A113="N/A"," ",IF(AND(AP113=$AR$2+1,AY113=0),MIN($BB$123,AG113),0))</f>
        <v> </v>
      </c>
      <c r="BJ113" s="346" t="str">
        <f aca="false">IF($A113="N/A"," ",IF(AND(AQ113=$AR$2+1,AZ113=0),MIN($BB$123,AH113),0))</f>
        <v> </v>
      </c>
      <c r="BK113" s="346" t="str">
        <f aca="false">IF($A113="N/A"," ",IF(AND(AR113=$AR$2+1,BA113=0),MIN($BB$123,AI113),0))</f>
        <v> </v>
      </c>
      <c r="BL113" s="345"/>
      <c r="BM113" s="329" t="str">
        <f aca="false">IF($A113="N/A"," ",(IF(MONTH(A113)&gt;=4,IF(MONTH(A113)&lt;=10,Inputs!$F$13-Inputs!$G$13,Inputs!$F$14-Inputs!$G$14),Inputs!$F$14-Inputs!$G$14))*$CK113*Availability)</f>
        <v> </v>
      </c>
      <c r="BN113" s="330" t="str">
        <f aca="false">IF($A113="N/A"," ",(IF(AS113&gt;0,($BM113*(8*($HD113))*R113),0)+IF(BC113&gt;0,($BM113*((BC113/AA113)*8*$HD113)*R113),0)))</f>
        <v> </v>
      </c>
      <c r="BO113" s="330" t="str">
        <f aca="false">IF($A113="N/A"," ",(IF(AT113&gt;0,($BM113*(8*($HD113))*S113),0)+IF(BD113&gt;0,($BM113*((BD113/AB113)*8*$HD113)*S113),0)))</f>
        <v> </v>
      </c>
      <c r="BP113" s="330" t="str">
        <f aca="false">IF($A113="N/A"," ",(IF(AU113&gt;0,($BM113*(8*($HD113))*T113),0)+IF(BE113&gt;0,($BM113*((BE113))*T113),0)))</f>
        <v> </v>
      </c>
      <c r="BQ113" s="330" t="str">
        <f aca="false">IF($A113="N/A"," ",(IF(AV113&gt;0,($BM113*(8*($HE113))*U113),0)+IF(BF113&gt;0,($BM113*((BF113/AD113)*8*$HE113)*U113),0)))</f>
        <v> </v>
      </c>
      <c r="BR113" s="330" t="str">
        <f aca="false">IF($A113="N/A"," ",(IF(AW113&gt;0,($BM113*(8*($HE113))*V113),0)+IF(BG113&gt;0,($BM113*((BG113/AE113)*8*$HE113)*V113),0)))</f>
        <v> </v>
      </c>
      <c r="BS113" s="330" t="str">
        <f aca="false">IF($A113="N/A"," ",(IF(AX113&gt;0,($BM113*(8*($HE113))*W113),0)+IF(BH113&gt;0,($BM113*((BH113))*W113),0)))</f>
        <v> </v>
      </c>
      <c r="BT113" s="330" t="str">
        <f aca="false">IF($A113="N/A"," ",(IF(AY113&gt;0,($BM113*(8*($HF113))*X113),0)+IF(BI113&gt;0,($BM113*((BI113/AG113)*8*$HF113)*X113),0)))</f>
        <v> </v>
      </c>
      <c r="BU113" s="330" t="str">
        <f aca="false">IF($A113="N/A"," ",(IF(AZ113&gt;0,($BM113*(8*($HF113))*Y113),0)+IF(BJ113&gt;0,($BM113*((BJ113/AH113)*8*$HF113)*Y113),0)))</f>
        <v> </v>
      </c>
      <c r="BV113" s="330" t="str">
        <f aca="false">IF($A113="N/A"," ",(IF(BA113&gt;0,($BM113*(8*($HF113))*Z113),0)+IF(BK113&gt;0,($BM113*((BK113))*Z113),0)))</f>
        <v> </v>
      </c>
      <c r="BW113" s="330" t="str">
        <f aca="false">IF($A113="N/A"," ",SUM(BN113:BV113))</f>
        <v> </v>
      </c>
      <c r="BX113" s="331" t="str">
        <f aca="false">IF($A113="N/A"," ",(H113*(SUM(AS113:BA113)+SUM(BC113:BK113))*BM113))</f>
        <v> </v>
      </c>
      <c r="BY113" s="332" t="str">
        <f aca="false">IF($A113="N/A"," ",((C113*D113)*(SUM($AS113:$BA113)+SUM($BC113:$BK113))*$BM113))</f>
        <v> </v>
      </c>
      <c r="BZ113" s="332" t="str">
        <f aca="false">IF($A113="N/A"," ",(F113*(SUM($AS113:$BA113)+SUM($BC113:$BK113))*$BM113))</f>
        <v> </v>
      </c>
      <c r="CA113" s="333" t="str">
        <f aca="false">IF($A113="N/A"," ",(G113*(SUM($AS113:$BA113)+SUM($BC113:$BK113))*$BM113))</f>
        <v> </v>
      </c>
      <c r="CB113" s="334" t="str">
        <f aca="false">IF(A113="N/A"," ",(VLOOKUP(A113,PowerVolTable,(IF(BMO=2,7,IF(BMO=1,6,8))),FALSE())))</f>
        <v> </v>
      </c>
      <c r="CC113" s="334" t="str">
        <f aca="false">IF(A113="N/A"," ",(VLOOKUP(A113,IntraPowerVol,(IF(BMO=2,3,IF(BMO=1,2,4))),FALSE())*VLOOKUP(MONTH($A113),Volscale,2)))</f>
        <v> </v>
      </c>
      <c r="CD113" s="335" t="str">
        <f aca="false">IF($A113="N/A"," ",(IF(DateToday&gt;$A113,$CC113,((($CB113^2)*((($A113-1)-DateToday)/((EOMONTH($A113,0)+1)-DateToday-15)))+((($CC113)^2)*((15)/((EOMONTH($A113,0)+1)-DateToday-15))))^0.5)))</f>
        <v> </v>
      </c>
      <c r="CE113" s="334" t="str">
        <f aca="false">IF($A113="N/A"," ",(VLOOKUP($A113,GasVolTable,(IF(BMO=2,6,IF(BMO=1,7,5))),FALSE())))</f>
        <v> </v>
      </c>
      <c r="CF113" s="334" t="str">
        <f aca="false">IF($A113="N/A"," ",(VLOOKUP($A113,OmicronVol,(IF(BMO=2,3,IF(BMO=1,4,2))),FALSE())))</f>
        <v> </v>
      </c>
      <c r="CG113" s="335" t="str">
        <f aca="false">IF($A113="N/A"," ",(IF(DateToday&gt;$A113,$CF113,((($CE113^2)*((($A113-1)-DateToday)/((EOMONTH($A113,0)+1)-DateToday-15)))+((($CF113)^2)*((15)/((EOMONTH($A113,0)+1)-DateToday-15))))^0.5)))</f>
        <v> </v>
      </c>
      <c r="CH113" s="334" t="str">
        <f aca="false">IF($A113="N/A"," ",VLOOKUP($A113,CorrelationTable,2,FALSE()))</f>
        <v> </v>
      </c>
      <c r="CI113" s="336" t="str">
        <f aca="false">IF($A113="N/A"," ",F113+G113+(D113*('Pricing Inputs'!T146)))</f>
        <v> </v>
      </c>
      <c r="CJ113" s="334" t="str">
        <f aca="false">IF($A113="N/A"," ",IF(PV=1,0,'Pricing Inputs'!U146))</f>
        <v> </v>
      </c>
      <c r="CK113" s="337" t="str">
        <f aca="false">IF($A113="N/A"," ",(1+CJ113/2)^(-2*((EOMONTH(A113,0)+20)-DateToday)/365.25))</f>
        <v> </v>
      </c>
      <c r="CL113" s="338" t="str">
        <f aca="false">IF(A113="N/A"," ",IF(CC=2,(VLOOKUP(MONTH($A113),Hrtable,3))/1000,0))</f>
        <v> </v>
      </c>
      <c r="CM113" s="339" t="str">
        <f aca="false">IF(A113="N/A"," ",IF(CC=2,(CL113*C113)+F113,0))</f>
        <v> </v>
      </c>
      <c r="CN113" s="340" t="str">
        <f aca="false">IF($A113="N/A"," ",IF(CC=2,(VLOOKUP(A113,ScaledPrice,(IF(AND(Dayrun&gt;=1,Dayrun&lt;=6),2,4)))-((IF(R113&lt;&gt;0,$D113,$CL113)*$C113)+$F113+$G113)),0))</f>
        <v> </v>
      </c>
      <c r="CO113" s="340" t="str">
        <f aca="false">IF($A113="N/A"," ",IF(CC=2,(IF(AND(Dayrun&gt;=1,Dayrun&lt;=6),I113,(VLOOKUP(A113,ScaledPrice,2))*(2-(VLOOKUP(A113,ScaledPrice,3))))-((IF(S113&lt;&gt;0,$D113,$CL113)*$C113)+$F113+$G113)),0))</f>
        <v> </v>
      </c>
      <c r="CP113" s="340" t="str">
        <f aca="false">IF(A113="N/A"," ",IF(CC=2,(VLOOKUP(A113,ScaledPrice,9)-((IF(T113&lt;&gt;0,$D113,$CL113)*$C113)+$F113+$G113)),0))</f>
        <v> </v>
      </c>
      <c r="CQ113" s="340" t="str">
        <f aca="false">IF(A113="N/A"," ",IF(CC=2,(IF(OR(Dayrun=2,Dayrun=3,Dayrun=5,Dayrun=6,Dayrun=8,Dayrun=9),VLOOKUP(A113,ScaledPrice,IF(AND(Dayrun&gt;=2,Dayrun&lt;=6),5,6)),0)-((IF(U113&lt;&gt;0,$D113,$CL113)*$C113)+$F113+$G113)),0))</f>
        <v> </v>
      </c>
      <c r="CR113" s="340" t="str">
        <f aca="false">IF(A113="N/A"," ",IF(CC=2,(IF(OR(Dayrun=2,Dayrun=3,Dayrun=5,Dayrun=6,Dayrun=8,Dayrun=9),IF(AND(Dayrun&gt;=2,Dayrun&lt;=6),L113,(VLOOKUP(A113,ScaledPrice,5))*(2-(VLOOKUP(A113,ScaledPrice,3)))),0)-((IF(V113&lt;&gt;0,$D113,$CL113)*$C113)+$F113+$G113)),0))</f>
        <v> </v>
      </c>
      <c r="CS113" s="340" t="str">
        <f aca="false">IF(A113="N/A"," ",IF(CC=2,(VLOOKUP(A113,ScaledPrice,9)-((IF(W113&lt;&gt;0,$D113,$CL113)*$C113)+$F113+$G113)),0))</f>
        <v> </v>
      </c>
      <c r="CT113" s="340" t="str">
        <f aca="false">IF(A113="N/A"," ",IF(CC=2,(IF(OR(Dayrun=3,Dayrun=6,Dayrun=9),(VLOOKUP(A113,ScaledPrice,IF(AND(Dayrun&gt;=3,Dayrun&lt;=6),7,8))),0)-((IF(X113&lt;&gt;0,$D113,$CL113)*$C113)+$F113+$G113)),0))</f>
        <v> </v>
      </c>
      <c r="CU113" s="340" t="str">
        <f aca="false">IF(A113="N/A"," ",IF(CC=2,(IF(OR(Dayrun=3,Dayrun=6,Dayrun=9),IF(AND(Dayrun&gt;=3,Dayrun&lt;=6),O113,(VLOOKUP(A113,ScaledPrice,7))*(2-(VLOOKUP(A113,ScaledPrice,3)))),0)-((IF(Y113&lt;&gt;0,$D113,$CL113)*$C113)+$F113+$G113)),0))</f>
        <v> </v>
      </c>
      <c r="CV113" s="340" t="str">
        <f aca="false">IF(A113="N/A"," ",IF(CC=2,(VLOOKUP(A113,ScaledPrice,9)-((IF(Z113&lt;&gt;0,$D113,$CL113)*$C113)+$F113+$G113)),0))</f>
        <v> </v>
      </c>
      <c r="CW113" s="318" t="str">
        <f aca="false">IF($A113="N/A"," ",IF(0&lt;&gt;CN113,IF(CC=2,8*$HD113,0),0))</f>
        <v> </v>
      </c>
      <c r="CX113" s="318" t="str">
        <f aca="false">IF($A113="N/A"," ",IF(0&lt;&gt;CO113,IF(CC=2,8*$HD113,0),0))</f>
        <v> </v>
      </c>
      <c r="CY113" s="318" t="str">
        <f aca="false">IF($A113="N/A"," ",IF(0&lt;&gt;CP113,IF(CC=2,8*$HD113,0),0))</f>
        <v> </v>
      </c>
      <c r="CZ113" s="318" t="str">
        <f aca="false">IF($A113="N/A"," ",IF(0&lt;&gt;CQ113,IF(CC=2,8*$HE113,0),0))</f>
        <v> </v>
      </c>
      <c r="DA113" s="318" t="str">
        <f aca="false">IF($A113="N/A"," ",IF(0&lt;&gt;CR113,IF(CC=2,8*$HE113,0),0))</f>
        <v> </v>
      </c>
      <c r="DB113" s="318" t="str">
        <f aca="false">IF($A113="N/A"," ",IF(0&lt;&gt;CS113,IF(CC=2,8*$HE113,0),0))</f>
        <v> </v>
      </c>
      <c r="DC113" s="318" t="str">
        <f aca="false">IF($A113="N/A"," ",IF(0&lt;&gt;CT113,IF(CC=2,8*$HF113,0),0))</f>
        <v> </v>
      </c>
      <c r="DD113" s="318" t="str">
        <f aca="false">IF($A113="N/A"," ",IF(0&lt;&gt;CU113,IF(CC=2,8*$HF113,0),0))</f>
        <v> </v>
      </c>
      <c r="DE113" s="318" t="str">
        <f aca="false">IF($A113="N/A"," ",IF(0&lt;&gt;CV113,IF(CC=2,8*$HF113,0),0))</f>
        <v> </v>
      </c>
      <c r="DF113" s="341" t="str">
        <f aca="false">IF($A113="N/A"," ",IF(CC=2,(IF(MONTH(A113)&gt;=4,IF(MONTH(A113)&lt;=10,Inputs!$G$13,Inputs!$G$14),Inputs!$G$14))*$CK113,0))</f>
        <v> </v>
      </c>
      <c r="DG113" s="342" t="str">
        <f aca="false">IF($A113="N/A"," ",IF(CC=2,$DF113*CW113*CN113,0))</f>
        <v> </v>
      </c>
      <c r="DH113" s="342" t="str">
        <f aca="false">IF($A113="N/A"," ",IF(CC=2,$DF113*CX113*CO113,0))</f>
        <v> </v>
      </c>
      <c r="DI113" s="342" t="str">
        <f aca="false">IF($A113="N/A"," ",IF(CC=2,$DF113*CY113*CP113,0))</f>
        <v> </v>
      </c>
      <c r="DJ113" s="342" t="str">
        <f aca="false">IF($A113="N/A"," ",IF(CC=2,$DF113*CZ113*CQ113,0))</f>
        <v> </v>
      </c>
      <c r="DK113" s="342" t="str">
        <f aca="false">IF($A113="N/A"," ",IF(CC=2,$DF113*DA113*CR113,0))</f>
        <v> </v>
      </c>
      <c r="DL113" s="342" t="str">
        <f aca="false">IF($A113="N/A"," ",IF(CC=2,$DF113*DB113*CS113,0))</f>
        <v> </v>
      </c>
      <c r="DM113" s="342" t="str">
        <f aca="false">IF($A113="N/A"," ",IF(CC=2,$DF113*DC113*CT113,0))</f>
        <v> </v>
      </c>
      <c r="DN113" s="342" t="str">
        <f aca="false">IF($A113="N/A"," ",IF(CC=2,$DF113*DD113*CU113,0))</f>
        <v> </v>
      </c>
      <c r="DO113" s="342" t="str">
        <f aca="false">IF($A113="N/A"," ",IF(CC=2,$DF113*DE113*CV113,0))</f>
        <v> </v>
      </c>
      <c r="DP113" s="343" t="str">
        <f aca="false">IF($A113="N/A"," ",IF(CC=2,SUM(DG113:DO113),0))</f>
        <v> </v>
      </c>
      <c r="DQ113" s="0" t="str">
        <f aca="false">IF(A113="N/A"," ",Perstart)</f>
        <v> </v>
      </c>
      <c r="HD113" s="0" t="str">
        <f aca="false">IF($A113="N/A"," ",VLOOKUP($A113,NumberofDaysTable,2))</f>
        <v> </v>
      </c>
      <c r="HE113" s="0" t="str">
        <f aca="false">IF($A113="N/A"," ",VLOOKUP($A113,NumberofDaysTable,3))</f>
        <v> </v>
      </c>
      <c r="HF113" s="0" t="str">
        <f aca="false">IF($A113="N/A"," ",VLOOKUP($A113,NumberofDaysTable,4))</f>
        <v> </v>
      </c>
    </row>
    <row r="114" customFormat="false" ht="12.75" hidden="false" customHeight="false" outlineLevel="0" collapsed="false">
      <c r="A114" s="308" t="str">
        <f aca="false">IF(A113="N/A","N/A",IF(EDATE(A113,1)&gt;Inputs!$K$3,"N/A",EDATE(A113,1)))</f>
        <v>N/A</v>
      </c>
      <c r="B114" s="309" t="str">
        <f aca="false">IF(A114="N/A"," ",YEAR(A114))</f>
        <v> </v>
      </c>
      <c r="C114" s="310" t="str">
        <f aca="false">IF(A114="N/A"," ",VLOOKUP(A114,ScaledPrice,10))</f>
        <v> </v>
      </c>
      <c r="D114" s="311" t="str">
        <f aca="false">IF(A114="N/A"," ",(VLOOKUP(MONTH($A114),Hrtable,2))/1000)</f>
        <v> </v>
      </c>
      <c r="E114" s="312" t="str">
        <f aca="false">IF($A114="N/A"," ",(C114-'Pricing Inputs'!T147)*D114)</f>
        <v> </v>
      </c>
      <c r="F114" s="313" t="str">
        <f aca="false">IF(A114="N/A"," ",$F102*(1+VOMesc))</f>
        <v> </v>
      </c>
      <c r="G114" s="313" t="str">
        <f aca="false">IF(A114="N/A"," ",Perstart/IF(AND(Dayrun&gt;=4,Dayrun&lt;=6),16,IF(AND(Dayrun&gt;=7,Dayrun&lt;=9),8,24))/(BM114/CK114))</f>
        <v> </v>
      </c>
      <c r="H114" s="314" t="str">
        <f aca="false">IF(A114="N/A"," ",(C114*D114)+F114+G114)</f>
        <v> </v>
      </c>
      <c r="I114" s="315" t="str">
        <f aca="false">VLOOKUP(A114,ScaledPrice,(IF(AND(Dayrun&gt;=1,Dayrun&lt;=6),2,4)))</f>
        <v> </v>
      </c>
      <c r="J114" s="315" t="str">
        <f aca="false">IF(A114="N/A"," ",IF(AND(Dayrun&gt;=1,Dayrun&lt;=6),I114,(VLOOKUP(A114,ScaledPrice,2))*(2-(VLOOKUP(A114,ScaledPrice,3)))))</f>
        <v> </v>
      </c>
      <c r="K114" s="315" t="str">
        <f aca="false">IF(A114="N/A"," ",IF(AND(Dayrun&gt;=1,Dayrun&lt;=3),VLOOKUP(A114,ScaledPrice,9),0))</f>
        <v> </v>
      </c>
      <c r="L114" s="315" t="str">
        <f aca="false">IF(A114="N/A"," ",IF(OR(Dayrun=2,Dayrun=3,Dayrun=5,Dayrun=6,Dayrun=8,Dayrun=9),VLOOKUP(A114,ScaledPrice,IF(AND(Dayrun&gt;=2,Dayrun&lt;=6),5,6)),0))</f>
        <v> </v>
      </c>
      <c r="M114" s="315" t="str">
        <f aca="false">IF(A114="N/A"," ",IF(OR(Dayrun=2,Dayrun=3,Dayrun=5,Dayrun=6,Dayrun=8,Dayrun=9),IF(AND(Dayrun&gt;=2,Dayrun&lt;=6),L114,(VLOOKUP(A114,ScaledPrice,5))*(2-(VLOOKUP(A114,ScaledPrice,3)))),0))</f>
        <v> </v>
      </c>
      <c r="N114" s="315" t="str">
        <f aca="false">IF(A114="N/A"," ",IF(AND(Dayrun&gt;1,Dayrun&lt;=3),VLOOKUP(A114,ScaledPrice,9),0))</f>
        <v> </v>
      </c>
      <c r="O114" s="315" t="str">
        <f aca="false">IF(A114="N/A"," ",IF(OR(Dayrun=3,Dayrun=6,Dayrun=9),(VLOOKUP(A114,ScaledPrice,IF(AND(Dayrun&gt;=3,Dayrun&lt;=6),7,8))),0))</f>
        <v> </v>
      </c>
      <c r="P114" s="315" t="str">
        <f aca="false">IF(A114="N/A"," ",IF(OR(Dayrun=3,Dayrun=6,Dayrun=9),IF(AND(Dayrun&gt;=3,Dayrun&lt;=6),O114,(VLOOKUP(A114,ScaledPrice,7))*(2-(VLOOKUP(A114,ScaledPrice,3)))),0))</f>
        <v> </v>
      </c>
      <c r="Q114" s="315" t="str">
        <f aca="false">IF(A114="N/A"," ",IF(AND(Dayrun&gt;2,Dayrun&lt;=3),VLOOKUP(A114,ScaledPrice,9),0))</f>
        <v> </v>
      </c>
      <c r="R114" s="316" t="str">
        <f aca="false">IF($A114="N/A"," ",IF(Pricetype=2,MAX(I114-$H114,0),IF(Pricetype=1,(xSPRDOPT(I114,$E114,$CI114,0,($CD114+IF(Smile=TRUE(),VLOOKUP(MAX(-5,$H114-I114),Volsmile,2),0)),$CG114,$CH114,($A114-DateToday)+15,1,0)),I114-$H114)))</f>
        <v> </v>
      </c>
      <c r="S114" s="316" t="str">
        <f aca="false">IF($A114="N/A"," ",IF(Pricetype=2,MAX(J114-$H114,0),IF(Pricetype=1,(xSPRDOPT(J114,$E114,$CI114,0,($CD114+IF(Smile=TRUE(),VLOOKUP(MAX(-5,$H114-J114),Volsmile,2),0)),$CG114,$CH114,($A114-DateToday)+15,1,0)),J114-$H114)))</f>
        <v> </v>
      </c>
      <c r="T114" s="317" t="str">
        <f aca="false">IF($A114="N/A"," ",(IF(Pricetype=2,IF((K114-$H114)&lt;=0,0,(K114-$H114)),IF(K114&lt;&gt;0,(K114-$H114),0))))</f>
        <v> </v>
      </c>
      <c r="U114" s="316" t="str">
        <f aca="false">IF($A114="N/A"," ",IF(Pricetype=2,MAX(L114-$H114,0),IF(L114&lt;&gt;0,IF(Pricetype=1,(xSPRDOPT(L114,$E114,$CI114,0,($CD114+IF(Smile=TRUE(),VLOOKUP(MAX(-5,$H114-L114),Volsmile,2),0)),$CG114,$CH114,($A114-DateToday)+15,1,0)),L114-$H114),0)))</f>
        <v> </v>
      </c>
      <c r="V114" s="316" t="str">
        <f aca="false">IF($A114="N/A"," ",IF(Pricetype=2,MAX(M114-$H114,0),IF(M114&lt;&gt;0,IF(Pricetype=1,(xSPRDOPT(M114,$E114,$CI114,0,($CD114+IF(Smile=TRUE(),VLOOKUP(MAX(-5,$H114-M114),Volsmile,2),0)),$CG114,$CH114,($A114-DateToday)+15,1,0)),M114-$H114),0)))</f>
        <v> </v>
      </c>
      <c r="W114" s="317" t="str">
        <f aca="false">IF($A114="N/A"," ",(IF(Pricetype=2,IF((N114-$H114)&lt;=0,0,(N114-$H114)),IF(N114&lt;&gt;0,(N114-$H114),0))))</f>
        <v> </v>
      </c>
      <c r="X114" s="316" t="str">
        <f aca="false">IF($A114="N/A"," ",IF(Pricetype=2,MAX(O114-$H114,0),IF(O114&lt;&gt;0,IF(Pricetype=1,(xSPRDOPT(O114,$E114,$CI114,0,($CD114+IF(Smile=TRUE(),VLOOKUP(MAX(-5,$H114-O114),Volsmile,2),0)),$CG114,$CH114,($A114-DateToday)+15,1,0)),O114-$H114),0)))</f>
        <v> </v>
      </c>
      <c r="Y114" s="316" t="str">
        <f aca="false">IF($A114="N/A"," ",IF(Pricetype=2,MAX(P114-$H114,0),IF(P114&lt;&gt;0,IF(Pricetype=1,(xSPRDOPT(P114,$E114,$CI114,0,($CD114+IF(Smile=TRUE(),VLOOKUP(MAX(-5,$H114-P114),Volsmile,2),0)),$CG114,$CH114,($A114-DateToday)+15,1,0)),P114-$H114),0)))</f>
        <v> </v>
      </c>
      <c r="Z114" s="317" t="str">
        <f aca="false">IF($A114="N/A"," ",(IF(Pricetype=2,IF((Q114-$H114)&lt;=0,0,(Q114-$H114)),IF(Q114&lt;&gt;0,(Q114-$H114),0))))</f>
        <v> </v>
      </c>
      <c r="AA114" s="318" t="str">
        <f aca="false">IF($A114="N/A"," ",IF(VLOOKUP(MONTH(A114),ManualTable,2)=1,(IF(0&lt;&gt;R114,IF(Pricetype=1,(xSPRDOPT(I114,$E114,$CI114,0,($CD114+IF(Smile=TRUE(),VLOOKUP(MAX(-5,$H114-I114),Volsmile,2),0)),$CG114,$CH114,($A114-DateToday)+15,1,1))*(8*$HD114),8*$HD114),0)),0))</f>
        <v> </v>
      </c>
      <c r="AB114" s="318" t="str">
        <f aca="false">IF($A114="N/A"," ",IF(VLOOKUP(MONTH(A114),ManualTable,3)=1,(IF(S114&lt;&gt;0,IF(Pricetype=1,(xSPRDOPT(J114,$E114,$CI114,0,($CD114+IF(Smile=TRUE(),VLOOKUP(MAX(-5,$H114-J114),Volsmile,2),0)),$CG114,$CH114,($A114-DateToday)+15,1,1))*(8*$HD114),8*$HD114),0)),0))</f>
        <v> </v>
      </c>
      <c r="AC114" s="318" t="str">
        <f aca="false">IF($A114="N/A"," ",IF(VLOOKUP(MONTH(A114),ManualTable,4)=1,(IF(T114&lt;&gt;0,(8*$HD114),0)),0))</f>
        <v> </v>
      </c>
      <c r="AD114" s="318" t="str">
        <f aca="false">IF($A114="N/A"," ",IF(VLOOKUP(MONTH(A114),ManualTable,5)=1,(IF(U114&lt;&gt;0,IF(Pricetype=1,(xSPRDOPT(L114,$E114,$CI114,0,($CD114+IF(Smile=TRUE(),VLOOKUP(MAX(-5,$H114-L114),Volsmile,2),0)),$CG114,$CH114,($A114-DateToday)+15,1,1))*(8*$HE114),8*$HE114),0)),0))</f>
        <v> </v>
      </c>
      <c r="AE114" s="318" t="str">
        <f aca="false">IF($A114="N/A"," ",IF(VLOOKUP(MONTH(A114),ManualTable,6)=1,(IF(V114&lt;&gt;0,IF(Pricetype=1,(xSPRDOPT(M114,$E114,$CI114,0,($CD114+IF(Smile=TRUE(),VLOOKUP(MAX(-5,$H114-M114),Volsmile,2),0)),$CG114,$CH114,($A114-DateToday)+15,1,1))*(8*$HE114),8*$HE114),0)),0))</f>
        <v> </v>
      </c>
      <c r="AF114" s="318" t="str">
        <f aca="false">IF($A114="N/A"," ",IF(VLOOKUP(MONTH(A114),ManualTable,7)=1,(IF(W114&lt;&gt;0,(8*$HE114),0)),0))</f>
        <v> </v>
      </c>
      <c r="AG114" s="318" t="str">
        <f aca="false">IF($A114="N/A"," ",IF(VLOOKUP(MONTH(A114),ManualTable,8)=1,(IF(X114&lt;&gt;0,IF(Pricetype=1,(xSPRDOPT(O114,$E114,$CI114,0,($CD114+IF(Smile=TRUE(),VLOOKUP(MAX(-5,$H114-O114),Volsmile,2),0)),$CG114,$CH114,($A114-DateToday)+15,1,1))*(8*$HF114),8*$HF114),0)),0))</f>
        <v> </v>
      </c>
      <c r="AH114" s="318" t="str">
        <f aca="false">IF($A114="N/A"," ",IF(VLOOKUP(MONTH(A114),ManualTable,9)=1,(IF(Y114&lt;&gt;0,IF(Pricetype=1,(xSPRDOPT(P114,$E114,$CI114,0,($CD114+IF(Smile=TRUE(),VLOOKUP(MAX(-5,$H114-P114),Volsmile,2),0)),$CG114,$CH114,($A114-DateToday)+15,1,1))*(8*$HF114),8*$HF114),0)),0))</f>
        <v> </v>
      </c>
      <c r="AI114" s="318" t="str">
        <f aca="false">IF($A114="N/A"," ",IF(VLOOKUP(MONTH(A114),ManualTable,10)=1,(IF(Z114&lt;&gt;0,(8*($HF114)),0)),0))</f>
        <v> </v>
      </c>
      <c r="AJ114" s="344" t="str">
        <f aca="false">IF($A114="N/A"," ",RANK(R114,$R$112:$Z$123))</f>
        <v> </v>
      </c>
      <c r="AK114" s="321" t="str">
        <f aca="false">IF($A114="N/A"," ",RANK(S114,$R$112:$Z$123))</f>
        <v> </v>
      </c>
      <c r="AL114" s="321" t="str">
        <f aca="false">IF($A114="N/A"," ",RANK(T114,$R$112:$Z$123))</f>
        <v> </v>
      </c>
      <c r="AM114" s="321" t="str">
        <f aca="false">IF($A114="N/A"," ",RANK(U114,$R$112:$Z$123))</f>
        <v> </v>
      </c>
      <c r="AN114" s="321" t="str">
        <f aca="false">IF($A114="N/A"," ",RANK(V114,$R$112:$Z$123))</f>
        <v> </v>
      </c>
      <c r="AO114" s="321" t="str">
        <f aca="false">IF($A114="N/A"," ",RANK(W114,$R$112:$Z$123))</f>
        <v> </v>
      </c>
      <c r="AP114" s="321" t="str">
        <f aca="false">IF($A114="N/A"," ",RANK(X114,$R$112:$Z$123))</f>
        <v> </v>
      </c>
      <c r="AQ114" s="321" t="str">
        <f aca="false">IF($A114="N/A"," ",RANK(Y114,$R$112:$Z$123))</f>
        <v> </v>
      </c>
      <c r="AR114" s="345" t="str">
        <f aca="false">IF($A114="N/A"," ",RANK(Z114,$R$112:$Z$123))</f>
        <v> </v>
      </c>
      <c r="AS114" s="323" t="str">
        <f aca="false">IF($A114="N/A"," ",IF(AJ114&lt;=$AR$2,AA114,0))</f>
        <v> </v>
      </c>
      <c r="AT114" s="325" t="str">
        <f aca="false">IF($A114="N/A"," ",IF(AK114&lt;=$AR$2,AB114,0))</f>
        <v> </v>
      </c>
      <c r="AU114" s="325" t="str">
        <f aca="false">IF($A114="N/A"," ",IF(AL114&lt;=$AR$2,AC114,0))</f>
        <v> </v>
      </c>
      <c r="AV114" s="325" t="str">
        <f aca="false">IF($A114="N/A"," ",IF(AM114&lt;=$AR$2,AD114,0))</f>
        <v> </v>
      </c>
      <c r="AW114" s="325" t="str">
        <f aca="false">IF($A114="N/A"," ",IF(AN114&lt;=$AR$2,AE114,0))</f>
        <v> </v>
      </c>
      <c r="AX114" s="325" t="str">
        <f aca="false">IF($A114="N/A"," ",IF(AO114&lt;=$AR$2,AF114,0))</f>
        <v> </v>
      </c>
      <c r="AY114" s="325" t="str">
        <f aca="false">IF($A114="N/A"," ",IF(AP114&lt;=$AR$2,AG114,0))</f>
        <v> </v>
      </c>
      <c r="AZ114" s="325" t="str">
        <f aca="false">IF($A114="N/A"," ",IF(AQ114&lt;=$AR$2,AH114,0))</f>
        <v> </v>
      </c>
      <c r="BA114" s="325" t="str">
        <f aca="false">IF($A114="N/A"," ",IF(AR114&lt;=$AR$2,AI114,0))</f>
        <v> </v>
      </c>
      <c r="BB114" s="345"/>
      <c r="BC114" s="326" t="str">
        <f aca="false">IF($A114="N/A"," ",IF(AND(AJ114=$AR$2+1,AS114=0),MIN($BB$123,AA114),0))</f>
        <v> </v>
      </c>
      <c r="BD114" s="346" t="str">
        <f aca="false">IF($A114="N/A"," ",IF(AND(AK114=$AR$2+1,AT114=0),MIN($BB$123,AB114),0))</f>
        <v> </v>
      </c>
      <c r="BE114" s="346" t="str">
        <f aca="false">IF($A114="N/A"," ",IF(AND(AL114=$AR$2+1,AU114=0),MIN($BB$123,AC114),0))</f>
        <v> </v>
      </c>
      <c r="BF114" s="346" t="str">
        <f aca="false">IF($A114="N/A"," ",IF(AND(AM114=$AR$2+1,AV114=0),MIN($BB$123,AD114),0))</f>
        <v> </v>
      </c>
      <c r="BG114" s="346" t="str">
        <f aca="false">IF($A114="N/A"," ",IF(AND(AN114=$AR$2+1,AW114=0),MIN($BB$123,AE114),0))</f>
        <v> </v>
      </c>
      <c r="BH114" s="346" t="str">
        <f aca="false">IF($A114="N/A"," ",IF(AND(AO114=$AR$2+1,AX114=0),MIN($BB$123,AF114),0))</f>
        <v> </v>
      </c>
      <c r="BI114" s="346" t="str">
        <f aca="false">IF($A114="N/A"," ",IF(AND(AP114=$AR$2+1,AY114=0),MIN($BB$123,AG114),0))</f>
        <v> </v>
      </c>
      <c r="BJ114" s="346" t="str">
        <f aca="false">IF($A114="N/A"," ",IF(AND(AQ114=$AR$2+1,AZ114=0),MIN($BB$123,AH114),0))</f>
        <v> </v>
      </c>
      <c r="BK114" s="346" t="str">
        <f aca="false">IF($A114="N/A"," ",IF(AND(AR114=$AR$2+1,BA114=0),MIN($BB$123,AI114),0))</f>
        <v> </v>
      </c>
      <c r="BL114" s="345"/>
      <c r="BM114" s="329" t="str">
        <f aca="false">IF($A114="N/A"," ",(IF(MONTH(A114)&gt;=4,IF(MONTH(A114)&lt;=10,Inputs!$F$13-Inputs!$G$13,Inputs!$F$14-Inputs!$G$14),Inputs!$F$14-Inputs!$G$14))*$CK114*Availability)</f>
        <v> </v>
      </c>
      <c r="BN114" s="330" t="str">
        <f aca="false">IF($A114="N/A"," ",(IF(AS114&gt;0,($BM114*(8*($HD114))*R114),0)+IF(BC114&gt;0,($BM114*((BC114/AA114)*8*$HD114)*R114),0)))</f>
        <v> </v>
      </c>
      <c r="BO114" s="330" t="str">
        <f aca="false">IF($A114="N/A"," ",(IF(AT114&gt;0,($BM114*(8*($HD114))*S114),0)+IF(BD114&gt;0,($BM114*((BD114/AB114)*8*$HD114)*S114),0)))</f>
        <v> </v>
      </c>
      <c r="BP114" s="330" t="str">
        <f aca="false">IF($A114="N/A"," ",(IF(AU114&gt;0,($BM114*(8*($HD114))*T114),0)+IF(BE114&gt;0,($BM114*((BE114))*T114),0)))</f>
        <v> </v>
      </c>
      <c r="BQ114" s="330" t="str">
        <f aca="false">IF($A114="N/A"," ",(IF(AV114&gt;0,($BM114*(8*($HE114))*U114),0)+IF(BF114&gt;0,($BM114*((BF114/AD114)*8*$HE114)*U114),0)))</f>
        <v> </v>
      </c>
      <c r="BR114" s="330" t="str">
        <f aca="false">IF($A114="N/A"," ",(IF(AW114&gt;0,($BM114*(8*($HE114))*V114),0)+IF(BG114&gt;0,($BM114*((BG114/AE114)*8*$HE114)*V114),0)))</f>
        <v> </v>
      </c>
      <c r="BS114" s="330" t="str">
        <f aca="false">IF($A114="N/A"," ",(IF(AX114&gt;0,($BM114*(8*($HE114))*W114),0)+IF(BH114&gt;0,($BM114*((BH114))*W114),0)))</f>
        <v> </v>
      </c>
      <c r="BT114" s="330" t="str">
        <f aca="false">IF($A114="N/A"," ",(IF(AY114&gt;0,($BM114*(8*($HF114))*X114),0)+IF(BI114&gt;0,($BM114*((BI114/AG114)*8*$HF114)*X114),0)))</f>
        <v> </v>
      </c>
      <c r="BU114" s="330" t="str">
        <f aca="false">IF($A114="N/A"," ",(IF(AZ114&gt;0,($BM114*(8*($HF114))*Y114),0)+IF(BJ114&gt;0,($BM114*((BJ114/AH114)*8*$HF114)*Y114),0)))</f>
        <v> </v>
      </c>
      <c r="BV114" s="330" t="str">
        <f aca="false">IF($A114="N/A"," ",(IF(BA114&gt;0,($BM114*(8*($HF114))*Z114),0)+IF(BK114&gt;0,($BM114*((BK114))*Z114),0)))</f>
        <v> </v>
      </c>
      <c r="BW114" s="330" t="str">
        <f aca="false">IF($A114="N/A"," ",SUM(BN114:BV114))</f>
        <v> </v>
      </c>
      <c r="BX114" s="331" t="str">
        <f aca="false">IF($A114="N/A"," ",(H114*(SUM(AS114:BA114)+SUM(BC114:BK114))*BM114))</f>
        <v> </v>
      </c>
      <c r="BY114" s="332" t="str">
        <f aca="false">IF($A114="N/A"," ",((C114*D114)*(SUM($AS114:$BA114)+SUM($BC114:$BK114))*$BM114))</f>
        <v> </v>
      </c>
      <c r="BZ114" s="332" t="str">
        <f aca="false">IF($A114="N/A"," ",(F114*(SUM($AS114:$BA114)+SUM($BC114:$BK114))*$BM114))</f>
        <v> </v>
      </c>
      <c r="CA114" s="333" t="str">
        <f aca="false">IF($A114="N/A"," ",(G114*(SUM($AS114:$BA114)+SUM($BC114:$BK114))*$BM114))</f>
        <v> </v>
      </c>
      <c r="CB114" s="334" t="str">
        <f aca="false">IF(A114="N/A"," ",(VLOOKUP(A114,PowerVolTable,(IF(BMO=2,7,IF(BMO=1,6,8))),FALSE())))</f>
        <v> </v>
      </c>
      <c r="CC114" s="334" t="str">
        <f aca="false">IF(A114="N/A"," ",(VLOOKUP(A114,IntraPowerVol,(IF(BMO=2,3,IF(BMO=1,2,4))),FALSE())*VLOOKUP(MONTH($A114),Volscale,2)))</f>
        <v> </v>
      </c>
      <c r="CD114" s="335" t="str">
        <f aca="false">IF($A114="N/A"," ",(IF(DateToday&gt;$A114,$CC114,((($CB114^2)*((($A114-1)-DateToday)/((EOMONTH($A114,0)+1)-DateToday-15)))+((($CC114)^2)*((15)/((EOMONTH($A114,0)+1)-DateToday-15))))^0.5)))</f>
        <v> </v>
      </c>
      <c r="CE114" s="334" t="str">
        <f aca="false">IF($A114="N/A"," ",(VLOOKUP($A114,GasVolTable,(IF(BMO=2,6,IF(BMO=1,7,5))),FALSE())))</f>
        <v> </v>
      </c>
      <c r="CF114" s="334" t="str">
        <f aca="false">IF($A114="N/A"," ",(VLOOKUP($A114,OmicronVol,(IF(BMO=2,3,IF(BMO=1,4,2))),FALSE())))</f>
        <v> </v>
      </c>
      <c r="CG114" s="335" t="str">
        <f aca="false">IF($A114="N/A"," ",(IF(DateToday&gt;$A114,$CF114,((($CE114^2)*((($A114-1)-DateToday)/((EOMONTH($A114,0)+1)-DateToday-15)))+((($CF114)^2)*((15)/((EOMONTH($A114,0)+1)-DateToday-15))))^0.5)))</f>
        <v> </v>
      </c>
      <c r="CH114" s="334" t="str">
        <f aca="false">IF($A114="N/A"," ",VLOOKUP($A114,CorrelationTable,2,FALSE()))</f>
        <v> </v>
      </c>
      <c r="CI114" s="336" t="str">
        <f aca="false">IF($A114="N/A"," ",F114+G114+(D114*('Pricing Inputs'!T147)))</f>
        <v> </v>
      </c>
      <c r="CJ114" s="334" t="str">
        <f aca="false">IF($A114="N/A"," ",IF(PV=1,0,'Pricing Inputs'!U147))</f>
        <v> </v>
      </c>
      <c r="CK114" s="337" t="str">
        <f aca="false">IF($A114="N/A"," ",(1+CJ114/2)^(-2*((EOMONTH(A114,0)+20)-DateToday)/365.25))</f>
        <v> </v>
      </c>
      <c r="CL114" s="338" t="str">
        <f aca="false">IF(A114="N/A"," ",IF(CC=2,(VLOOKUP(MONTH($A114),Hrtable,3))/1000,0))</f>
        <v> </v>
      </c>
      <c r="CM114" s="339" t="str">
        <f aca="false">IF(A114="N/A"," ",IF(CC=2,(CL114*C114)+F114,0))</f>
        <v> </v>
      </c>
      <c r="CN114" s="340" t="str">
        <f aca="false">IF($A114="N/A"," ",IF(CC=2,(VLOOKUP(A114,ScaledPrice,(IF(AND(Dayrun&gt;=1,Dayrun&lt;=6),2,4)))-((IF(R114&lt;&gt;0,$D114,$CL114)*$C114)+$F114+$G114)),0))</f>
        <v> </v>
      </c>
      <c r="CO114" s="340" t="str">
        <f aca="false">IF($A114="N/A"," ",IF(CC=2,(IF(AND(Dayrun&gt;=1,Dayrun&lt;=6),I114,(VLOOKUP(A114,ScaledPrice,2))*(2-(VLOOKUP(A114,ScaledPrice,3))))-((IF(S114&lt;&gt;0,$D114,$CL114)*$C114)+$F114+$G114)),0))</f>
        <v> </v>
      </c>
      <c r="CP114" s="340" t="str">
        <f aca="false">IF(A114="N/A"," ",IF(CC=2,(VLOOKUP(A114,ScaledPrice,9)-((IF(T114&lt;&gt;0,$D114,$CL114)*$C114)+$F114+$G114)),0))</f>
        <v> </v>
      </c>
      <c r="CQ114" s="340" t="str">
        <f aca="false">IF(A114="N/A"," ",IF(CC=2,(IF(OR(Dayrun=2,Dayrun=3,Dayrun=5,Dayrun=6,Dayrun=8,Dayrun=9),VLOOKUP(A114,ScaledPrice,IF(AND(Dayrun&gt;=2,Dayrun&lt;=6),5,6)),0)-((IF(U114&lt;&gt;0,$D114,$CL114)*$C114)+$F114+$G114)),0))</f>
        <v> </v>
      </c>
      <c r="CR114" s="340" t="str">
        <f aca="false">IF(A114="N/A"," ",IF(CC=2,(IF(OR(Dayrun=2,Dayrun=3,Dayrun=5,Dayrun=6,Dayrun=8,Dayrun=9),IF(AND(Dayrun&gt;=2,Dayrun&lt;=6),L114,(VLOOKUP(A114,ScaledPrice,5))*(2-(VLOOKUP(A114,ScaledPrice,3)))),0)-((IF(V114&lt;&gt;0,$D114,$CL114)*$C114)+$F114+$G114)),0))</f>
        <v> </v>
      </c>
      <c r="CS114" s="340" t="str">
        <f aca="false">IF(A114="N/A"," ",IF(CC=2,(VLOOKUP(A114,ScaledPrice,9)-((IF(W114&lt;&gt;0,$D114,$CL114)*$C114)+$F114+$G114)),0))</f>
        <v> </v>
      </c>
      <c r="CT114" s="340" t="str">
        <f aca="false">IF(A114="N/A"," ",IF(CC=2,(IF(OR(Dayrun=3,Dayrun=6,Dayrun=9),(VLOOKUP(A114,ScaledPrice,IF(AND(Dayrun&gt;=3,Dayrun&lt;=6),7,8))),0)-((IF(X114&lt;&gt;0,$D114,$CL114)*$C114)+$F114+$G114)),0))</f>
        <v> </v>
      </c>
      <c r="CU114" s="340" t="str">
        <f aca="false">IF(A114="N/A"," ",IF(CC=2,(IF(OR(Dayrun=3,Dayrun=6,Dayrun=9),IF(AND(Dayrun&gt;=3,Dayrun&lt;=6),O114,(VLOOKUP(A114,ScaledPrice,7))*(2-(VLOOKUP(A114,ScaledPrice,3)))),0)-((IF(Y114&lt;&gt;0,$D114,$CL114)*$C114)+$F114+$G114)),0))</f>
        <v> </v>
      </c>
      <c r="CV114" s="340" t="str">
        <f aca="false">IF(A114="N/A"," ",IF(CC=2,(VLOOKUP(A114,ScaledPrice,9)-((IF(Z114&lt;&gt;0,$D114,$CL114)*$C114)+$F114+$G114)),0))</f>
        <v> </v>
      </c>
      <c r="CW114" s="318" t="str">
        <f aca="false">IF($A114="N/A"," ",IF(0&lt;&gt;CN114,IF(CC=2,8*$HD114,0),0))</f>
        <v> </v>
      </c>
      <c r="CX114" s="318" t="str">
        <f aca="false">IF($A114="N/A"," ",IF(0&lt;&gt;CO114,IF(CC=2,8*$HD114,0),0))</f>
        <v> </v>
      </c>
      <c r="CY114" s="318" t="str">
        <f aca="false">IF($A114="N/A"," ",IF(0&lt;&gt;CP114,IF(CC=2,8*$HD114,0),0))</f>
        <v> </v>
      </c>
      <c r="CZ114" s="318" t="str">
        <f aca="false">IF($A114="N/A"," ",IF(0&lt;&gt;CQ114,IF(CC=2,8*$HE114,0),0))</f>
        <v> </v>
      </c>
      <c r="DA114" s="318" t="str">
        <f aca="false">IF($A114="N/A"," ",IF(0&lt;&gt;CR114,IF(CC=2,8*$HE114,0),0))</f>
        <v> </v>
      </c>
      <c r="DB114" s="318" t="str">
        <f aca="false">IF($A114="N/A"," ",IF(0&lt;&gt;CS114,IF(CC=2,8*$HE114,0),0))</f>
        <v> </v>
      </c>
      <c r="DC114" s="318" t="str">
        <f aca="false">IF($A114="N/A"," ",IF(0&lt;&gt;CT114,IF(CC=2,8*$HF114,0),0))</f>
        <v> </v>
      </c>
      <c r="DD114" s="318" t="str">
        <f aca="false">IF($A114="N/A"," ",IF(0&lt;&gt;CU114,IF(CC=2,8*$HF114,0),0))</f>
        <v> </v>
      </c>
      <c r="DE114" s="318" t="str">
        <f aca="false">IF($A114="N/A"," ",IF(0&lt;&gt;CV114,IF(CC=2,8*$HF114,0),0))</f>
        <v> </v>
      </c>
      <c r="DF114" s="341" t="str">
        <f aca="false">IF($A114="N/A"," ",IF(CC=2,(IF(MONTH(A114)&gt;=4,IF(MONTH(A114)&lt;=10,Inputs!$G$13,Inputs!$G$14),Inputs!$G$14))*$CK114,0))</f>
        <v> </v>
      </c>
      <c r="DG114" s="342" t="str">
        <f aca="false">IF($A114="N/A"," ",IF(CC=2,$DF114*CW114*CN114,0))</f>
        <v> </v>
      </c>
      <c r="DH114" s="342" t="str">
        <f aca="false">IF($A114="N/A"," ",IF(CC=2,$DF114*CX114*CO114,0))</f>
        <v> </v>
      </c>
      <c r="DI114" s="342" t="str">
        <f aca="false">IF($A114="N/A"," ",IF(CC=2,$DF114*CY114*CP114,0))</f>
        <v> </v>
      </c>
      <c r="DJ114" s="342" t="str">
        <f aca="false">IF($A114="N/A"," ",IF(CC=2,$DF114*CZ114*CQ114,0))</f>
        <v> </v>
      </c>
      <c r="DK114" s="342" t="str">
        <f aca="false">IF($A114="N/A"," ",IF(CC=2,$DF114*DA114*CR114,0))</f>
        <v> </v>
      </c>
      <c r="DL114" s="342" t="str">
        <f aca="false">IF($A114="N/A"," ",IF(CC=2,$DF114*DB114*CS114,0))</f>
        <v> </v>
      </c>
      <c r="DM114" s="342" t="str">
        <f aca="false">IF($A114="N/A"," ",IF(CC=2,$DF114*DC114*CT114,0))</f>
        <v> </v>
      </c>
      <c r="DN114" s="342" t="str">
        <f aca="false">IF($A114="N/A"," ",IF(CC=2,$DF114*DD114*CU114,0))</f>
        <v> </v>
      </c>
      <c r="DO114" s="342" t="str">
        <f aca="false">IF($A114="N/A"," ",IF(CC=2,$DF114*DE114*CV114,0))</f>
        <v> </v>
      </c>
      <c r="DP114" s="343" t="str">
        <f aca="false">IF($A114="N/A"," ",IF(CC=2,SUM(DG114:DO114),0))</f>
        <v> </v>
      </c>
      <c r="DQ114" s="0" t="str">
        <f aca="false">IF(A114="N/A"," ",Perstart)</f>
        <v> </v>
      </c>
      <c r="HD114" s="0" t="str">
        <f aca="false">IF($A114="N/A"," ",VLOOKUP($A114,NumberofDaysTable,2))</f>
        <v> </v>
      </c>
      <c r="HE114" s="0" t="str">
        <f aca="false">IF($A114="N/A"," ",VLOOKUP($A114,NumberofDaysTable,3))</f>
        <v> </v>
      </c>
      <c r="HF114" s="0" t="str">
        <f aca="false">IF($A114="N/A"," ",VLOOKUP($A114,NumberofDaysTable,4))</f>
        <v> </v>
      </c>
    </row>
    <row r="115" customFormat="false" ht="12.75" hidden="false" customHeight="false" outlineLevel="0" collapsed="false">
      <c r="A115" s="308" t="str">
        <f aca="false">IF(A114="N/A","N/A",IF(EDATE(A114,1)&gt;Inputs!$K$3,"N/A",EDATE(A114,1)))</f>
        <v>N/A</v>
      </c>
      <c r="B115" s="309" t="str">
        <f aca="false">IF(A115="N/A"," ",YEAR(A115))</f>
        <v> </v>
      </c>
      <c r="C115" s="310" t="str">
        <f aca="false">IF(A115="N/A"," ",VLOOKUP(A115,ScaledPrice,10))</f>
        <v> </v>
      </c>
      <c r="D115" s="311" t="str">
        <f aca="false">IF(A115="N/A"," ",(VLOOKUP(MONTH($A115),Hrtable,2))/1000)</f>
        <v> </v>
      </c>
      <c r="E115" s="312" t="str">
        <f aca="false">IF($A115="N/A"," ",(C115-'Pricing Inputs'!T148)*D115)</f>
        <v> </v>
      </c>
      <c r="F115" s="313" t="str">
        <f aca="false">IF(A115="N/A"," ",$F103*(1+VOMesc))</f>
        <v> </v>
      </c>
      <c r="G115" s="313" t="str">
        <f aca="false">IF(A115="N/A"," ",Perstart/IF(AND(Dayrun&gt;=4,Dayrun&lt;=6),16,IF(AND(Dayrun&gt;=7,Dayrun&lt;=9),8,24))/(BM115/CK115))</f>
        <v> </v>
      </c>
      <c r="H115" s="314" t="str">
        <f aca="false">IF(A115="N/A"," ",(C115*D115)+F115+G115)</f>
        <v> </v>
      </c>
      <c r="I115" s="315" t="str">
        <f aca="false">VLOOKUP(A115,ScaledPrice,(IF(AND(Dayrun&gt;=1,Dayrun&lt;=6),2,4)))</f>
        <v> </v>
      </c>
      <c r="J115" s="315" t="str">
        <f aca="false">IF(A115="N/A"," ",IF(AND(Dayrun&gt;=1,Dayrun&lt;=6),I115,(VLOOKUP(A115,ScaledPrice,2))*(2-(VLOOKUP(A115,ScaledPrice,3)))))</f>
        <v> </v>
      </c>
      <c r="K115" s="315" t="str">
        <f aca="false">IF(A115="N/A"," ",IF(AND(Dayrun&gt;=1,Dayrun&lt;=3),VLOOKUP(A115,ScaledPrice,9),0))</f>
        <v> </v>
      </c>
      <c r="L115" s="315" t="str">
        <f aca="false">IF(A115="N/A"," ",IF(OR(Dayrun=2,Dayrun=3,Dayrun=5,Dayrun=6,Dayrun=8,Dayrun=9),VLOOKUP(A115,ScaledPrice,IF(AND(Dayrun&gt;=2,Dayrun&lt;=6),5,6)),0))</f>
        <v> </v>
      </c>
      <c r="M115" s="315" t="str">
        <f aca="false">IF(A115="N/A"," ",IF(OR(Dayrun=2,Dayrun=3,Dayrun=5,Dayrun=6,Dayrun=8,Dayrun=9),IF(AND(Dayrun&gt;=2,Dayrun&lt;=6),L115,(VLOOKUP(A115,ScaledPrice,5))*(2-(VLOOKUP(A115,ScaledPrice,3)))),0))</f>
        <v> </v>
      </c>
      <c r="N115" s="315" t="str">
        <f aca="false">IF(A115="N/A"," ",IF(AND(Dayrun&gt;1,Dayrun&lt;=3),VLOOKUP(A115,ScaledPrice,9),0))</f>
        <v> </v>
      </c>
      <c r="O115" s="315" t="str">
        <f aca="false">IF(A115="N/A"," ",IF(OR(Dayrun=3,Dayrun=6,Dayrun=9),(VLOOKUP(A115,ScaledPrice,IF(AND(Dayrun&gt;=3,Dayrun&lt;=6),7,8))),0))</f>
        <v> </v>
      </c>
      <c r="P115" s="315" t="str">
        <f aca="false">IF(A115="N/A"," ",IF(OR(Dayrun=3,Dayrun=6,Dayrun=9),IF(AND(Dayrun&gt;=3,Dayrun&lt;=6),O115,(VLOOKUP(A115,ScaledPrice,7))*(2-(VLOOKUP(A115,ScaledPrice,3)))),0))</f>
        <v> </v>
      </c>
      <c r="Q115" s="315" t="str">
        <f aca="false">IF(A115="N/A"," ",IF(AND(Dayrun&gt;2,Dayrun&lt;=3),VLOOKUP(A115,ScaledPrice,9),0))</f>
        <v> </v>
      </c>
      <c r="R115" s="316" t="str">
        <f aca="false">IF($A115="N/A"," ",IF(Pricetype=2,MAX(I115-$H115,0),IF(Pricetype=1,(xSPRDOPT(I115,$E115,$CI115,0,($CD115+IF(Smile=TRUE(),VLOOKUP(MAX(-5,$H115-I115),Volsmile,2),0)),$CG115,$CH115,($A115-DateToday)+15,1,0)),I115-$H115)))</f>
        <v> </v>
      </c>
      <c r="S115" s="316" t="str">
        <f aca="false">IF($A115="N/A"," ",IF(Pricetype=2,MAX(J115-$H115,0),IF(Pricetype=1,(xSPRDOPT(J115,$E115,$CI115,0,($CD115+IF(Smile=TRUE(),VLOOKUP(MAX(-5,$H115-J115),Volsmile,2),0)),$CG115,$CH115,($A115-DateToday)+15,1,0)),J115-$H115)))</f>
        <v> </v>
      </c>
      <c r="T115" s="317" t="str">
        <f aca="false">IF($A115="N/A"," ",(IF(Pricetype=2,IF((K115-$H115)&lt;=0,0,(K115-$H115)),IF(K115&lt;&gt;0,(K115-$H115),0))))</f>
        <v> </v>
      </c>
      <c r="U115" s="316" t="str">
        <f aca="false">IF($A115="N/A"," ",IF(Pricetype=2,MAX(L115-$H115,0),IF(L115&lt;&gt;0,IF(Pricetype=1,(xSPRDOPT(L115,$E115,$CI115,0,($CD115+IF(Smile=TRUE(),VLOOKUP(MAX(-5,$H115-L115),Volsmile,2),0)),$CG115,$CH115,($A115-DateToday)+15,1,0)),L115-$H115),0)))</f>
        <v> </v>
      </c>
      <c r="V115" s="316" t="str">
        <f aca="false">IF($A115="N/A"," ",IF(Pricetype=2,MAX(M115-$H115,0),IF(M115&lt;&gt;0,IF(Pricetype=1,(xSPRDOPT(M115,$E115,$CI115,0,($CD115+IF(Smile=TRUE(),VLOOKUP(MAX(-5,$H115-M115),Volsmile,2),0)),$CG115,$CH115,($A115-DateToday)+15,1,0)),M115-$H115),0)))</f>
        <v> </v>
      </c>
      <c r="W115" s="317" t="str">
        <f aca="false">IF($A115="N/A"," ",(IF(Pricetype=2,IF((N115-$H115)&lt;=0,0,(N115-$H115)),IF(N115&lt;&gt;0,(N115-$H115),0))))</f>
        <v> </v>
      </c>
      <c r="X115" s="316" t="str">
        <f aca="false">IF($A115="N/A"," ",IF(Pricetype=2,MAX(O115-$H115,0),IF(O115&lt;&gt;0,IF(Pricetype=1,(xSPRDOPT(O115,$E115,$CI115,0,($CD115+IF(Smile=TRUE(),VLOOKUP(MAX(-5,$H115-O115),Volsmile,2),0)),$CG115,$CH115,($A115-DateToday)+15,1,0)),O115-$H115),0)))</f>
        <v> </v>
      </c>
      <c r="Y115" s="316" t="str">
        <f aca="false">IF($A115="N/A"," ",IF(Pricetype=2,MAX(P115-$H115,0),IF(P115&lt;&gt;0,IF(Pricetype=1,(xSPRDOPT(P115,$E115,$CI115,0,($CD115+IF(Smile=TRUE(),VLOOKUP(MAX(-5,$H115-P115),Volsmile,2),0)),$CG115,$CH115,($A115-DateToday)+15,1,0)),P115-$H115),0)))</f>
        <v> </v>
      </c>
      <c r="Z115" s="317" t="str">
        <f aca="false">IF($A115="N/A"," ",(IF(Pricetype=2,IF((Q115-$H115)&lt;=0,0,(Q115-$H115)),IF(Q115&lt;&gt;0,(Q115-$H115),0))))</f>
        <v> </v>
      </c>
      <c r="AA115" s="318" t="str">
        <f aca="false">IF($A115="N/A"," ",IF(VLOOKUP(MONTH(A115),ManualTable,2)=1,(IF(0&lt;&gt;R115,IF(Pricetype=1,(xSPRDOPT(I115,$E115,$CI115,0,($CD115+IF(Smile=TRUE(),VLOOKUP(MAX(-5,$H115-I115),Volsmile,2),0)),$CG115,$CH115,($A115-DateToday)+15,1,1))*(8*$HD115),8*$HD115),0)),0))</f>
        <v> </v>
      </c>
      <c r="AB115" s="318" t="str">
        <f aca="false">IF($A115="N/A"," ",IF(VLOOKUP(MONTH(A115),ManualTable,3)=1,(IF(S115&lt;&gt;0,IF(Pricetype=1,(xSPRDOPT(J115,$E115,$CI115,0,($CD115+IF(Smile=TRUE(),VLOOKUP(MAX(-5,$H115-J115),Volsmile,2),0)),$CG115,$CH115,($A115-DateToday)+15,1,1))*(8*$HD115),8*$HD115),0)),0))</f>
        <v> </v>
      </c>
      <c r="AC115" s="318" t="str">
        <f aca="false">IF($A115="N/A"," ",IF(VLOOKUP(MONTH(A115),ManualTable,4)=1,(IF(T115&lt;&gt;0,(8*$HD115),0)),0))</f>
        <v> </v>
      </c>
      <c r="AD115" s="318" t="str">
        <f aca="false">IF($A115="N/A"," ",IF(VLOOKUP(MONTH(A115),ManualTable,5)=1,(IF(U115&lt;&gt;0,IF(Pricetype=1,(xSPRDOPT(L115,$E115,$CI115,0,($CD115+IF(Smile=TRUE(),VLOOKUP(MAX(-5,$H115-L115),Volsmile,2),0)),$CG115,$CH115,($A115-DateToday)+15,1,1))*(8*$HE115),8*$HE115),0)),0))</f>
        <v> </v>
      </c>
      <c r="AE115" s="318" t="str">
        <f aca="false">IF($A115="N/A"," ",IF(VLOOKUP(MONTH(A115),ManualTable,6)=1,(IF(V115&lt;&gt;0,IF(Pricetype=1,(xSPRDOPT(M115,$E115,$CI115,0,($CD115+IF(Smile=TRUE(),VLOOKUP(MAX(-5,$H115-M115),Volsmile,2),0)),$CG115,$CH115,($A115-DateToday)+15,1,1))*(8*$HE115),8*$HE115),0)),0))</f>
        <v> </v>
      </c>
      <c r="AF115" s="318" t="str">
        <f aca="false">IF($A115="N/A"," ",IF(VLOOKUP(MONTH(A115),ManualTable,7)=1,(IF(W115&lt;&gt;0,(8*$HE115),0)),0))</f>
        <v> </v>
      </c>
      <c r="AG115" s="318" t="str">
        <f aca="false">IF($A115="N/A"," ",IF(VLOOKUP(MONTH(A115),ManualTable,8)=1,(IF(X115&lt;&gt;0,IF(Pricetype=1,(xSPRDOPT(O115,$E115,$CI115,0,($CD115+IF(Smile=TRUE(),VLOOKUP(MAX(-5,$H115-O115),Volsmile,2),0)),$CG115,$CH115,($A115-DateToday)+15,1,1))*(8*$HF115),8*$HF115),0)),0))</f>
        <v> </v>
      </c>
      <c r="AH115" s="318" t="str">
        <f aca="false">IF($A115="N/A"," ",IF(VLOOKUP(MONTH(A115),ManualTable,9)=1,(IF(Y115&lt;&gt;0,IF(Pricetype=1,(xSPRDOPT(P115,$E115,$CI115,0,($CD115+IF(Smile=TRUE(),VLOOKUP(MAX(-5,$H115-P115),Volsmile,2),0)),$CG115,$CH115,($A115-DateToday)+15,1,1))*(8*$HF115),8*$HF115),0)),0))</f>
        <v> </v>
      </c>
      <c r="AI115" s="318" t="str">
        <f aca="false">IF($A115="N/A"," ",IF(VLOOKUP(MONTH(A115),ManualTable,10)=1,(IF(Z115&lt;&gt;0,(8*($HF115)),0)),0))</f>
        <v> </v>
      </c>
      <c r="AJ115" s="344" t="str">
        <f aca="false">IF($A115="N/A"," ",RANK(R115,$R$112:$Z$123))</f>
        <v> </v>
      </c>
      <c r="AK115" s="321" t="str">
        <f aca="false">IF($A115="N/A"," ",RANK(S115,$R$112:$Z$123))</f>
        <v> </v>
      </c>
      <c r="AL115" s="321" t="str">
        <f aca="false">IF($A115="N/A"," ",RANK(T115,$R$112:$Z$123))</f>
        <v> </v>
      </c>
      <c r="AM115" s="321" t="str">
        <f aca="false">IF($A115="N/A"," ",RANK(U115,$R$112:$Z$123))</f>
        <v> </v>
      </c>
      <c r="AN115" s="321" t="str">
        <f aca="false">IF($A115="N/A"," ",RANK(V115,$R$112:$Z$123))</f>
        <v> </v>
      </c>
      <c r="AO115" s="321" t="str">
        <f aca="false">IF($A115="N/A"," ",RANK(W115,$R$112:$Z$123))</f>
        <v> </v>
      </c>
      <c r="AP115" s="321" t="str">
        <f aca="false">IF($A115="N/A"," ",RANK(X115,$R$112:$Z$123))</f>
        <v> </v>
      </c>
      <c r="AQ115" s="321" t="str">
        <f aca="false">IF($A115="N/A"," ",RANK(Y115,$R$112:$Z$123))</f>
        <v> </v>
      </c>
      <c r="AR115" s="345" t="str">
        <f aca="false">IF($A115="N/A"," ",RANK(Z115,$R$112:$Z$123))</f>
        <v> </v>
      </c>
      <c r="AS115" s="323" t="str">
        <f aca="false">IF($A115="N/A"," ",IF(AJ115&lt;=$AR$2,AA115,0))</f>
        <v> </v>
      </c>
      <c r="AT115" s="325" t="str">
        <f aca="false">IF($A115="N/A"," ",IF(AK115&lt;=$AR$2,AB115,0))</f>
        <v> </v>
      </c>
      <c r="AU115" s="325" t="str">
        <f aca="false">IF($A115="N/A"," ",IF(AL115&lt;=$AR$2,AC115,0))</f>
        <v> </v>
      </c>
      <c r="AV115" s="325" t="str">
        <f aca="false">IF($A115="N/A"," ",IF(AM115&lt;=$AR$2,AD115,0))</f>
        <v> </v>
      </c>
      <c r="AW115" s="325" t="str">
        <f aca="false">IF($A115="N/A"," ",IF(AN115&lt;=$AR$2,AE115,0))</f>
        <v> </v>
      </c>
      <c r="AX115" s="325" t="str">
        <f aca="false">IF($A115="N/A"," ",IF(AO115&lt;=$AR$2,AF115,0))</f>
        <v> </v>
      </c>
      <c r="AY115" s="325" t="str">
        <f aca="false">IF($A115="N/A"," ",IF(AP115&lt;=$AR$2,AG115,0))</f>
        <v> </v>
      </c>
      <c r="AZ115" s="325" t="str">
        <f aca="false">IF($A115="N/A"," ",IF(AQ115&lt;=$AR$2,AH115,0))</f>
        <v> </v>
      </c>
      <c r="BA115" s="325" t="str">
        <f aca="false">IF($A115="N/A"," ",IF(AR115&lt;=$AR$2,AI115,0))</f>
        <v> </v>
      </c>
      <c r="BB115" s="345"/>
      <c r="BC115" s="326" t="str">
        <f aca="false">IF($A115="N/A"," ",IF(AND(AJ115=$AR$2+1,AS115=0),MIN($BB$123,AA115),0))</f>
        <v> </v>
      </c>
      <c r="BD115" s="346" t="str">
        <f aca="false">IF($A115="N/A"," ",IF(AND(AK115=$AR$2+1,AT115=0),MIN($BB$123,AB115),0))</f>
        <v> </v>
      </c>
      <c r="BE115" s="346" t="str">
        <f aca="false">IF($A115="N/A"," ",IF(AND(AL115=$AR$2+1,AU115=0),MIN($BB$123,AC115),0))</f>
        <v> </v>
      </c>
      <c r="BF115" s="346" t="str">
        <f aca="false">IF($A115="N/A"," ",IF(AND(AM115=$AR$2+1,AV115=0),MIN($BB$123,AD115),0))</f>
        <v> </v>
      </c>
      <c r="BG115" s="346" t="str">
        <f aca="false">IF($A115="N/A"," ",IF(AND(AN115=$AR$2+1,AW115=0),MIN($BB$123,AE115),0))</f>
        <v> </v>
      </c>
      <c r="BH115" s="346" t="str">
        <f aca="false">IF($A115="N/A"," ",IF(AND(AO115=$AR$2+1,AX115=0),MIN($BB$123,AF115),0))</f>
        <v> </v>
      </c>
      <c r="BI115" s="346" t="str">
        <f aca="false">IF($A115="N/A"," ",IF(AND(AP115=$AR$2+1,AY115=0),MIN($BB$123,AG115),0))</f>
        <v> </v>
      </c>
      <c r="BJ115" s="346" t="str">
        <f aca="false">IF($A115="N/A"," ",IF(AND(AQ115=$AR$2+1,AZ115=0),MIN($BB$123,AH115),0))</f>
        <v> </v>
      </c>
      <c r="BK115" s="346" t="str">
        <f aca="false">IF($A115="N/A"," ",IF(AND(AR115=$AR$2+1,BA115=0),MIN($BB$123,AI115),0))</f>
        <v> </v>
      </c>
      <c r="BL115" s="345"/>
      <c r="BM115" s="329" t="str">
        <f aca="false">IF($A115="N/A"," ",(IF(MONTH(A115)&gt;=4,IF(MONTH(A115)&lt;=10,Inputs!$F$13-Inputs!$G$13,Inputs!$F$14-Inputs!$G$14),Inputs!$F$14-Inputs!$G$14))*$CK115*Availability)</f>
        <v> </v>
      </c>
      <c r="BN115" s="330" t="str">
        <f aca="false">IF($A115="N/A"," ",(IF(AS115&gt;0,($BM115*(8*($HD115))*R115),0)+IF(BC115&gt;0,($BM115*((BC115/AA115)*8*$HD115)*R115),0)))</f>
        <v> </v>
      </c>
      <c r="BO115" s="330" t="str">
        <f aca="false">IF($A115="N/A"," ",(IF(AT115&gt;0,($BM115*(8*($HD115))*S115),0)+IF(BD115&gt;0,($BM115*((BD115/AB115)*8*$HD115)*S115),0)))</f>
        <v> </v>
      </c>
      <c r="BP115" s="330" t="str">
        <f aca="false">IF($A115="N/A"," ",(IF(AU115&gt;0,($BM115*(8*($HD115))*T115),0)+IF(BE115&gt;0,($BM115*((BE115))*T115),0)))</f>
        <v> </v>
      </c>
      <c r="BQ115" s="330" t="str">
        <f aca="false">IF($A115="N/A"," ",(IF(AV115&gt;0,($BM115*(8*($HE115))*U115),0)+IF(BF115&gt;0,($BM115*((BF115/AD115)*8*$HE115)*U115),0)))</f>
        <v> </v>
      </c>
      <c r="BR115" s="330" t="str">
        <f aca="false">IF($A115="N/A"," ",(IF(AW115&gt;0,($BM115*(8*($HE115))*V115),0)+IF(BG115&gt;0,($BM115*((BG115/AE115)*8*$HE115)*V115),0)))</f>
        <v> </v>
      </c>
      <c r="BS115" s="330" t="str">
        <f aca="false">IF($A115="N/A"," ",(IF(AX115&gt;0,($BM115*(8*($HE115))*W115),0)+IF(BH115&gt;0,($BM115*((BH115))*W115),0)))</f>
        <v> </v>
      </c>
      <c r="BT115" s="330" t="str">
        <f aca="false">IF($A115="N/A"," ",(IF(AY115&gt;0,($BM115*(8*($HF115))*X115),0)+IF(BI115&gt;0,($BM115*((BI115/AG115)*8*$HF115)*X115),0)))</f>
        <v> </v>
      </c>
      <c r="BU115" s="330" t="str">
        <f aca="false">IF($A115="N/A"," ",(IF(AZ115&gt;0,($BM115*(8*($HF115))*Y115),0)+IF(BJ115&gt;0,($BM115*((BJ115/AH115)*8*$HF115)*Y115),0)))</f>
        <v> </v>
      </c>
      <c r="BV115" s="330" t="str">
        <f aca="false">IF($A115="N/A"," ",(IF(BA115&gt;0,($BM115*(8*($HF115))*Z115),0)+IF(BK115&gt;0,($BM115*((BK115))*Z115),0)))</f>
        <v> </v>
      </c>
      <c r="BW115" s="330" t="str">
        <f aca="false">IF($A115="N/A"," ",SUM(BN115:BV115))</f>
        <v> </v>
      </c>
      <c r="BX115" s="331" t="str">
        <f aca="false">IF($A115="N/A"," ",(H115*(SUM(AS115:BA115)+SUM(BC115:BK115))*BM115))</f>
        <v> </v>
      </c>
      <c r="BY115" s="332" t="str">
        <f aca="false">IF($A115="N/A"," ",((C115*D115)*(SUM($AS115:$BA115)+SUM($BC115:$BK115))*$BM115))</f>
        <v> </v>
      </c>
      <c r="BZ115" s="332" t="str">
        <f aca="false">IF($A115="N/A"," ",(F115*(SUM($AS115:$BA115)+SUM($BC115:$BK115))*$BM115))</f>
        <v> </v>
      </c>
      <c r="CA115" s="333" t="str">
        <f aca="false">IF($A115="N/A"," ",(G115*(SUM($AS115:$BA115)+SUM($BC115:$BK115))*$BM115))</f>
        <v> </v>
      </c>
      <c r="CB115" s="334" t="str">
        <f aca="false">IF(A115="N/A"," ",(VLOOKUP(A115,PowerVolTable,(IF(BMO=2,7,IF(BMO=1,6,8))),FALSE())))</f>
        <v> </v>
      </c>
      <c r="CC115" s="334" t="str">
        <f aca="false">IF(A115="N/A"," ",(VLOOKUP(A115,IntraPowerVol,(IF(BMO=2,3,IF(BMO=1,2,4))),FALSE())*VLOOKUP(MONTH($A115),Volscale,2)))</f>
        <v> </v>
      </c>
      <c r="CD115" s="335" t="str">
        <f aca="false">IF($A115="N/A"," ",(IF(DateToday&gt;$A115,$CC115,((($CB115^2)*((($A115-1)-DateToday)/((EOMONTH($A115,0)+1)-DateToday-15)))+((($CC115)^2)*((15)/((EOMONTH($A115,0)+1)-DateToday-15))))^0.5)))</f>
        <v> </v>
      </c>
      <c r="CE115" s="334" t="str">
        <f aca="false">IF($A115="N/A"," ",(VLOOKUP($A115,GasVolTable,(IF(BMO=2,6,IF(BMO=1,7,5))),FALSE())))</f>
        <v> </v>
      </c>
      <c r="CF115" s="334" t="str">
        <f aca="false">IF($A115="N/A"," ",(VLOOKUP($A115,OmicronVol,(IF(BMO=2,3,IF(BMO=1,4,2))),FALSE())))</f>
        <v> </v>
      </c>
      <c r="CG115" s="335" t="str">
        <f aca="false">IF($A115="N/A"," ",(IF(DateToday&gt;$A115,$CF115,((($CE115^2)*((($A115-1)-DateToday)/((EOMONTH($A115,0)+1)-DateToday-15)))+((($CF115)^2)*((15)/((EOMONTH($A115,0)+1)-DateToday-15))))^0.5)))</f>
        <v> </v>
      </c>
      <c r="CH115" s="334" t="str">
        <f aca="false">IF($A115="N/A"," ",VLOOKUP($A115,CorrelationTable,2,FALSE()))</f>
        <v> </v>
      </c>
      <c r="CI115" s="336" t="str">
        <f aca="false">IF($A115="N/A"," ",F115+G115+(D115*('Pricing Inputs'!T148)))</f>
        <v> </v>
      </c>
      <c r="CJ115" s="334" t="str">
        <f aca="false">IF($A115="N/A"," ",IF(PV=1,0,'Pricing Inputs'!U148))</f>
        <v> </v>
      </c>
      <c r="CK115" s="337" t="str">
        <f aca="false">IF($A115="N/A"," ",(1+CJ115/2)^(-2*((EOMONTH(A115,0)+20)-DateToday)/365.25))</f>
        <v> </v>
      </c>
      <c r="CL115" s="338" t="str">
        <f aca="false">IF(A115="N/A"," ",IF(CC=2,(VLOOKUP(MONTH($A115),Hrtable,3))/1000,0))</f>
        <v> </v>
      </c>
      <c r="CM115" s="339" t="str">
        <f aca="false">IF(A115="N/A"," ",IF(CC=2,(CL115*C115)+F115,0))</f>
        <v> </v>
      </c>
      <c r="CN115" s="340" t="str">
        <f aca="false">IF($A115="N/A"," ",IF(CC=2,(VLOOKUP(A115,ScaledPrice,(IF(AND(Dayrun&gt;=1,Dayrun&lt;=6),2,4)))-((IF(R115&lt;&gt;0,$D115,$CL115)*$C115)+$F115+$G115)),0))</f>
        <v> </v>
      </c>
      <c r="CO115" s="340" t="str">
        <f aca="false">IF($A115="N/A"," ",IF(CC=2,(IF(AND(Dayrun&gt;=1,Dayrun&lt;=6),I115,(VLOOKUP(A115,ScaledPrice,2))*(2-(VLOOKUP(A115,ScaledPrice,3))))-((IF(S115&lt;&gt;0,$D115,$CL115)*$C115)+$F115+$G115)),0))</f>
        <v> </v>
      </c>
      <c r="CP115" s="340" t="str">
        <f aca="false">IF(A115="N/A"," ",IF(CC=2,(VLOOKUP(A115,ScaledPrice,9)-((IF(T115&lt;&gt;0,$D115,$CL115)*$C115)+$F115+$G115)),0))</f>
        <v> </v>
      </c>
      <c r="CQ115" s="340" t="str">
        <f aca="false">IF(A115="N/A"," ",IF(CC=2,(IF(OR(Dayrun=2,Dayrun=3,Dayrun=5,Dayrun=6,Dayrun=8,Dayrun=9),VLOOKUP(A115,ScaledPrice,IF(AND(Dayrun&gt;=2,Dayrun&lt;=6),5,6)),0)-((IF(U115&lt;&gt;0,$D115,$CL115)*$C115)+$F115+$G115)),0))</f>
        <v> </v>
      </c>
      <c r="CR115" s="340" t="str">
        <f aca="false">IF(A115="N/A"," ",IF(CC=2,(IF(OR(Dayrun=2,Dayrun=3,Dayrun=5,Dayrun=6,Dayrun=8,Dayrun=9),IF(AND(Dayrun&gt;=2,Dayrun&lt;=6),L115,(VLOOKUP(A115,ScaledPrice,5))*(2-(VLOOKUP(A115,ScaledPrice,3)))),0)-((IF(V115&lt;&gt;0,$D115,$CL115)*$C115)+$F115+$G115)),0))</f>
        <v> </v>
      </c>
      <c r="CS115" s="340" t="str">
        <f aca="false">IF(A115="N/A"," ",IF(CC=2,(VLOOKUP(A115,ScaledPrice,9)-((IF(W115&lt;&gt;0,$D115,$CL115)*$C115)+$F115+$G115)),0))</f>
        <v> </v>
      </c>
      <c r="CT115" s="340" t="str">
        <f aca="false">IF(A115="N/A"," ",IF(CC=2,(IF(OR(Dayrun=3,Dayrun=6,Dayrun=9),(VLOOKUP(A115,ScaledPrice,IF(AND(Dayrun&gt;=3,Dayrun&lt;=6),7,8))),0)-((IF(X115&lt;&gt;0,$D115,$CL115)*$C115)+$F115+$G115)),0))</f>
        <v> </v>
      </c>
      <c r="CU115" s="340" t="str">
        <f aca="false">IF(A115="N/A"," ",IF(CC=2,(IF(OR(Dayrun=3,Dayrun=6,Dayrun=9),IF(AND(Dayrun&gt;=3,Dayrun&lt;=6),O115,(VLOOKUP(A115,ScaledPrice,7))*(2-(VLOOKUP(A115,ScaledPrice,3)))),0)-((IF(Y115&lt;&gt;0,$D115,$CL115)*$C115)+$F115+$G115)),0))</f>
        <v> </v>
      </c>
      <c r="CV115" s="340" t="str">
        <f aca="false">IF(A115="N/A"," ",IF(CC=2,(VLOOKUP(A115,ScaledPrice,9)-((IF(Z115&lt;&gt;0,$D115,$CL115)*$C115)+$F115+$G115)),0))</f>
        <v> </v>
      </c>
      <c r="CW115" s="318" t="str">
        <f aca="false">IF($A115="N/A"," ",IF(0&lt;&gt;CN115,IF(CC=2,8*$HD115,0),0))</f>
        <v> </v>
      </c>
      <c r="CX115" s="318" t="str">
        <f aca="false">IF($A115="N/A"," ",IF(0&lt;&gt;CO115,IF(CC=2,8*$HD115,0),0))</f>
        <v> </v>
      </c>
      <c r="CY115" s="318" t="str">
        <f aca="false">IF($A115="N/A"," ",IF(0&lt;&gt;CP115,IF(CC=2,8*$HD115,0),0))</f>
        <v> </v>
      </c>
      <c r="CZ115" s="318" t="str">
        <f aca="false">IF($A115="N/A"," ",IF(0&lt;&gt;CQ115,IF(CC=2,8*$HE115,0),0))</f>
        <v> </v>
      </c>
      <c r="DA115" s="318" t="str">
        <f aca="false">IF($A115="N/A"," ",IF(0&lt;&gt;CR115,IF(CC=2,8*$HE115,0),0))</f>
        <v> </v>
      </c>
      <c r="DB115" s="318" t="str">
        <f aca="false">IF($A115="N/A"," ",IF(0&lt;&gt;CS115,IF(CC=2,8*$HE115,0),0))</f>
        <v> </v>
      </c>
      <c r="DC115" s="318" t="str">
        <f aca="false">IF($A115="N/A"," ",IF(0&lt;&gt;CT115,IF(CC=2,8*$HF115,0),0))</f>
        <v> </v>
      </c>
      <c r="DD115" s="318" t="str">
        <f aca="false">IF($A115="N/A"," ",IF(0&lt;&gt;CU115,IF(CC=2,8*$HF115,0),0))</f>
        <v> </v>
      </c>
      <c r="DE115" s="318" t="str">
        <f aca="false">IF($A115="N/A"," ",IF(0&lt;&gt;CV115,IF(CC=2,8*$HF115,0),0))</f>
        <v> </v>
      </c>
      <c r="DF115" s="341" t="str">
        <f aca="false">IF($A115="N/A"," ",IF(CC=2,(IF(MONTH(A115)&gt;=4,IF(MONTH(A115)&lt;=10,Inputs!$G$13,Inputs!$G$14),Inputs!$G$14))*$CK115,0))</f>
        <v> </v>
      </c>
      <c r="DG115" s="342" t="str">
        <f aca="false">IF($A115="N/A"," ",IF(CC=2,$DF115*CW115*CN115,0))</f>
        <v> </v>
      </c>
      <c r="DH115" s="342" t="str">
        <f aca="false">IF($A115="N/A"," ",IF(CC=2,$DF115*CX115*CO115,0))</f>
        <v> </v>
      </c>
      <c r="DI115" s="342" t="str">
        <f aca="false">IF($A115="N/A"," ",IF(CC=2,$DF115*CY115*CP115,0))</f>
        <v> </v>
      </c>
      <c r="DJ115" s="342" t="str">
        <f aca="false">IF($A115="N/A"," ",IF(CC=2,$DF115*CZ115*CQ115,0))</f>
        <v> </v>
      </c>
      <c r="DK115" s="342" t="str">
        <f aca="false">IF($A115="N/A"," ",IF(CC=2,$DF115*DA115*CR115,0))</f>
        <v> </v>
      </c>
      <c r="DL115" s="342" t="str">
        <f aca="false">IF($A115="N/A"," ",IF(CC=2,$DF115*DB115*CS115,0))</f>
        <v> </v>
      </c>
      <c r="DM115" s="342" t="str">
        <f aca="false">IF($A115="N/A"," ",IF(CC=2,$DF115*DC115*CT115,0))</f>
        <v> </v>
      </c>
      <c r="DN115" s="342" t="str">
        <f aca="false">IF($A115="N/A"," ",IF(CC=2,$DF115*DD115*CU115,0))</f>
        <v> </v>
      </c>
      <c r="DO115" s="342" t="str">
        <f aca="false">IF($A115="N/A"," ",IF(CC=2,$DF115*DE115*CV115,0))</f>
        <v> </v>
      </c>
      <c r="DP115" s="343" t="str">
        <f aca="false">IF($A115="N/A"," ",IF(CC=2,SUM(DG115:DO115),0))</f>
        <v> </v>
      </c>
      <c r="DQ115" s="0" t="str">
        <f aca="false">IF(A115="N/A"," ",Perstart)</f>
        <v> </v>
      </c>
      <c r="HD115" s="0" t="str">
        <f aca="false">IF($A115="N/A"," ",VLOOKUP($A115,NumberofDaysTable,2))</f>
        <v> </v>
      </c>
      <c r="HE115" s="0" t="str">
        <f aca="false">IF($A115="N/A"," ",VLOOKUP($A115,NumberofDaysTable,3))</f>
        <v> </v>
      </c>
      <c r="HF115" s="0" t="str">
        <f aca="false">IF($A115="N/A"," ",VLOOKUP($A115,NumberofDaysTable,4))</f>
        <v> </v>
      </c>
    </row>
    <row r="116" customFormat="false" ht="12.75" hidden="false" customHeight="false" outlineLevel="0" collapsed="false">
      <c r="A116" s="308" t="str">
        <f aca="false">IF(A115="N/A","N/A",IF(EDATE(A115,1)&gt;Inputs!$K$3,"N/A",EDATE(A115,1)))</f>
        <v>N/A</v>
      </c>
      <c r="B116" s="309" t="str">
        <f aca="false">IF(A116="N/A"," ",YEAR(A116))</f>
        <v> </v>
      </c>
      <c r="C116" s="310" t="str">
        <f aca="false">IF(A116="N/A"," ",VLOOKUP(A116,ScaledPrice,10))</f>
        <v> </v>
      </c>
      <c r="D116" s="311" t="str">
        <f aca="false">IF(A116="N/A"," ",(VLOOKUP(MONTH($A116),Hrtable,2))/1000)</f>
        <v> </v>
      </c>
      <c r="E116" s="312" t="str">
        <f aca="false">IF($A116="N/A"," ",(C116-'Pricing Inputs'!T149)*D116)</f>
        <v> </v>
      </c>
      <c r="F116" s="313" t="str">
        <f aca="false">IF(A116="N/A"," ",$F104*(1+VOMesc))</f>
        <v> </v>
      </c>
      <c r="G116" s="313" t="str">
        <f aca="false">IF(A116="N/A"," ",Perstart/IF(AND(Dayrun&gt;=4,Dayrun&lt;=6),16,IF(AND(Dayrun&gt;=7,Dayrun&lt;=9),8,24))/(BM116/CK116))</f>
        <v> </v>
      </c>
      <c r="H116" s="314" t="str">
        <f aca="false">IF(A116="N/A"," ",(C116*D116)+F116+G116)</f>
        <v> </v>
      </c>
      <c r="I116" s="315" t="str">
        <f aca="false">VLOOKUP(A116,ScaledPrice,(IF(AND(Dayrun&gt;=1,Dayrun&lt;=6),2,4)))</f>
        <v> </v>
      </c>
      <c r="J116" s="315" t="str">
        <f aca="false">IF(A116="N/A"," ",IF(AND(Dayrun&gt;=1,Dayrun&lt;=6),I116,(VLOOKUP(A116,ScaledPrice,2))*(2-(VLOOKUP(A116,ScaledPrice,3)))))</f>
        <v> </v>
      </c>
      <c r="K116" s="315" t="str">
        <f aca="false">IF(A116="N/A"," ",IF(AND(Dayrun&gt;=1,Dayrun&lt;=3),VLOOKUP(A116,ScaledPrice,9),0))</f>
        <v> </v>
      </c>
      <c r="L116" s="315" t="str">
        <f aca="false">IF(A116="N/A"," ",IF(OR(Dayrun=2,Dayrun=3,Dayrun=5,Dayrun=6,Dayrun=8,Dayrun=9),VLOOKUP(A116,ScaledPrice,IF(AND(Dayrun&gt;=2,Dayrun&lt;=6),5,6)),0))</f>
        <v> </v>
      </c>
      <c r="M116" s="315" t="str">
        <f aca="false">IF(A116="N/A"," ",IF(OR(Dayrun=2,Dayrun=3,Dayrun=5,Dayrun=6,Dayrun=8,Dayrun=9),IF(AND(Dayrun&gt;=2,Dayrun&lt;=6),L116,(VLOOKUP(A116,ScaledPrice,5))*(2-(VLOOKUP(A116,ScaledPrice,3)))),0))</f>
        <v> </v>
      </c>
      <c r="N116" s="315" t="str">
        <f aca="false">IF(A116="N/A"," ",IF(AND(Dayrun&gt;1,Dayrun&lt;=3),VLOOKUP(A116,ScaledPrice,9),0))</f>
        <v> </v>
      </c>
      <c r="O116" s="315" t="str">
        <f aca="false">IF(A116="N/A"," ",IF(OR(Dayrun=3,Dayrun=6,Dayrun=9),(VLOOKUP(A116,ScaledPrice,IF(AND(Dayrun&gt;=3,Dayrun&lt;=6),7,8))),0))</f>
        <v> </v>
      </c>
      <c r="P116" s="315" t="str">
        <f aca="false">IF(A116="N/A"," ",IF(OR(Dayrun=3,Dayrun=6,Dayrun=9),IF(AND(Dayrun&gt;=3,Dayrun&lt;=6),O116,(VLOOKUP(A116,ScaledPrice,7))*(2-(VLOOKUP(A116,ScaledPrice,3)))),0))</f>
        <v> </v>
      </c>
      <c r="Q116" s="315" t="str">
        <f aca="false">IF(A116="N/A"," ",IF(AND(Dayrun&gt;2,Dayrun&lt;=3),VLOOKUP(A116,ScaledPrice,9),0))</f>
        <v> </v>
      </c>
      <c r="R116" s="316" t="str">
        <f aca="false">IF($A116="N/A"," ",IF(Pricetype=2,MAX(I116-$H116,0),IF(Pricetype=1,(xSPRDOPT(I116,$E116,$CI116,0,($CD116+IF(Smile=TRUE(),VLOOKUP(MAX(-5,$H116-I116),Volsmile,2),0)),$CG116,$CH116,($A116-DateToday)+15,1,0)),I116-$H116)))</f>
        <v> </v>
      </c>
      <c r="S116" s="316" t="str">
        <f aca="false">IF($A116="N/A"," ",IF(Pricetype=2,MAX(J116-$H116,0),IF(Pricetype=1,(xSPRDOPT(J116,$E116,$CI116,0,($CD116+IF(Smile=TRUE(),VLOOKUP(MAX(-5,$H116-J116),Volsmile,2),0)),$CG116,$CH116,($A116-DateToday)+15,1,0)),J116-$H116)))</f>
        <v> </v>
      </c>
      <c r="T116" s="317" t="str">
        <f aca="false">IF($A116="N/A"," ",(IF(Pricetype=2,IF((K116-$H116)&lt;=0,0,(K116-$H116)),IF(K116&lt;&gt;0,(K116-$H116),0))))</f>
        <v> </v>
      </c>
      <c r="U116" s="316" t="str">
        <f aca="false">IF($A116="N/A"," ",IF(Pricetype=2,MAX(L116-$H116,0),IF(L116&lt;&gt;0,IF(Pricetype=1,(xSPRDOPT(L116,$E116,$CI116,0,($CD116+IF(Smile=TRUE(),VLOOKUP(MAX(-5,$H116-L116),Volsmile,2),0)),$CG116,$CH116,($A116-DateToday)+15,1,0)),L116-$H116),0)))</f>
        <v> </v>
      </c>
      <c r="V116" s="316" t="str">
        <f aca="false">IF($A116="N/A"," ",IF(Pricetype=2,MAX(M116-$H116,0),IF(M116&lt;&gt;0,IF(Pricetype=1,(xSPRDOPT(M116,$E116,$CI116,0,($CD116+IF(Smile=TRUE(),VLOOKUP(MAX(-5,$H116-M116),Volsmile,2),0)),$CG116,$CH116,($A116-DateToday)+15,1,0)),M116-$H116),0)))</f>
        <v> </v>
      </c>
      <c r="W116" s="317" t="str">
        <f aca="false">IF($A116="N/A"," ",(IF(Pricetype=2,IF((N116-$H116)&lt;=0,0,(N116-$H116)),IF(N116&lt;&gt;0,(N116-$H116),0))))</f>
        <v> </v>
      </c>
      <c r="X116" s="316" t="str">
        <f aca="false">IF($A116="N/A"," ",IF(Pricetype=2,MAX(O116-$H116,0),IF(O116&lt;&gt;0,IF(Pricetype=1,(xSPRDOPT(O116,$E116,$CI116,0,($CD116+IF(Smile=TRUE(),VLOOKUP(MAX(-5,$H116-O116),Volsmile,2),0)),$CG116,$CH116,($A116-DateToday)+15,1,0)),O116-$H116),0)))</f>
        <v> </v>
      </c>
      <c r="Y116" s="316" t="str">
        <f aca="false">IF($A116="N/A"," ",IF(Pricetype=2,MAX(P116-$H116,0),IF(P116&lt;&gt;0,IF(Pricetype=1,(xSPRDOPT(P116,$E116,$CI116,0,($CD116+IF(Smile=TRUE(),VLOOKUP(MAX(-5,$H116-P116),Volsmile,2),0)),$CG116,$CH116,($A116-DateToday)+15,1,0)),P116-$H116),0)))</f>
        <v> </v>
      </c>
      <c r="Z116" s="317" t="str">
        <f aca="false">IF($A116="N/A"," ",(IF(Pricetype=2,IF((Q116-$H116)&lt;=0,0,(Q116-$H116)),IF(Q116&lt;&gt;0,(Q116-$H116),0))))</f>
        <v> </v>
      </c>
      <c r="AA116" s="318" t="str">
        <f aca="false">IF($A116="N/A"," ",IF(VLOOKUP(MONTH(A116),ManualTable,2)=1,(IF(0&lt;&gt;R116,IF(Pricetype=1,(xSPRDOPT(I116,$E116,$CI116,0,($CD116+IF(Smile=TRUE(),VLOOKUP(MAX(-5,$H116-I116),Volsmile,2),0)),$CG116,$CH116,($A116-DateToday)+15,1,1))*(8*$HD116),8*$HD116),0)),0))</f>
        <v> </v>
      </c>
      <c r="AB116" s="318" t="str">
        <f aca="false">IF($A116="N/A"," ",IF(VLOOKUP(MONTH(A116),ManualTable,3)=1,(IF(S116&lt;&gt;0,IF(Pricetype=1,(xSPRDOPT(J116,$E116,$CI116,0,($CD116+IF(Smile=TRUE(),VLOOKUP(MAX(-5,$H116-J116),Volsmile,2),0)),$CG116,$CH116,($A116-DateToday)+15,1,1))*(8*$HD116),8*$HD116),0)),0))</f>
        <v> </v>
      </c>
      <c r="AC116" s="318" t="str">
        <f aca="false">IF($A116="N/A"," ",IF(VLOOKUP(MONTH(A116),ManualTable,4)=1,(IF(T116&lt;&gt;0,(8*$HD116),0)),0))</f>
        <v> </v>
      </c>
      <c r="AD116" s="318" t="str">
        <f aca="false">IF($A116="N/A"," ",IF(VLOOKUP(MONTH(A116),ManualTable,5)=1,(IF(U116&lt;&gt;0,IF(Pricetype=1,(xSPRDOPT(L116,$E116,$CI116,0,($CD116+IF(Smile=TRUE(),VLOOKUP(MAX(-5,$H116-L116),Volsmile,2),0)),$CG116,$CH116,($A116-DateToday)+15,1,1))*(8*$HE116),8*$HE116),0)),0))</f>
        <v> </v>
      </c>
      <c r="AE116" s="318" t="str">
        <f aca="false">IF($A116="N/A"," ",IF(VLOOKUP(MONTH(A116),ManualTable,6)=1,(IF(V116&lt;&gt;0,IF(Pricetype=1,(xSPRDOPT(M116,$E116,$CI116,0,($CD116+IF(Smile=TRUE(),VLOOKUP(MAX(-5,$H116-M116),Volsmile,2),0)),$CG116,$CH116,($A116-DateToday)+15,1,1))*(8*$HE116),8*$HE116),0)),0))</f>
        <v> </v>
      </c>
      <c r="AF116" s="318" t="str">
        <f aca="false">IF($A116="N/A"," ",IF(VLOOKUP(MONTH(A116),ManualTable,7)=1,(IF(W116&lt;&gt;0,(8*$HE116),0)),0))</f>
        <v> </v>
      </c>
      <c r="AG116" s="318" t="str">
        <f aca="false">IF($A116="N/A"," ",IF(VLOOKUP(MONTH(A116),ManualTable,8)=1,(IF(X116&lt;&gt;0,IF(Pricetype=1,(xSPRDOPT(O116,$E116,$CI116,0,($CD116+IF(Smile=TRUE(),VLOOKUP(MAX(-5,$H116-O116),Volsmile,2),0)),$CG116,$CH116,($A116-DateToday)+15,1,1))*(8*$HF116),8*$HF116),0)),0))</f>
        <v> </v>
      </c>
      <c r="AH116" s="318" t="str">
        <f aca="false">IF($A116="N/A"," ",IF(VLOOKUP(MONTH(A116),ManualTable,9)=1,(IF(Y116&lt;&gt;0,IF(Pricetype=1,(xSPRDOPT(P116,$E116,$CI116,0,($CD116+IF(Smile=TRUE(),VLOOKUP(MAX(-5,$H116-P116),Volsmile,2),0)),$CG116,$CH116,($A116-DateToday)+15,1,1))*(8*$HF116),8*$HF116),0)),0))</f>
        <v> </v>
      </c>
      <c r="AI116" s="318" t="str">
        <f aca="false">IF($A116="N/A"," ",IF(VLOOKUP(MONTH(A116),ManualTable,10)=1,(IF(Z116&lt;&gt;0,(8*($HF116)),0)),0))</f>
        <v> </v>
      </c>
      <c r="AJ116" s="344" t="str">
        <f aca="false">IF($A116="N/A"," ",RANK(R116,$R$112:$Z$123))</f>
        <v> </v>
      </c>
      <c r="AK116" s="321" t="str">
        <f aca="false">IF($A116="N/A"," ",RANK(S116,$R$112:$Z$123))</f>
        <v> </v>
      </c>
      <c r="AL116" s="321" t="str">
        <f aca="false">IF($A116="N/A"," ",RANK(T116,$R$112:$Z$123))</f>
        <v> </v>
      </c>
      <c r="AM116" s="321" t="str">
        <f aca="false">IF($A116="N/A"," ",RANK(U116,$R$112:$Z$123))</f>
        <v> </v>
      </c>
      <c r="AN116" s="321" t="str">
        <f aca="false">IF($A116="N/A"," ",RANK(V116,$R$112:$Z$123))</f>
        <v> </v>
      </c>
      <c r="AO116" s="321" t="str">
        <f aca="false">IF($A116="N/A"," ",RANK(W116,$R$112:$Z$123))</f>
        <v> </v>
      </c>
      <c r="AP116" s="321" t="str">
        <f aca="false">IF($A116="N/A"," ",RANK(X116,$R$112:$Z$123))</f>
        <v> </v>
      </c>
      <c r="AQ116" s="321" t="str">
        <f aca="false">IF($A116="N/A"," ",RANK(Y116,$R$112:$Z$123))</f>
        <v> </v>
      </c>
      <c r="AR116" s="345" t="str">
        <f aca="false">IF($A116="N/A"," ",RANK(Z116,$R$112:$Z$123))</f>
        <v> </v>
      </c>
      <c r="AS116" s="323" t="str">
        <f aca="false">IF($A116="N/A"," ",IF(AJ116&lt;=$AR$2,AA116,0))</f>
        <v> </v>
      </c>
      <c r="AT116" s="325" t="str">
        <f aca="false">IF($A116="N/A"," ",IF(AK116&lt;=$AR$2,AB116,0))</f>
        <v> </v>
      </c>
      <c r="AU116" s="325" t="str">
        <f aca="false">IF($A116="N/A"," ",IF(AL116&lt;=$AR$2,AC116,0))</f>
        <v> </v>
      </c>
      <c r="AV116" s="325" t="str">
        <f aca="false">IF($A116="N/A"," ",IF(AM116&lt;=$AR$2,AD116,0))</f>
        <v> </v>
      </c>
      <c r="AW116" s="325" t="str">
        <f aca="false">IF($A116="N/A"," ",IF(AN116&lt;=$AR$2,AE116,0))</f>
        <v> </v>
      </c>
      <c r="AX116" s="325" t="str">
        <f aca="false">IF($A116="N/A"," ",IF(AO116&lt;=$AR$2,AF116,0))</f>
        <v> </v>
      </c>
      <c r="AY116" s="325" t="str">
        <f aca="false">IF($A116="N/A"," ",IF(AP116&lt;=$AR$2,AG116,0))</f>
        <v> </v>
      </c>
      <c r="AZ116" s="325" t="str">
        <f aca="false">IF($A116="N/A"," ",IF(AQ116&lt;=$AR$2,AH116,0))</f>
        <v> </v>
      </c>
      <c r="BA116" s="325" t="str">
        <f aca="false">IF($A116="N/A"," ",IF(AR116&lt;=$AR$2,AI116,0))</f>
        <v> </v>
      </c>
      <c r="BB116" s="345"/>
      <c r="BC116" s="326" t="str">
        <f aca="false">IF($A116="N/A"," ",IF(AND(AJ116=$AR$2+1,AS116=0),MIN($BB$123,AA116),0))</f>
        <v> </v>
      </c>
      <c r="BD116" s="346" t="str">
        <f aca="false">IF($A116="N/A"," ",IF(AND(AK116=$AR$2+1,AT116=0),MIN($BB$123,AB116),0))</f>
        <v> </v>
      </c>
      <c r="BE116" s="346" t="str">
        <f aca="false">IF($A116="N/A"," ",IF(AND(AL116=$AR$2+1,AU116=0),MIN($BB$123,AC116),0))</f>
        <v> </v>
      </c>
      <c r="BF116" s="346" t="str">
        <f aca="false">IF($A116="N/A"," ",IF(AND(AM116=$AR$2+1,AV116=0),MIN($BB$123,AD116),0))</f>
        <v> </v>
      </c>
      <c r="BG116" s="346" t="str">
        <f aca="false">IF($A116="N/A"," ",IF(AND(AN116=$AR$2+1,AW116=0),MIN($BB$123,AE116),0))</f>
        <v> </v>
      </c>
      <c r="BH116" s="346" t="str">
        <f aca="false">IF($A116="N/A"," ",IF(AND(AO116=$AR$2+1,AX116=0),MIN($BB$123,AF116),0))</f>
        <v> </v>
      </c>
      <c r="BI116" s="346" t="str">
        <f aca="false">IF($A116="N/A"," ",IF(AND(AP116=$AR$2+1,AY116=0),MIN($BB$123,AG116),0))</f>
        <v> </v>
      </c>
      <c r="BJ116" s="346" t="str">
        <f aca="false">IF($A116="N/A"," ",IF(AND(AQ116=$AR$2+1,AZ116=0),MIN($BB$123,AH116),0))</f>
        <v> </v>
      </c>
      <c r="BK116" s="346" t="str">
        <f aca="false">IF($A116="N/A"," ",IF(AND(AR116=$AR$2+1,BA116=0),MIN($BB$123,AI116),0))</f>
        <v> </v>
      </c>
      <c r="BL116" s="345"/>
      <c r="BM116" s="329" t="str">
        <f aca="false">IF($A116="N/A"," ",(IF(MONTH(A116)&gt;=4,IF(MONTH(A116)&lt;=10,Inputs!$F$13-Inputs!$G$13,Inputs!$F$14-Inputs!$G$14),Inputs!$F$14-Inputs!$G$14))*$CK116*Availability)</f>
        <v> </v>
      </c>
      <c r="BN116" s="330" t="str">
        <f aca="false">IF($A116="N/A"," ",(IF(AS116&gt;0,($BM116*(8*($HD116))*R116),0)+IF(BC116&gt;0,($BM116*((BC116/AA116)*8*$HD116)*R116),0)))</f>
        <v> </v>
      </c>
      <c r="BO116" s="330" t="str">
        <f aca="false">IF($A116="N/A"," ",(IF(AT116&gt;0,($BM116*(8*($HD116))*S116),0)+IF(BD116&gt;0,($BM116*((BD116/AB116)*8*$HD116)*S116),0)))</f>
        <v> </v>
      </c>
      <c r="BP116" s="330" t="str">
        <f aca="false">IF($A116="N/A"," ",(IF(AU116&gt;0,($BM116*(8*($HD116))*T116),0)+IF(BE116&gt;0,($BM116*((BE116))*T116),0)))</f>
        <v> </v>
      </c>
      <c r="BQ116" s="330" t="str">
        <f aca="false">IF($A116="N/A"," ",(IF(AV116&gt;0,($BM116*(8*($HE116))*U116),0)+IF(BF116&gt;0,($BM116*((BF116/AD116)*8*$HE116)*U116),0)))</f>
        <v> </v>
      </c>
      <c r="BR116" s="330" t="str">
        <f aca="false">IF($A116="N/A"," ",(IF(AW116&gt;0,($BM116*(8*($HE116))*V116),0)+IF(BG116&gt;0,($BM116*((BG116/AE116)*8*$HE116)*V116),0)))</f>
        <v> </v>
      </c>
      <c r="BS116" s="330" t="str">
        <f aca="false">IF($A116="N/A"," ",(IF(AX116&gt;0,($BM116*(8*($HE116))*W116),0)+IF(BH116&gt;0,($BM116*((BH116))*W116),0)))</f>
        <v> </v>
      </c>
      <c r="BT116" s="330" t="str">
        <f aca="false">IF($A116="N/A"," ",(IF(AY116&gt;0,($BM116*(8*($HF116))*X116),0)+IF(BI116&gt;0,($BM116*((BI116/AG116)*8*$HF116)*X116),0)))</f>
        <v> </v>
      </c>
      <c r="BU116" s="330" t="str">
        <f aca="false">IF($A116="N/A"," ",(IF(AZ116&gt;0,($BM116*(8*($HF116))*Y116),0)+IF(BJ116&gt;0,($BM116*((BJ116/AH116)*8*$HF116)*Y116),0)))</f>
        <v> </v>
      </c>
      <c r="BV116" s="330" t="str">
        <f aca="false">IF($A116="N/A"," ",(IF(BA116&gt;0,($BM116*(8*($HF116))*Z116),0)+IF(BK116&gt;0,($BM116*((BK116))*Z116),0)))</f>
        <v> </v>
      </c>
      <c r="BW116" s="330" t="str">
        <f aca="false">IF($A116="N/A"," ",SUM(BN116:BV116))</f>
        <v> </v>
      </c>
      <c r="BX116" s="331" t="str">
        <f aca="false">IF($A116="N/A"," ",(H116*(SUM(AS116:BA116)+SUM(BC116:BK116))*BM116))</f>
        <v> </v>
      </c>
      <c r="BY116" s="332" t="str">
        <f aca="false">IF($A116="N/A"," ",((C116*D116)*(SUM($AS116:$BA116)+SUM($BC116:$BK116))*$BM116))</f>
        <v> </v>
      </c>
      <c r="BZ116" s="332" t="str">
        <f aca="false">IF($A116="N/A"," ",(F116*(SUM($AS116:$BA116)+SUM($BC116:$BK116))*$BM116))</f>
        <v> </v>
      </c>
      <c r="CA116" s="333" t="str">
        <f aca="false">IF($A116="N/A"," ",(G116*(SUM($AS116:$BA116)+SUM($BC116:$BK116))*$BM116))</f>
        <v> </v>
      </c>
      <c r="CB116" s="334" t="str">
        <f aca="false">IF(A116="N/A"," ",(VLOOKUP(A116,PowerVolTable,(IF(BMO=2,7,IF(BMO=1,6,8))),FALSE())))</f>
        <v> </v>
      </c>
      <c r="CC116" s="334" t="str">
        <f aca="false">IF(A116="N/A"," ",(VLOOKUP(A116,IntraPowerVol,(IF(BMO=2,3,IF(BMO=1,2,4))),FALSE())*VLOOKUP(MONTH($A116),Volscale,2)))</f>
        <v> </v>
      </c>
      <c r="CD116" s="335" t="str">
        <f aca="false">IF($A116="N/A"," ",(IF(DateToday&gt;$A116,$CC116,((($CB116^2)*((($A116-1)-DateToday)/((EOMONTH($A116,0)+1)-DateToday-15)))+((($CC116)^2)*((15)/((EOMONTH($A116,0)+1)-DateToday-15))))^0.5)))</f>
        <v> </v>
      </c>
      <c r="CE116" s="334" t="str">
        <f aca="false">IF($A116="N/A"," ",(VLOOKUP($A116,GasVolTable,(IF(BMO=2,6,IF(BMO=1,7,5))),FALSE())))</f>
        <v> </v>
      </c>
      <c r="CF116" s="334" t="str">
        <f aca="false">IF($A116="N/A"," ",(VLOOKUP($A116,OmicronVol,(IF(BMO=2,3,IF(BMO=1,4,2))),FALSE())))</f>
        <v> </v>
      </c>
      <c r="CG116" s="335" t="str">
        <f aca="false">IF($A116="N/A"," ",(IF(DateToday&gt;$A116,$CF116,((($CE116^2)*((($A116-1)-DateToday)/((EOMONTH($A116,0)+1)-DateToday-15)))+((($CF116)^2)*((15)/((EOMONTH($A116,0)+1)-DateToday-15))))^0.5)))</f>
        <v> </v>
      </c>
      <c r="CH116" s="334" t="str">
        <f aca="false">IF($A116="N/A"," ",VLOOKUP($A116,CorrelationTable,2,FALSE()))</f>
        <v> </v>
      </c>
      <c r="CI116" s="336" t="str">
        <f aca="false">IF($A116="N/A"," ",F116+G116+(D116*('Pricing Inputs'!T149)))</f>
        <v> </v>
      </c>
      <c r="CJ116" s="334" t="str">
        <f aca="false">IF($A116="N/A"," ",IF(PV=1,0,'Pricing Inputs'!U149))</f>
        <v> </v>
      </c>
      <c r="CK116" s="337" t="str">
        <f aca="false">IF($A116="N/A"," ",(1+CJ116/2)^(-2*((EOMONTH(A116,0)+20)-DateToday)/365.25))</f>
        <v> </v>
      </c>
      <c r="CL116" s="338" t="str">
        <f aca="false">IF(A116="N/A"," ",IF(CC=2,(VLOOKUP(MONTH($A116),Hrtable,3))/1000,0))</f>
        <v> </v>
      </c>
      <c r="CM116" s="339" t="str">
        <f aca="false">IF(A116="N/A"," ",IF(CC=2,(CL116*C116)+F116,0))</f>
        <v> </v>
      </c>
      <c r="CN116" s="340" t="str">
        <f aca="false">IF($A116="N/A"," ",IF(CC=2,(VLOOKUP(A116,ScaledPrice,(IF(AND(Dayrun&gt;=1,Dayrun&lt;=6),2,4)))-((IF(R116&lt;&gt;0,$D116,$CL116)*$C116)+$F116+$G116)),0))</f>
        <v> </v>
      </c>
      <c r="CO116" s="340" t="str">
        <f aca="false">IF($A116="N/A"," ",IF(CC=2,(IF(AND(Dayrun&gt;=1,Dayrun&lt;=6),I116,(VLOOKUP(A116,ScaledPrice,2))*(2-(VLOOKUP(A116,ScaledPrice,3))))-((IF(S116&lt;&gt;0,$D116,$CL116)*$C116)+$F116+$G116)),0))</f>
        <v> </v>
      </c>
      <c r="CP116" s="340" t="str">
        <f aca="false">IF(A116="N/A"," ",IF(CC=2,(VLOOKUP(A116,ScaledPrice,9)-((IF(T116&lt;&gt;0,$D116,$CL116)*$C116)+$F116+$G116)),0))</f>
        <v> </v>
      </c>
      <c r="CQ116" s="340" t="str">
        <f aca="false">IF(A116="N/A"," ",IF(CC=2,(IF(OR(Dayrun=2,Dayrun=3,Dayrun=5,Dayrun=6,Dayrun=8,Dayrun=9),VLOOKUP(A116,ScaledPrice,IF(AND(Dayrun&gt;=2,Dayrun&lt;=6),5,6)),0)-((IF(U116&lt;&gt;0,$D116,$CL116)*$C116)+$F116+$G116)),0))</f>
        <v> </v>
      </c>
      <c r="CR116" s="340" t="str">
        <f aca="false">IF(A116="N/A"," ",IF(CC=2,(IF(OR(Dayrun=2,Dayrun=3,Dayrun=5,Dayrun=6,Dayrun=8,Dayrun=9),IF(AND(Dayrun&gt;=2,Dayrun&lt;=6),L116,(VLOOKUP(A116,ScaledPrice,5))*(2-(VLOOKUP(A116,ScaledPrice,3)))),0)-((IF(V116&lt;&gt;0,$D116,$CL116)*$C116)+$F116+$G116)),0))</f>
        <v> </v>
      </c>
      <c r="CS116" s="340" t="str">
        <f aca="false">IF(A116="N/A"," ",IF(CC=2,(VLOOKUP(A116,ScaledPrice,9)-((IF(W116&lt;&gt;0,$D116,$CL116)*$C116)+$F116+$G116)),0))</f>
        <v> </v>
      </c>
      <c r="CT116" s="340" t="str">
        <f aca="false">IF(A116="N/A"," ",IF(CC=2,(IF(OR(Dayrun=3,Dayrun=6,Dayrun=9),(VLOOKUP(A116,ScaledPrice,IF(AND(Dayrun&gt;=3,Dayrun&lt;=6),7,8))),0)-((IF(X116&lt;&gt;0,$D116,$CL116)*$C116)+$F116+$G116)),0))</f>
        <v> </v>
      </c>
      <c r="CU116" s="340" t="str">
        <f aca="false">IF(A116="N/A"," ",IF(CC=2,(IF(OR(Dayrun=3,Dayrun=6,Dayrun=9),IF(AND(Dayrun&gt;=3,Dayrun&lt;=6),O116,(VLOOKUP(A116,ScaledPrice,7))*(2-(VLOOKUP(A116,ScaledPrice,3)))),0)-((IF(Y116&lt;&gt;0,$D116,$CL116)*$C116)+$F116+$G116)),0))</f>
        <v> </v>
      </c>
      <c r="CV116" s="340" t="str">
        <f aca="false">IF(A116="N/A"," ",IF(CC=2,(VLOOKUP(A116,ScaledPrice,9)-((IF(Z116&lt;&gt;0,$D116,$CL116)*$C116)+$F116+$G116)),0))</f>
        <v> </v>
      </c>
      <c r="CW116" s="318" t="str">
        <f aca="false">IF($A116="N/A"," ",IF(0&lt;&gt;CN116,IF(CC=2,8*$HD116,0),0))</f>
        <v> </v>
      </c>
      <c r="CX116" s="318" t="str">
        <f aca="false">IF($A116="N/A"," ",IF(0&lt;&gt;CO116,IF(CC=2,8*$HD116,0),0))</f>
        <v> </v>
      </c>
      <c r="CY116" s="318" t="str">
        <f aca="false">IF($A116="N/A"," ",IF(0&lt;&gt;CP116,IF(CC=2,8*$HD116,0),0))</f>
        <v> </v>
      </c>
      <c r="CZ116" s="318" t="str">
        <f aca="false">IF($A116="N/A"," ",IF(0&lt;&gt;CQ116,IF(CC=2,8*$HE116,0),0))</f>
        <v> </v>
      </c>
      <c r="DA116" s="318" t="str">
        <f aca="false">IF($A116="N/A"," ",IF(0&lt;&gt;CR116,IF(CC=2,8*$HE116,0),0))</f>
        <v> </v>
      </c>
      <c r="DB116" s="318" t="str">
        <f aca="false">IF($A116="N/A"," ",IF(0&lt;&gt;CS116,IF(CC=2,8*$HE116,0),0))</f>
        <v> </v>
      </c>
      <c r="DC116" s="318" t="str">
        <f aca="false">IF($A116="N/A"," ",IF(0&lt;&gt;CT116,IF(CC=2,8*$HF116,0),0))</f>
        <v> </v>
      </c>
      <c r="DD116" s="318" t="str">
        <f aca="false">IF($A116="N/A"," ",IF(0&lt;&gt;CU116,IF(CC=2,8*$HF116,0),0))</f>
        <v> </v>
      </c>
      <c r="DE116" s="318" t="str">
        <f aca="false">IF($A116="N/A"," ",IF(0&lt;&gt;CV116,IF(CC=2,8*$HF116,0),0))</f>
        <v> </v>
      </c>
      <c r="DF116" s="341" t="str">
        <f aca="false">IF($A116="N/A"," ",IF(CC=2,(IF(MONTH(A116)&gt;=4,IF(MONTH(A116)&lt;=10,Inputs!$G$13,Inputs!$G$14),Inputs!$G$14))*$CK116,0))</f>
        <v> </v>
      </c>
      <c r="DG116" s="342" t="str">
        <f aca="false">IF($A116="N/A"," ",IF(CC=2,$DF116*CW116*CN116,0))</f>
        <v> </v>
      </c>
      <c r="DH116" s="342" t="str">
        <f aca="false">IF($A116="N/A"," ",IF(CC=2,$DF116*CX116*CO116,0))</f>
        <v> </v>
      </c>
      <c r="DI116" s="342" t="str">
        <f aca="false">IF($A116="N/A"," ",IF(CC=2,$DF116*CY116*CP116,0))</f>
        <v> </v>
      </c>
      <c r="DJ116" s="342" t="str">
        <f aca="false">IF($A116="N/A"," ",IF(CC=2,$DF116*CZ116*CQ116,0))</f>
        <v> </v>
      </c>
      <c r="DK116" s="342" t="str">
        <f aca="false">IF($A116="N/A"," ",IF(CC=2,$DF116*DA116*CR116,0))</f>
        <v> </v>
      </c>
      <c r="DL116" s="342" t="str">
        <f aca="false">IF($A116="N/A"," ",IF(CC=2,$DF116*DB116*CS116,0))</f>
        <v> </v>
      </c>
      <c r="DM116" s="342" t="str">
        <f aca="false">IF($A116="N/A"," ",IF(CC=2,$DF116*DC116*CT116,0))</f>
        <v> </v>
      </c>
      <c r="DN116" s="342" t="str">
        <f aca="false">IF($A116="N/A"," ",IF(CC=2,$DF116*DD116*CU116,0))</f>
        <v> </v>
      </c>
      <c r="DO116" s="342" t="str">
        <f aca="false">IF($A116="N/A"," ",IF(CC=2,$DF116*DE116*CV116,0))</f>
        <v> </v>
      </c>
      <c r="DP116" s="343" t="str">
        <f aca="false">IF($A116="N/A"," ",IF(CC=2,SUM(DG116:DO116),0))</f>
        <v> </v>
      </c>
      <c r="DQ116" s="0" t="str">
        <f aca="false">IF(A116="N/A"," ",Perstart)</f>
        <v> </v>
      </c>
      <c r="HD116" s="0" t="str">
        <f aca="false">IF($A116="N/A"," ",VLOOKUP($A116,NumberofDaysTable,2))</f>
        <v> </v>
      </c>
      <c r="HE116" s="0" t="str">
        <f aca="false">IF($A116="N/A"," ",VLOOKUP($A116,NumberofDaysTable,3))</f>
        <v> </v>
      </c>
      <c r="HF116" s="0" t="str">
        <f aca="false">IF($A116="N/A"," ",VLOOKUP($A116,NumberofDaysTable,4))</f>
        <v> </v>
      </c>
    </row>
    <row r="117" customFormat="false" ht="12.75" hidden="false" customHeight="false" outlineLevel="0" collapsed="false">
      <c r="A117" s="308" t="str">
        <f aca="false">IF(A116="N/A","N/A",IF(EDATE(A116,1)&gt;Inputs!$K$3,"N/A",EDATE(A116,1)))</f>
        <v>N/A</v>
      </c>
      <c r="B117" s="309" t="str">
        <f aca="false">IF(A117="N/A"," ",YEAR(A117))</f>
        <v> </v>
      </c>
      <c r="C117" s="310" t="str">
        <f aca="false">IF(A117="N/A"," ",VLOOKUP(A117,ScaledPrice,10))</f>
        <v> </v>
      </c>
      <c r="D117" s="311" t="str">
        <f aca="false">IF(A117="N/A"," ",(VLOOKUP(MONTH($A117),Hrtable,2))/1000)</f>
        <v> </v>
      </c>
      <c r="E117" s="312" t="str">
        <f aca="false">IF($A117="N/A"," ",(C117-'Pricing Inputs'!T150)*D117)</f>
        <v> </v>
      </c>
      <c r="F117" s="313" t="str">
        <f aca="false">IF(A117="N/A"," ",$F105*(1+VOMesc))</f>
        <v> </v>
      </c>
      <c r="G117" s="313" t="str">
        <f aca="false">IF(A117="N/A"," ",Perstart/IF(AND(Dayrun&gt;=4,Dayrun&lt;=6),16,IF(AND(Dayrun&gt;=7,Dayrun&lt;=9),8,24))/(BM117/CK117))</f>
        <v> </v>
      </c>
      <c r="H117" s="314" t="str">
        <f aca="false">IF(A117="N/A"," ",(C117*D117)+F117+G117)</f>
        <v> </v>
      </c>
      <c r="I117" s="315" t="str">
        <f aca="false">VLOOKUP(A117,ScaledPrice,(IF(AND(Dayrun&gt;=1,Dayrun&lt;=6),2,4)))</f>
        <v> </v>
      </c>
      <c r="J117" s="315" t="str">
        <f aca="false">IF(A117="N/A"," ",IF(AND(Dayrun&gt;=1,Dayrun&lt;=6),I117,(VLOOKUP(A117,ScaledPrice,2))*(2-(VLOOKUP(A117,ScaledPrice,3)))))</f>
        <v> </v>
      </c>
      <c r="K117" s="315" t="str">
        <f aca="false">IF(A117="N/A"," ",IF(AND(Dayrun&gt;=1,Dayrun&lt;=3),VLOOKUP(A117,ScaledPrice,9),0))</f>
        <v> </v>
      </c>
      <c r="L117" s="315" t="str">
        <f aca="false">IF(A117="N/A"," ",IF(OR(Dayrun=2,Dayrun=3,Dayrun=5,Dayrun=6,Dayrun=8,Dayrun=9),VLOOKUP(A117,ScaledPrice,IF(AND(Dayrun&gt;=2,Dayrun&lt;=6),5,6)),0))</f>
        <v> </v>
      </c>
      <c r="M117" s="315" t="str">
        <f aca="false">IF(A117="N/A"," ",IF(OR(Dayrun=2,Dayrun=3,Dayrun=5,Dayrun=6,Dayrun=8,Dayrun=9),IF(AND(Dayrun&gt;=2,Dayrun&lt;=6),L117,(VLOOKUP(A117,ScaledPrice,5))*(2-(VLOOKUP(A117,ScaledPrice,3)))),0))</f>
        <v> </v>
      </c>
      <c r="N117" s="315" t="str">
        <f aca="false">IF(A117="N/A"," ",IF(AND(Dayrun&gt;1,Dayrun&lt;=3),VLOOKUP(A117,ScaledPrice,9),0))</f>
        <v> </v>
      </c>
      <c r="O117" s="315" t="str">
        <f aca="false">IF(A117="N/A"," ",IF(OR(Dayrun=3,Dayrun=6,Dayrun=9),(VLOOKUP(A117,ScaledPrice,IF(AND(Dayrun&gt;=3,Dayrun&lt;=6),7,8))),0))</f>
        <v> </v>
      </c>
      <c r="P117" s="315" t="str">
        <f aca="false">IF(A117="N/A"," ",IF(OR(Dayrun=3,Dayrun=6,Dayrun=9),IF(AND(Dayrun&gt;=3,Dayrun&lt;=6),O117,(VLOOKUP(A117,ScaledPrice,7))*(2-(VLOOKUP(A117,ScaledPrice,3)))),0))</f>
        <v> </v>
      </c>
      <c r="Q117" s="315" t="str">
        <f aca="false">IF(A117="N/A"," ",IF(AND(Dayrun&gt;2,Dayrun&lt;=3),VLOOKUP(A117,ScaledPrice,9),0))</f>
        <v> </v>
      </c>
      <c r="R117" s="316" t="str">
        <f aca="false">IF($A117="N/A"," ",IF(Pricetype=2,MAX(I117-$H117,0),IF(Pricetype=1,(xSPRDOPT(I117,$E117,$CI117,0,($CD117+IF(Smile=TRUE(),VLOOKUP(MAX(-5,$H117-I117),Volsmile,2),0)),$CG117,$CH117,($A117-DateToday)+15,1,0)),I117-$H117)))</f>
        <v> </v>
      </c>
      <c r="S117" s="316" t="str">
        <f aca="false">IF($A117="N/A"," ",IF(Pricetype=2,MAX(J117-$H117,0),IF(Pricetype=1,(xSPRDOPT(J117,$E117,$CI117,0,($CD117+IF(Smile=TRUE(),VLOOKUP(MAX(-5,$H117-J117),Volsmile,2),0)),$CG117,$CH117,($A117-DateToday)+15,1,0)),J117-$H117)))</f>
        <v> </v>
      </c>
      <c r="T117" s="317" t="str">
        <f aca="false">IF($A117="N/A"," ",(IF(Pricetype=2,IF((K117-$H117)&lt;=0,0,(K117-$H117)),IF(K117&lt;&gt;0,(K117-$H117),0))))</f>
        <v> </v>
      </c>
      <c r="U117" s="316" t="str">
        <f aca="false">IF($A117="N/A"," ",IF(Pricetype=2,MAX(L117-$H117,0),IF(L117&lt;&gt;0,IF(Pricetype=1,(xSPRDOPT(L117,$E117,$CI117,0,($CD117+IF(Smile=TRUE(),VLOOKUP(MAX(-5,$H117-L117),Volsmile,2),0)),$CG117,$CH117,($A117-DateToday)+15,1,0)),L117-$H117),0)))</f>
        <v> </v>
      </c>
      <c r="V117" s="316" t="str">
        <f aca="false">IF($A117="N/A"," ",IF(Pricetype=2,MAX(M117-$H117,0),IF(M117&lt;&gt;0,IF(Pricetype=1,(xSPRDOPT(M117,$E117,$CI117,0,($CD117+IF(Smile=TRUE(),VLOOKUP(MAX(-5,$H117-M117),Volsmile,2),0)),$CG117,$CH117,($A117-DateToday)+15,1,0)),M117-$H117),0)))</f>
        <v> </v>
      </c>
      <c r="W117" s="317" t="str">
        <f aca="false">IF($A117="N/A"," ",(IF(Pricetype=2,IF((N117-$H117)&lt;=0,0,(N117-$H117)),IF(N117&lt;&gt;0,(N117-$H117),0))))</f>
        <v> </v>
      </c>
      <c r="X117" s="316" t="str">
        <f aca="false">IF($A117="N/A"," ",IF(Pricetype=2,MAX(O117-$H117,0),IF(O117&lt;&gt;0,IF(Pricetype=1,(xSPRDOPT(O117,$E117,$CI117,0,($CD117+IF(Smile=TRUE(),VLOOKUP(MAX(-5,$H117-O117),Volsmile,2),0)),$CG117,$CH117,($A117-DateToday)+15,1,0)),O117-$H117),0)))</f>
        <v> </v>
      </c>
      <c r="Y117" s="316" t="str">
        <f aca="false">IF($A117="N/A"," ",IF(Pricetype=2,MAX(P117-$H117,0),IF(P117&lt;&gt;0,IF(Pricetype=1,(xSPRDOPT(P117,$E117,$CI117,0,($CD117+IF(Smile=TRUE(),VLOOKUP(MAX(-5,$H117-P117),Volsmile,2),0)),$CG117,$CH117,($A117-DateToday)+15,1,0)),P117-$H117),0)))</f>
        <v> </v>
      </c>
      <c r="Z117" s="317" t="str">
        <f aca="false">IF($A117="N/A"," ",(IF(Pricetype=2,IF((Q117-$H117)&lt;=0,0,(Q117-$H117)),IF(Q117&lt;&gt;0,(Q117-$H117),0))))</f>
        <v> </v>
      </c>
      <c r="AA117" s="318" t="str">
        <f aca="false">IF($A117="N/A"," ",IF(VLOOKUP(MONTH(A117),ManualTable,2)=1,(IF(0&lt;&gt;R117,IF(Pricetype=1,(xSPRDOPT(I117,$E117,$CI117,0,($CD117+IF(Smile=TRUE(),VLOOKUP(MAX(-5,$H117-I117),Volsmile,2),0)),$CG117,$CH117,($A117-DateToday)+15,1,1))*(8*$HD117),8*$HD117),0)),0))</f>
        <v> </v>
      </c>
      <c r="AB117" s="318" t="str">
        <f aca="false">IF($A117="N/A"," ",IF(VLOOKUP(MONTH(A117),ManualTable,3)=1,(IF(S117&lt;&gt;0,IF(Pricetype=1,(xSPRDOPT(J117,$E117,$CI117,0,($CD117+IF(Smile=TRUE(),VLOOKUP(MAX(-5,$H117-J117),Volsmile,2),0)),$CG117,$CH117,($A117-DateToday)+15,1,1))*(8*$HD117),8*$HD117),0)),0))</f>
        <v> </v>
      </c>
      <c r="AC117" s="318" t="str">
        <f aca="false">IF($A117="N/A"," ",IF(VLOOKUP(MONTH(A117),ManualTable,4)=1,(IF(T117&lt;&gt;0,(8*$HD117),0)),0))</f>
        <v> </v>
      </c>
      <c r="AD117" s="318" t="str">
        <f aca="false">IF($A117="N/A"," ",IF(VLOOKUP(MONTH(A117),ManualTable,5)=1,(IF(U117&lt;&gt;0,IF(Pricetype=1,(xSPRDOPT(L117,$E117,$CI117,0,($CD117+IF(Smile=TRUE(),VLOOKUP(MAX(-5,$H117-L117),Volsmile,2),0)),$CG117,$CH117,($A117-DateToday)+15,1,1))*(8*$HE117),8*$HE117),0)),0))</f>
        <v> </v>
      </c>
      <c r="AE117" s="318" t="str">
        <f aca="false">IF($A117="N/A"," ",IF(VLOOKUP(MONTH(A117),ManualTable,6)=1,(IF(V117&lt;&gt;0,IF(Pricetype=1,(xSPRDOPT(M117,$E117,$CI117,0,($CD117+IF(Smile=TRUE(),VLOOKUP(MAX(-5,$H117-M117),Volsmile,2),0)),$CG117,$CH117,($A117-DateToday)+15,1,1))*(8*$HE117),8*$HE117),0)),0))</f>
        <v> </v>
      </c>
      <c r="AF117" s="318" t="str">
        <f aca="false">IF($A117="N/A"," ",IF(VLOOKUP(MONTH(A117),ManualTable,7)=1,(IF(W117&lt;&gt;0,(8*$HE117),0)),0))</f>
        <v> </v>
      </c>
      <c r="AG117" s="318" t="str">
        <f aca="false">IF($A117="N/A"," ",IF(VLOOKUP(MONTH(A117),ManualTable,8)=1,(IF(X117&lt;&gt;0,IF(Pricetype=1,(xSPRDOPT(O117,$E117,$CI117,0,($CD117+IF(Smile=TRUE(),VLOOKUP(MAX(-5,$H117-O117),Volsmile,2),0)),$CG117,$CH117,($A117-DateToday)+15,1,1))*(8*$HF117),8*$HF117),0)),0))</f>
        <v> </v>
      </c>
      <c r="AH117" s="318" t="str">
        <f aca="false">IF($A117="N/A"," ",IF(VLOOKUP(MONTH(A117),ManualTable,9)=1,(IF(Y117&lt;&gt;0,IF(Pricetype=1,(xSPRDOPT(P117,$E117,$CI117,0,($CD117+IF(Smile=TRUE(),VLOOKUP(MAX(-5,$H117-P117),Volsmile,2),0)),$CG117,$CH117,($A117-DateToday)+15,1,1))*(8*$HF117),8*$HF117),0)),0))</f>
        <v> </v>
      </c>
      <c r="AI117" s="318" t="str">
        <f aca="false">IF($A117="N/A"," ",IF(VLOOKUP(MONTH(A117),ManualTable,10)=1,(IF(Z117&lt;&gt;0,(8*($HF117)),0)),0))</f>
        <v> </v>
      </c>
      <c r="AJ117" s="344" t="str">
        <f aca="false">IF($A117="N/A"," ",RANK(R117,$R$112:$Z$123))</f>
        <v> </v>
      </c>
      <c r="AK117" s="321" t="str">
        <f aca="false">IF($A117="N/A"," ",RANK(S117,$R$112:$Z$123))</f>
        <v> </v>
      </c>
      <c r="AL117" s="321" t="str">
        <f aca="false">IF($A117="N/A"," ",RANK(T117,$R$112:$Z$123))</f>
        <v> </v>
      </c>
      <c r="AM117" s="321" t="str">
        <f aca="false">IF($A117="N/A"," ",RANK(U117,$R$112:$Z$123))</f>
        <v> </v>
      </c>
      <c r="AN117" s="321" t="str">
        <f aca="false">IF($A117="N/A"," ",RANK(V117,$R$112:$Z$123))</f>
        <v> </v>
      </c>
      <c r="AO117" s="321" t="str">
        <f aca="false">IF($A117="N/A"," ",RANK(W117,$R$112:$Z$123))</f>
        <v> </v>
      </c>
      <c r="AP117" s="321" t="str">
        <f aca="false">IF($A117="N/A"," ",RANK(X117,$R$112:$Z$123))</f>
        <v> </v>
      </c>
      <c r="AQ117" s="321" t="str">
        <f aca="false">IF($A117="N/A"," ",RANK(Y117,$R$112:$Z$123))</f>
        <v> </v>
      </c>
      <c r="AR117" s="345" t="str">
        <f aca="false">IF($A117="N/A"," ",RANK(Z117,$R$112:$Z$123))</f>
        <v> </v>
      </c>
      <c r="AS117" s="323" t="str">
        <f aca="false">IF($A117="N/A"," ",IF(AJ117&lt;=$AR$2,AA117,0))</f>
        <v> </v>
      </c>
      <c r="AT117" s="325" t="str">
        <f aca="false">IF($A117="N/A"," ",IF(AK117&lt;=$AR$2,AB117,0))</f>
        <v> </v>
      </c>
      <c r="AU117" s="325" t="str">
        <f aca="false">IF($A117="N/A"," ",IF(AL117&lt;=$AR$2,AC117,0))</f>
        <v> </v>
      </c>
      <c r="AV117" s="325" t="str">
        <f aca="false">IF($A117="N/A"," ",IF(AM117&lt;=$AR$2,AD117,0))</f>
        <v> </v>
      </c>
      <c r="AW117" s="325" t="str">
        <f aca="false">IF($A117="N/A"," ",IF(AN117&lt;=$AR$2,AE117,0))</f>
        <v> </v>
      </c>
      <c r="AX117" s="325" t="str">
        <f aca="false">IF($A117="N/A"," ",IF(AO117&lt;=$AR$2,AF117,0))</f>
        <v> </v>
      </c>
      <c r="AY117" s="325" t="str">
        <f aca="false">IF($A117="N/A"," ",IF(AP117&lt;=$AR$2,AG117,0))</f>
        <v> </v>
      </c>
      <c r="AZ117" s="325" t="str">
        <f aca="false">IF($A117="N/A"," ",IF(AQ117&lt;=$AR$2,AH117,0))</f>
        <v> </v>
      </c>
      <c r="BA117" s="325" t="str">
        <f aca="false">IF($A117="N/A"," ",IF(AR117&lt;=$AR$2,AI117,0))</f>
        <v> </v>
      </c>
      <c r="BB117" s="345"/>
      <c r="BC117" s="326" t="str">
        <f aca="false">IF($A117="N/A"," ",IF(AND(AJ117=$AR$2+1,AS117=0),MIN($BB$123,AA117),0))</f>
        <v> </v>
      </c>
      <c r="BD117" s="346" t="str">
        <f aca="false">IF($A117="N/A"," ",IF(AND(AK117=$AR$2+1,AT117=0),MIN($BB$123,AB117),0))</f>
        <v> </v>
      </c>
      <c r="BE117" s="346" t="str">
        <f aca="false">IF($A117="N/A"," ",IF(AND(AL117=$AR$2+1,AU117=0),MIN($BB$123,AC117),0))</f>
        <v> </v>
      </c>
      <c r="BF117" s="346" t="str">
        <f aca="false">IF($A117="N/A"," ",IF(AND(AM117=$AR$2+1,AV117=0),MIN($BB$123,AD117),0))</f>
        <v> </v>
      </c>
      <c r="BG117" s="346" t="str">
        <f aca="false">IF($A117="N/A"," ",IF(AND(AN117=$AR$2+1,AW117=0),MIN($BB$123,AE117),0))</f>
        <v> </v>
      </c>
      <c r="BH117" s="346" t="str">
        <f aca="false">IF($A117="N/A"," ",IF(AND(AO117=$AR$2+1,AX117=0),MIN($BB$123,AF117),0))</f>
        <v> </v>
      </c>
      <c r="BI117" s="346" t="str">
        <f aca="false">IF($A117="N/A"," ",IF(AND(AP117=$AR$2+1,AY117=0),MIN($BB$123,AG117),0))</f>
        <v> </v>
      </c>
      <c r="BJ117" s="346" t="str">
        <f aca="false">IF($A117="N/A"," ",IF(AND(AQ117=$AR$2+1,AZ117=0),MIN($BB$123,AH117),0))</f>
        <v> </v>
      </c>
      <c r="BK117" s="346" t="str">
        <f aca="false">IF($A117="N/A"," ",IF(AND(AR117=$AR$2+1,BA117=0),MIN($BB$123,AI117),0))</f>
        <v> </v>
      </c>
      <c r="BL117" s="345"/>
      <c r="BM117" s="329" t="str">
        <f aca="false">IF($A117="N/A"," ",(IF(MONTH(A117)&gt;=4,IF(MONTH(A117)&lt;=10,Inputs!$F$13-Inputs!$G$13,Inputs!$F$14-Inputs!$G$14),Inputs!$F$14-Inputs!$G$14))*$CK117*Availability)</f>
        <v> </v>
      </c>
      <c r="BN117" s="330" t="str">
        <f aca="false">IF($A117="N/A"," ",(IF(AS117&gt;0,($BM117*(8*($HD117))*R117),0)+IF(BC117&gt;0,($BM117*((BC117/AA117)*8*$HD117)*R117),0)))</f>
        <v> </v>
      </c>
      <c r="BO117" s="330" t="str">
        <f aca="false">IF($A117="N/A"," ",(IF(AT117&gt;0,($BM117*(8*($HD117))*S117),0)+IF(BD117&gt;0,($BM117*((BD117/AB117)*8*$HD117)*S117),0)))</f>
        <v> </v>
      </c>
      <c r="BP117" s="330" t="str">
        <f aca="false">IF($A117="N/A"," ",(IF(AU117&gt;0,($BM117*(8*($HD117))*T117),0)+IF(BE117&gt;0,($BM117*((BE117))*T117),0)))</f>
        <v> </v>
      </c>
      <c r="BQ117" s="330" t="str">
        <f aca="false">IF($A117="N/A"," ",(IF(AV117&gt;0,($BM117*(8*($HE117))*U117),0)+IF(BF117&gt;0,($BM117*((BF117/AD117)*8*$HE117)*U117),0)))</f>
        <v> </v>
      </c>
      <c r="BR117" s="330" t="str">
        <f aca="false">IF($A117="N/A"," ",(IF(AW117&gt;0,($BM117*(8*($HE117))*V117),0)+IF(BG117&gt;0,($BM117*((BG117/AE117)*8*$HE117)*V117),0)))</f>
        <v> </v>
      </c>
      <c r="BS117" s="330" t="str">
        <f aca="false">IF($A117="N/A"," ",(IF(AX117&gt;0,($BM117*(8*($HE117))*W117),0)+IF(BH117&gt;0,($BM117*((BH117))*W117),0)))</f>
        <v> </v>
      </c>
      <c r="BT117" s="330" t="str">
        <f aca="false">IF($A117="N/A"," ",(IF(AY117&gt;0,($BM117*(8*($HF117))*X117),0)+IF(BI117&gt;0,($BM117*((BI117/AG117)*8*$HF117)*X117),0)))</f>
        <v> </v>
      </c>
      <c r="BU117" s="330" t="str">
        <f aca="false">IF($A117="N/A"," ",(IF(AZ117&gt;0,($BM117*(8*($HF117))*Y117),0)+IF(BJ117&gt;0,($BM117*((BJ117/AH117)*8*$HF117)*Y117),0)))</f>
        <v> </v>
      </c>
      <c r="BV117" s="330" t="str">
        <f aca="false">IF($A117="N/A"," ",(IF(BA117&gt;0,($BM117*(8*($HF117))*Z117),0)+IF(BK117&gt;0,($BM117*((BK117))*Z117),0)))</f>
        <v> </v>
      </c>
      <c r="BW117" s="330" t="str">
        <f aca="false">IF($A117="N/A"," ",SUM(BN117:BV117))</f>
        <v> </v>
      </c>
      <c r="BX117" s="331" t="str">
        <f aca="false">IF($A117="N/A"," ",(H117*(SUM(AS117:BA117)+SUM(BC117:BK117))*BM117))</f>
        <v> </v>
      </c>
      <c r="BY117" s="332" t="str">
        <f aca="false">IF($A117="N/A"," ",((C117*D117)*(SUM($AS117:$BA117)+SUM($BC117:$BK117))*$BM117))</f>
        <v> </v>
      </c>
      <c r="BZ117" s="332" t="str">
        <f aca="false">IF($A117="N/A"," ",(F117*(SUM($AS117:$BA117)+SUM($BC117:$BK117))*$BM117))</f>
        <v> </v>
      </c>
      <c r="CA117" s="333" t="str">
        <f aca="false">IF($A117="N/A"," ",(G117*(SUM($AS117:$BA117)+SUM($BC117:$BK117))*$BM117))</f>
        <v> </v>
      </c>
      <c r="CB117" s="334" t="str">
        <f aca="false">IF(A117="N/A"," ",(VLOOKUP(A117,PowerVolTable,(IF(BMO=2,7,IF(BMO=1,6,8))),FALSE())))</f>
        <v> </v>
      </c>
      <c r="CC117" s="334" t="str">
        <f aca="false">IF(A117="N/A"," ",(VLOOKUP(A117,IntraPowerVol,(IF(BMO=2,3,IF(BMO=1,2,4))),FALSE())*VLOOKUP(MONTH($A117),Volscale,2)))</f>
        <v> </v>
      </c>
      <c r="CD117" s="335" t="str">
        <f aca="false">IF($A117="N/A"," ",(IF(DateToday&gt;$A117,$CC117,((($CB117^2)*((($A117-1)-DateToday)/((EOMONTH($A117,0)+1)-DateToday-15)))+((($CC117)^2)*((15)/((EOMONTH($A117,0)+1)-DateToday-15))))^0.5)))</f>
        <v> </v>
      </c>
      <c r="CE117" s="334" t="str">
        <f aca="false">IF($A117="N/A"," ",(VLOOKUP($A117,GasVolTable,(IF(BMO=2,6,IF(BMO=1,7,5))),FALSE())))</f>
        <v> </v>
      </c>
      <c r="CF117" s="334" t="str">
        <f aca="false">IF($A117="N/A"," ",(VLOOKUP($A117,OmicronVol,(IF(BMO=2,3,IF(BMO=1,4,2))),FALSE())))</f>
        <v> </v>
      </c>
      <c r="CG117" s="335" t="str">
        <f aca="false">IF($A117="N/A"," ",(IF(DateToday&gt;$A117,$CF117,((($CE117^2)*((($A117-1)-DateToday)/((EOMONTH($A117,0)+1)-DateToday-15)))+((($CF117)^2)*((15)/((EOMONTH($A117,0)+1)-DateToday-15))))^0.5)))</f>
        <v> </v>
      </c>
      <c r="CH117" s="334" t="str">
        <f aca="false">IF($A117="N/A"," ",VLOOKUP($A117,CorrelationTable,2,FALSE()))</f>
        <v> </v>
      </c>
      <c r="CI117" s="336" t="str">
        <f aca="false">IF($A117="N/A"," ",F117+G117+(D117*('Pricing Inputs'!T150)))</f>
        <v> </v>
      </c>
      <c r="CJ117" s="334" t="str">
        <f aca="false">IF($A117="N/A"," ",IF(PV=1,0,'Pricing Inputs'!U150))</f>
        <v> </v>
      </c>
      <c r="CK117" s="337" t="str">
        <f aca="false">IF($A117="N/A"," ",(1+CJ117/2)^(-2*((EOMONTH(A117,0)+20)-DateToday)/365.25))</f>
        <v> </v>
      </c>
      <c r="CL117" s="338" t="str">
        <f aca="false">IF(A117="N/A"," ",IF(CC=2,(VLOOKUP(MONTH($A117),Hrtable,3))/1000,0))</f>
        <v> </v>
      </c>
      <c r="CM117" s="339" t="str">
        <f aca="false">IF(A117="N/A"," ",IF(CC=2,(CL117*C117)+F117,0))</f>
        <v> </v>
      </c>
      <c r="CN117" s="340" t="str">
        <f aca="false">IF($A117="N/A"," ",IF(CC=2,(VLOOKUP(A117,ScaledPrice,(IF(AND(Dayrun&gt;=1,Dayrun&lt;=6),2,4)))-((IF(R117&lt;&gt;0,$D117,$CL117)*$C117)+$F117+$G117)),0))</f>
        <v> </v>
      </c>
      <c r="CO117" s="340" t="str">
        <f aca="false">IF($A117="N/A"," ",IF(CC=2,(IF(AND(Dayrun&gt;=1,Dayrun&lt;=6),I117,(VLOOKUP(A117,ScaledPrice,2))*(2-(VLOOKUP(A117,ScaledPrice,3))))-((IF(S117&lt;&gt;0,$D117,$CL117)*$C117)+$F117+$G117)),0))</f>
        <v> </v>
      </c>
      <c r="CP117" s="340" t="str">
        <f aca="false">IF(A117="N/A"," ",IF(CC=2,(VLOOKUP(A117,ScaledPrice,9)-((IF(T117&lt;&gt;0,$D117,$CL117)*$C117)+$F117+$G117)),0))</f>
        <v> </v>
      </c>
      <c r="CQ117" s="340" t="str">
        <f aca="false">IF(A117="N/A"," ",IF(CC=2,(IF(OR(Dayrun=2,Dayrun=3,Dayrun=5,Dayrun=6,Dayrun=8,Dayrun=9),VLOOKUP(A117,ScaledPrice,IF(AND(Dayrun&gt;=2,Dayrun&lt;=6),5,6)),0)-((IF(U117&lt;&gt;0,$D117,$CL117)*$C117)+$F117+$G117)),0))</f>
        <v> </v>
      </c>
      <c r="CR117" s="340" t="str">
        <f aca="false">IF(A117="N/A"," ",IF(CC=2,(IF(OR(Dayrun=2,Dayrun=3,Dayrun=5,Dayrun=6,Dayrun=8,Dayrun=9),IF(AND(Dayrun&gt;=2,Dayrun&lt;=6),L117,(VLOOKUP(A117,ScaledPrice,5))*(2-(VLOOKUP(A117,ScaledPrice,3)))),0)-((IF(V117&lt;&gt;0,$D117,$CL117)*$C117)+$F117+$G117)),0))</f>
        <v> </v>
      </c>
      <c r="CS117" s="340" t="str">
        <f aca="false">IF(A117="N/A"," ",IF(CC=2,(VLOOKUP(A117,ScaledPrice,9)-((IF(W117&lt;&gt;0,$D117,$CL117)*$C117)+$F117+$G117)),0))</f>
        <v> </v>
      </c>
      <c r="CT117" s="340" t="str">
        <f aca="false">IF(A117="N/A"," ",IF(CC=2,(IF(OR(Dayrun=3,Dayrun=6,Dayrun=9),(VLOOKUP(A117,ScaledPrice,IF(AND(Dayrun&gt;=3,Dayrun&lt;=6),7,8))),0)-((IF(X117&lt;&gt;0,$D117,$CL117)*$C117)+$F117+$G117)),0))</f>
        <v> </v>
      </c>
      <c r="CU117" s="340" t="str">
        <f aca="false">IF(A117="N/A"," ",IF(CC=2,(IF(OR(Dayrun=3,Dayrun=6,Dayrun=9),IF(AND(Dayrun&gt;=3,Dayrun&lt;=6),O117,(VLOOKUP(A117,ScaledPrice,7))*(2-(VLOOKUP(A117,ScaledPrice,3)))),0)-((IF(Y117&lt;&gt;0,$D117,$CL117)*$C117)+$F117+$G117)),0))</f>
        <v> </v>
      </c>
      <c r="CV117" s="340" t="str">
        <f aca="false">IF(A117="N/A"," ",IF(CC=2,(VLOOKUP(A117,ScaledPrice,9)-((IF(Z117&lt;&gt;0,$D117,$CL117)*$C117)+$F117+$G117)),0))</f>
        <v> </v>
      </c>
      <c r="CW117" s="318" t="str">
        <f aca="false">IF($A117="N/A"," ",IF(0&lt;&gt;CN117,IF(CC=2,8*$HD117,0),0))</f>
        <v> </v>
      </c>
      <c r="CX117" s="318" t="str">
        <f aca="false">IF($A117="N/A"," ",IF(0&lt;&gt;CO117,IF(CC=2,8*$HD117,0),0))</f>
        <v> </v>
      </c>
      <c r="CY117" s="318" t="str">
        <f aca="false">IF($A117="N/A"," ",IF(0&lt;&gt;CP117,IF(CC=2,8*$HD117,0),0))</f>
        <v> </v>
      </c>
      <c r="CZ117" s="318" t="str">
        <f aca="false">IF($A117="N/A"," ",IF(0&lt;&gt;CQ117,IF(CC=2,8*$HE117,0),0))</f>
        <v> </v>
      </c>
      <c r="DA117" s="318" t="str">
        <f aca="false">IF($A117="N/A"," ",IF(0&lt;&gt;CR117,IF(CC=2,8*$HE117,0),0))</f>
        <v> </v>
      </c>
      <c r="DB117" s="318" t="str">
        <f aca="false">IF($A117="N/A"," ",IF(0&lt;&gt;CS117,IF(CC=2,8*$HE117,0),0))</f>
        <v> </v>
      </c>
      <c r="DC117" s="318" t="str">
        <f aca="false">IF($A117="N/A"," ",IF(0&lt;&gt;CT117,IF(CC=2,8*$HF117,0),0))</f>
        <v> </v>
      </c>
      <c r="DD117" s="318" t="str">
        <f aca="false">IF($A117="N/A"," ",IF(0&lt;&gt;CU117,IF(CC=2,8*$HF117,0),0))</f>
        <v> </v>
      </c>
      <c r="DE117" s="318" t="str">
        <f aca="false">IF($A117="N/A"," ",IF(0&lt;&gt;CV117,IF(CC=2,8*$HF117,0),0))</f>
        <v> </v>
      </c>
      <c r="DF117" s="341" t="str">
        <f aca="false">IF($A117="N/A"," ",IF(CC=2,(IF(MONTH(A117)&gt;=4,IF(MONTH(A117)&lt;=10,Inputs!$G$13,Inputs!$G$14),Inputs!$G$14))*$CK117,0))</f>
        <v> </v>
      </c>
      <c r="DG117" s="342" t="str">
        <f aca="false">IF($A117="N/A"," ",IF(CC=2,$DF117*CW117*CN117,0))</f>
        <v> </v>
      </c>
      <c r="DH117" s="342" t="str">
        <f aca="false">IF($A117="N/A"," ",IF(CC=2,$DF117*CX117*CO117,0))</f>
        <v> </v>
      </c>
      <c r="DI117" s="342" t="str">
        <f aca="false">IF($A117="N/A"," ",IF(CC=2,$DF117*CY117*CP117,0))</f>
        <v> </v>
      </c>
      <c r="DJ117" s="342" t="str">
        <f aca="false">IF($A117="N/A"," ",IF(CC=2,$DF117*CZ117*CQ117,0))</f>
        <v> </v>
      </c>
      <c r="DK117" s="342" t="str">
        <f aca="false">IF($A117="N/A"," ",IF(CC=2,$DF117*DA117*CR117,0))</f>
        <v> </v>
      </c>
      <c r="DL117" s="342" t="str">
        <f aca="false">IF($A117="N/A"," ",IF(CC=2,$DF117*DB117*CS117,0))</f>
        <v> </v>
      </c>
      <c r="DM117" s="342" t="str">
        <f aca="false">IF($A117="N/A"," ",IF(CC=2,$DF117*DC117*CT117,0))</f>
        <v> </v>
      </c>
      <c r="DN117" s="342" t="str">
        <f aca="false">IF($A117="N/A"," ",IF(CC=2,$DF117*DD117*CU117,0))</f>
        <v> </v>
      </c>
      <c r="DO117" s="342" t="str">
        <f aca="false">IF($A117="N/A"," ",IF(CC=2,$DF117*DE117*CV117,0))</f>
        <v> </v>
      </c>
      <c r="DP117" s="343" t="str">
        <f aca="false">IF($A117="N/A"," ",IF(CC=2,SUM(DG117:DO117),0))</f>
        <v> </v>
      </c>
      <c r="DQ117" s="0" t="str">
        <f aca="false">IF(A117="N/A"," ",Perstart)</f>
        <v> </v>
      </c>
      <c r="HD117" s="0" t="str">
        <f aca="false">IF($A117="N/A"," ",VLOOKUP($A117,NumberofDaysTable,2))</f>
        <v> </v>
      </c>
      <c r="HE117" s="0" t="str">
        <f aca="false">IF($A117="N/A"," ",VLOOKUP($A117,NumberofDaysTable,3))</f>
        <v> </v>
      </c>
      <c r="HF117" s="0" t="str">
        <f aca="false">IF($A117="N/A"," ",VLOOKUP($A117,NumberofDaysTable,4))</f>
        <v> </v>
      </c>
    </row>
    <row r="118" customFormat="false" ht="12.75" hidden="false" customHeight="false" outlineLevel="0" collapsed="false">
      <c r="A118" s="308" t="str">
        <f aca="false">IF(A117="N/A","N/A",IF(EDATE(A117,1)&gt;Inputs!$K$3,"N/A",EDATE(A117,1)))</f>
        <v>N/A</v>
      </c>
      <c r="B118" s="309" t="str">
        <f aca="false">IF(A118="N/A"," ",YEAR(A118))</f>
        <v> </v>
      </c>
      <c r="C118" s="310" t="str">
        <f aca="false">IF(A118="N/A"," ",VLOOKUP(A118,ScaledPrice,10))</f>
        <v> </v>
      </c>
      <c r="D118" s="311" t="str">
        <f aca="false">IF(A118="N/A"," ",(VLOOKUP(MONTH($A118),Hrtable,2))/1000)</f>
        <v> </v>
      </c>
      <c r="E118" s="312" t="str">
        <f aca="false">IF($A118="N/A"," ",(C118-'Pricing Inputs'!T151)*D118)</f>
        <v> </v>
      </c>
      <c r="F118" s="313" t="str">
        <f aca="false">IF(A118="N/A"," ",$F106*(1+VOMesc))</f>
        <v> </v>
      </c>
      <c r="G118" s="313" t="str">
        <f aca="false">IF(A118="N/A"," ",Perstart/IF(AND(Dayrun&gt;=4,Dayrun&lt;=6),16,IF(AND(Dayrun&gt;=7,Dayrun&lt;=9),8,24))/(BM118/CK118))</f>
        <v> </v>
      </c>
      <c r="H118" s="314" t="str">
        <f aca="false">IF(A118="N/A"," ",(C118*D118)+F118+G118)</f>
        <v> </v>
      </c>
      <c r="I118" s="315" t="str">
        <f aca="false">VLOOKUP(A118,ScaledPrice,(IF(AND(Dayrun&gt;=1,Dayrun&lt;=6),2,4)))</f>
        <v> </v>
      </c>
      <c r="J118" s="315" t="str">
        <f aca="false">IF(A118="N/A"," ",IF(AND(Dayrun&gt;=1,Dayrun&lt;=6),I118,(VLOOKUP(A118,ScaledPrice,2))*(2-(VLOOKUP(A118,ScaledPrice,3)))))</f>
        <v> </v>
      </c>
      <c r="K118" s="315" t="str">
        <f aca="false">IF(A118="N/A"," ",IF(AND(Dayrun&gt;=1,Dayrun&lt;=3),VLOOKUP(A118,ScaledPrice,9),0))</f>
        <v> </v>
      </c>
      <c r="L118" s="315" t="str">
        <f aca="false">IF(A118="N/A"," ",IF(OR(Dayrun=2,Dayrun=3,Dayrun=5,Dayrun=6,Dayrun=8,Dayrun=9),VLOOKUP(A118,ScaledPrice,IF(AND(Dayrun&gt;=2,Dayrun&lt;=6),5,6)),0))</f>
        <v> </v>
      </c>
      <c r="M118" s="315" t="str">
        <f aca="false">IF(A118="N/A"," ",IF(OR(Dayrun=2,Dayrun=3,Dayrun=5,Dayrun=6,Dayrun=8,Dayrun=9),IF(AND(Dayrun&gt;=2,Dayrun&lt;=6),L118,(VLOOKUP(A118,ScaledPrice,5))*(2-(VLOOKUP(A118,ScaledPrice,3)))),0))</f>
        <v> </v>
      </c>
      <c r="N118" s="315" t="str">
        <f aca="false">IF(A118="N/A"," ",IF(AND(Dayrun&gt;1,Dayrun&lt;=3),VLOOKUP(A118,ScaledPrice,9),0))</f>
        <v> </v>
      </c>
      <c r="O118" s="315" t="str">
        <f aca="false">IF(A118="N/A"," ",IF(OR(Dayrun=3,Dayrun=6,Dayrun=9),(VLOOKUP(A118,ScaledPrice,IF(AND(Dayrun&gt;=3,Dayrun&lt;=6),7,8))),0))</f>
        <v> </v>
      </c>
      <c r="P118" s="315" t="str">
        <f aca="false">IF(A118="N/A"," ",IF(OR(Dayrun=3,Dayrun=6,Dayrun=9),IF(AND(Dayrun&gt;=3,Dayrun&lt;=6),O118,(VLOOKUP(A118,ScaledPrice,7))*(2-(VLOOKUP(A118,ScaledPrice,3)))),0))</f>
        <v> </v>
      </c>
      <c r="Q118" s="315" t="str">
        <f aca="false">IF(A118="N/A"," ",IF(AND(Dayrun&gt;2,Dayrun&lt;=3),VLOOKUP(A118,ScaledPrice,9),0))</f>
        <v> </v>
      </c>
      <c r="R118" s="316" t="str">
        <f aca="false">IF($A118="N/A"," ",IF(Pricetype=2,MAX(I118-$H118,0),IF(Pricetype=1,(xSPRDOPT(I118,$E118,$CI118,0,($CD118+IF(Smile=TRUE(),VLOOKUP(MAX(-5,$H118-I118),Volsmile,2),0)),$CG118,$CH118,($A118-DateToday)+15,1,0)),I118-$H118)))</f>
        <v> </v>
      </c>
      <c r="S118" s="316" t="str">
        <f aca="false">IF($A118="N/A"," ",IF(Pricetype=2,MAX(J118-$H118,0),IF(Pricetype=1,(xSPRDOPT(J118,$E118,$CI118,0,($CD118+IF(Smile=TRUE(),VLOOKUP(MAX(-5,$H118-J118),Volsmile,2),0)),$CG118,$CH118,($A118-DateToday)+15,1,0)),J118-$H118)))</f>
        <v> </v>
      </c>
      <c r="T118" s="317" t="str">
        <f aca="false">IF($A118="N/A"," ",(IF(Pricetype=2,IF((K118-$H118)&lt;=0,0,(K118-$H118)),IF(K118&lt;&gt;0,(K118-$H118),0))))</f>
        <v> </v>
      </c>
      <c r="U118" s="316" t="str">
        <f aca="false">IF($A118="N/A"," ",IF(Pricetype=2,MAX(L118-$H118,0),IF(L118&lt;&gt;0,IF(Pricetype=1,(xSPRDOPT(L118,$E118,$CI118,0,($CD118+IF(Smile=TRUE(),VLOOKUP(MAX(-5,$H118-L118),Volsmile,2),0)),$CG118,$CH118,($A118-DateToday)+15,1,0)),L118-$H118),0)))</f>
        <v> </v>
      </c>
      <c r="V118" s="316" t="str">
        <f aca="false">IF($A118="N/A"," ",IF(Pricetype=2,MAX(M118-$H118,0),IF(M118&lt;&gt;0,IF(Pricetype=1,(xSPRDOPT(M118,$E118,$CI118,0,($CD118+IF(Smile=TRUE(),VLOOKUP(MAX(-5,$H118-M118),Volsmile,2),0)),$CG118,$CH118,($A118-DateToday)+15,1,0)),M118-$H118),0)))</f>
        <v> </v>
      </c>
      <c r="W118" s="317" t="str">
        <f aca="false">IF($A118="N/A"," ",(IF(Pricetype=2,IF((N118-$H118)&lt;=0,0,(N118-$H118)),IF(N118&lt;&gt;0,(N118-$H118),0))))</f>
        <v> </v>
      </c>
      <c r="X118" s="316" t="str">
        <f aca="false">IF($A118="N/A"," ",IF(Pricetype=2,MAX(O118-$H118,0),IF(O118&lt;&gt;0,IF(Pricetype=1,(xSPRDOPT(O118,$E118,$CI118,0,($CD118+IF(Smile=TRUE(),VLOOKUP(MAX(-5,$H118-O118),Volsmile,2),0)),$CG118,$CH118,($A118-DateToday)+15,1,0)),O118-$H118),0)))</f>
        <v> </v>
      </c>
      <c r="Y118" s="316" t="str">
        <f aca="false">IF($A118="N/A"," ",IF(Pricetype=2,MAX(P118-$H118,0),IF(P118&lt;&gt;0,IF(Pricetype=1,(xSPRDOPT(P118,$E118,$CI118,0,($CD118+IF(Smile=TRUE(),VLOOKUP(MAX(-5,$H118-P118),Volsmile,2),0)),$CG118,$CH118,($A118-DateToday)+15,1,0)),P118-$H118),0)))</f>
        <v> </v>
      </c>
      <c r="Z118" s="317" t="str">
        <f aca="false">IF($A118="N/A"," ",(IF(Pricetype=2,IF((Q118-$H118)&lt;=0,0,(Q118-$H118)),IF(Q118&lt;&gt;0,(Q118-$H118),0))))</f>
        <v> </v>
      </c>
      <c r="AA118" s="318" t="str">
        <f aca="false">IF($A118="N/A"," ",IF(VLOOKUP(MONTH(A118),ManualTable,2)=1,(IF(0&lt;&gt;R118,IF(Pricetype=1,(xSPRDOPT(I118,$E118,$CI118,0,($CD118+IF(Smile=TRUE(),VLOOKUP(MAX(-5,$H118-I118),Volsmile,2),0)),$CG118,$CH118,($A118-DateToday)+15,1,1))*(8*$HD118),8*$HD118),0)),0))</f>
        <v> </v>
      </c>
      <c r="AB118" s="318" t="str">
        <f aca="false">IF($A118="N/A"," ",IF(VLOOKUP(MONTH(A118),ManualTable,3)=1,(IF(S118&lt;&gt;0,IF(Pricetype=1,(xSPRDOPT(J118,$E118,$CI118,0,($CD118+IF(Smile=TRUE(),VLOOKUP(MAX(-5,$H118-J118),Volsmile,2),0)),$CG118,$CH118,($A118-DateToday)+15,1,1))*(8*$HD118),8*$HD118),0)),0))</f>
        <v> </v>
      </c>
      <c r="AC118" s="318" t="str">
        <f aca="false">IF($A118="N/A"," ",IF(VLOOKUP(MONTH(A118),ManualTable,4)=1,(IF(T118&lt;&gt;0,(8*$HD118),0)),0))</f>
        <v> </v>
      </c>
      <c r="AD118" s="318" t="str">
        <f aca="false">IF($A118="N/A"," ",IF(VLOOKUP(MONTH(A118),ManualTable,5)=1,(IF(U118&lt;&gt;0,IF(Pricetype=1,(xSPRDOPT(L118,$E118,$CI118,0,($CD118+IF(Smile=TRUE(),VLOOKUP(MAX(-5,$H118-L118),Volsmile,2),0)),$CG118,$CH118,($A118-DateToday)+15,1,1))*(8*$HE118),8*$HE118),0)),0))</f>
        <v> </v>
      </c>
      <c r="AE118" s="318" t="str">
        <f aca="false">IF($A118="N/A"," ",IF(VLOOKUP(MONTH(A118),ManualTable,6)=1,(IF(V118&lt;&gt;0,IF(Pricetype=1,(xSPRDOPT(M118,$E118,$CI118,0,($CD118+IF(Smile=TRUE(),VLOOKUP(MAX(-5,$H118-M118),Volsmile,2),0)),$CG118,$CH118,($A118-DateToday)+15,1,1))*(8*$HE118),8*$HE118),0)),0))</f>
        <v> </v>
      </c>
      <c r="AF118" s="318" t="str">
        <f aca="false">IF($A118="N/A"," ",IF(VLOOKUP(MONTH(A118),ManualTable,7)=1,(IF(W118&lt;&gt;0,(8*$HE118),0)),0))</f>
        <v> </v>
      </c>
      <c r="AG118" s="318" t="str">
        <f aca="false">IF($A118="N/A"," ",IF(VLOOKUP(MONTH(A118),ManualTable,8)=1,(IF(X118&lt;&gt;0,IF(Pricetype=1,(xSPRDOPT(O118,$E118,$CI118,0,($CD118+IF(Smile=TRUE(),VLOOKUP(MAX(-5,$H118-O118),Volsmile,2),0)),$CG118,$CH118,($A118-DateToday)+15,1,1))*(8*$HF118),8*$HF118),0)),0))</f>
        <v> </v>
      </c>
      <c r="AH118" s="318" t="str">
        <f aca="false">IF($A118="N/A"," ",IF(VLOOKUP(MONTH(A118),ManualTable,9)=1,(IF(Y118&lt;&gt;0,IF(Pricetype=1,(xSPRDOPT(P118,$E118,$CI118,0,($CD118+IF(Smile=TRUE(),VLOOKUP(MAX(-5,$H118-P118),Volsmile,2),0)),$CG118,$CH118,($A118-DateToday)+15,1,1))*(8*$HF118),8*$HF118),0)),0))</f>
        <v> </v>
      </c>
      <c r="AI118" s="318" t="str">
        <f aca="false">IF($A118="N/A"," ",IF(VLOOKUP(MONTH(A118),ManualTable,10)=1,(IF(Z118&lt;&gt;0,(8*($HF118)),0)),0))</f>
        <v> </v>
      </c>
      <c r="AJ118" s="344" t="str">
        <f aca="false">IF($A118="N/A"," ",RANK(R118,$R$112:$Z$123))</f>
        <v> </v>
      </c>
      <c r="AK118" s="321" t="str">
        <f aca="false">IF($A118="N/A"," ",RANK(S118,$R$112:$Z$123))</f>
        <v> </v>
      </c>
      <c r="AL118" s="321" t="str">
        <f aca="false">IF($A118="N/A"," ",RANK(T118,$R$112:$Z$123))</f>
        <v> </v>
      </c>
      <c r="AM118" s="321" t="str">
        <f aca="false">IF($A118="N/A"," ",RANK(U118,$R$112:$Z$123))</f>
        <v> </v>
      </c>
      <c r="AN118" s="321" t="str">
        <f aca="false">IF($A118="N/A"," ",RANK(V118,$R$112:$Z$123))</f>
        <v> </v>
      </c>
      <c r="AO118" s="321" t="str">
        <f aca="false">IF($A118="N/A"," ",RANK(W118,$R$112:$Z$123))</f>
        <v> </v>
      </c>
      <c r="AP118" s="321" t="str">
        <f aca="false">IF($A118="N/A"," ",RANK(X118,$R$112:$Z$123))</f>
        <v> </v>
      </c>
      <c r="AQ118" s="321" t="str">
        <f aca="false">IF($A118="N/A"," ",RANK(Y118,$R$112:$Z$123))</f>
        <v> </v>
      </c>
      <c r="AR118" s="345" t="str">
        <f aca="false">IF($A118="N/A"," ",RANK(Z118,$R$112:$Z$123))</f>
        <v> </v>
      </c>
      <c r="AS118" s="323" t="str">
        <f aca="false">IF($A118="N/A"," ",IF(AJ118&lt;=$AR$2,AA118,0))</f>
        <v> </v>
      </c>
      <c r="AT118" s="325" t="str">
        <f aca="false">IF($A118="N/A"," ",IF(AK118&lt;=$AR$2,AB118,0))</f>
        <v> </v>
      </c>
      <c r="AU118" s="325" t="str">
        <f aca="false">IF($A118="N/A"," ",IF(AL118&lt;=$AR$2,AC118,0))</f>
        <v> </v>
      </c>
      <c r="AV118" s="325" t="str">
        <f aca="false">IF($A118="N/A"," ",IF(AM118&lt;=$AR$2,AD118,0))</f>
        <v> </v>
      </c>
      <c r="AW118" s="325" t="str">
        <f aca="false">IF($A118="N/A"," ",IF(AN118&lt;=$AR$2,AE118,0))</f>
        <v> </v>
      </c>
      <c r="AX118" s="325" t="str">
        <f aca="false">IF($A118="N/A"," ",IF(AO118&lt;=$AR$2,AF118,0))</f>
        <v> </v>
      </c>
      <c r="AY118" s="325" t="str">
        <f aca="false">IF($A118="N/A"," ",IF(AP118&lt;=$AR$2,AG118,0))</f>
        <v> </v>
      </c>
      <c r="AZ118" s="325" t="str">
        <f aca="false">IF($A118="N/A"," ",IF(AQ118&lt;=$AR$2,AH118,0))</f>
        <v> </v>
      </c>
      <c r="BA118" s="325" t="str">
        <f aca="false">IF($A118="N/A"," ",IF(AR118&lt;=$AR$2,AI118,0))</f>
        <v> </v>
      </c>
      <c r="BB118" s="345"/>
      <c r="BC118" s="326" t="str">
        <f aca="false">IF($A118="N/A"," ",IF(AND(AJ118=$AR$2+1,AS118=0),MIN($BB$123,AA118),0))</f>
        <v> </v>
      </c>
      <c r="BD118" s="346" t="str">
        <f aca="false">IF($A118="N/A"," ",IF(AND(AK118=$AR$2+1,AT118=0),MIN($BB$123,AB118),0))</f>
        <v> </v>
      </c>
      <c r="BE118" s="346" t="str">
        <f aca="false">IF($A118="N/A"," ",IF(AND(AL118=$AR$2+1,AU118=0),MIN($BB$123,AC118),0))</f>
        <v> </v>
      </c>
      <c r="BF118" s="346" t="str">
        <f aca="false">IF($A118="N/A"," ",IF(AND(AM118=$AR$2+1,AV118=0),MIN($BB$123,AD118),0))</f>
        <v> </v>
      </c>
      <c r="BG118" s="346" t="str">
        <f aca="false">IF($A118="N/A"," ",IF(AND(AN118=$AR$2+1,AW118=0),MIN($BB$123,AE118),0))</f>
        <v> </v>
      </c>
      <c r="BH118" s="346" t="str">
        <f aca="false">IF($A118="N/A"," ",IF(AND(AO118=$AR$2+1,AX118=0),MIN($BB$123,AF118),0))</f>
        <v> </v>
      </c>
      <c r="BI118" s="346" t="str">
        <f aca="false">IF($A118="N/A"," ",IF(AND(AP118=$AR$2+1,AY118=0),MIN($BB$123,AG118),0))</f>
        <v> </v>
      </c>
      <c r="BJ118" s="346" t="str">
        <f aca="false">IF($A118="N/A"," ",IF(AND(AQ118=$AR$2+1,AZ118=0),MIN($BB$123,AH118),0))</f>
        <v> </v>
      </c>
      <c r="BK118" s="346" t="str">
        <f aca="false">IF($A118="N/A"," ",IF(AND(AR118=$AR$2+1,BA118=0),MIN($BB$123,AI118),0))</f>
        <v> </v>
      </c>
      <c r="BL118" s="345"/>
      <c r="BM118" s="329" t="str">
        <f aca="false">IF($A118="N/A"," ",(IF(MONTH(A118)&gt;=4,IF(MONTH(A118)&lt;=10,Inputs!$F$13-Inputs!$G$13,Inputs!$F$14-Inputs!$G$14),Inputs!$F$14-Inputs!$G$14))*$CK118*Availability)</f>
        <v> </v>
      </c>
      <c r="BN118" s="330" t="str">
        <f aca="false">IF($A118="N/A"," ",(IF(AS118&gt;0,($BM118*(8*($HD118))*R118),0)+IF(BC118&gt;0,($BM118*((BC118/AA118)*8*$HD118)*R118),0)))</f>
        <v> </v>
      </c>
      <c r="BO118" s="330" t="str">
        <f aca="false">IF($A118="N/A"," ",(IF(AT118&gt;0,($BM118*(8*($HD118))*S118),0)+IF(BD118&gt;0,($BM118*((BD118/AB118)*8*$HD118)*S118),0)))</f>
        <v> </v>
      </c>
      <c r="BP118" s="330" t="str">
        <f aca="false">IF($A118="N/A"," ",(IF(AU118&gt;0,($BM118*(8*($HD118))*T118),0)+IF(BE118&gt;0,($BM118*((BE118))*T118),0)))</f>
        <v> </v>
      </c>
      <c r="BQ118" s="330" t="str">
        <f aca="false">IF($A118="N/A"," ",(IF(AV118&gt;0,($BM118*(8*($HE118))*U118),0)+IF(BF118&gt;0,($BM118*((BF118/AD118)*8*$HE118)*U118),0)))</f>
        <v> </v>
      </c>
      <c r="BR118" s="330" t="str">
        <f aca="false">IF($A118="N/A"," ",(IF(AW118&gt;0,($BM118*(8*($HE118))*V118),0)+IF(BG118&gt;0,($BM118*((BG118/AE118)*8*$HE118)*V118),0)))</f>
        <v> </v>
      </c>
      <c r="BS118" s="330" t="str">
        <f aca="false">IF($A118="N/A"," ",(IF(AX118&gt;0,($BM118*(8*($HE118))*W118),0)+IF(BH118&gt;0,($BM118*((BH118))*W118),0)))</f>
        <v> </v>
      </c>
      <c r="BT118" s="330" t="str">
        <f aca="false">IF($A118="N/A"," ",(IF(AY118&gt;0,($BM118*(8*($HF118))*X118),0)+IF(BI118&gt;0,($BM118*((BI118/AG118)*8*$HF118)*X118),0)))</f>
        <v> </v>
      </c>
      <c r="BU118" s="330" t="str">
        <f aca="false">IF($A118="N/A"," ",(IF(AZ118&gt;0,($BM118*(8*($HF118))*Y118),0)+IF(BJ118&gt;0,($BM118*((BJ118/AH118)*8*$HF118)*Y118),0)))</f>
        <v> </v>
      </c>
      <c r="BV118" s="330" t="str">
        <f aca="false">IF($A118="N/A"," ",(IF(BA118&gt;0,($BM118*(8*($HF118))*Z118),0)+IF(BK118&gt;0,($BM118*((BK118))*Z118),0)))</f>
        <v> </v>
      </c>
      <c r="BW118" s="330" t="str">
        <f aca="false">IF($A118="N/A"," ",SUM(BN118:BV118))</f>
        <v> </v>
      </c>
      <c r="BX118" s="331" t="str">
        <f aca="false">IF($A118="N/A"," ",(H118*(SUM(AS118:BA118)+SUM(BC118:BK118))*BM118))</f>
        <v> </v>
      </c>
      <c r="BY118" s="332" t="str">
        <f aca="false">IF($A118="N/A"," ",((C118*D118)*(SUM($AS118:$BA118)+SUM($BC118:$BK118))*$BM118))</f>
        <v> </v>
      </c>
      <c r="BZ118" s="332" t="str">
        <f aca="false">IF($A118="N/A"," ",(F118*(SUM($AS118:$BA118)+SUM($BC118:$BK118))*$BM118))</f>
        <v> </v>
      </c>
      <c r="CA118" s="333" t="str">
        <f aca="false">IF($A118="N/A"," ",(G118*(SUM($AS118:$BA118)+SUM($BC118:$BK118))*$BM118))</f>
        <v> </v>
      </c>
      <c r="CB118" s="334" t="str">
        <f aca="false">IF(A118="N/A"," ",(VLOOKUP(A118,PowerVolTable,(IF(BMO=2,7,IF(BMO=1,6,8))),FALSE())))</f>
        <v> </v>
      </c>
      <c r="CC118" s="334" t="str">
        <f aca="false">IF(A118="N/A"," ",(VLOOKUP(A118,IntraPowerVol,(IF(BMO=2,3,IF(BMO=1,2,4))),FALSE())*VLOOKUP(MONTH($A118),Volscale,2)))</f>
        <v> </v>
      </c>
      <c r="CD118" s="335" t="str">
        <f aca="false">IF($A118="N/A"," ",(IF(DateToday&gt;$A118,$CC118,((($CB118^2)*((($A118-1)-DateToday)/((EOMONTH($A118,0)+1)-DateToday-15)))+((($CC118)^2)*((15)/((EOMONTH($A118,0)+1)-DateToday-15))))^0.5)))</f>
        <v> </v>
      </c>
      <c r="CE118" s="334" t="str">
        <f aca="false">IF($A118="N/A"," ",(VLOOKUP($A118,GasVolTable,(IF(BMO=2,6,IF(BMO=1,7,5))),FALSE())))</f>
        <v> </v>
      </c>
      <c r="CF118" s="334" t="str">
        <f aca="false">IF($A118="N/A"," ",(VLOOKUP($A118,OmicronVol,(IF(BMO=2,3,IF(BMO=1,4,2))),FALSE())))</f>
        <v> </v>
      </c>
      <c r="CG118" s="335" t="str">
        <f aca="false">IF($A118="N/A"," ",(IF(DateToday&gt;$A118,$CF118,((($CE118^2)*((($A118-1)-DateToday)/((EOMONTH($A118,0)+1)-DateToday-15)))+((($CF118)^2)*((15)/((EOMONTH($A118,0)+1)-DateToday-15))))^0.5)))</f>
        <v> </v>
      </c>
      <c r="CH118" s="334" t="str">
        <f aca="false">IF($A118="N/A"," ",VLOOKUP($A118,CorrelationTable,2,FALSE()))</f>
        <v> </v>
      </c>
      <c r="CI118" s="336" t="str">
        <f aca="false">IF($A118="N/A"," ",F118+G118+(D118*('Pricing Inputs'!T151)))</f>
        <v> </v>
      </c>
      <c r="CJ118" s="334" t="str">
        <f aca="false">IF($A118="N/A"," ",IF(PV=1,0,'Pricing Inputs'!U151))</f>
        <v> </v>
      </c>
      <c r="CK118" s="337" t="str">
        <f aca="false">IF($A118="N/A"," ",(1+CJ118/2)^(-2*((EOMONTH(A118,0)+20)-DateToday)/365.25))</f>
        <v> </v>
      </c>
      <c r="CL118" s="338" t="str">
        <f aca="false">IF(A118="N/A"," ",IF(CC=2,(VLOOKUP(MONTH($A118),Hrtable,3))/1000,0))</f>
        <v> </v>
      </c>
      <c r="CM118" s="339" t="str">
        <f aca="false">IF(A118="N/A"," ",IF(CC=2,(CL118*C118)+F118,0))</f>
        <v> </v>
      </c>
      <c r="CN118" s="340" t="str">
        <f aca="false">IF($A118="N/A"," ",IF(CC=2,(VLOOKUP(A118,ScaledPrice,(IF(AND(Dayrun&gt;=1,Dayrun&lt;=6),2,4)))-((IF(R118&lt;&gt;0,$D118,$CL118)*$C118)+$F118+$G118)),0))</f>
        <v> </v>
      </c>
      <c r="CO118" s="340" t="str">
        <f aca="false">IF($A118="N/A"," ",IF(CC=2,(IF(AND(Dayrun&gt;=1,Dayrun&lt;=6),I118,(VLOOKUP(A118,ScaledPrice,2))*(2-(VLOOKUP(A118,ScaledPrice,3))))-((IF(S118&lt;&gt;0,$D118,$CL118)*$C118)+$F118+$G118)),0))</f>
        <v> </v>
      </c>
      <c r="CP118" s="340" t="str">
        <f aca="false">IF(A118="N/A"," ",IF(CC=2,(VLOOKUP(A118,ScaledPrice,9)-((IF(T118&lt;&gt;0,$D118,$CL118)*$C118)+$F118+$G118)),0))</f>
        <v> </v>
      </c>
      <c r="CQ118" s="340" t="str">
        <f aca="false">IF(A118="N/A"," ",IF(CC=2,(IF(OR(Dayrun=2,Dayrun=3,Dayrun=5,Dayrun=6,Dayrun=8,Dayrun=9),VLOOKUP(A118,ScaledPrice,IF(AND(Dayrun&gt;=2,Dayrun&lt;=6),5,6)),0)-((IF(U118&lt;&gt;0,$D118,$CL118)*$C118)+$F118+$G118)),0))</f>
        <v> </v>
      </c>
      <c r="CR118" s="340" t="str">
        <f aca="false">IF(A118="N/A"," ",IF(CC=2,(IF(OR(Dayrun=2,Dayrun=3,Dayrun=5,Dayrun=6,Dayrun=8,Dayrun=9),IF(AND(Dayrun&gt;=2,Dayrun&lt;=6),L118,(VLOOKUP(A118,ScaledPrice,5))*(2-(VLOOKUP(A118,ScaledPrice,3)))),0)-((IF(V118&lt;&gt;0,$D118,$CL118)*$C118)+$F118+$G118)),0))</f>
        <v> </v>
      </c>
      <c r="CS118" s="340" t="str">
        <f aca="false">IF(A118="N/A"," ",IF(CC=2,(VLOOKUP(A118,ScaledPrice,9)-((IF(W118&lt;&gt;0,$D118,$CL118)*$C118)+$F118+$G118)),0))</f>
        <v> </v>
      </c>
      <c r="CT118" s="340" t="str">
        <f aca="false">IF(A118="N/A"," ",IF(CC=2,(IF(OR(Dayrun=3,Dayrun=6,Dayrun=9),(VLOOKUP(A118,ScaledPrice,IF(AND(Dayrun&gt;=3,Dayrun&lt;=6),7,8))),0)-((IF(X118&lt;&gt;0,$D118,$CL118)*$C118)+$F118+$G118)),0))</f>
        <v> </v>
      </c>
      <c r="CU118" s="340" t="str">
        <f aca="false">IF(A118="N/A"," ",IF(CC=2,(IF(OR(Dayrun=3,Dayrun=6,Dayrun=9),IF(AND(Dayrun&gt;=3,Dayrun&lt;=6),O118,(VLOOKUP(A118,ScaledPrice,7))*(2-(VLOOKUP(A118,ScaledPrice,3)))),0)-((IF(Y118&lt;&gt;0,$D118,$CL118)*$C118)+$F118+$G118)),0))</f>
        <v> </v>
      </c>
      <c r="CV118" s="340" t="str">
        <f aca="false">IF(A118="N/A"," ",IF(CC=2,(VLOOKUP(A118,ScaledPrice,9)-((IF(Z118&lt;&gt;0,$D118,$CL118)*$C118)+$F118+$G118)),0))</f>
        <v> </v>
      </c>
      <c r="CW118" s="318" t="str">
        <f aca="false">IF($A118="N/A"," ",IF(0&lt;&gt;CN118,IF(CC=2,8*$HD118,0),0))</f>
        <v> </v>
      </c>
      <c r="CX118" s="318" t="str">
        <f aca="false">IF($A118="N/A"," ",IF(0&lt;&gt;CO118,IF(CC=2,8*$HD118,0),0))</f>
        <v> </v>
      </c>
      <c r="CY118" s="318" t="str">
        <f aca="false">IF($A118="N/A"," ",IF(0&lt;&gt;CP118,IF(CC=2,8*$HD118,0),0))</f>
        <v> </v>
      </c>
      <c r="CZ118" s="318" t="str">
        <f aca="false">IF($A118="N/A"," ",IF(0&lt;&gt;CQ118,IF(CC=2,8*$HE118,0),0))</f>
        <v> </v>
      </c>
      <c r="DA118" s="318" t="str">
        <f aca="false">IF($A118="N/A"," ",IF(0&lt;&gt;CR118,IF(CC=2,8*$HE118,0),0))</f>
        <v> </v>
      </c>
      <c r="DB118" s="318" t="str">
        <f aca="false">IF($A118="N/A"," ",IF(0&lt;&gt;CS118,IF(CC=2,8*$HE118,0),0))</f>
        <v> </v>
      </c>
      <c r="DC118" s="318" t="str">
        <f aca="false">IF($A118="N/A"," ",IF(0&lt;&gt;CT118,IF(CC=2,8*$HF118,0),0))</f>
        <v> </v>
      </c>
      <c r="DD118" s="318" t="str">
        <f aca="false">IF($A118="N/A"," ",IF(0&lt;&gt;CU118,IF(CC=2,8*$HF118,0),0))</f>
        <v> </v>
      </c>
      <c r="DE118" s="318" t="str">
        <f aca="false">IF($A118="N/A"," ",IF(0&lt;&gt;CV118,IF(CC=2,8*$HF118,0),0))</f>
        <v> </v>
      </c>
      <c r="DF118" s="341" t="str">
        <f aca="false">IF($A118="N/A"," ",IF(CC=2,(IF(MONTH(A118)&gt;=4,IF(MONTH(A118)&lt;=10,Inputs!$G$13,Inputs!$G$14),Inputs!$G$14))*$CK118,0))</f>
        <v> </v>
      </c>
      <c r="DG118" s="342" t="str">
        <f aca="false">IF($A118="N/A"," ",IF(CC=2,$DF118*CW118*CN118,0))</f>
        <v> </v>
      </c>
      <c r="DH118" s="342" t="str">
        <f aca="false">IF($A118="N/A"," ",IF(CC=2,$DF118*CX118*CO118,0))</f>
        <v> </v>
      </c>
      <c r="DI118" s="342" t="str">
        <f aca="false">IF($A118="N/A"," ",IF(CC=2,$DF118*CY118*CP118,0))</f>
        <v> </v>
      </c>
      <c r="DJ118" s="342" t="str">
        <f aca="false">IF($A118="N/A"," ",IF(CC=2,$DF118*CZ118*CQ118,0))</f>
        <v> </v>
      </c>
      <c r="DK118" s="342" t="str">
        <f aca="false">IF($A118="N/A"," ",IF(CC=2,$DF118*DA118*CR118,0))</f>
        <v> </v>
      </c>
      <c r="DL118" s="342" t="str">
        <f aca="false">IF($A118="N/A"," ",IF(CC=2,$DF118*DB118*CS118,0))</f>
        <v> </v>
      </c>
      <c r="DM118" s="342" t="str">
        <f aca="false">IF($A118="N/A"," ",IF(CC=2,$DF118*DC118*CT118,0))</f>
        <v> </v>
      </c>
      <c r="DN118" s="342" t="str">
        <f aca="false">IF($A118="N/A"," ",IF(CC=2,$DF118*DD118*CU118,0))</f>
        <v> </v>
      </c>
      <c r="DO118" s="342" t="str">
        <f aca="false">IF($A118="N/A"," ",IF(CC=2,$DF118*DE118*CV118,0))</f>
        <v> </v>
      </c>
      <c r="DP118" s="343" t="str">
        <f aca="false">IF($A118="N/A"," ",IF(CC=2,SUM(DG118:DO118),0))</f>
        <v> </v>
      </c>
      <c r="DQ118" s="0" t="str">
        <f aca="false">IF(A118="N/A"," ",Perstart)</f>
        <v> </v>
      </c>
      <c r="HD118" s="0" t="str">
        <f aca="false">IF($A118="N/A"," ",VLOOKUP($A118,NumberofDaysTable,2))</f>
        <v> </v>
      </c>
      <c r="HE118" s="0" t="str">
        <f aca="false">IF($A118="N/A"," ",VLOOKUP($A118,NumberofDaysTable,3))</f>
        <v> </v>
      </c>
      <c r="HF118" s="0" t="str">
        <f aca="false">IF($A118="N/A"," ",VLOOKUP($A118,NumberofDaysTable,4))</f>
        <v> </v>
      </c>
    </row>
    <row r="119" customFormat="false" ht="12.75" hidden="false" customHeight="false" outlineLevel="0" collapsed="false">
      <c r="A119" s="308" t="str">
        <f aca="false">IF(A118="N/A","N/A",IF(EDATE(A118,1)&gt;Inputs!$K$3,"N/A",EDATE(A118,1)))</f>
        <v>N/A</v>
      </c>
      <c r="B119" s="309" t="str">
        <f aca="false">IF(A119="N/A"," ",YEAR(A119))</f>
        <v> </v>
      </c>
      <c r="C119" s="310" t="str">
        <f aca="false">IF(A119="N/A"," ",VLOOKUP(A119,ScaledPrice,10))</f>
        <v> </v>
      </c>
      <c r="D119" s="311" t="str">
        <f aca="false">IF(A119="N/A"," ",(VLOOKUP(MONTH($A119),Hrtable,2))/1000)</f>
        <v> </v>
      </c>
      <c r="E119" s="312" t="str">
        <f aca="false">IF($A119="N/A"," ",(C119-'Pricing Inputs'!T152)*D119)</f>
        <v> </v>
      </c>
      <c r="F119" s="313" t="str">
        <f aca="false">IF(A119="N/A"," ",$F107*(1+VOMesc))</f>
        <v> </v>
      </c>
      <c r="G119" s="313" t="str">
        <f aca="false">IF(A119="N/A"," ",Perstart/IF(AND(Dayrun&gt;=4,Dayrun&lt;=6),16,IF(AND(Dayrun&gt;=7,Dayrun&lt;=9),8,24))/(BM119/CK119))</f>
        <v> </v>
      </c>
      <c r="H119" s="314" t="str">
        <f aca="false">IF(A119="N/A"," ",(C119*D119)+F119+G119)</f>
        <v> </v>
      </c>
      <c r="I119" s="315" t="str">
        <f aca="false">VLOOKUP(A119,ScaledPrice,(IF(AND(Dayrun&gt;=1,Dayrun&lt;=6),2,4)))</f>
        <v> </v>
      </c>
      <c r="J119" s="315" t="str">
        <f aca="false">IF(A119="N/A"," ",IF(AND(Dayrun&gt;=1,Dayrun&lt;=6),I119,(VLOOKUP(A119,ScaledPrice,2))*(2-(VLOOKUP(A119,ScaledPrice,3)))))</f>
        <v> </v>
      </c>
      <c r="K119" s="315" t="str">
        <f aca="false">IF(A119="N/A"," ",IF(AND(Dayrun&gt;=1,Dayrun&lt;=3),VLOOKUP(A119,ScaledPrice,9),0))</f>
        <v> </v>
      </c>
      <c r="L119" s="315" t="str">
        <f aca="false">IF(A119="N/A"," ",IF(OR(Dayrun=2,Dayrun=3,Dayrun=5,Dayrun=6,Dayrun=8,Dayrun=9),VLOOKUP(A119,ScaledPrice,IF(AND(Dayrun&gt;=2,Dayrun&lt;=6),5,6)),0))</f>
        <v> </v>
      </c>
      <c r="M119" s="315" t="str">
        <f aca="false">IF(A119="N/A"," ",IF(OR(Dayrun=2,Dayrun=3,Dayrun=5,Dayrun=6,Dayrun=8,Dayrun=9),IF(AND(Dayrun&gt;=2,Dayrun&lt;=6),L119,(VLOOKUP(A119,ScaledPrice,5))*(2-(VLOOKUP(A119,ScaledPrice,3)))),0))</f>
        <v> </v>
      </c>
      <c r="N119" s="315" t="str">
        <f aca="false">IF(A119="N/A"," ",IF(AND(Dayrun&gt;1,Dayrun&lt;=3),VLOOKUP(A119,ScaledPrice,9),0))</f>
        <v> </v>
      </c>
      <c r="O119" s="315" t="str">
        <f aca="false">IF(A119="N/A"," ",IF(OR(Dayrun=3,Dayrun=6,Dayrun=9),(VLOOKUP(A119,ScaledPrice,IF(AND(Dayrun&gt;=3,Dayrun&lt;=6),7,8))),0))</f>
        <v> </v>
      </c>
      <c r="P119" s="315" t="str">
        <f aca="false">IF(A119="N/A"," ",IF(OR(Dayrun=3,Dayrun=6,Dayrun=9),IF(AND(Dayrun&gt;=3,Dayrun&lt;=6),O119,(VLOOKUP(A119,ScaledPrice,7))*(2-(VLOOKUP(A119,ScaledPrice,3)))),0))</f>
        <v> </v>
      </c>
      <c r="Q119" s="315" t="str">
        <f aca="false">IF(A119="N/A"," ",IF(AND(Dayrun&gt;2,Dayrun&lt;=3),VLOOKUP(A119,ScaledPrice,9),0))</f>
        <v> </v>
      </c>
      <c r="R119" s="316" t="str">
        <f aca="false">IF($A119="N/A"," ",IF(Pricetype=2,MAX(I119-$H119,0),IF(Pricetype=1,(xSPRDOPT(I119,$E119,$CI119,0,($CD119+IF(Smile=TRUE(),VLOOKUP(MAX(-5,$H119-I119),Volsmile,2),0)),$CG119,$CH119,($A119-DateToday)+15,1,0)),I119-$H119)))</f>
        <v> </v>
      </c>
      <c r="S119" s="316" t="str">
        <f aca="false">IF($A119="N/A"," ",IF(Pricetype=2,MAX(J119-$H119,0),IF(Pricetype=1,(xSPRDOPT(J119,$E119,$CI119,0,($CD119+IF(Smile=TRUE(),VLOOKUP(MAX(-5,$H119-J119),Volsmile,2),0)),$CG119,$CH119,($A119-DateToday)+15,1,0)),J119-$H119)))</f>
        <v> </v>
      </c>
      <c r="T119" s="317" t="str">
        <f aca="false">IF($A119="N/A"," ",(IF(Pricetype=2,IF((K119-$H119)&lt;=0,0,(K119-$H119)),IF(K119&lt;&gt;0,(K119-$H119),0))))</f>
        <v> </v>
      </c>
      <c r="U119" s="316" t="str">
        <f aca="false">IF($A119="N/A"," ",IF(Pricetype=2,MAX(L119-$H119,0),IF(L119&lt;&gt;0,IF(Pricetype=1,(xSPRDOPT(L119,$E119,$CI119,0,($CD119+IF(Smile=TRUE(),VLOOKUP(MAX(-5,$H119-L119),Volsmile,2),0)),$CG119,$CH119,($A119-DateToday)+15,1,0)),L119-$H119),0)))</f>
        <v> </v>
      </c>
      <c r="V119" s="316" t="str">
        <f aca="false">IF($A119="N/A"," ",IF(Pricetype=2,MAX(M119-$H119,0),IF(M119&lt;&gt;0,IF(Pricetype=1,(xSPRDOPT(M119,$E119,$CI119,0,($CD119+IF(Smile=TRUE(),VLOOKUP(MAX(-5,$H119-M119),Volsmile,2),0)),$CG119,$CH119,($A119-DateToday)+15,1,0)),M119-$H119),0)))</f>
        <v> </v>
      </c>
      <c r="W119" s="317" t="str">
        <f aca="false">IF($A119="N/A"," ",(IF(Pricetype=2,IF((N119-$H119)&lt;=0,0,(N119-$H119)),IF(N119&lt;&gt;0,(N119-$H119),0))))</f>
        <v> </v>
      </c>
      <c r="X119" s="316" t="str">
        <f aca="false">IF($A119="N/A"," ",IF(Pricetype=2,MAX(O119-$H119,0),IF(O119&lt;&gt;0,IF(Pricetype=1,(xSPRDOPT(O119,$E119,$CI119,0,($CD119+IF(Smile=TRUE(),VLOOKUP(MAX(-5,$H119-O119),Volsmile,2),0)),$CG119,$CH119,($A119-DateToday)+15,1,0)),O119-$H119),0)))</f>
        <v> </v>
      </c>
      <c r="Y119" s="316" t="str">
        <f aca="false">IF($A119="N/A"," ",IF(Pricetype=2,MAX(P119-$H119,0),IF(P119&lt;&gt;0,IF(Pricetype=1,(xSPRDOPT(P119,$E119,$CI119,0,($CD119+IF(Smile=TRUE(),VLOOKUP(MAX(-5,$H119-P119),Volsmile,2),0)),$CG119,$CH119,($A119-DateToday)+15,1,0)),P119-$H119),0)))</f>
        <v> </v>
      </c>
      <c r="Z119" s="317" t="str">
        <f aca="false">IF($A119="N/A"," ",(IF(Pricetype=2,IF((Q119-$H119)&lt;=0,0,(Q119-$H119)),IF(Q119&lt;&gt;0,(Q119-$H119),0))))</f>
        <v> </v>
      </c>
      <c r="AA119" s="318" t="str">
        <f aca="false">IF($A119="N/A"," ",IF(VLOOKUP(MONTH(A119),ManualTable,2)=1,(IF(0&lt;&gt;R119,IF(Pricetype=1,(xSPRDOPT(I119,$E119,$CI119,0,($CD119+IF(Smile=TRUE(),VLOOKUP(MAX(-5,$H119-I119),Volsmile,2),0)),$CG119,$CH119,($A119-DateToday)+15,1,1))*(8*$HD119),8*$HD119),0)),0))</f>
        <v> </v>
      </c>
      <c r="AB119" s="318" t="str">
        <f aca="false">IF($A119="N/A"," ",IF(VLOOKUP(MONTH(A119),ManualTable,3)=1,(IF(S119&lt;&gt;0,IF(Pricetype=1,(xSPRDOPT(J119,$E119,$CI119,0,($CD119+IF(Smile=TRUE(),VLOOKUP(MAX(-5,$H119-J119),Volsmile,2),0)),$CG119,$CH119,($A119-DateToday)+15,1,1))*(8*$HD119),8*$HD119),0)),0))</f>
        <v> </v>
      </c>
      <c r="AC119" s="318" t="str">
        <f aca="false">IF($A119="N/A"," ",IF(VLOOKUP(MONTH(A119),ManualTable,4)=1,(IF(T119&lt;&gt;0,(8*$HD119),0)),0))</f>
        <v> </v>
      </c>
      <c r="AD119" s="318" t="str">
        <f aca="false">IF($A119="N/A"," ",IF(VLOOKUP(MONTH(A119),ManualTable,5)=1,(IF(U119&lt;&gt;0,IF(Pricetype=1,(xSPRDOPT(L119,$E119,$CI119,0,($CD119+IF(Smile=TRUE(),VLOOKUP(MAX(-5,$H119-L119),Volsmile,2),0)),$CG119,$CH119,($A119-DateToday)+15,1,1))*(8*$HE119),8*$HE119),0)),0))</f>
        <v> </v>
      </c>
      <c r="AE119" s="318" t="str">
        <f aca="false">IF($A119="N/A"," ",IF(VLOOKUP(MONTH(A119),ManualTable,6)=1,(IF(V119&lt;&gt;0,IF(Pricetype=1,(xSPRDOPT(M119,$E119,$CI119,0,($CD119+IF(Smile=TRUE(),VLOOKUP(MAX(-5,$H119-M119),Volsmile,2),0)),$CG119,$CH119,($A119-DateToday)+15,1,1))*(8*$HE119),8*$HE119),0)),0))</f>
        <v> </v>
      </c>
      <c r="AF119" s="318" t="str">
        <f aca="false">IF($A119="N/A"," ",IF(VLOOKUP(MONTH(A119),ManualTable,7)=1,(IF(W119&lt;&gt;0,(8*$HE119),0)),0))</f>
        <v> </v>
      </c>
      <c r="AG119" s="318" t="str">
        <f aca="false">IF($A119="N/A"," ",IF(VLOOKUP(MONTH(A119),ManualTable,8)=1,(IF(X119&lt;&gt;0,IF(Pricetype=1,(xSPRDOPT(O119,$E119,$CI119,0,($CD119+IF(Smile=TRUE(),VLOOKUP(MAX(-5,$H119-O119),Volsmile,2),0)),$CG119,$CH119,($A119-DateToday)+15,1,1))*(8*$HF119),8*$HF119),0)),0))</f>
        <v> </v>
      </c>
      <c r="AH119" s="318" t="str">
        <f aca="false">IF($A119="N/A"," ",IF(VLOOKUP(MONTH(A119),ManualTable,9)=1,(IF(Y119&lt;&gt;0,IF(Pricetype=1,(xSPRDOPT(P119,$E119,$CI119,0,($CD119+IF(Smile=TRUE(),VLOOKUP(MAX(-5,$H119-P119),Volsmile,2),0)),$CG119,$CH119,($A119-DateToday)+15,1,1))*(8*$HF119),8*$HF119),0)),0))</f>
        <v> </v>
      </c>
      <c r="AI119" s="318" t="str">
        <f aca="false">IF($A119="N/A"," ",IF(VLOOKUP(MONTH(A119),ManualTable,10)=1,(IF(Z119&lt;&gt;0,(8*($HF119)),0)),0))</f>
        <v> </v>
      </c>
      <c r="AJ119" s="344" t="str">
        <f aca="false">IF($A119="N/A"," ",RANK(R119,$R$112:$Z$123))</f>
        <v> </v>
      </c>
      <c r="AK119" s="321" t="str">
        <f aca="false">IF($A119="N/A"," ",RANK(S119,$R$112:$Z$123))</f>
        <v> </v>
      </c>
      <c r="AL119" s="321" t="str">
        <f aca="false">IF($A119="N/A"," ",RANK(T119,$R$112:$Z$123))</f>
        <v> </v>
      </c>
      <c r="AM119" s="321" t="str">
        <f aca="false">IF($A119="N/A"," ",RANK(U119,$R$112:$Z$123))</f>
        <v> </v>
      </c>
      <c r="AN119" s="321" t="str">
        <f aca="false">IF($A119="N/A"," ",RANK(V119,$R$112:$Z$123))</f>
        <v> </v>
      </c>
      <c r="AO119" s="321" t="str">
        <f aca="false">IF($A119="N/A"," ",RANK(W119,$R$112:$Z$123))</f>
        <v> </v>
      </c>
      <c r="AP119" s="321" t="str">
        <f aca="false">IF($A119="N/A"," ",RANK(X119,$R$112:$Z$123))</f>
        <v> </v>
      </c>
      <c r="AQ119" s="321" t="str">
        <f aca="false">IF($A119="N/A"," ",RANK(Y119,$R$112:$Z$123))</f>
        <v> </v>
      </c>
      <c r="AR119" s="345" t="str">
        <f aca="false">IF($A119="N/A"," ",RANK(Z119,$R$112:$Z$123))</f>
        <v> </v>
      </c>
      <c r="AS119" s="323" t="str">
        <f aca="false">IF($A119="N/A"," ",IF(AJ119&lt;=$AR$2,AA119,0))</f>
        <v> </v>
      </c>
      <c r="AT119" s="325" t="str">
        <f aca="false">IF($A119="N/A"," ",IF(AK119&lt;=$AR$2,AB119,0))</f>
        <v> </v>
      </c>
      <c r="AU119" s="325" t="str">
        <f aca="false">IF($A119="N/A"," ",IF(AL119&lt;=$AR$2,AC119,0))</f>
        <v> </v>
      </c>
      <c r="AV119" s="325" t="str">
        <f aca="false">IF($A119="N/A"," ",IF(AM119&lt;=$AR$2,AD119,0))</f>
        <v> </v>
      </c>
      <c r="AW119" s="325" t="str">
        <f aca="false">IF($A119="N/A"," ",IF(AN119&lt;=$AR$2,AE119,0))</f>
        <v> </v>
      </c>
      <c r="AX119" s="325" t="str">
        <f aca="false">IF($A119="N/A"," ",IF(AO119&lt;=$AR$2,AF119,0))</f>
        <v> </v>
      </c>
      <c r="AY119" s="325" t="str">
        <f aca="false">IF($A119="N/A"," ",IF(AP119&lt;=$AR$2,AG119,0))</f>
        <v> </v>
      </c>
      <c r="AZ119" s="325" t="str">
        <f aca="false">IF($A119="N/A"," ",IF(AQ119&lt;=$AR$2,AH119,0))</f>
        <v> </v>
      </c>
      <c r="BA119" s="325" t="str">
        <f aca="false">IF($A119="N/A"," ",IF(AR119&lt;=$AR$2,AI119,0))</f>
        <v> </v>
      </c>
      <c r="BB119" s="345"/>
      <c r="BC119" s="326" t="str">
        <f aca="false">IF($A119="N/A"," ",IF(AND(AJ119=$AR$2+1,AS119=0),MIN($BB$123,AA119),0))</f>
        <v> </v>
      </c>
      <c r="BD119" s="346" t="str">
        <f aca="false">IF($A119="N/A"," ",IF(AND(AK119=$AR$2+1,AT119=0),MIN($BB$123,AB119),0))</f>
        <v> </v>
      </c>
      <c r="BE119" s="346" t="str">
        <f aca="false">IF($A119="N/A"," ",IF(AND(AL119=$AR$2+1,AU119=0),MIN($BB$123,AC119),0))</f>
        <v> </v>
      </c>
      <c r="BF119" s="346" t="str">
        <f aca="false">IF($A119="N/A"," ",IF(AND(AM119=$AR$2+1,AV119=0),MIN($BB$123,AD119),0))</f>
        <v> </v>
      </c>
      <c r="BG119" s="346" t="str">
        <f aca="false">IF($A119="N/A"," ",IF(AND(AN119=$AR$2+1,AW119=0),MIN($BB$123,AE119),0))</f>
        <v> </v>
      </c>
      <c r="BH119" s="346" t="str">
        <f aca="false">IF($A119="N/A"," ",IF(AND(AO119=$AR$2+1,AX119=0),MIN($BB$123,AF119),0))</f>
        <v> </v>
      </c>
      <c r="BI119" s="346" t="str">
        <f aca="false">IF($A119="N/A"," ",IF(AND(AP119=$AR$2+1,AY119=0),MIN($BB$123,AG119),0))</f>
        <v> </v>
      </c>
      <c r="BJ119" s="346" t="str">
        <f aca="false">IF($A119="N/A"," ",IF(AND(AQ119=$AR$2+1,AZ119=0),MIN($BB$123,AH119),0))</f>
        <v> </v>
      </c>
      <c r="BK119" s="346" t="str">
        <f aca="false">IF($A119="N/A"," ",IF(AND(AR119=$AR$2+1,BA119=0),MIN($BB$123,AI119),0))</f>
        <v> </v>
      </c>
      <c r="BL119" s="345"/>
      <c r="BM119" s="329" t="str">
        <f aca="false">IF($A119="N/A"," ",(IF(MONTH(A119)&gt;=4,IF(MONTH(A119)&lt;=10,Inputs!$F$13-Inputs!$G$13,Inputs!$F$14-Inputs!$G$14),Inputs!$F$14-Inputs!$G$14))*$CK119*Availability)</f>
        <v> </v>
      </c>
      <c r="BN119" s="330" t="str">
        <f aca="false">IF($A119="N/A"," ",(IF(AS119&gt;0,($BM119*(8*($HD119))*R119),0)+IF(BC119&gt;0,($BM119*((BC119/AA119)*8*$HD119)*R119),0)))</f>
        <v> </v>
      </c>
      <c r="BO119" s="330" t="str">
        <f aca="false">IF($A119="N/A"," ",(IF(AT119&gt;0,($BM119*(8*($HD119))*S119),0)+IF(BD119&gt;0,($BM119*((BD119/AB119)*8*$HD119)*S119),0)))</f>
        <v> </v>
      </c>
      <c r="BP119" s="330" t="str">
        <f aca="false">IF($A119="N/A"," ",(IF(AU119&gt;0,($BM119*(8*($HD119))*T119),0)+IF(BE119&gt;0,($BM119*((BE119))*T119),0)))</f>
        <v> </v>
      </c>
      <c r="BQ119" s="330" t="str">
        <f aca="false">IF($A119="N/A"," ",(IF(AV119&gt;0,($BM119*(8*($HE119))*U119),0)+IF(BF119&gt;0,($BM119*((BF119/AD119)*8*$HE119)*U119),0)))</f>
        <v> </v>
      </c>
      <c r="BR119" s="330" t="str">
        <f aca="false">IF($A119="N/A"," ",(IF(AW119&gt;0,($BM119*(8*($HE119))*V119),0)+IF(BG119&gt;0,($BM119*((BG119/AE119)*8*$HE119)*V119),0)))</f>
        <v> </v>
      </c>
      <c r="BS119" s="330" t="str">
        <f aca="false">IF($A119="N/A"," ",(IF(AX119&gt;0,($BM119*(8*($HE119))*W119),0)+IF(BH119&gt;0,($BM119*((BH119))*W119),0)))</f>
        <v> </v>
      </c>
      <c r="BT119" s="330" t="str">
        <f aca="false">IF($A119="N/A"," ",(IF(AY119&gt;0,($BM119*(8*($HF119))*X119),0)+IF(BI119&gt;0,($BM119*((BI119/AG119)*8*$HF119)*X119),0)))</f>
        <v> </v>
      </c>
      <c r="BU119" s="330" t="str">
        <f aca="false">IF($A119="N/A"," ",(IF(AZ119&gt;0,($BM119*(8*($HF119))*Y119),0)+IF(BJ119&gt;0,($BM119*((BJ119/AH119)*8*$HF119)*Y119),0)))</f>
        <v> </v>
      </c>
      <c r="BV119" s="330" t="str">
        <f aca="false">IF($A119="N/A"," ",(IF(BA119&gt;0,($BM119*(8*($HF119))*Z119),0)+IF(BK119&gt;0,($BM119*((BK119))*Z119),0)))</f>
        <v> </v>
      </c>
      <c r="BW119" s="330" t="str">
        <f aca="false">IF($A119="N/A"," ",SUM(BN119:BV119))</f>
        <v> </v>
      </c>
      <c r="BX119" s="331" t="str">
        <f aca="false">IF($A119="N/A"," ",(H119*(SUM(AS119:BA119)+SUM(BC119:BK119))*BM119))</f>
        <v> </v>
      </c>
      <c r="BY119" s="332" t="str">
        <f aca="false">IF($A119="N/A"," ",((C119*D119)*(SUM($AS119:$BA119)+SUM($BC119:$BK119))*$BM119))</f>
        <v> </v>
      </c>
      <c r="BZ119" s="332" t="str">
        <f aca="false">IF($A119="N/A"," ",(F119*(SUM($AS119:$BA119)+SUM($BC119:$BK119))*$BM119))</f>
        <v> </v>
      </c>
      <c r="CA119" s="333" t="str">
        <f aca="false">IF($A119="N/A"," ",(G119*(SUM($AS119:$BA119)+SUM($BC119:$BK119))*$BM119))</f>
        <v> </v>
      </c>
      <c r="CB119" s="334" t="str">
        <f aca="false">IF(A119="N/A"," ",(VLOOKUP(A119,PowerVolTable,(IF(BMO=2,7,IF(BMO=1,6,8))),FALSE())))</f>
        <v> </v>
      </c>
      <c r="CC119" s="334" t="str">
        <f aca="false">IF(A119="N/A"," ",(VLOOKUP(A119,IntraPowerVol,(IF(BMO=2,3,IF(BMO=1,2,4))),FALSE())*VLOOKUP(MONTH($A119),Volscale,2)))</f>
        <v> </v>
      </c>
      <c r="CD119" s="335" t="str">
        <f aca="false">IF($A119="N/A"," ",(IF(DateToday&gt;$A119,$CC119,((($CB119^2)*((($A119-1)-DateToday)/((EOMONTH($A119,0)+1)-DateToday-15)))+((($CC119)^2)*((15)/((EOMONTH($A119,0)+1)-DateToday-15))))^0.5)))</f>
        <v> </v>
      </c>
      <c r="CE119" s="334" t="str">
        <f aca="false">IF($A119="N/A"," ",(VLOOKUP($A119,GasVolTable,(IF(BMO=2,6,IF(BMO=1,7,5))),FALSE())))</f>
        <v> </v>
      </c>
      <c r="CF119" s="334" t="str">
        <f aca="false">IF($A119="N/A"," ",(VLOOKUP($A119,OmicronVol,(IF(BMO=2,3,IF(BMO=1,4,2))),FALSE())))</f>
        <v> </v>
      </c>
      <c r="CG119" s="335" t="str">
        <f aca="false">IF($A119="N/A"," ",(IF(DateToday&gt;$A119,$CF119,((($CE119^2)*((($A119-1)-DateToday)/((EOMONTH($A119,0)+1)-DateToday-15)))+((($CF119)^2)*((15)/((EOMONTH($A119,0)+1)-DateToday-15))))^0.5)))</f>
        <v> </v>
      </c>
      <c r="CH119" s="334" t="str">
        <f aca="false">IF($A119="N/A"," ",VLOOKUP($A119,CorrelationTable,2,FALSE()))</f>
        <v> </v>
      </c>
      <c r="CI119" s="336" t="str">
        <f aca="false">IF($A119="N/A"," ",F119+G119+(D119*('Pricing Inputs'!T152)))</f>
        <v> </v>
      </c>
      <c r="CJ119" s="334" t="str">
        <f aca="false">IF($A119="N/A"," ",IF(PV=1,0,'Pricing Inputs'!U152))</f>
        <v> </v>
      </c>
      <c r="CK119" s="337" t="str">
        <f aca="false">IF($A119="N/A"," ",(1+CJ119/2)^(-2*((EOMONTH(A119,0)+20)-DateToday)/365.25))</f>
        <v> </v>
      </c>
      <c r="CL119" s="338" t="str">
        <f aca="false">IF(A119="N/A"," ",IF(CC=2,(VLOOKUP(MONTH($A119),Hrtable,3))/1000,0))</f>
        <v> </v>
      </c>
      <c r="CM119" s="339" t="str">
        <f aca="false">IF(A119="N/A"," ",IF(CC=2,(CL119*C119)+F119,0))</f>
        <v> </v>
      </c>
      <c r="CN119" s="340" t="str">
        <f aca="false">IF($A119="N/A"," ",IF(CC=2,(VLOOKUP(A119,ScaledPrice,(IF(AND(Dayrun&gt;=1,Dayrun&lt;=6),2,4)))-((IF(R119&lt;&gt;0,$D119,$CL119)*$C119)+$F119+$G119)),0))</f>
        <v> </v>
      </c>
      <c r="CO119" s="340" t="str">
        <f aca="false">IF($A119="N/A"," ",IF(CC=2,(IF(AND(Dayrun&gt;=1,Dayrun&lt;=6),I119,(VLOOKUP(A119,ScaledPrice,2))*(2-(VLOOKUP(A119,ScaledPrice,3))))-((IF(S119&lt;&gt;0,$D119,$CL119)*$C119)+$F119+$G119)),0))</f>
        <v> </v>
      </c>
      <c r="CP119" s="340" t="str">
        <f aca="false">IF(A119="N/A"," ",IF(CC=2,(VLOOKUP(A119,ScaledPrice,9)-((IF(T119&lt;&gt;0,$D119,$CL119)*$C119)+$F119+$G119)),0))</f>
        <v> </v>
      </c>
      <c r="CQ119" s="340" t="str">
        <f aca="false">IF(A119="N/A"," ",IF(CC=2,(IF(OR(Dayrun=2,Dayrun=3,Dayrun=5,Dayrun=6,Dayrun=8,Dayrun=9),VLOOKUP(A119,ScaledPrice,IF(AND(Dayrun&gt;=2,Dayrun&lt;=6),5,6)),0)-((IF(U119&lt;&gt;0,$D119,$CL119)*$C119)+$F119+$G119)),0))</f>
        <v> </v>
      </c>
      <c r="CR119" s="340" t="str">
        <f aca="false">IF(A119="N/A"," ",IF(CC=2,(IF(OR(Dayrun=2,Dayrun=3,Dayrun=5,Dayrun=6,Dayrun=8,Dayrun=9),IF(AND(Dayrun&gt;=2,Dayrun&lt;=6),L119,(VLOOKUP(A119,ScaledPrice,5))*(2-(VLOOKUP(A119,ScaledPrice,3)))),0)-((IF(V119&lt;&gt;0,$D119,$CL119)*$C119)+$F119+$G119)),0))</f>
        <v> </v>
      </c>
      <c r="CS119" s="340" t="str">
        <f aca="false">IF(A119="N/A"," ",IF(CC=2,(VLOOKUP(A119,ScaledPrice,9)-((IF(W119&lt;&gt;0,$D119,$CL119)*$C119)+$F119+$G119)),0))</f>
        <v> </v>
      </c>
      <c r="CT119" s="340" t="str">
        <f aca="false">IF(A119="N/A"," ",IF(CC=2,(IF(OR(Dayrun=3,Dayrun=6,Dayrun=9),(VLOOKUP(A119,ScaledPrice,IF(AND(Dayrun&gt;=3,Dayrun&lt;=6),7,8))),0)-((IF(X119&lt;&gt;0,$D119,$CL119)*$C119)+$F119+$G119)),0))</f>
        <v> </v>
      </c>
      <c r="CU119" s="340" t="str">
        <f aca="false">IF(A119="N/A"," ",IF(CC=2,(IF(OR(Dayrun=3,Dayrun=6,Dayrun=9),IF(AND(Dayrun&gt;=3,Dayrun&lt;=6),O119,(VLOOKUP(A119,ScaledPrice,7))*(2-(VLOOKUP(A119,ScaledPrice,3)))),0)-((IF(Y119&lt;&gt;0,$D119,$CL119)*$C119)+$F119+$G119)),0))</f>
        <v> </v>
      </c>
      <c r="CV119" s="340" t="str">
        <f aca="false">IF(A119="N/A"," ",IF(CC=2,(VLOOKUP(A119,ScaledPrice,9)-((IF(Z119&lt;&gt;0,$D119,$CL119)*$C119)+$F119+$G119)),0))</f>
        <v> </v>
      </c>
      <c r="CW119" s="318" t="str">
        <f aca="false">IF($A119="N/A"," ",IF(0&lt;&gt;CN119,IF(CC=2,8*$HD119,0),0))</f>
        <v> </v>
      </c>
      <c r="CX119" s="318" t="str">
        <f aca="false">IF($A119="N/A"," ",IF(0&lt;&gt;CO119,IF(CC=2,8*$HD119,0),0))</f>
        <v> </v>
      </c>
      <c r="CY119" s="318" t="str">
        <f aca="false">IF($A119="N/A"," ",IF(0&lt;&gt;CP119,IF(CC=2,8*$HD119,0),0))</f>
        <v> </v>
      </c>
      <c r="CZ119" s="318" t="str">
        <f aca="false">IF($A119="N/A"," ",IF(0&lt;&gt;CQ119,IF(CC=2,8*$HE119,0),0))</f>
        <v> </v>
      </c>
      <c r="DA119" s="318" t="str">
        <f aca="false">IF($A119="N/A"," ",IF(0&lt;&gt;CR119,IF(CC=2,8*$HE119,0),0))</f>
        <v> </v>
      </c>
      <c r="DB119" s="318" t="str">
        <f aca="false">IF($A119="N/A"," ",IF(0&lt;&gt;CS119,IF(CC=2,8*$HE119,0),0))</f>
        <v> </v>
      </c>
      <c r="DC119" s="318" t="str">
        <f aca="false">IF($A119="N/A"," ",IF(0&lt;&gt;CT119,IF(CC=2,8*$HF119,0),0))</f>
        <v> </v>
      </c>
      <c r="DD119" s="318" t="str">
        <f aca="false">IF($A119="N/A"," ",IF(0&lt;&gt;CU119,IF(CC=2,8*$HF119,0),0))</f>
        <v> </v>
      </c>
      <c r="DE119" s="318" t="str">
        <f aca="false">IF($A119="N/A"," ",IF(0&lt;&gt;CV119,IF(CC=2,8*$HF119,0),0))</f>
        <v> </v>
      </c>
      <c r="DF119" s="341" t="str">
        <f aca="false">IF($A119="N/A"," ",IF(CC=2,(IF(MONTH(A119)&gt;=4,IF(MONTH(A119)&lt;=10,Inputs!$G$13,Inputs!$G$14),Inputs!$G$14))*$CK119,0))</f>
        <v> </v>
      </c>
      <c r="DG119" s="342" t="str">
        <f aca="false">IF($A119="N/A"," ",IF(CC=2,$DF119*CW119*CN119,0))</f>
        <v> </v>
      </c>
      <c r="DH119" s="342" t="str">
        <f aca="false">IF($A119="N/A"," ",IF(CC=2,$DF119*CX119*CO119,0))</f>
        <v> </v>
      </c>
      <c r="DI119" s="342" t="str">
        <f aca="false">IF($A119="N/A"," ",IF(CC=2,$DF119*CY119*CP119,0))</f>
        <v> </v>
      </c>
      <c r="DJ119" s="342" t="str">
        <f aca="false">IF($A119="N/A"," ",IF(CC=2,$DF119*CZ119*CQ119,0))</f>
        <v> </v>
      </c>
      <c r="DK119" s="342" t="str">
        <f aca="false">IF($A119="N/A"," ",IF(CC=2,$DF119*DA119*CR119,0))</f>
        <v> </v>
      </c>
      <c r="DL119" s="342" t="str">
        <f aca="false">IF($A119="N/A"," ",IF(CC=2,$DF119*DB119*CS119,0))</f>
        <v> </v>
      </c>
      <c r="DM119" s="342" t="str">
        <f aca="false">IF($A119="N/A"," ",IF(CC=2,$DF119*DC119*CT119,0))</f>
        <v> </v>
      </c>
      <c r="DN119" s="342" t="str">
        <f aca="false">IF($A119="N/A"," ",IF(CC=2,$DF119*DD119*CU119,0))</f>
        <v> </v>
      </c>
      <c r="DO119" s="342" t="str">
        <f aca="false">IF($A119="N/A"," ",IF(CC=2,$DF119*DE119*CV119,0))</f>
        <v> </v>
      </c>
      <c r="DP119" s="343" t="str">
        <f aca="false">IF($A119="N/A"," ",IF(CC=2,SUM(DG119:DO119),0))</f>
        <v> </v>
      </c>
      <c r="DQ119" s="0" t="str">
        <f aca="false">IF(A119="N/A"," ",Perstart)</f>
        <v> </v>
      </c>
      <c r="HD119" s="0" t="str">
        <f aca="false">IF($A119="N/A"," ",VLOOKUP($A119,NumberofDaysTable,2))</f>
        <v> </v>
      </c>
      <c r="HE119" s="0" t="str">
        <f aca="false">IF($A119="N/A"," ",VLOOKUP($A119,NumberofDaysTable,3))</f>
        <v> </v>
      </c>
      <c r="HF119" s="0" t="str">
        <f aca="false">IF($A119="N/A"," ",VLOOKUP($A119,NumberofDaysTable,4))</f>
        <v> </v>
      </c>
    </row>
    <row r="120" customFormat="false" ht="12.75" hidden="false" customHeight="false" outlineLevel="0" collapsed="false">
      <c r="A120" s="308" t="str">
        <f aca="false">IF(A119="N/A","N/A",IF(EDATE(A119,1)&gt;Inputs!$K$3,"N/A",EDATE(A119,1)))</f>
        <v>N/A</v>
      </c>
      <c r="B120" s="309" t="str">
        <f aca="false">IF(A120="N/A"," ",YEAR(A120))</f>
        <v> </v>
      </c>
      <c r="C120" s="310" t="str">
        <f aca="false">IF(A120="N/A"," ",VLOOKUP(A120,ScaledPrice,10))</f>
        <v> </v>
      </c>
      <c r="D120" s="311" t="str">
        <f aca="false">IF(A120="N/A"," ",(VLOOKUP(MONTH($A120),Hrtable,2))/1000)</f>
        <v> </v>
      </c>
      <c r="E120" s="312" t="str">
        <f aca="false">IF($A120="N/A"," ",(C120-'Pricing Inputs'!T153)*D120)</f>
        <v> </v>
      </c>
      <c r="F120" s="313" t="str">
        <f aca="false">IF(A120="N/A"," ",$F108*(1+VOMesc))</f>
        <v> </v>
      </c>
      <c r="G120" s="313" t="str">
        <f aca="false">IF(A120="N/A"," ",Perstart/IF(AND(Dayrun&gt;=4,Dayrun&lt;=6),16,IF(AND(Dayrun&gt;=7,Dayrun&lt;=9),8,24))/(BM120/CK120))</f>
        <v> </v>
      </c>
      <c r="H120" s="314" t="str">
        <f aca="false">IF(A120="N/A"," ",(C120*D120)+F120+G120)</f>
        <v> </v>
      </c>
      <c r="I120" s="315" t="str">
        <f aca="false">VLOOKUP(A120,ScaledPrice,(IF(AND(Dayrun&gt;=1,Dayrun&lt;=6),2,4)))</f>
        <v> </v>
      </c>
      <c r="J120" s="315" t="str">
        <f aca="false">IF(A120="N/A"," ",IF(AND(Dayrun&gt;=1,Dayrun&lt;=6),I120,(VLOOKUP(A120,ScaledPrice,2))*(2-(VLOOKUP(A120,ScaledPrice,3)))))</f>
        <v> </v>
      </c>
      <c r="K120" s="315" t="str">
        <f aca="false">IF(A120="N/A"," ",IF(AND(Dayrun&gt;=1,Dayrun&lt;=3),VLOOKUP(A120,ScaledPrice,9),0))</f>
        <v> </v>
      </c>
      <c r="L120" s="315" t="str">
        <f aca="false">IF(A120="N/A"," ",IF(OR(Dayrun=2,Dayrun=3,Dayrun=5,Dayrun=6,Dayrun=8,Dayrun=9),VLOOKUP(A120,ScaledPrice,IF(AND(Dayrun&gt;=2,Dayrun&lt;=6),5,6)),0))</f>
        <v> </v>
      </c>
      <c r="M120" s="315" t="str">
        <f aca="false">IF(A120="N/A"," ",IF(OR(Dayrun=2,Dayrun=3,Dayrun=5,Dayrun=6,Dayrun=8,Dayrun=9),IF(AND(Dayrun&gt;=2,Dayrun&lt;=6),L120,(VLOOKUP(A120,ScaledPrice,5))*(2-(VLOOKUP(A120,ScaledPrice,3)))),0))</f>
        <v> </v>
      </c>
      <c r="N120" s="315" t="str">
        <f aca="false">IF(A120="N/A"," ",IF(AND(Dayrun&gt;1,Dayrun&lt;=3),VLOOKUP(A120,ScaledPrice,9),0))</f>
        <v> </v>
      </c>
      <c r="O120" s="315" t="str">
        <f aca="false">IF(A120="N/A"," ",IF(OR(Dayrun=3,Dayrun=6,Dayrun=9),(VLOOKUP(A120,ScaledPrice,IF(AND(Dayrun&gt;=3,Dayrun&lt;=6),7,8))),0))</f>
        <v> </v>
      </c>
      <c r="P120" s="315" t="str">
        <f aca="false">IF(A120="N/A"," ",IF(OR(Dayrun=3,Dayrun=6,Dayrun=9),IF(AND(Dayrun&gt;=3,Dayrun&lt;=6),O120,(VLOOKUP(A120,ScaledPrice,7))*(2-(VLOOKUP(A120,ScaledPrice,3)))),0))</f>
        <v> </v>
      </c>
      <c r="Q120" s="315" t="str">
        <f aca="false">IF(A120="N/A"," ",IF(AND(Dayrun&gt;2,Dayrun&lt;=3),VLOOKUP(A120,ScaledPrice,9),0))</f>
        <v> </v>
      </c>
      <c r="R120" s="316" t="str">
        <f aca="false">IF($A120="N/A"," ",IF(Pricetype=2,MAX(I120-$H120,0),IF(Pricetype=1,(xSPRDOPT(I120,$E120,$CI120,0,($CD120+IF(Smile=TRUE(),VLOOKUP(MAX(-5,$H120-I120),Volsmile,2),0)),$CG120,$CH120,($A120-DateToday)+15,1,0)),I120-$H120)))</f>
        <v> </v>
      </c>
      <c r="S120" s="316" t="str">
        <f aca="false">IF($A120="N/A"," ",IF(Pricetype=2,MAX(J120-$H120,0),IF(Pricetype=1,(xSPRDOPT(J120,$E120,$CI120,0,($CD120+IF(Smile=TRUE(),VLOOKUP(MAX(-5,$H120-J120),Volsmile,2),0)),$CG120,$CH120,($A120-DateToday)+15,1,0)),J120-$H120)))</f>
        <v> </v>
      </c>
      <c r="T120" s="317" t="str">
        <f aca="false">IF($A120="N/A"," ",(IF(Pricetype=2,IF((K120-$H120)&lt;=0,0,(K120-$H120)),IF(K120&lt;&gt;0,(K120-$H120),0))))</f>
        <v> </v>
      </c>
      <c r="U120" s="316" t="str">
        <f aca="false">IF($A120="N/A"," ",IF(Pricetype=2,MAX(L120-$H120,0),IF(L120&lt;&gt;0,IF(Pricetype=1,(xSPRDOPT(L120,$E120,$CI120,0,($CD120+IF(Smile=TRUE(),VLOOKUP(MAX(-5,$H120-L120),Volsmile,2),0)),$CG120,$CH120,($A120-DateToday)+15,1,0)),L120-$H120),0)))</f>
        <v> </v>
      </c>
      <c r="V120" s="316" t="str">
        <f aca="false">IF($A120="N/A"," ",IF(Pricetype=2,MAX(M120-$H120,0),IF(M120&lt;&gt;0,IF(Pricetype=1,(xSPRDOPT(M120,$E120,$CI120,0,($CD120+IF(Smile=TRUE(),VLOOKUP(MAX(-5,$H120-M120),Volsmile,2),0)),$CG120,$CH120,($A120-DateToday)+15,1,0)),M120-$H120),0)))</f>
        <v> </v>
      </c>
      <c r="W120" s="317" t="str">
        <f aca="false">IF($A120="N/A"," ",(IF(Pricetype=2,IF((N120-$H120)&lt;=0,0,(N120-$H120)),IF(N120&lt;&gt;0,(N120-$H120),0))))</f>
        <v> </v>
      </c>
      <c r="X120" s="316" t="str">
        <f aca="false">IF($A120="N/A"," ",IF(Pricetype=2,MAX(O120-$H120,0),IF(O120&lt;&gt;0,IF(Pricetype=1,(xSPRDOPT(O120,$E120,$CI120,0,($CD120+IF(Smile=TRUE(),VLOOKUP(MAX(-5,$H120-O120),Volsmile,2),0)),$CG120,$CH120,($A120-DateToday)+15,1,0)),O120-$H120),0)))</f>
        <v> </v>
      </c>
      <c r="Y120" s="316" t="str">
        <f aca="false">IF($A120="N/A"," ",IF(Pricetype=2,MAX(P120-$H120,0),IF(P120&lt;&gt;0,IF(Pricetype=1,(xSPRDOPT(P120,$E120,$CI120,0,($CD120+IF(Smile=TRUE(),VLOOKUP(MAX(-5,$H120-P120),Volsmile,2),0)),$CG120,$CH120,($A120-DateToday)+15,1,0)),P120-$H120),0)))</f>
        <v> </v>
      </c>
      <c r="Z120" s="317" t="str">
        <f aca="false">IF($A120="N/A"," ",(IF(Pricetype=2,IF((Q120-$H120)&lt;=0,0,(Q120-$H120)),IF(Q120&lt;&gt;0,(Q120-$H120),0))))</f>
        <v> </v>
      </c>
      <c r="AA120" s="318" t="str">
        <f aca="false">IF($A120="N/A"," ",IF(VLOOKUP(MONTH(A120),ManualTable,2)=1,(IF(0&lt;&gt;R120,IF(Pricetype=1,(xSPRDOPT(I120,$E120,$CI120,0,($CD120+IF(Smile=TRUE(),VLOOKUP(MAX(-5,$H120-I120),Volsmile,2),0)),$CG120,$CH120,($A120-DateToday)+15,1,1))*(8*$HD120),8*$HD120),0)),0))</f>
        <v> </v>
      </c>
      <c r="AB120" s="318" t="str">
        <f aca="false">IF($A120="N/A"," ",IF(VLOOKUP(MONTH(A120),ManualTable,3)=1,(IF(S120&lt;&gt;0,IF(Pricetype=1,(xSPRDOPT(J120,$E120,$CI120,0,($CD120+IF(Smile=TRUE(),VLOOKUP(MAX(-5,$H120-J120),Volsmile,2),0)),$CG120,$CH120,($A120-DateToday)+15,1,1))*(8*$HD120),8*$HD120),0)),0))</f>
        <v> </v>
      </c>
      <c r="AC120" s="318" t="str">
        <f aca="false">IF($A120="N/A"," ",IF(VLOOKUP(MONTH(A120),ManualTable,4)=1,(IF(T120&lt;&gt;0,(8*$HD120),0)),0))</f>
        <v> </v>
      </c>
      <c r="AD120" s="318" t="str">
        <f aca="false">IF($A120="N/A"," ",IF(VLOOKUP(MONTH(A120),ManualTable,5)=1,(IF(U120&lt;&gt;0,IF(Pricetype=1,(xSPRDOPT(L120,$E120,$CI120,0,($CD120+IF(Smile=TRUE(),VLOOKUP(MAX(-5,$H120-L120),Volsmile,2),0)),$CG120,$CH120,($A120-DateToday)+15,1,1))*(8*$HE120),8*$HE120),0)),0))</f>
        <v> </v>
      </c>
      <c r="AE120" s="318" t="str">
        <f aca="false">IF($A120="N/A"," ",IF(VLOOKUP(MONTH(A120),ManualTable,6)=1,(IF(V120&lt;&gt;0,IF(Pricetype=1,(xSPRDOPT(M120,$E120,$CI120,0,($CD120+IF(Smile=TRUE(),VLOOKUP(MAX(-5,$H120-M120),Volsmile,2),0)),$CG120,$CH120,($A120-DateToday)+15,1,1))*(8*$HE120),8*$HE120),0)),0))</f>
        <v> </v>
      </c>
      <c r="AF120" s="318" t="str">
        <f aca="false">IF($A120="N/A"," ",IF(VLOOKUP(MONTH(A120),ManualTable,7)=1,(IF(W120&lt;&gt;0,(8*$HE120),0)),0))</f>
        <v> </v>
      </c>
      <c r="AG120" s="318" t="str">
        <f aca="false">IF($A120="N/A"," ",IF(VLOOKUP(MONTH(A120),ManualTable,8)=1,(IF(X120&lt;&gt;0,IF(Pricetype=1,(xSPRDOPT(O120,$E120,$CI120,0,($CD120+IF(Smile=TRUE(),VLOOKUP(MAX(-5,$H120-O120),Volsmile,2),0)),$CG120,$CH120,($A120-DateToday)+15,1,1))*(8*$HF120),8*$HF120),0)),0))</f>
        <v> </v>
      </c>
      <c r="AH120" s="318" t="str">
        <f aca="false">IF($A120="N/A"," ",IF(VLOOKUP(MONTH(A120),ManualTable,9)=1,(IF(Y120&lt;&gt;0,IF(Pricetype=1,(xSPRDOPT(P120,$E120,$CI120,0,($CD120+IF(Smile=TRUE(),VLOOKUP(MAX(-5,$H120-P120),Volsmile,2),0)),$CG120,$CH120,($A120-DateToday)+15,1,1))*(8*$HF120),8*$HF120),0)),0))</f>
        <v> </v>
      </c>
      <c r="AI120" s="318" t="str">
        <f aca="false">IF($A120="N/A"," ",IF(VLOOKUP(MONTH(A120),ManualTable,10)=1,(IF(Z120&lt;&gt;0,(8*($HF120)),0)),0))</f>
        <v> </v>
      </c>
      <c r="AJ120" s="344" t="str">
        <f aca="false">IF($A120="N/A"," ",RANK(R120,$R$112:$Z$123))</f>
        <v> </v>
      </c>
      <c r="AK120" s="321" t="str">
        <f aca="false">IF($A120="N/A"," ",RANK(S120,$R$112:$Z$123))</f>
        <v> </v>
      </c>
      <c r="AL120" s="321" t="str">
        <f aca="false">IF($A120="N/A"," ",RANK(T120,$R$112:$Z$123))</f>
        <v> </v>
      </c>
      <c r="AM120" s="321" t="str">
        <f aca="false">IF($A120="N/A"," ",RANK(U120,$R$112:$Z$123))</f>
        <v> </v>
      </c>
      <c r="AN120" s="321" t="str">
        <f aca="false">IF($A120="N/A"," ",RANK(V120,$R$112:$Z$123))</f>
        <v> </v>
      </c>
      <c r="AO120" s="321" t="str">
        <f aca="false">IF($A120="N/A"," ",RANK(W120,$R$112:$Z$123))</f>
        <v> </v>
      </c>
      <c r="AP120" s="321" t="str">
        <f aca="false">IF($A120="N/A"," ",RANK(X120,$R$112:$Z$123))</f>
        <v> </v>
      </c>
      <c r="AQ120" s="321" t="str">
        <f aca="false">IF($A120="N/A"," ",RANK(Y120,$R$112:$Z$123))</f>
        <v> </v>
      </c>
      <c r="AR120" s="345" t="str">
        <f aca="false">IF($A120="N/A"," ",RANK(Z120,$R$112:$Z$123))</f>
        <v> </v>
      </c>
      <c r="AS120" s="323" t="str">
        <f aca="false">IF($A120="N/A"," ",IF(AJ120&lt;=$AR$2,AA120,0))</f>
        <v> </v>
      </c>
      <c r="AT120" s="325" t="str">
        <f aca="false">IF($A120="N/A"," ",IF(AK120&lt;=$AR$2,AB120,0))</f>
        <v> </v>
      </c>
      <c r="AU120" s="325" t="str">
        <f aca="false">IF($A120="N/A"," ",IF(AL120&lt;=$AR$2,AC120,0))</f>
        <v> </v>
      </c>
      <c r="AV120" s="325" t="str">
        <f aca="false">IF($A120="N/A"," ",IF(AM120&lt;=$AR$2,AD120,0))</f>
        <v> </v>
      </c>
      <c r="AW120" s="325" t="str">
        <f aca="false">IF($A120="N/A"," ",IF(AN120&lt;=$AR$2,AE120,0))</f>
        <v> </v>
      </c>
      <c r="AX120" s="325" t="str">
        <f aca="false">IF($A120="N/A"," ",IF(AO120&lt;=$AR$2,AF120,0))</f>
        <v> </v>
      </c>
      <c r="AY120" s="325" t="str">
        <f aca="false">IF($A120="N/A"," ",IF(AP120&lt;=$AR$2,AG120,0))</f>
        <v> </v>
      </c>
      <c r="AZ120" s="325" t="str">
        <f aca="false">IF($A120="N/A"," ",IF(AQ120&lt;=$AR$2,AH120,0))</f>
        <v> </v>
      </c>
      <c r="BA120" s="325" t="str">
        <f aca="false">IF($A120="N/A"," ",IF(AR120&lt;=$AR$2,AI120,0))</f>
        <v> </v>
      </c>
      <c r="BB120" s="345"/>
      <c r="BC120" s="326" t="str">
        <f aca="false">IF($A120="N/A"," ",IF(AND(AJ120=$AR$2+1,AS120=0),MIN($BB$123,AA120),0))</f>
        <v> </v>
      </c>
      <c r="BD120" s="346" t="str">
        <f aca="false">IF($A120="N/A"," ",IF(AND(AK120=$AR$2+1,AT120=0),MIN($BB$123,AB120),0))</f>
        <v> </v>
      </c>
      <c r="BE120" s="346" t="str">
        <f aca="false">IF($A120="N/A"," ",IF(AND(AL120=$AR$2+1,AU120=0),MIN($BB$123,AC120),0))</f>
        <v> </v>
      </c>
      <c r="BF120" s="346" t="str">
        <f aca="false">IF($A120="N/A"," ",IF(AND(AM120=$AR$2+1,AV120=0),MIN($BB$123,AD120),0))</f>
        <v> </v>
      </c>
      <c r="BG120" s="346" t="str">
        <f aca="false">IF($A120="N/A"," ",IF(AND(AN120=$AR$2+1,AW120=0),MIN($BB$123,AE120),0))</f>
        <v> </v>
      </c>
      <c r="BH120" s="346" t="str">
        <f aca="false">IF($A120="N/A"," ",IF(AND(AO120=$AR$2+1,AX120=0),MIN($BB$123,AF120),0))</f>
        <v> </v>
      </c>
      <c r="BI120" s="346" t="str">
        <f aca="false">IF($A120="N/A"," ",IF(AND(AP120=$AR$2+1,AY120=0),MIN($BB$123,AG120),0))</f>
        <v> </v>
      </c>
      <c r="BJ120" s="346" t="str">
        <f aca="false">IF($A120="N/A"," ",IF(AND(AQ120=$AR$2+1,AZ120=0),MIN($BB$123,AH120),0))</f>
        <v> </v>
      </c>
      <c r="BK120" s="346" t="str">
        <f aca="false">IF($A120="N/A"," ",IF(AND(AR120=$AR$2+1,BA120=0),MIN($BB$123,AI120),0))</f>
        <v> </v>
      </c>
      <c r="BL120" s="345"/>
      <c r="BM120" s="329" t="str">
        <f aca="false">IF($A120="N/A"," ",(IF(MONTH(A120)&gt;=4,IF(MONTH(A120)&lt;=10,Inputs!$F$13-Inputs!$G$13,Inputs!$F$14-Inputs!$G$14),Inputs!$F$14-Inputs!$G$14))*$CK120*Availability)</f>
        <v> </v>
      </c>
      <c r="BN120" s="330" t="str">
        <f aca="false">IF($A120="N/A"," ",(IF(AS120&gt;0,($BM120*(8*($HD120))*R120),0)+IF(BC120&gt;0,($BM120*((BC120/AA120)*8*$HD120)*R120),0)))</f>
        <v> </v>
      </c>
      <c r="BO120" s="330" t="str">
        <f aca="false">IF($A120="N/A"," ",(IF(AT120&gt;0,($BM120*(8*($HD120))*S120),0)+IF(BD120&gt;0,($BM120*((BD120/AB120)*8*$HD120)*S120),0)))</f>
        <v> </v>
      </c>
      <c r="BP120" s="330" t="str">
        <f aca="false">IF($A120="N/A"," ",(IF(AU120&gt;0,($BM120*(8*($HD120))*T120),0)+IF(BE120&gt;0,($BM120*((BE120))*T120),0)))</f>
        <v> </v>
      </c>
      <c r="BQ120" s="330" t="str">
        <f aca="false">IF($A120="N/A"," ",(IF(AV120&gt;0,($BM120*(8*($HE120))*U120),0)+IF(BF120&gt;0,($BM120*((BF120/AD120)*8*$HE120)*U120),0)))</f>
        <v> </v>
      </c>
      <c r="BR120" s="330" t="str">
        <f aca="false">IF($A120="N/A"," ",(IF(AW120&gt;0,($BM120*(8*($HE120))*V120),0)+IF(BG120&gt;0,($BM120*((BG120/AE120)*8*$HE120)*V120),0)))</f>
        <v> </v>
      </c>
      <c r="BS120" s="330" t="str">
        <f aca="false">IF($A120="N/A"," ",(IF(AX120&gt;0,($BM120*(8*($HE120))*W120),0)+IF(BH120&gt;0,($BM120*((BH120))*W120),0)))</f>
        <v> </v>
      </c>
      <c r="BT120" s="330" t="str">
        <f aca="false">IF($A120="N/A"," ",(IF(AY120&gt;0,($BM120*(8*($HF120))*X120),0)+IF(BI120&gt;0,($BM120*((BI120/AG120)*8*$HF120)*X120),0)))</f>
        <v> </v>
      </c>
      <c r="BU120" s="330" t="str">
        <f aca="false">IF($A120="N/A"," ",(IF(AZ120&gt;0,($BM120*(8*($HF120))*Y120),0)+IF(BJ120&gt;0,($BM120*((BJ120/AH120)*8*$HF120)*Y120),0)))</f>
        <v> </v>
      </c>
      <c r="BV120" s="330" t="str">
        <f aca="false">IF($A120="N/A"," ",(IF(BA120&gt;0,($BM120*(8*($HF120))*Z120),0)+IF(BK120&gt;0,($BM120*((BK120))*Z120),0)))</f>
        <v> </v>
      </c>
      <c r="BW120" s="330" t="str">
        <f aca="false">IF($A120="N/A"," ",SUM(BN120:BV120))</f>
        <v> </v>
      </c>
      <c r="BX120" s="331" t="str">
        <f aca="false">IF($A120="N/A"," ",(H120*(SUM(AS120:BA120)+SUM(BC120:BK120))*BM120))</f>
        <v> </v>
      </c>
      <c r="BY120" s="332" t="str">
        <f aca="false">IF($A120="N/A"," ",((C120*D120)*(SUM($AS120:$BA120)+SUM($BC120:$BK120))*$BM120))</f>
        <v> </v>
      </c>
      <c r="BZ120" s="332" t="str">
        <f aca="false">IF($A120="N/A"," ",(F120*(SUM($AS120:$BA120)+SUM($BC120:$BK120))*$BM120))</f>
        <v> </v>
      </c>
      <c r="CA120" s="333" t="str">
        <f aca="false">IF($A120="N/A"," ",(G120*(SUM($AS120:$BA120)+SUM($BC120:$BK120))*$BM120))</f>
        <v> </v>
      </c>
      <c r="CB120" s="334" t="str">
        <f aca="false">IF(A120="N/A"," ",(VLOOKUP(A120,PowerVolTable,(IF(BMO=2,7,IF(BMO=1,6,8))),FALSE())))</f>
        <v> </v>
      </c>
      <c r="CC120" s="334" t="str">
        <f aca="false">IF(A120="N/A"," ",(VLOOKUP(A120,IntraPowerVol,(IF(BMO=2,3,IF(BMO=1,2,4))),FALSE())*VLOOKUP(MONTH($A120),Volscale,2)))</f>
        <v> </v>
      </c>
      <c r="CD120" s="335" t="str">
        <f aca="false">IF($A120="N/A"," ",(IF(DateToday&gt;$A120,$CC120,((($CB120^2)*((($A120-1)-DateToday)/((EOMONTH($A120,0)+1)-DateToday-15)))+((($CC120)^2)*((15)/((EOMONTH($A120,0)+1)-DateToday-15))))^0.5)))</f>
        <v> </v>
      </c>
      <c r="CE120" s="334" t="str">
        <f aca="false">IF($A120="N/A"," ",(VLOOKUP($A120,GasVolTable,(IF(BMO=2,6,IF(BMO=1,7,5))),FALSE())))</f>
        <v> </v>
      </c>
      <c r="CF120" s="334" t="str">
        <f aca="false">IF($A120="N/A"," ",(VLOOKUP($A120,OmicronVol,(IF(BMO=2,3,IF(BMO=1,4,2))),FALSE())))</f>
        <v> </v>
      </c>
      <c r="CG120" s="335" t="str">
        <f aca="false">IF($A120="N/A"," ",(IF(DateToday&gt;$A120,$CF120,((($CE120^2)*((($A120-1)-DateToday)/((EOMONTH($A120,0)+1)-DateToday-15)))+((($CF120)^2)*((15)/((EOMONTH($A120,0)+1)-DateToday-15))))^0.5)))</f>
        <v> </v>
      </c>
      <c r="CH120" s="334" t="str">
        <f aca="false">IF($A120="N/A"," ",VLOOKUP($A120,CorrelationTable,2,FALSE()))</f>
        <v> </v>
      </c>
      <c r="CI120" s="336" t="str">
        <f aca="false">IF($A120="N/A"," ",F120+G120+(D120*('Pricing Inputs'!T153)))</f>
        <v> </v>
      </c>
      <c r="CJ120" s="334" t="str">
        <f aca="false">IF($A120="N/A"," ",IF(PV=1,0,'Pricing Inputs'!U153))</f>
        <v> </v>
      </c>
      <c r="CK120" s="337" t="str">
        <f aca="false">IF($A120="N/A"," ",(1+CJ120/2)^(-2*((EOMONTH(A120,0)+20)-DateToday)/365.25))</f>
        <v> </v>
      </c>
      <c r="CL120" s="338" t="str">
        <f aca="false">IF(A120="N/A"," ",IF(CC=2,(VLOOKUP(MONTH($A120),Hrtable,3))/1000,0))</f>
        <v> </v>
      </c>
      <c r="CM120" s="339" t="str">
        <f aca="false">IF(A120="N/A"," ",IF(CC=2,(CL120*C120)+F120,0))</f>
        <v> </v>
      </c>
      <c r="CN120" s="340" t="str">
        <f aca="false">IF($A120="N/A"," ",IF(CC=2,(VLOOKUP(A120,ScaledPrice,(IF(AND(Dayrun&gt;=1,Dayrun&lt;=6),2,4)))-((IF(R120&lt;&gt;0,$D120,$CL120)*$C120)+$F120+$G120)),0))</f>
        <v> </v>
      </c>
      <c r="CO120" s="340" t="str">
        <f aca="false">IF($A120="N/A"," ",IF(CC=2,(IF(AND(Dayrun&gt;=1,Dayrun&lt;=6),I120,(VLOOKUP(A120,ScaledPrice,2))*(2-(VLOOKUP(A120,ScaledPrice,3))))-((IF(S120&lt;&gt;0,$D120,$CL120)*$C120)+$F120+$G120)),0))</f>
        <v> </v>
      </c>
      <c r="CP120" s="340" t="str">
        <f aca="false">IF(A120="N/A"," ",IF(CC=2,(VLOOKUP(A120,ScaledPrice,9)-((IF(T120&lt;&gt;0,$D120,$CL120)*$C120)+$F120+$G120)),0))</f>
        <v> </v>
      </c>
      <c r="CQ120" s="340" t="str">
        <f aca="false">IF(A120="N/A"," ",IF(CC=2,(IF(OR(Dayrun=2,Dayrun=3,Dayrun=5,Dayrun=6,Dayrun=8,Dayrun=9),VLOOKUP(A120,ScaledPrice,IF(AND(Dayrun&gt;=2,Dayrun&lt;=6),5,6)),0)-((IF(U120&lt;&gt;0,$D120,$CL120)*$C120)+$F120+$G120)),0))</f>
        <v> </v>
      </c>
      <c r="CR120" s="340" t="str">
        <f aca="false">IF(A120="N/A"," ",IF(CC=2,(IF(OR(Dayrun=2,Dayrun=3,Dayrun=5,Dayrun=6,Dayrun=8,Dayrun=9),IF(AND(Dayrun&gt;=2,Dayrun&lt;=6),L120,(VLOOKUP(A120,ScaledPrice,5))*(2-(VLOOKUP(A120,ScaledPrice,3)))),0)-((IF(V120&lt;&gt;0,$D120,$CL120)*$C120)+$F120+$G120)),0))</f>
        <v> </v>
      </c>
      <c r="CS120" s="340" t="str">
        <f aca="false">IF(A120="N/A"," ",IF(CC=2,(VLOOKUP(A120,ScaledPrice,9)-((IF(W120&lt;&gt;0,$D120,$CL120)*$C120)+$F120+$G120)),0))</f>
        <v> </v>
      </c>
      <c r="CT120" s="340" t="str">
        <f aca="false">IF(A120="N/A"," ",IF(CC=2,(IF(OR(Dayrun=3,Dayrun=6,Dayrun=9),(VLOOKUP(A120,ScaledPrice,IF(AND(Dayrun&gt;=3,Dayrun&lt;=6),7,8))),0)-((IF(X120&lt;&gt;0,$D120,$CL120)*$C120)+$F120+$G120)),0))</f>
        <v> </v>
      </c>
      <c r="CU120" s="340" t="str">
        <f aca="false">IF(A120="N/A"," ",IF(CC=2,(IF(OR(Dayrun=3,Dayrun=6,Dayrun=9),IF(AND(Dayrun&gt;=3,Dayrun&lt;=6),O120,(VLOOKUP(A120,ScaledPrice,7))*(2-(VLOOKUP(A120,ScaledPrice,3)))),0)-((IF(Y120&lt;&gt;0,$D120,$CL120)*$C120)+$F120+$G120)),0))</f>
        <v> </v>
      </c>
      <c r="CV120" s="340" t="str">
        <f aca="false">IF(A120="N/A"," ",IF(CC=2,(VLOOKUP(A120,ScaledPrice,9)-((IF(Z120&lt;&gt;0,$D120,$CL120)*$C120)+$F120+$G120)),0))</f>
        <v> </v>
      </c>
      <c r="CW120" s="318" t="str">
        <f aca="false">IF($A120="N/A"," ",IF(0&lt;&gt;CN120,IF(CC=2,8*$HD120,0),0))</f>
        <v> </v>
      </c>
      <c r="CX120" s="318" t="str">
        <f aca="false">IF($A120="N/A"," ",IF(0&lt;&gt;CO120,IF(CC=2,8*$HD120,0),0))</f>
        <v> </v>
      </c>
      <c r="CY120" s="318" t="str">
        <f aca="false">IF($A120="N/A"," ",IF(0&lt;&gt;CP120,IF(CC=2,8*$HD120,0),0))</f>
        <v> </v>
      </c>
      <c r="CZ120" s="318" t="str">
        <f aca="false">IF($A120="N/A"," ",IF(0&lt;&gt;CQ120,IF(CC=2,8*$HE120,0),0))</f>
        <v> </v>
      </c>
      <c r="DA120" s="318" t="str">
        <f aca="false">IF($A120="N/A"," ",IF(0&lt;&gt;CR120,IF(CC=2,8*$HE120,0),0))</f>
        <v> </v>
      </c>
      <c r="DB120" s="318" t="str">
        <f aca="false">IF($A120="N/A"," ",IF(0&lt;&gt;CS120,IF(CC=2,8*$HE120,0),0))</f>
        <v> </v>
      </c>
      <c r="DC120" s="318" t="str">
        <f aca="false">IF($A120="N/A"," ",IF(0&lt;&gt;CT120,IF(CC=2,8*$HF120,0),0))</f>
        <v> </v>
      </c>
      <c r="DD120" s="318" t="str">
        <f aca="false">IF($A120="N/A"," ",IF(0&lt;&gt;CU120,IF(CC=2,8*$HF120,0),0))</f>
        <v> </v>
      </c>
      <c r="DE120" s="318" t="str">
        <f aca="false">IF($A120="N/A"," ",IF(0&lt;&gt;CV120,IF(CC=2,8*$HF120,0),0))</f>
        <v> </v>
      </c>
      <c r="DF120" s="341" t="str">
        <f aca="false">IF($A120="N/A"," ",IF(CC=2,(IF(MONTH(A120)&gt;=4,IF(MONTH(A120)&lt;=10,Inputs!$G$13,Inputs!$G$14),Inputs!$G$14))*$CK120,0))</f>
        <v> </v>
      </c>
      <c r="DG120" s="342" t="str">
        <f aca="false">IF($A120="N/A"," ",IF(CC=2,$DF120*CW120*CN120,0))</f>
        <v> </v>
      </c>
      <c r="DH120" s="342" t="str">
        <f aca="false">IF($A120="N/A"," ",IF(CC=2,$DF120*CX120*CO120,0))</f>
        <v> </v>
      </c>
      <c r="DI120" s="342" t="str">
        <f aca="false">IF($A120="N/A"," ",IF(CC=2,$DF120*CY120*CP120,0))</f>
        <v> </v>
      </c>
      <c r="DJ120" s="342" t="str">
        <f aca="false">IF($A120="N/A"," ",IF(CC=2,$DF120*CZ120*CQ120,0))</f>
        <v> </v>
      </c>
      <c r="DK120" s="342" t="str">
        <f aca="false">IF($A120="N/A"," ",IF(CC=2,$DF120*DA120*CR120,0))</f>
        <v> </v>
      </c>
      <c r="DL120" s="342" t="str">
        <f aca="false">IF($A120="N/A"," ",IF(CC=2,$DF120*DB120*CS120,0))</f>
        <v> </v>
      </c>
      <c r="DM120" s="342" t="str">
        <f aca="false">IF($A120="N/A"," ",IF(CC=2,$DF120*DC120*CT120,0))</f>
        <v> </v>
      </c>
      <c r="DN120" s="342" t="str">
        <f aca="false">IF($A120="N/A"," ",IF(CC=2,$DF120*DD120*CU120,0))</f>
        <v> </v>
      </c>
      <c r="DO120" s="342" t="str">
        <f aca="false">IF($A120="N/A"," ",IF(CC=2,$DF120*DE120*CV120,0))</f>
        <v> </v>
      </c>
      <c r="DP120" s="343" t="str">
        <f aca="false">IF($A120="N/A"," ",IF(CC=2,SUM(DG120:DO120),0))</f>
        <v> </v>
      </c>
      <c r="DQ120" s="0" t="str">
        <f aca="false">IF(A120="N/A"," ",Perstart)</f>
        <v> </v>
      </c>
      <c r="HD120" s="0" t="str">
        <f aca="false">IF($A120="N/A"," ",VLOOKUP($A120,NumberofDaysTable,2))</f>
        <v> </v>
      </c>
      <c r="HE120" s="0" t="str">
        <f aca="false">IF($A120="N/A"," ",VLOOKUP($A120,NumberofDaysTable,3))</f>
        <v> </v>
      </c>
      <c r="HF120" s="0" t="str">
        <f aca="false">IF($A120="N/A"," ",VLOOKUP($A120,NumberofDaysTable,4))</f>
        <v> </v>
      </c>
    </row>
    <row r="121" customFormat="false" ht="12.75" hidden="false" customHeight="false" outlineLevel="0" collapsed="false">
      <c r="A121" s="308" t="str">
        <f aca="false">IF(A120="N/A","N/A",IF(EDATE(A120,1)&gt;Inputs!$K$3,"N/A",EDATE(A120,1)))</f>
        <v>N/A</v>
      </c>
      <c r="B121" s="309" t="str">
        <f aca="false">IF(A121="N/A"," ",YEAR(A121))</f>
        <v> </v>
      </c>
      <c r="C121" s="310" t="str">
        <f aca="false">IF(A121="N/A"," ",VLOOKUP(A121,ScaledPrice,10))</f>
        <v> </v>
      </c>
      <c r="D121" s="311" t="str">
        <f aca="false">IF(A121="N/A"," ",(VLOOKUP(MONTH($A121),Hrtable,2))/1000)</f>
        <v> </v>
      </c>
      <c r="E121" s="312" t="str">
        <f aca="false">IF($A121="N/A"," ",(C121-'Pricing Inputs'!T154)*D121)</f>
        <v> </v>
      </c>
      <c r="F121" s="313" t="str">
        <f aca="false">IF(A121="N/A"," ",$F109*(1+VOMesc))</f>
        <v> </v>
      </c>
      <c r="G121" s="313" t="str">
        <f aca="false">IF(A121="N/A"," ",Perstart/IF(AND(Dayrun&gt;=4,Dayrun&lt;=6),16,IF(AND(Dayrun&gt;=7,Dayrun&lt;=9),8,24))/(BM121/CK121))</f>
        <v> </v>
      </c>
      <c r="H121" s="314" t="str">
        <f aca="false">IF(A121="N/A"," ",(C121*D121)+F121+G121)</f>
        <v> </v>
      </c>
      <c r="I121" s="315" t="str">
        <f aca="false">VLOOKUP(A121,ScaledPrice,(IF(AND(Dayrun&gt;=1,Dayrun&lt;=6),2,4)))</f>
        <v> </v>
      </c>
      <c r="J121" s="315" t="str">
        <f aca="false">IF(A121="N/A"," ",IF(AND(Dayrun&gt;=1,Dayrun&lt;=6),I121,(VLOOKUP(A121,ScaledPrice,2))*(2-(VLOOKUP(A121,ScaledPrice,3)))))</f>
        <v> </v>
      </c>
      <c r="K121" s="315" t="str">
        <f aca="false">IF(A121="N/A"," ",IF(AND(Dayrun&gt;=1,Dayrun&lt;=3),VLOOKUP(A121,ScaledPrice,9),0))</f>
        <v> </v>
      </c>
      <c r="L121" s="315" t="str">
        <f aca="false">IF(A121="N/A"," ",IF(OR(Dayrun=2,Dayrun=3,Dayrun=5,Dayrun=6,Dayrun=8,Dayrun=9),VLOOKUP(A121,ScaledPrice,IF(AND(Dayrun&gt;=2,Dayrun&lt;=6),5,6)),0))</f>
        <v> </v>
      </c>
      <c r="M121" s="315" t="str">
        <f aca="false">IF(A121="N/A"," ",IF(OR(Dayrun=2,Dayrun=3,Dayrun=5,Dayrun=6,Dayrun=8,Dayrun=9),IF(AND(Dayrun&gt;=2,Dayrun&lt;=6),L121,(VLOOKUP(A121,ScaledPrice,5))*(2-(VLOOKUP(A121,ScaledPrice,3)))),0))</f>
        <v> </v>
      </c>
      <c r="N121" s="315" t="str">
        <f aca="false">IF(A121="N/A"," ",IF(AND(Dayrun&gt;1,Dayrun&lt;=3),VLOOKUP(A121,ScaledPrice,9),0))</f>
        <v> </v>
      </c>
      <c r="O121" s="315" t="str">
        <f aca="false">IF(A121="N/A"," ",IF(OR(Dayrun=3,Dayrun=6,Dayrun=9),(VLOOKUP(A121,ScaledPrice,IF(AND(Dayrun&gt;=3,Dayrun&lt;=6),7,8))),0))</f>
        <v> </v>
      </c>
      <c r="P121" s="315" t="str">
        <f aca="false">IF(A121="N/A"," ",IF(OR(Dayrun=3,Dayrun=6,Dayrun=9),IF(AND(Dayrun&gt;=3,Dayrun&lt;=6),O121,(VLOOKUP(A121,ScaledPrice,7))*(2-(VLOOKUP(A121,ScaledPrice,3)))),0))</f>
        <v> </v>
      </c>
      <c r="Q121" s="315" t="str">
        <f aca="false">IF(A121="N/A"," ",IF(AND(Dayrun&gt;2,Dayrun&lt;=3),VLOOKUP(A121,ScaledPrice,9),0))</f>
        <v> </v>
      </c>
      <c r="R121" s="316" t="str">
        <f aca="false">IF($A121="N/A"," ",IF(Pricetype=2,MAX(I121-$H121,0),IF(Pricetype=1,(xSPRDOPT(I121,$E121,$CI121,0,($CD121+IF(Smile=TRUE(),VLOOKUP(MAX(-5,$H121-I121),Volsmile,2),0)),$CG121,$CH121,($A121-DateToday)+15,1,0)),I121-$H121)))</f>
        <v> </v>
      </c>
      <c r="S121" s="316" t="str">
        <f aca="false">IF($A121="N/A"," ",IF(Pricetype=2,MAX(J121-$H121,0),IF(Pricetype=1,(xSPRDOPT(J121,$E121,$CI121,0,($CD121+IF(Smile=TRUE(),VLOOKUP(MAX(-5,$H121-J121),Volsmile,2),0)),$CG121,$CH121,($A121-DateToday)+15,1,0)),J121-$H121)))</f>
        <v> </v>
      </c>
      <c r="T121" s="317" t="str">
        <f aca="false">IF($A121="N/A"," ",(IF(Pricetype=2,IF((K121-$H121)&lt;=0,0,(K121-$H121)),IF(K121&lt;&gt;0,(K121-$H121),0))))</f>
        <v> </v>
      </c>
      <c r="U121" s="316" t="str">
        <f aca="false">IF($A121="N/A"," ",IF(Pricetype=2,MAX(L121-$H121,0),IF(L121&lt;&gt;0,IF(Pricetype=1,(xSPRDOPT(L121,$E121,$CI121,0,($CD121+IF(Smile=TRUE(),VLOOKUP(MAX(-5,$H121-L121),Volsmile,2),0)),$CG121,$CH121,($A121-DateToday)+15,1,0)),L121-$H121),0)))</f>
        <v> </v>
      </c>
      <c r="V121" s="316" t="str">
        <f aca="false">IF($A121="N/A"," ",IF(Pricetype=2,MAX(M121-$H121,0),IF(M121&lt;&gt;0,IF(Pricetype=1,(xSPRDOPT(M121,$E121,$CI121,0,($CD121+IF(Smile=TRUE(),VLOOKUP(MAX(-5,$H121-M121),Volsmile,2),0)),$CG121,$CH121,($A121-DateToday)+15,1,0)),M121-$H121),0)))</f>
        <v> </v>
      </c>
      <c r="W121" s="317" t="str">
        <f aca="false">IF($A121="N/A"," ",(IF(Pricetype=2,IF((N121-$H121)&lt;=0,0,(N121-$H121)),IF(N121&lt;&gt;0,(N121-$H121),0))))</f>
        <v> </v>
      </c>
      <c r="X121" s="316" t="str">
        <f aca="false">IF($A121="N/A"," ",IF(Pricetype=2,MAX(O121-$H121,0),IF(O121&lt;&gt;0,IF(Pricetype=1,(xSPRDOPT(O121,$E121,$CI121,0,($CD121+IF(Smile=TRUE(),VLOOKUP(MAX(-5,$H121-O121),Volsmile,2),0)),$CG121,$CH121,($A121-DateToday)+15,1,0)),O121-$H121),0)))</f>
        <v> </v>
      </c>
      <c r="Y121" s="316" t="str">
        <f aca="false">IF($A121="N/A"," ",IF(Pricetype=2,MAX(P121-$H121,0),IF(P121&lt;&gt;0,IF(Pricetype=1,(xSPRDOPT(P121,$E121,$CI121,0,($CD121+IF(Smile=TRUE(),VLOOKUP(MAX(-5,$H121-P121),Volsmile,2),0)),$CG121,$CH121,($A121-DateToday)+15,1,0)),P121-$H121),0)))</f>
        <v> </v>
      </c>
      <c r="Z121" s="317" t="str">
        <f aca="false">IF($A121="N/A"," ",(IF(Pricetype=2,IF((Q121-$H121)&lt;=0,0,(Q121-$H121)),IF(Q121&lt;&gt;0,(Q121-$H121),0))))</f>
        <v> </v>
      </c>
      <c r="AA121" s="318" t="str">
        <f aca="false">IF($A121="N/A"," ",IF(VLOOKUP(MONTH(A121),ManualTable,2)=1,(IF(0&lt;&gt;R121,IF(Pricetype=1,(xSPRDOPT(I121,$E121,$CI121,0,($CD121+IF(Smile=TRUE(),VLOOKUP(MAX(-5,$H121-I121),Volsmile,2),0)),$CG121,$CH121,($A121-DateToday)+15,1,1))*(8*$HD121),8*$HD121),0)),0))</f>
        <v> </v>
      </c>
      <c r="AB121" s="318" t="str">
        <f aca="false">IF($A121="N/A"," ",IF(VLOOKUP(MONTH(A121),ManualTable,3)=1,(IF(S121&lt;&gt;0,IF(Pricetype=1,(xSPRDOPT(J121,$E121,$CI121,0,($CD121+IF(Smile=TRUE(),VLOOKUP(MAX(-5,$H121-J121),Volsmile,2),0)),$CG121,$CH121,($A121-DateToday)+15,1,1))*(8*$HD121),8*$HD121),0)),0))</f>
        <v> </v>
      </c>
      <c r="AC121" s="318" t="str">
        <f aca="false">IF($A121="N/A"," ",IF(VLOOKUP(MONTH(A121),ManualTable,4)=1,(IF(T121&lt;&gt;0,(8*$HD121),0)),0))</f>
        <v> </v>
      </c>
      <c r="AD121" s="318" t="str">
        <f aca="false">IF($A121="N/A"," ",IF(VLOOKUP(MONTH(A121),ManualTable,5)=1,(IF(U121&lt;&gt;0,IF(Pricetype=1,(xSPRDOPT(L121,$E121,$CI121,0,($CD121+IF(Smile=TRUE(),VLOOKUP(MAX(-5,$H121-L121),Volsmile,2),0)),$CG121,$CH121,($A121-DateToday)+15,1,1))*(8*$HE121),8*$HE121),0)),0))</f>
        <v> </v>
      </c>
      <c r="AE121" s="318" t="str">
        <f aca="false">IF($A121="N/A"," ",IF(VLOOKUP(MONTH(A121),ManualTable,6)=1,(IF(V121&lt;&gt;0,IF(Pricetype=1,(xSPRDOPT(M121,$E121,$CI121,0,($CD121+IF(Smile=TRUE(),VLOOKUP(MAX(-5,$H121-M121),Volsmile,2),0)),$CG121,$CH121,($A121-DateToday)+15,1,1))*(8*$HE121),8*$HE121),0)),0))</f>
        <v> </v>
      </c>
      <c r="AF121" s="318" t="str">
        <f aca="false">IF($A121="N/A"," ",IF(VLOOKUP(MONTH(A121),ManualTable,7)=1,(IF(W121&lt;&gt;0,(8*$HE121),0)),0))</f>
        <v> </v>
      </c>
      <c r="AG121" s="318" t="str">
        <f aca="false">IF($A121="N/A"," ",IF(VLOOKUP(MONTH(A121),ManualTable,8)=1,(IF(X121&lt;&gt;0,IF(Pricetype=1,(xSPRDOPT(O121,$E121,$CI121,0,($CD121+IF(Smile=TRUE(),VLOOKUP(MAX(-5,$H121-O121),Volsmile,2),0)),$CG121,$CH121,($A121-DateToday)+15,1,1))*(8*$HF121),8*$HF121),0)),0))</f>
        <v> </v>
      </c>
      <c r="AH121" s="318" t="str">
        <f aca="false">IF($A121="N/A"," ",IF(VLOOKUP(MONTH(A121),ManualTable,9)=1,(IF(Y121&lt;&gt;0,IF(Pricetype=1,(xSPRDOPT(P121,$E121,$CI121,0,($CD121+IF(Smile=TRUE(),VLOOKUP(MAX(-5,$H121-P121),Volsmile,2),0)),$CG121,$CH121,($A121-DateToday)+15,1,1))*(8*$HF121),8*$HF121),0)),0))</f>
        <v> </v>
      </c>
      <c r="AI121" s="318" t="str">
        <f aca="false">IF($A121="N/A"," ",IF(VLOOKUP(MONTH(A121),ManualTable,10)=1,(IF(Z121&lt;&gt;0,(8*($HF121)),0)),0))</f>
        <v> </v>
      </c>
      <c r="AJ121" s="344" t="str">
        <f aca="false">IF($A121="N/A"," ",RANK(R121,$R$112:$Z$123))</f>
        <v> </v>
      </c>
      <c r="AK121" s="321" t="str">
        <f aca="false">IF($A121="N/A"," ",RANK(S121,$R$112:$Z$123))</f>
        <v> </v>
      </c>
      <c r="AL121" s="321" t="str">
        <f aca="false">IF($A121="N/A"," ",RANK(T121,$R$112:$Z$123))</f>
        <v> </v>
      </c>
      <c r="AM121" s="321" t="str">
        <f aca="false">IF($A121="N/A"," ",RANK(U121,$R$112:$Z$123))</f>
        <v> </v>
      </c>
      <c r="AN121" s="321" t="str">
        <f aca="false">IF($A121="N/A"," ",RANK(V121,$R$112:$Z$123))</f>
        <v> </v>
      </c>
      <c r="AO121" s="321" t="str">
        <f aca="false">IF($A121="N/A"," ",RANK(W121,$R$112:$Z$123))</f>
        <v> </v>
      </c>
      <c r="AP121" s="321" t="str">
        <f aca="false">IF($A121="N/A"," ",RANK(X121,$R$112:$Z$123))</f>
        <v> </v>
      </c>
      <c r="AQ121" s="321" t="str">
        <f aca="false">IF($A121="N/A"," ",RANK(Y121,$R$112:$Z$123))</f>
        <v> </v>
      </c>
      <c r="AR121" s="345" t="str">
        <f aca="false">IF($A121="N/A"," ",RANK(Z121,$R$112:$Z$123))</f>
        <v> </v>
      </c>
      <c r="AS121" s="323" t="str">
        <f aca="false">IF($A121="N/A"," ",IF(AJ121&lt;=$AR$2,AA121,0))</f>
        <v> </v>
      </c>
      <c r="AT121" s="325" t="str">
        <f aca="false">IF($A121="N/A"," ",IF(AK121&lt;=$AR$2,AB121,0))</f>
        <v> </v>
      </c>
      <c r="AU121" s="325" t="str">
        <f aca="false">IF($A121="N/A"," ",IF(AL121&lt;=$AR$2,AC121,0))</f>
        <v> </v>
      </c>
      <c r="AV121" s="325" t="str">
        <f aca="false">IF($A121="N/A"," ",IF(AM121&lt;=$AR$2,AD121,0))</f>
        <v> </v>
      </c>
      <c r="AW121" s="325" t="str">
        <f aca="false">IF($A121="N/A"," ",IF(AN121&lt;=$AR$2,AE121,0))</f>
        <v> </v>
      </c>
      <c r="AX121" s="325" t="str">
        <f aca="false">IF($A121="N/A"," ",IF(AO121&lt;=$AR$2,AF121,0))</f>
        <v> </v>
      </c>
      <c r="AY121" s="325" t="str">
        <f aca="false">IF($A121="N/A"," ",IF(AP121&lt;=$AR$2,AG121,0))</f>
        <v> </v>
      </c>
      <c r="AZ121" s="325" t="str">
        <f aca="false">IF($A121="N/A"," ",IF(AQ121&lt;=$AR$2,AH121,0))</f>
        <v> </v>
      </c>
      <c r="BA121" s="325" t="str">
        <f aca="false">IF($A121="N/A"," ",IF(AR121&lt;=$AR$2,AI121,0))</f>
        <v> </v>
      </c>
      <c r="BB121" s="348" t="s">
        <v>1319</v>
      </c>
      <c r="BC121" s="326" t="str">
        <f aca="false">IF($A121="N/A"," ",IF(AND(AJ121=$AR$2+1,AS121=0),MIN($BB$123,AA121),0))</f>
        <v> </v>
      </c>
      <c r="BD121" s="346" t="str">
        <f aca="false">IF($A121="N/A"," ",IF(AND(AK121=$AR$2+1,AT121=0),MIN($BB$123,AB121),0))</f>
        <v> </v>
      </c>
      <c r="BE121" s="346" t="str">
        <f aca="false">IF($A121="N/A"," ",IF(AND(AL121=$AR$2+1,AU121=0),MIN($BB$123,AC121),0))</f>
        <v> </v>
      </c>
      <c r="BF121" s="346" t="str">
        <f aca="false">IF($A121="N/A"," ",IF(AND(AM121=$AR$2+1,AV121=0),MIN($BB$123,AD121),0))</f>
        <v> </v>
      </c>
      <c r="BG121" s="346" t="str">
        <f aca="false">IF($A121="N/A"," ",IF(AND(AN121=$AR$2+1,AW121=0),MIN($BB$123,AE121),0))</f>
        <v> </v>
      </c>
      <c r="BH121" s="346" t="str">
        <f aca="false">IF($A121="N/A"," ",IF(AND(AO121=$AR$2+1,AX121=0),MIN($BB$123,AF121),0))</f>
        <v> </v>
      </c>
      <c r="BI121" s="346" t="str">
        <f aca="false">IF($A121="N/A"," ",IF(AND(AP121=$AR$2+1,AY121=0),MIN($BB$123,AG121),0))</f>
        <v> </v>
      </c>
      <c r="BJ121" s="346" t="str">
        <f aca="false">IF($A121="N/A"," ",IF(AND(AQ121=$AR$2+1,AZ121=0),MIN($BB$123,AH121),0))</f>
        <v> </v>
      </c>
      <c r="BK121" s="346" t="str">
        <f aca="false">IF($A121="N/A"," ",IF(AND(AR121=$AR$2+1,BA121=0),MIN($BB$123,AI121),0))</f>
        <v> </v>
      </c>
      <c r="BL121" s="347" t="s">
        <v>1359</v>
      </c>
      <c r="BM121" s="329" t="str">
        <f aca="false">IF($A121="N/A"," ",(IF(MONTH(A121)&gt;=4,IF(MONTH(A121)&lt;=10,Inputs!$F$13-Inputs!$G$13,Inputs!$F$14-Inputs!$G$14),Inputs!$F$14-Inputs!$G$14))*$CK121*Availability)</f>
        <v> </v>
      </c>
      <c r="BN121" s="330" t="str">
        <f aca="false">IF($A121="N/A"," ",(IF(AS121&gt;0,($BM121*(8*($HD121))*R121),0)+IF(BC121&gt;0,($BM121*((BC121/AA121)*8*$HD121)*R121),0)))</f>
        <v> </v>
      </c>
      <c r="BO121" s="330" t="str">
        <f aca="false">IF($A121="N/A"," ",(IF(AT121&gt;0,($BM121*(8*($HD121))*S121),0)+IF(BD121&gt;0,($BM121*((BD121/AB121)*8*$HD121)*S121),0)))</f>
        <v> </v>
      </c>
      <c r="BP121" s="330" t="str">
        <f aca="false">IF($A121="N/A"," ",(IF(AU121&gt;0,($BM121*(8*($HD121))*T121),0)+IF(BE121&gt;0,($BM121*((BE121))*T121),0)))</f>
        <v> </v>
      </c>
      <c r="BQ121" s="330" t="str">
        <f aca="false">IF($A121="N/A"," ",(IF(AV121&gt;0,($BM121*(8*($HE121))*U121),0)+IF(BF121&gt;0,($BM121*((BF121/AD121)*8*$HE121)*U121),0)))</f>
        <v> </v>
      </c>
      <c r="BR121" s="330" t="str">
        <f aca="false">IF($A121="N/A"," ",(IF(AW121&gt;0,($BM121*(8*($HE121))*V121),0)+IF(BG121&gt;0,($BM121*((BG121/AE121)*8*$HE121)*V121),0)))</f>
        <v> </v>
      </c>
      <c r="BS121" s="330" t="str">
        <f aca="false">IF($A121="N/A"," ",(IF(AX121&gt;0,($BM121*(8*($HE121))*W121),0)+IF(BH121&gt;0,($BM121*((BH121))*W121),0)))</f>
        <v> </v>
      </c>
      <c r="BT121" s="330" t="str">
        <f aca="false">IF($A121="N/A"," ",(IF(AY121&gt;0,($BM121*(8*($HF121))*X121),0)+IF(BI121&gt;0,($BM121*((BI121/AG121)*8*$HF121)*X121),0)))</f>
        <v> </v>
      </c>
      <c r="BU121" s="330" t="str">
        <f aca="false">IF($A121="N/A"," ",(IF(AZ121&gt;0,($BM121*(8*($HF121))*Y121),0)+IF(BJ121&gt;0,($BM121*((BJ121/AH121)*8*$HF121)*Y121),0)))</f>
        <v> </v>
      </c>
      <c r="BV121" s="330" t="str">
        <f aca="false">IF($A121="N/A"," ",(IF(BA121&gt;0,($BM121*(8*($HF121))*Z121),0)+IF(BK121&gt;0,($BM121*((BK121))*Z121),0)))</f>
        <v> </v>
      </c>
      <c r="BW121" s="330" t="str">
        <f aca="false">IF($A121="N/A"," ",SUM(BN121:BV121))</f>
        <v> </v>
      </c>
      <c r="BX121" s="331" t="str">
        <f aca="false">IF($A121="N/A"," ",(H121*(SUM(AS121:BA121)+SUM(BC121:BK121))*BM121))</f>
        <v> </v>
      </c>
      <c r="BY121" s="332" t="str">
        <f aca="false">IF($A121="N/A"," ",((C121*D121)*(SUM($AS121:$BA121)+SUM($BC121:$BK121))*$BM121))</f>
        <v> </v>
      </c>
      <c r="BZ121" s="332" t="str">
        <f aca="false">IF($A121="N/A"," ",(F121*(SUM($AS121:$BA121)+SUM($BC121:$BK121))*$BM121))</f>
        <v> </v>
      </c>
      <c r="CA121" s="333" t="str">
        <f aca="false">IF($A121="N/A"," ",(G121*(SUM($AS121:$BA121)+SUM($BC121:$BK121))*$BM121))</f>
        <v> </v>
      </c>
      <c r="CB121" s="334" t="str">
        <f aca="false">IF(A121="N/A"," ",(VLOOKUP(A121,PowerVolTable,(IF(BMO=2,7,IF(BMO=1,6,8))),FALSE())))</f>
        <v> </v>
      </c>
      <c r="CC121" s="334" t="str">
        <f aca="false">IF(A121="N/A"," ",(VLOOKUP(A121,IntraPowerVol,(IF(BMO=2,3,IF(BMO=1,2,4))),FALSE())*VLOOKUP(MONTH($A121),Volscale,2)))</f>
        <v> </v>
      </c>
      <c r="CD121" s="335" t="str">
        <f aca="false">IF($A121="N/A"," ",(IF(DateToday&gt;$A121,$CC121,((($CB121^2)*((($A121-1)-DateToday)/((EOMONTH($A121,0)+1)-DateToday-15)))+((($CC121)^2)*((15)/((EOMONTH($A121,0)+1)-DateToday-15))))^0.5)))</f>
        <v> </v>
      </c>
      <c r="CE121" s="334" t="str">
        <f aca="false">IF($A121="N/A"," ",(VLOOKUP($A121,GasVolTable,(IF(BMO=2,6,IF(BMO=1,7,5))),FALSE())))</f>
        <v> </v>
      </c>
      <c r="CF121" s="334" t="str">
        <f aca="false">IF($A121="N/A"," ",(VLOOKUP($A121,OmicronVol,(IF(BMO=2,3,IF(BMO=1,4,2))),FALSE())))</f>
        <v> </v>
      </c>
      <c r="CG121" s="335" t="str">
        <f aca="false">IF($A121="N/A"," ",(IF(DateToday&gt;$A121,$CF121,((($CE121^2)*((($A121-1)-DateToday)/((EOMONTH($A121,0)+1)-DateToday-15)))+((($CF121)^2)*((15)/((EOMONTH($A121,0)+1)-DateToday-15))))^0.5)))</f>
        <v> </v>
      </c>
      <c r="CH121" s="334" t="str">
        <f aca="false">IF($A121="N/A"," ",VLOOKUP($A121,CorrelationTable,2,FALSE()))</f>
        <v> </v>
      </c>
      <c r="CI121" s="336" t="str">
        <f aca="false">IF($A121="N/A"," ",F121+G121+(D121*('Pricing Inputs'!T154)))</f>
        <v> </v>
      </c>
      <c r="CJ121" s="334" t="str">
        <f aca="false">IF($A121="N/A"," ",IF(PV=1,0,'Pricing Inputs'!U154))</f>
        <v> </v>
      </c>
      <c r="CK121" s="337" t="str">
        <f aca="false">IF($A121="N/A"," ",(1+CJ121/2)^(-2*((EOMONTH(A121,0)+20)-DateToday)/365.25))</f>
        <v> </v>
      </c>
      <c r="CL121" s="338" t="str">
        <f aca="false">IF(A121="N/A"," ",IF(CC=2,(VLOOKUP(MONTH($A121),Hrtable,3))/1000,0))</f>
        <v> </v>
      </c>
      <c r="CM121" s="339" t="str">
        <f aca="false">IF(A121="N/A"," ",IF(CC=2,(CL121*C121)+F121,0))</f>
        <v> </v>
      </c>
      <c r="CN121" s="340" t="str">
        <f aca="false">IF($A121="N/A"," ",IF(CC=2,(VLOOKUP(A121,ScaledPrice,(IF(AND(Dayrun&gt;=1,Dayrun&lt;=6),2,4)))-((IF(R121&lt;&gt;0,$D121,$CL121)*$C121)+$F121+$G121)),0))</f>
        <v> </v>
      </c>
      <c r="CO121" s="340" t="str">
        <f aca="false">IF($A121="N/A"," ",IF(CC=2,(IF(AND(Dayrun&gt;=1,Dayrun&lt;=6),I121,(VLOOKUP(A121,ScaledPrice,2))*(2-(VLOOKUP(A121,ScaledPrice,3))))-((IF(S121&lt;&gt;0,$D121,$CL121)*$C121)+$F121+$G121)),0))</f>
        <v> </v>
      </c>
      <c r="CP121" s="340" t="str">
        <f aca="false">IF(A121="N/A"," ",IF(CC=2,(VLOOKUP(A121,ScaledPrice,9)-((IF(T121&lt;&gt;0,$D121,$CL121)*$C121)+$F121+$G121)),0))</f>
        <v> </v>
      </c>
      <c r="CQ121" s="340" t="str">
        <f aca="false">IF(A121="N/A"," ",IF(CC=2,(IF(OR(Dayrun=2,Dayrun=3,Dayrun=5,Dayrun=6,Dayrun=8,Dayrun=9),VLOOKUP(A121,ScaledPrice,IF(AND(Dayrun&gt;=2,Dayrun&lt;=6),5,6)),0)-((IF(U121&lt;&gt;0,$D121,$CL121)*$C121)+$F121+$G121)),0))</f>
        <v> </v>
      </c>
      <c r="CR121" s="340" t="str">
        <f aca="false">IF(A121="N/A"," ",IF(CC=2,(IF(OR(Dayrun=2,Dayrun=3,Dayrun=5,Dayrun=6,Dayrun=8,Dayrun=9),IF(AND(Dayrun&gt;=2,Dayrun&lt;=6),L121,(VLOOKUP(A121,ScaledPrice,5))*(2-(VLOOKUP(A121,ScaledPrice,3)))),0)-((IF(V121&lt;&gt;0,$D121,$CL121)*$C121)+$F121+$G121)),0))</f>
        <v> </v>
      </c>
      <c r="CS121" s="340" t="str">
        <f aca="false">IF(A121="N/A"," ",IF(CC=2,(VLOOKUP(A121,ScaledPrice,9)-((IF(W121&lt;&gt;0,$D121,$CL121)*$C121)+$F121+$G121)),0))</f>
        <v> </v>
      </c>
      <c r="CT121" s="340" t="str">
        <f aca="false">IF(A121="N/A"," ",IF(CC=2,(IF(OR(Dayrun=3,Dayrun=6,Dayrun=9),(VLOOKUP(A121,ScaledPrice,IF(AND(Dayrun&gt;=3,Dayrun&lt;=6),7,8))),0)-((IF(X121&lt;&gt;0,$D121,$CL121)*$C121)+$F121+$G121)),0))</f>
        <v> </v>
      </c>
      <c r="CU121" s="340" t="str">
        <f aca="false">IF(A121="N/A"," ",IF(CC=2,(IF(OR(Dayrun=3,Dayrun=6,Dayrun=9),IF(AND(Dayrun&gt;=3,Dayrun&lt;=6),O121,(VLOOKUP(A121,ScaledPrice,7))*(2-(VLOOKUP(A121,ScaledPrice,3)))),0)-((IF(Y121&lt;&gt;0,$D121,$CL121)*$C121)+$F121+$G121)),0))</f>
        <v> </v>
      </c>
      <c r="CV121" s="340" t="str">
        <f aca="false">IF(A121="N/A"," ",IF(CC=2,(VLOOKUP(A121,ScaledPrice,9)-((IF(Z121&lt;&gt;0,$D121,$CL121)*$C121)+$F121+$G121)),0))</f>
        <v> </v>
      </c>
      <c r="CW121" s="318" t="str">
        <f aca="false">IF($A121="N/A"," ",IF(0&lt;&gt;CN121,IF(CC=2,8*$HD121,0),0))</f>
        <v> </v>
      </c>
      <c r="CX121" s="318" t="str">
        <f aca="false">IF($A121="N/A"," ",IF(0&lt;&gt;CO121,IF(CC=2,8*$HD121,0),0))</f>
        <v> </v>
      </c>
      <c r="CY121" s="318" t="str">
        <f aca="false">IF($A121="N/A"," ",IF(0&lt;&gt;CP121,IF(CC=2,8*$HD121,0),0))</f>
        <v> </v>
      </c>
      <c r="CZ121" s="318" t="str">
        <f aca="false">IF($A121="N/A"," ",IF(0&lt;&gt;CQ121,IF(CC=2,8*$HE121,0),0))</f>
        <v> </v>
      </c>
      <c r="DA121" s="318" t="str">
        <f aca="false">IF($A121="N/A"," ",IF(0&lt;&gt;CR121,IF(CC=2,8*$HE121,0),0))</f>
        <v> </v>
      </c>
      <c r="DB121" s="318" t="str">
        <f aca="false">IF($A121="N/A"," ",IF(0&lt;&gt;CS121,IF(CC=2,8*$HE121,0),0))</f>
        <v> </v>
      </c>
      <c r="DC121" s="318" t="str">
        <f aca="false">IF($A121="N/A"," ",IF(0&lt;&gt;CT121,IF(CC=2,8*$HF121,0),0))</f>
        <v> </v>
      </c>
      <c r="DD121" s="318" t="str">
        <f aca="false">IF($A121="N/A"," ",IF(0&lt;&gt;CU121,IF(CC=2,8*$HF121,0),0))</f>
        <v> </v>
      </c>
      <c r="DE121" s="318" t="str">
        <f aca="false">IF($A121="N/A"," ",IF(0&lt;&gt;CV121,IF(CC=2,8*$HF121,0),0))</f>
        <v> </v>
      </c>
      <c r="DF121" s="341" t="str">
        <f aca="false">IF($A121="N/A"," ",IF(CC=2,(IF(MONTH(A121)&gt;=4,IF(MONTH(A121)&lt;=10,Inputs!$G$13,Inputs!$G$14),Inputs!$G$14))*$CK121,0))</f>
        <v> </v>
      </c>
      <c r="DG121" s="342" t="str">
        <f aca="false">IF($A121="N/A"," ",IF(CC=2,$DF121*CW121*CN121,0))</f>
        <v> </v>
      </c>
      <c r="DH121" s="342" t="str">
        <f aca="false">IF($A121="N/A"," ",IF(CC=2,$DF121*CX121*CO121,0))</f>
        <v> </v>
      </c>
      <c r="DI121" s="342" t="str">
        <f aca="false">IF($A121="N/A"," ",IF(CC=2,$DF121*CY121*CP121,0))</f>
        <v> </v>
      </c>
      <c r="DJ121" s="342" t="str">
        <f aca="false">IF($A121="N/A"," ",IF(CC=2,$DF121*CZ121*CQ121,0))</f>
        <v> </v>
      </c>
      <c r="DK121" s="342" t="str">
        <f aca="false">IF($A121="N/A"," ",IF(CC=2,$DF121*DA121*CR121,0))</f>
        <v> </v>
      </c>
      <c r="DL121" s="342" t="str">
        <f aca="false">IF($A121="N/A"," ",IF(CC=2,$DF121*DB121*CS121,0))</f>
        <v> </v>
      </c>
      <c r="DM121" s="342" t="str">
        <f aca="false">IF($A121="N/A"," ",IF(CC=2,$DF121*DC121*CT121,0))</f>
        <v> </v>
      </c>
      <c r="DN121" s="342" t="str">
        <f aca="false">IF($A121="N/A"," ",IF(CC=2,$DF121*DD121*CU121,0))</f>
        <v> </v>
      </c>
      <c r="DO121" s="342" t="str">
        <f aca="false">IF($A121="N/A"," ",IF(CC=2,$DF121*DE121*CV121,0))</f>
        <v> </v>
      </c>
      <c r="DP121" s="343" t="str">
        <f aca="false">IF($A121="N/A"," ",IF(CC=2,SUM(DG121:DO121),0))</f>
        <v> </v>
      </c>
      <c r="DQ121" s="0" t="str">
        <f aca="false">IF(A121="N/A"," ",Perstart)</f>
        <v> </v>
      </c>
      <c r="HD121" s="0" t="str">
        <f aca="false">IF($A121="N/A"," ",VLOOKUP($A121,NumberofDaysTable,2))</f>
        <v> </v>
      </c>
      <c r="HE121" s="0" t="str">
        <f aca="false">IF($A121="N/A"," ",VLOOKUP($A121,NumberofDaysTable,3))</f>
        <v> </v>
      </c>
      <c r="HF121" s="0" t="str">
        <f aca="false">IF($A121="N/A"," ",VLOOKUP($A121,NumberofDaysTable,4))</f>
        <v> </v>
      </c>
    </row>
    <row r="122" customFormat="false" ht="12.75" hidden="false" customHeight="false" outlineLevel="0" collapsed="false">
      <c r="A122" s="308" t="str">
        <f aca="false">IF(A121="N/A","N/A",IF(EDATE(A121,1)&gt;Inputs!$K$3,"N/A",EDATE(A121,1)))</f>
        <v>N/A</v>
      </c>
      <c r="B122" s="309" t="str">
        <f aca="false">IF(A122="N/A"," ",YEAR(A122))</f>
        <v> </v>
      </c>
      <c r="C122" s="310" t="str">
        <f aca="false">IF(A122="N/A"," ",VLOOKUP(A122,ScaledPrice,10))</f>
        <v> </v>
      </c>
      <c r="D122" s="311" t="str">
        <f aca="false">IF(A122="N/A"," ",(VLOOKUP(MONTH($A122),Hrtable,2))/1000)</f>
        <v> </v>
      </c>
      <c r="E122" s="312" t="str">
        <f aca="false">IF($A122="N/A"," ",(C122-'Pricing Inputs'!T155)*D122)</f>
        <v> </v>
      </c>
      <c r="F122" s="313" t="str">
        <f aca="false">IF(A122="N/A"," ",$F110*(1+VOMesc))</f>
        <v> </v>
      </c>
      <c r="G122" s="313" t="str">
        <f aca="false">IF(A122="N/A"," ",Perstart/IF(AND(Dayrun&gt;=4,Dayrun&lt;=6),16,IF(AND(Dayrun&gt;=7,Dayrun&lt;=9),8,24))/(BM122/CK122))</f>
        <v> </v>
      </c>
      <c r="H122" s="314" t="str">
        <f aca="false">IF(A122="N/A"," ",(C122*D122)+F122+G122)</f>
        <v> </v>
      </c>
      <c r="I122" s="315" t="str">
        <f aca="false">VLOOKUP(A122,ScaledPrice,(IF(AND(Dayrun&gt;=1,Dayrun&lt;=6),2,4)))</f>
        <v> </v>
      </c>
      <c r="J122" s="315" t="str">
        <f aca="false">IF(A122="N/A"," ",IF(AND(Dayrun&gt;=1,Dayrun&lt;=6),I122,(VLOOKUP(A122,ScaledPrice,2))*(2-(VLOOKUP(A122,ScaledPrice,3)))))</f>
        <v> </v>
      </c>
      <c r="K122" s="315" t="str">
        <f aca="false">IF(A122="N/A"," ",IF(AND(Dayrun&gt;=1,Dayrun&lt;=3),VLOOKUP(A122,ScaledPrice,9),0))</f>
        <v> </v>
      </c>
      <c r="L122" s="315" t="str">
        <f aca="false">IF(A122="N/A"," ",IF(OR(Dayrun=2,Dayrun=3,Dayrun=5,Dayrun=6,Dayrun=8,Dayrun=9),VLOOKUP(A122,ScaledPrice,IF(AND(Dayrun&gt;=2,Dayrun&lt;=6),5,6)),0))</f>
        <v> </v>
      </c>
      <c r="M122" s="315" t="str">
        <f aca="false">IF(A122="N/A"," ",IF(OR(Dayrun=2,Dayrun=3,Dayrun=5,Dayrun=6,Dayrun=8,Dayrun=9),IF(AND(Dayrun&gt;=2,Dayrun&lt;=6),L122,(VLOOKUP(A122,ScaledPrice,5))*(2-(VLOOKUP(A122,ScaledPrice,3)))),0))</f>
        <v> </v>
      </c>
      <c r="N122" s="315" t="str">
        <f aca="false">IF(A122="N/A"," ",IF(AND(Dayrun&gt;1,Dayrun&lt;=3),VLOOKUP(A122,ScaledPrice,9),0))</f>
        <v> </v>
      </c>
      <c r="O122" s="315" t="str">
        <f aca="false">IF(A122="N/A"," ",IF(OR(Dayrun=3,Dayrun=6,Dayrun=9),(VLOOKUP(A122,ScaledPrice,IF(AND(Dayrun&gt;=3,Dayrun&lt;=6),7,8))),0))</f>
        <v> </v>
      </c>
      <c r="P122" s="315" t="str">
        <f aca="false">IF(A122="N/A"," ",IF(OR(Dayrun=3,Dayrun=6,Dayrun=9),IF(AND(Dayrun&gt;=3,Dayrun&lt;=6),O122,(VLOOKUP(A122,ScaledPrice,7))*(2-(VLOOKUP(A122,ScaledPrice,3)))),0))</f>
        <v> </v>
      </c>
      <c r="Q122" s="315" t="str">
        <f aca="false">IF(A122="N/A"," ",IF(AND(Dayrun&gt;2,Dayrun&lt;=3),VLOOKUP(A122,ScaledPrice,9),0))</f>
        <v> </v>
      </c>
      <c r="R122" s="316" t="str">
        <f aca="false">IF($A122="N/A"," ",IF(Pricetype=2,MAX(I122-$H122,0),IF(Pricetype=1,(xSPRDOPT(I122,$E122,$CI122,0,($CD122+IF(Smile=TRUE(),VLOOKUP(MAX(-5,$H122-I122),Volsmile,2),0)),$CG122,$CH122,($A122-DateToday)+15,1,0)),I122-$H122)))</f>
        <v> </v>
      </c>
      <c r="S122" s="316" t="str">
        <f aca="false">IF($A122="N/A"," ",IF(Pricetype=2,MAX(J122-$H122,0),IF(Pricetype=1,(xSPRDOPT(J122,$E122,$CI122,0,($CD122+IF(Smile=TRUE(),VLOOKUP(MAX(-5,$H122-J122),Volsmile,2),0)),$CG122,$CH122,($A122-DateToday)+15,1,0)),J122-$H122)))</f>
        <v> </v>
      </c>
      <c r="T122" s="317" t="str">
        <f aca="false">IF($A122="N/A"," ",(IF(Pricetype=2,IF((K122-$H122)&lt;=0,0,(K122-$H122)),IF(K122&lt;&gt;0,(K122-$H122),0))))</f>
        <v> </v>
      </c>
      <c r="U122" s="316" t="str">
        <f aca="false">IF($A122="N/A"," ",IF(Pricetype=2,MAX(L122-$H122,0),IF(L122&lt;&gt;0,IF(Pricetype=1,(xSPRDOPT(L122,$E122,$CI122,0,($CD122+IF(Smile=TRUE(),VLOOKUP(MAX(-5,$H122-L122),Volsmile,2),0)),$CG122,$CH122,($A122-DateToday)+15,1,0)),L122-$H122),0)))</f>
        <v> </v>
      </c>
      <c r="V122" s="316" t="str">
        <f aca="false">IF($A122="N/A"," ",IF(Pricetype=2,MAX(M122-$H122,0),IF(M122&lt;&gt;0,IF(Pricetype=1,(xSPRDOPT(M122,$E122,$CI122,0,($CD122+IF(Smile=TRUE(),VLOOKUP(MAX(-5,$H122-M122),Volsmile,2),0)),$CG122,$CH122,($A122-DateToday)+15,1,0)),M122-$H122),0)))</f>
        <v> </v>
      </c>
      <c r="W122" s="317" t="str">
        <f aca="false">IF($A122="N/A"," ",(IF(Pricetype=2,IF((N122-$H122)&lt;=0,0,(N122-$H122)),IF(N122&lt;&gt;0,(N122-$H122),0))))</f>
        <v> </v>
      </c>
      <c r="X122" s="316" t="str">
        <f aca="false">IF($A122="N/A"," ",IF(Pricetype=2,MAX(O122-$H122,0),IF(O122&lt;&gt;0,IF(Pricetype=1,(xSPRDOPT(O122,$E122,$CI122,0,($CD122+IF(Smile=TRUE(),VLOOKUP(MAX(-5,$H122-O122),Volsmile,2),0)),$CG122,$CH122,($A122-DateToday)+15,1,0)),O122-$H122),0)))</f>
        <v> </v>
      </c>
      <c r="Y122" s="316" t="str">
        <f aca="false">IF($A122="N/A"," ",IF(Pricetype=2,MAX(P122-$H122,0),IF(P122&lt;&gt;0,IF(Pricetype=1,(xSPRDOPT(P122,$E122,$CI122,0,($CD122+IF(Smile=TRUE(),VLOOKUP(MAX(-5,$H122-P122),Volsmile,2),0)),$CG122,$CH122,($A122-DateToday)+15,1,0)),P122-$H122),0)))</f>
        <v> </v>
      </c>
      <c r="Z122" s="317" t="str">
        <f aca="false">IF($A122="N/A"," ",(IF(Pricetype=2,IF((Q122-$H122)&lt;=0,0,(Q122-$H122)),IF(Q122&lt;&gt;0,(Q122-$H122),0))))</f>
        <v> </v>
      </c>
      <c r="AA122" s="318" t="str">
        <f aca="false">IF($A122="N/A"," ",IF(VLOOKUP(MONTH(A122),ManualTable,2)=1,(IF(0&lt;&gt;R122,IF(Pricetype=1,(xSPRDOPT(I122,$E122,$CI122,0,($CD122+IF(Smile=TRUE(),VLOOKUP(MAX(-5,$H122-I122),Volsmile,2),0)),$CG122,$CH122,($A122-DateToday)+15,1,1))*(8*$HD122),8*$HD122),0)),0))</f>
        <v> </v>
      </c>
      <c r="AB122" s="318" t="str">
        <f aca="false">IF($A122="N/A"," ",IF(VLOOKUP(MONTH(A122),ManualTable,3)=1,(IF(S122&lt;&gt;0,IF(Pricetype=1,(xSPRDOPT(J122,$E122,$CI122,0,($CD122+IF(Smile=TRUE(),VLOOKUP(MAX(-5,$H122-J122),Volsmile,2),0)),$CG122,$CH122,($A122-DateToday)+15,1,1))*(8*$HD122),8*$HD122),0)),0))</f>
        <v> </v>
      </c>
      <c r="AC122" s="318" t="str">
        <f aca="false">IF($A122="N/A"," ",IF(VLOOKUP(MONTH(A122),ManualTable,4)=1,(IF(T122&lt;&gt;0,(8*$HD122),0)),0))</f>
        <v> </v>
      </c>
      <c r="AD122" s="318" t="str">
        <f aca="false">IF($A122="N/A"," ",IF(VLOOKUP(MONTH(A122),ManualTable,5)=1,(IF(U122&lt;&gt;0,IF(Pricetype=1,(xSPRDOPT(L122,$E122,$CI122,0,($CD122+IF(Smile=TRUE(),VLOOKUP(MAX(-5,$H122-L122),Volsmile,2),0)),$CG122,$CH122,($A122-DateToday)+15,1,1))*(8*$HE122),8*$HE122),0)),0))</f>
        <v> </v>
      </c>
      <c r="AE122" s="318" t="str">
        <f aca="false">IF($A122="N/A"," ",IF(VLOOKUP(MONTH(A122),ManualTable,6)=1,(IF(V122&lt;&gt;0,IF(Pricetype=1,(xSPRDOPT(M122,$E122,$CI122,0,($CD122+IF(Smile=TRUE(),VLOOKUP(MAX(-5,$H122-M122),Volsmile,2),0)),$CG122,$CH122,($A122-DateToday)+15,1,1))*(8*$HE122),8*$HE122),0)),0))</f>
        <v> </v>
      </c>
      <c r="AF122" s="318" t="str">
        <f aca="false">IF($A122="N/A"," ",IF(VLOOKUP(MONTH(A122),ManualTable,7)=1,(IF(W122&lt;&gt;0,(8*$HE122),0)),0))</f>
        <v> </v>
      </c>
      <c r="AG122" s="318" t="str">
        <f aca="false">IF($A122="N/A"," ",IF(VLOOKUP(MONTH(A122),ManualTable,8)=1,(IF(X122&lt;&gt;0,IF(Pricetype=1,(xSPRDOPT(O122,$E122,$CI122,0,($CD122+IF(Smile=TRUE(),VLOOKUP(MAX(-5,$H122-O122),Volsmile,2),0)),$CG122,$CH122,($A122-DateToday)+15,1,1))*(8*$HF122),8*$HF122),0)),0))</f>
        <v> </v>
      </c>
      <c r="AH122" s="318" t="str">
        <f aca="false">IF($A122="N/A"," ",IF(VLOOKUP(MONTH(A122),ManualTable,9)=1,(IF(Y122&lt;&gt;0,IF(Pricetype=1,(xSPRDOPT(P122,$E122,$CI122,0,($CD122+IF(Smile=TRUE(),VLOOKUP(MAX(-5,$H122-P122),Volsmile,2),0)),$CG122,$CH122,($A122-DateToday)+15,1,1))*(8*$HF122),8*$HF122),0)),0))</f>
        <v> </v>
      </c>
      <c r="AI122" s="318" t="str">
        <f aca="false">IF($A122="N/A"," ",IF(VLOOKUP(MONTH(A122),ManualTable,10)=1,(IF(Z122&lt;&gt;0,(8*($HF122)),0)),0))</f>
        <v> </v>
      </c>
      <c r="AJ122" s="344" t="str">
        <f aca="false">IF($A122="N/A"," ",RANK(R122,$R$112:$Z$123))</f>
        <v> </v>
      </c>
      <c r="AK122" s="321" t="str">
        <f aca="false">IF($A122="N/A"," ",RANK(S122,$R$112:$Z$123))</f>
        <v> </v>
      </c>
      <c r="AL122" s="321" t="str">
        <f aca="false">IF($A122="N/A"," ",RANK(T122,$R$112:$Z$123))</f>
        <v> </v>
      </c>
      <c r="AM122" s="321" t="str">
        <f aca="false">IF($A122="N/A"," ",RANK(U122,$R$112:$Z$123))</f>
        <v> </v>
      </c>
      <c r="AN122" s="321" t="str">
        <f aca="false">IF($A122="N/A"," ",RANK(V122,$R$112:$Z$123))</f>
        <v> </v>
      </c>
      <c r="AO122" s="321" t="str">
        <f aca="false">IF($A122="N/A"," ",RANK(W122,$R$112:$Z$123))</f>
        <v> </v>
      </c>
      <c r="AP122" s="321" t="str">
        <f aca="false">IF($A122="N/A"," ",RANK(X122,$R$112:$Z$123))</f>
        <v> </v>
      </c>
      <c r="AQ122" s="321" t="str">
        <f aca="false">IF($A122="N/A"," ",RANK(Y122,$R$112:$Z$123))</f>
        <v> </v>
      </c>
      <c r="AR122" s="345" t="str">
        <f aca="false">IF($A122="N/A"," ",RANK(Z122,$R$112:$Z$123))</f>
        <v> </v>
      </c>
      <c r="AS122" s="323" t="str">
        <f aca="false">IF($A122="N/A"," ",IF(AJ122&lt;=$AR$2,AA122,0))</f>
        <v> </v>
      </c>
      <c r="AT122" s="325" t="str">
        <f aca="false">IF($A122="N/A"," ",IF(AK122&lt;=$AR$2,AB122,0))</f>
        <v> </v>
      </c>
      <c r="AU122" s="325" t="str">
        <f aca="false">IF($A122="N/A"," ",IF(AL122&lt;=$AR$2,AC122,0))</f>
        <v> </v>
      </c>
      <c r="AV122" s="325" t="str">
        <f aca="false">IF($A122="N/A"," ",IF(AM122&lt;=$AR$2,AD122,0))</f>
        <v> </v>
      </c>
      <c r="AW122" s="325" t="str">
        <f aca="false">IF($A122="N/A"," ",IF(AN122&lt;=$AR$2,AE122,0))</f>
        <v> </v>
      </c>
      <c r="AX122" s="325" t="str">
        <f aca="false">IF($A122="N/A"," ",IF(AO122&lt;=$AR$2,AF122,0))</f>
        <v> </v>
      </c>
      <c r="AY122" s="325" t="str">
        <f aca="false">IF($A122="N/A"," ",IF(AP122&lt;=$AR$2,AG122,0))</f>
        <v> </v>
      </c>
      <c r="AZ122" s="325" t="str">
        <f aca="false">IF($A122="N/A"," ",IF(AQ122&lt;=$AR$2,AH122,0))</f>
        <v> </v>
      </c>
      <c r="BA122" s="325" t="str">
        <f aca="false">IF($A122="N/A"," ",IF(AR122&lt;=$AR$2,AI122,0))</f>
        <v> </v>
      </c>
      <c r="BB122" s="345" t="n">
        <f aca="false">SUM(AS112:BA123)</f>
        <v>0</v>
      </c>
      <c r="BC122" s="326" t="str">
        <f aca="false">IF($A122="N/A"," ",IF(AND(AJ122=$AR$2+1,AS122=0),MIN($BB$123,AA122),0))</f>
        <v> </v>
      </c>
      <c r="BD122" s="346" t="str">
        <f aca="false">IF($A122="N/A"," ",IF(AND(AK122=$AR$2+1,AT122=0),MIN($BB$123,AB122),0))</f>
        <v> </v>
      </c>
      <c r="BE122" s="346" t="str">
        <f aca="false">IF($A122="N/A"," ",IF(AND(AL122=$AR$2+1,AU122=0),MIN($BB$123,AC122),0))</f>
        <v> </v>
      </c>
      <c r="BF122" s="346" t="str">
        <f aca="false">IF($A122="N/A"," ",IF(AND(AM122=$AR$2+1,AV122=0),MIN($BB$123,AD122),0))</f>
        <v> </v>
      </c>
      <c r="BG122" s="346" t="str">
        <f aca="false">IF($A122="N/A"," ",IF(AND(AN122=$AR$2+1,AW122=0),MIN($BB$123,AE122),0))</f>
        <v> </v>
      </c>
      <c r="BH122" s="346" t="str">
        <f aca="false">IF($A122="N/A"," ",IF(AND(AO122=$AR$2+1,AX122=0),MIN($BB$123,AF122),0))</f>
        <v> </v>
      </c>
      <c r="BI122" s="346" t="str">
        <f aca="false">IF($A122="N/A"," ",IF(AND(AP122=$AR$2+1,AY122=0),MIN($BB$123,AG122),0))</f>
        <v> </v>
      </c>
      <c r="BJ122" s="346" t="str">
        <f aca="false">IF($A122="N/A"," ",IF(AND(AQ122=$AR$2+1,AZ122=0),MIN($BB$123,AH122),0))</f>
        <v> </v>
      </c>
      <c r="BK122" s="346" t="str">
        <f aca="false">IF($A122="N/A"," ",IF(AND(AR122=$AR$2+1,BA122=0),MIN($BB$123,AI122),0))</f>
        <v> </v>
      </c>
      <c r="BL122" s="345" t="n">
        <f aca="false">SUM(BC112:BK123)</f>
        <v>0</v>
      </c>
      <c r="BM122" s="329" t="str">
        <f aca="false">IF($A122="N/A"," ",(IF(MONTH(A122)&gt;=4,IF(MONTH(A122)&lt;=10,Inputs!$F$13-Inputs!$G$13,Inputs!$F$14-Inputs!$G$14),Inputs!$F$14-Inputs!$G$14))*$CK122*Availability)</f>
        <v> </v>
      </c>
      <c r="BN122" s="330" t="str">
        <f aca="false">IF($A122="N/A"," ",(IF(AS122&gt;0,($BM122*(8*($HD122))*R122),0)+IF(BC122&gt;0,($BM122*((BC122/AA122)*8*$HD122)*R122),0)))</f>
        <v> </v>
      </c>
      <c r="BO122" s="330" t="str">
        <f aca="false">IF($A122="N/A"," ",(IF(AT122&gt;0,($BM122*(8*($HD122))*S122),0)+IF(BD122&gt;0,($BM122*((BD122/AB122)*8*$HD122)*S122),0)))</f>
        <v> </v>
      </c>
      <c r="BP122" s="330" t="str">
        <f aca="false">IF($A122="N/A"," ",(IF(AU122&gt;0,($BM122*(8*($HD122))*T122),0)+IF(BE122&gt;0,($BM122*((BE122))*T122),0)))</f>
        <v> </v>
      </c>
      <c r="BQ122" s="330" t="str">
        <f aca="false">IF($A122="N/A"," ",(IF(AV122&gt;0,($BM122*(8*($HE122))*U122),0)+IF(BF122&gt;0,($BM122*((BF122/AD122)*8*$HE122)*U122),0)))</f>
        <v> </v>
      </c>
      <c r="BR122" s="330" t="str">
        <f aca="false">IF($A122="N/A"," ",(IF(AW122&gt;0,($BM122*(8*($HE122))*V122),0)+IF(BG122&gt;0,($BM122*((BG122/AE122)*8*$HE122)*V122),0)))</f>
        <v> </v>
      </c>
      <c r="BS122" s="330" t="str">
        <f aca="false">IF($A122="N/A"," ",(IF(AX122&gt;0,($BM122*(8*($HE122))*W122),0)+IF(BH122&gt;0,($BM122*((BH122))*W122),0)))</f>
        <v> </v>
      </c>
      <c r="BT122" s="330" t="str">
        <f aca="false">IF($A122="N/A"," ",(IF(AY122&gt;0,($BM122*(8*($HF122))*X122),0)+IF(BI122&gt;0,($BM122*((BI122/AG122)*8*$HF122)*X122),0)))</f>
        <v> </v>
      </c>
      <c r="BU122" s="330" t="str">
        <f aca="false">IF($A122="N/A"," ",(IF(AZ122&gt;0,($BM122*(8*($HF122))*Y122),0)+IF(BJ122&gt;0,($BM122*((BJ122/AH122)*8*$HF122)*Y122),0)))</f>
        <v> </v>
      </c>
      <c r="BV122" s="330" t="str">
        <f aca="false">IF($A122="N/A"," ",(IF(BA122&gt;0,($BM122*(8*($HF122))*Z122),0)+IF(BK122&gt;0,($BM122*((BK122))*Z122),0)))</f>
        <v> </v>
      </c>
      <c r="BW122" s="330" t="str">
        <f aca="false">IF($A122="N/A"," ",SUM(BN122:BV122))</f>
        <v> </v>
      </c>
      <c r="BX122" s="331" t="str">
        <f aca="false">IF($A122="N/A"," ",(H122*(SUM(AS122:BA122)+SUM(BC122:BK122))*BM122))</f>
        <v> </v>
      </c>
      <c r="BY122" s="332" t="str">
        <f aca="false">IF($A122="N/A"," ",((C122*D122)*(SUM($AS122:$BA122)+SUM($BC122:$BK122))*$BM122))</f>
        <v> </v>
      </c>
      <c r="BZ122" s="332" t="str">
        <f aca="false">IF($A122="N/A"," ",(F122*(SUM($AS122:$BA122)+SUM($BC122:$BK122))*$BM122))</f>
        <v> </v>
      </c>
      <c r="CA122" s="333" t="str">
        <f aca="false">IF($A122="N/A"," ",(G122*(SUM($AS122:$BA122)+SUM($BC122:$BK122))*$BM122))</f>
        <v> </v>
      </c>
      <c r="CB122" s="334" t="str">
        <f aca="false">IF(A122="N/A"," ",(VLOOKUP(A122,PowerVolTable,(IF(BMO=2,7,IF(BMO=1,6,8))),FALSE())))</f>
        <v> </v>
      </c>
      <c r="CC122" s="334" t="str">
        <f aca="false">IF(A122="N/A"," ",(VLOOKUP(A122,IntraPowerVol,(IF(BMO=2,3,IF(BMO=1,2,4))),FALSE())*VLOOKUP(MONTH($A122),Volscale,2)))</f>
        <v> </v>
      </c>
      <c r="CD122" s="335" t="str">
        <f aca="false">IF($A122="N/A"," ",(IF(DateToday&gt;$A122,$CC122,((($CB122^2)*((($A122-1)-DateToday)/((EOMONTH($A122,0)+1)-DateToday-15)))+((($CC122)^2)*((15)/((EOMONTH($A122,0)+1)-DateToday-15))))^0.5)))</f>
        <v> </v>
      </c>
      <c r="CE122" s="334" t="str">
        <f aca="false">IF($A122="N/A"," ",(VLOOKUP($A122,GasVolTable,(IF(BMO=2,6,IF(BMO=1,7,5))),FALSE())))</f>
        <v> </v>
      </c>
      <c r="CF122" s="334" t="str">
        <f aca="false">IF($A122="N/A"," ",(VLOOKUP($A122,OmicronVol,(IF(BMO=2,3,IF(BMO=1,4,2))),FALSE())))</f>
        <v> </v>
      </c>
      <c r="CG122" s="335" t="str">
        <f aca="false">IF($A122="N/A"," ",(IF(DateToday&gt;$A122,$CF122,((($CE122^2)*((($A122-1)-DateToday)/((EOMONTH($A122,0)+1)-DateToday-15)))+((($CF122)^2)*((15)/((EOMONTH($A122,0)+1)-DateToday-15))))^0.5)))</f>
        <v> </v>
      </c>
      <c r="CH122" s="334" t="str">
        <f aca="false">IF($A122="N/A"," ",VLOOKUP($A122,CorrelationTable,2,FALSE()))</f>
        <v> </v>
      </c>
      <c r="CI122" s="336" t="str">
        <f aca="false">IF($A122="N/A"," ",F122+G122+(D122*('Pricing Inputs'!T155)))</f>
        <v> </v>
      </c>
      <c r="CJ122" s="334" t="str">
        <f aca="false">IF($A122="N/A"," ",IF(PV=1,0,'Pricing Inputs'!U155))</f>
        <v> </v>
      </c>
      <c r="CK122" s="337" t="str">
        <f aca="false">IF($A122="N/A"," ",(1+CJ122/2)^(-2*((EOMONTH(A122,0)+20)-DateToday)/365.25))</f>
        <v> </v>
      </c>
      <c r="CL122" s="338" t="str">
        <f aca="false">IF(A122="N/A"," ",IF(CC=2,(VLOOKUP(MONTH($A122),Hrtable,3))/1000,0))</f>
        <v> </v>
      </c>
      <c r="CM122" s="339" t="str">
        <f aca="false">IF(A122="N/A"," ",IF(CC=2,(CL122*C122)+F122,0))</f>
        <v> </v>
      </c>
      <c r="CN122" s="340" t="str">
        <f aca="false">IF($A122="N/A"," ",IF(CC=2,(VLOOKUP(A122,ScaledPrice,(IF(AND(Dayrun&gt;=1,Dayrun&lt;=6),2,4)))-((IF(R122&lt;&gt;0,$D122,$CL122)*$C122)+$F122+$G122)),0))</f>
        <v> </v>
      </c>
      <c r="CO122" s="340" t="str">
        <f aca="false">IF($A122="N/A"," ",IF(CC=2,(IF(AND(Dayrun&gt;=1,Dayrun&lt;=6),I122,(VLOOKUP(A122,ScaledPrice,2))*(2-(VLOOKUP(A122,ScaledPrice,3))))-((IF(S122&lt;&gt;0,$D122,$CL122)*$C122)+$F122+$G122)),0))</f>
        <v> </v>
      </c>
      <c r="CP122" s="340" t="str">
        <f aca="false">IF(A122="N/A"," ",IF(CC=2,(VLOOKUP(A122,ScaledPrice,9)-((IF(T122&lt;&gt;0,$D122,$CL122)*$C122)+$F122+$G122)),0))</f>
        <v> </v>
      </c>
      <c r="CQ122" s="340" t="str">
        <f aca="false">IF(A122="N/A"," ",IF(CC=2,(IF(OR(Dayrun=2,Dayrun=3,Dayrun=5,Dayrun=6,Dayrun=8,Dayrun=9),VLOOKUP(A122,ScaledPrice,IF(AND(Dayrun&gt;=2,Dayrun&lt;=6),5,6)),0)-((IF(U122&lt;&gt;0,$D122,$CL122)*$C122)+$F122+$G122)),0))</f>
        <v> </v>
      </c>
      <c r="CR122" s="340" t="str">
        <f aca="false">IF(A122="N/A"," ",IF(CC=2,(IF(OR(Dayrun=2,Dayrun=3,Dayrun=5,Dayrun=6,Dayrun=8,Dayrun=9),IF(AND(Dayrun&gt;=2,Dayrun&lt;=6),L122,(VLOOKUP(A122,ScaledPrice,5))*(2-(VLOOKUP(A122,ScaledPrice,3)))),0)-((IF(V122&lt;&gt;0,$D122,$CL122)*$C122)+$F122+$G122)),0))</f>
        <v> </v>
      </c>
      <c r="CS122" s="340" t="str">
        <f aca="false">IF(A122="N/A"," ",IF(CC=2,(VLOOKUP(A122,ScaledPrice,9)-((IF(W122&lt;&gt;0,$D122,$CL122)*$C122)+$F122+$G122)),0))</f>
        <v> </v>
      </c>
      <c r="CT122" s="340" t="str">
        <f aca="false">IF(A122="N/A"," ",IF(CC=2,(IF(OR(Dayrun=3,Dayrun=6,Dayrun=9),(VLOOKUP(A122,ScaledPrice,IF(AND(Dayrun&gt;=3,Dayrun&lt;=6),7,8))),0)-((IF(X122&lt;&gt;0,$D122,$CL122)*$C122)+$F122+$G122)),0))</f>
        <v> </v>
      </c>
      <c r="CU122" s="340" t="str">
        <f aca="false">IF(A122="N/A"," ",IF(CC=2,(IF(OR(Dayrun=3,Dayrun=6,Dayrun=9),IF(AND(Dayrun&gt;=3,Dayrun&lt;=6),O122,(VLOOKUP(A122,ScaledPrice,7))*(2-(VLOOKUP(A122,ScaledPrice,3)))),0)-((IF(Y122&lt;&gt;0,$D122,$CL122)*$C122)+$F122+$G122)),0))</f>
        <v> </v>
      </c>
      <c r="CV122" s="340" t="str">
        <f aca="false">IF(A122="N/A"," ",IF(CC=2,(VLOOKUP(A122,ScaledPrice,9)-((IF(Z122&lt;&gt;0,$D122,$CL122)*$C122)+$F122+$G122)),0))</f>
        <v> </v>
      </c>
      <c r="CW122" s="318" t="str">
        <f aca="false">IF($A122="N/A"," ",IF(0&lt;&gt;CN122,IF(CC=2,8*$HD122,0),0))</f>
        <v> </v>
      </c>
      <c r="CX122" s="318" t="str">
        <f aca="false">IF($A122="N/A"," ",IF(0&lt;&gt;CO122,IF(CC=2,8*$HD122,0),0))</f>
        <v> </v>
      </c>
      <c r="CY122" s="318" t="str">
        <f aca="false">IF($A122="N/A"," ",IF(0&lt;&gt;CP122,IF(CC=2,8*$HD122,0),0))</f>
        <v> </v>
      </c>
      <c r="CZ122" s="318" t="str">
        <f aca="false">IF($A122="N/A"," ",IF(0&lt;&gt;CQ122,IF(CC=2,8*$HE122,0),0))</f>
        <v> </v>
      </c>
      <c r="DA122" s="318" t="str">
        <f aca="false">IF($A122="N/A"," ",IF(0&lt;&gt;CR122,IF(CC=2,8*$HE122,0),0))</f>
        <v> </v>
      </c>
      <c r="DB122" s="318" t="str">
        <f aca="false">IF($A122="N/A"," ",IF(0&lt;&gt;CS122,IF(CC=2,8*$HE122,0),0))</f>
        <v> </v>
      </c>
      <c r="DC122" s="318" t="str">
        <f aca="false">IF($A122="N/A"," ",IF(0&lt;&gt;CT122,IF(CC=2,8*$HF122,0),0))</f>
        <v> </v>
      </c>
      <c r="DD122" s="318" t="str">
        <f aca="false">IF($A122="N/A"," ",IF(0&lt;&gt;CU122,IF(CC=2,8*$HF122,0),0))</f>
        <v> </v>
      </c>
      <c r="DE122" s="318" t="str">
        <f aca="false">IF($A122="N/A"," ",IF(0&lt;&gt;CV122,IF(CC=2,8*$HF122,0),0))</f>
        <v> </v>
      </c>
      <c r="DF122" s="341" t="str">
        <f aca="false">IF($A122="N/A"," ",IF(CC=2,(IF(MONTH(A122)&gt;=4,IF(MONTH(A122)&lt;=10,Inputs!$G$13,Inputs!$G$14),Inputs!$G$14))*$CK122,0))</f>
        <v> </v>
      </c>
      <c r="DG122" s="342" t="str">
        <f aca="false">IF($A122="N/A"," ",IF(CC=2,$DF122*CW122*CN122,0))</f>
        <v> </v>
      </c>
      <c r="DH122" s="342" t="str">
        <f aca="false">IF($A122="N/A"," ",IF(CC=2,$DF122*CX122*CO122,0))</f>
        <v> </v>
      </c>
      <c r="DI122" s="342" t="str">
        <f aca="false">IF($A122="N/A"," ",IF(CC=2,$DF122*CY122*CP122,0))</f>
        <v> </v>
      </c>
      <c r="DJ122" s="342" t="str">
        <f aca="false">IF($A122="N/A"," ",IF(CC=2,$DF122*CZ122*CQ122,0))</f>
        <v> </v>
      </c>
      <c r="DK122" s="342" t="str">
        <f aca="false">IF($A122="N/A"," ",IF(CC=2,$DF122*DA122*CR122,0))</f>
        <v> </v>
      </c>
      <c r="DL122" s="342" t="str">
        <f aca="false">IF($A122="N/A"," ",IF(CC=2,$DF122*DB122*CS122,0))</f>
        <v> </v>
      </c>
      <c r="DM122" s="342" t="str">
        <f aca="false">IF($A122="N/A"," ",IF(CC=2,$DF122*DC122*CT122,0))</f>
        <v> </v>
      </c>
      <c r="DN122" s="342" t="str">
        <f aca="false">IF($A122="N/A"," ",IF(CC=2,$DF122*DD122*CU122,0))</f>
        <v> </v>
      </c>
      <c r="DO122" s="342" t="str">
        <f aca="false">IF($A122="N/A"," ",IF(CC=2,$DF122*DE122*CV122,0))</f>
        <v> </v>
      </c>
      <c r="DP122" s="343" t="str">
        <f aca="false">IF($A122="N/A"," ",IF(CC=2,SUM(DG122:DO122),0))</f>
        <v> </v>
      </c>
      <c r="DQ122" s="0" t="str">
        <f aca="false">IF(A122="N/A"," ",Perstart)</f>
        <v> </v>
      </c>
      <c r="HD122" s="0" t="str">
        <f aca="false">IF($A122="N/A"," ",VLOOKUP($A122,NumberofDaysTable,2))</f>
        <v> </v>
      </c>
      <c r="HE122" s="0" t="str">
        <f aca="false">IF($A122="N/A"," ",VLOOKUP($A122,NumberofDaysTable,3))</f>
        <v> </v>
      </c>
      <c r="HF122" s="0" t="str">
        <f aca="false">IF($A122="N/A"," ",VLOOKUP($A122,NumberofDaysTable,4))</f>
        <v> </v>
      </c>
    </row>
    <row r="123" customFormat="false" ht="12.75" hidden="false" customHeight="false" outlineLevel="0" collapsed="false">
      <c r="A123" s="308" t="str">
        <f aca="false">IF(A122="N/A","N/A",IF(EDATE(A122,1)&gt;Inputs!$K$3,"N/A",EDATE(A122,1)))</f>
        <v>N/A</v>
      </c>
      <c r="B123" s="309" t="str">
        <f aca="false">IF(A123="N/A"," ",YEAR(A123))</f>
        <v> </v>
      </c>
      <c r="C123" s="310" t="str">
        <f aca="false">IF(A123="N/A"," ",VLOOKUP(A123,ScaledPrice,10))</f>
        <v> </v>
      </c>
      <c r="D123" s="311" t="str">
        <f aca="false">IF(A123="N/A"," ",(VLOOKUP(MONTH($A123),Hrtable,2))/1000)</f>
        <v> </v>
      </c>
      <c r="E123" s="312" t="str">
        <f aca="false">IF($A123="N/A"," ",(C123-'Pricing Inputs'!T156)*D123)</f>
        <v> </v>
      </c>
      <c r="F123" s="313" t="str">
        <f aca="false">IF(A123="N/A"," ",$F111*(1+VOMesc))</f>
        <v> </v>
      </c>
      <c r="G123" s="313" t="str">
        <f aca="false">IF(A123="N/A"," ",Perstart/IF(AND(Dayrun&gt;=4,Dayrun&lt;=6),16,IF(AND(Dayrun&gt;=7,Dayrun&lt;=9),8,24))/(BM123/CK123))</f>
        <v> </v>
      </c>
      <c r="H123" s="314" t="str">
        <f aca="false">IF(A123="N/A"," ",(C123*D123)+F123+G123)</f>
        <v> </v>
      </c>
      <c r="I123" s="315" t="str">
        <f aca="false">VLOOKUP(A123,ScaledPrice,(IF(AND(Dayrun&gt;=1,Dayrun&lt;=6),2,4)))</f>
        <v> </v>
      </c>
      <c r="J123" s="315" t="str">
        <f aca="false">IF(A123="N/A"," ",IF(AND(Dayrun&gt;=1,Dayrun&lt;=6),I123,(VLOOKUP(A123,ScaledPrice,2))*(2-(VLOOKUP(A123,ScaledPrice,3)))))</f>
        <v> </v>
      </c>
      <c r="K123" s="315" t="str">
        <f aca="false">IF(A123="N/A"," ",IF(AND(Dayrun&gt;=1,Dayrun&lt;=3),VLOOKUP(A123,ScaledPrice,9),0))</f>
        <v> </v>
      </c>
      <c r="L123" s="315" t="str">
        <f aca="false">IF(A123="N/A"," ",IF(OR(Dayrun=2,Dayrun=3,Dayrun=5,Dayrun=6,Dayrun=8,Dayrun=9),VLOOKUP(A123,ScaledPrice,IF(AND(Dayrun&gt;=2,Dayrun&lt;=6),5,6)),0))</f>
        <v> </v>
      </c>
      <c r="M123" s="315" t="str">
        <f aca="false">IF(A123="N/A"," ",IF(OR(Dayrun=2,Dayrun=3,Dayrun=5,Dayrun=6,Dayrun=8,Dayrun=9),IF(AND(Dayrun&gt;=2,Dayrun&lt;=6),L123,(VLOOKUP(A123,ScaledPrice,5))*(2-(VLOOKUP(A123,ScaledPrice,3)))),0))</f>
        <v> </v>
      </c>
      <c r="N123" s="315" t="str">
        <f aca="false">IF(A123="N/A"," ",IF(AND(Dayrun&gt;1,Dayrun&lt;=3),VLOOKUP(A123,ScaledPrice,9),0))</f>
        <v> </v>
      </c>
      <c r="O123" s="315" t="str">
        <f aca="false">IF(A123="N/A"," ",IF(OR(Dayrun=3,Dayrun=6,Dayrun=9),(VLOOKUP(A123,ScaledPrice,IF(AND(Dayrun&gt;=3,Dayrun&lt;=6),7,8))),0))</f>
        <v> </v>
      </c>
      <c r="P123" s="315" t="str">
        <f aca="false">IF(A123="N/A"," ",IF(OR(Dayrun=3,Dayrun=6,Dayrun=9),IF(AND(Dayrun&gt;=3,Dayrun&lt;=6),O123,(VLOOKUP(A123,ScaledPrice,7))*(2-(VLOOKUP(A123,ScaledPrice,3)))),0))</f>
        <v> </v>
      </c>
      <c r="Q123" s="315" t="str">
        <f aca="false">IF(A123="N/A"," ",IF(AND(Dayrun&gt;2,Dayrun&lt;=3),VLOOKUP(A123,ScaledPrice,9),0))</f>
        <v> </v>
      </c>
      <c r="R123" s="316" t="str">
        <f aca="false">IF($A123="N/A"," ",IF(Pricetype=2,MAX(I123-$H123,0),IF(Pricetype=1,(xSPRDOPT(I123,$E123,$CI123,0,($CD123+IF(Smile=TRUE(),VLOOKUP(MAX(-5,$H123-I123),Volsmile,2),0)),$CG123,$CH123,($A123-DateToday)+15,1,0)),I123-$H123)))</f>
        <v> </v>
      </c>
      <c r="S123" s="316" t="str">
        <f aca="false">IF($A123="N/A"," ",IF(Pricetype=2,MAX(J123-$H123,0),IF(Pricetype=1,(xSPRDOPT(J123,$E123,$CI123,0,($CD123+IF(Smile=TRUE(),VLOOKUP(MAX(-5,$H123-J123),Volsmile,2),0)),$CG123,$CH123,($A123-DateToday)+15,1,0)),J123-$H123)))</f>
        <v> </v>
      </c>
      <c r="T123" s="317" t="str">
        <f aca="false">IF($A123="N/A"," ",(IF(Pricetype=2,IF((K123-$H123)&lt;=0,0,(K123-$H123)),IF(K123&lt;&gt;0,(K123-$H123),0))))</f>
        <v> </v>
      </c>
      <c r="U123" s="316" t="str">
        <f aca="false">IF($A123="N/A"," ",IF(Pricetype=2,MAX(L123-$H123,0),IF(L123&lt;&gt;0,IF(Pricetype=1,(xSPRDOPT(L123,$E123,$CI123,0,($CD123+IF(Smile=TRUE(),VLOOKUP(MAX(-5,$H123-L123),Volsmile,2),0)),$CG123,$CH123,($A123-DateToday)+15,1,0)),L123-$H123),0)))</f>
        <v> </v>
      </c>
      <c r="V123" s="316" t="str">
        <f aca="false">IF($A123="N/A"," ",IF(Pricetype=2,MAX(M123-$H123,0),IF(M123&lt;&gt;0,IF(Pricetype=1,(xSPRDOPT(M123,$E123,$CI123,0,($CD123+IF(Smile=TRUE(),VLOOKUP(MAX(-5,$H123-M123),Volsmile,2),0)),$CG123,$CH123,($A123-DateToday)+15,1,0)),M123-$H123),0)))</f>
        <v> </v>
      </c>
      <c r="W123" s="317" t="str">
        <f aca="false">IF($A123="N/A"," ",(IF(Pricetype=2,IF((N123-$H123)&lt;=0,0,(N123-$H123)),IF(N123&lt;&gt;0,(N123-$H123),0))))</f>
        <v> </v>
      </c>
      <c r="X123" s="316" t="str">
        <f aca="false">IF($A123="N/A"," ",IF(Pricetype=2,MAX(O123-$H123,0),IF(O123&lt;&gt;0,IF(Pricetype=1,(xSPRDOPT(O123,$E123,$CI123,0,($CD123+IF(Smile=TRUE(),VLOOKUP(MAX(-5,$H123-O123),Volsmile,2),0)),$CG123,$CH123,($A123-DateToday)+15,1,0)),O123-$H123),0)))</f>
        <v> </v>
      </c>
      <c r="Y123" s="316" t="str">
        <f aca="false">IF($A123="N/A"," ",IF(Pricetype=2,MAX(P123-$H123,0),IF(P123&lt;&gt;0,IF(Pricetype=1,(xSPRDOPT(P123,$E123,$CI123,0,($CD123+IF(Smile=TRUE(),VLOOKUP(MAX(-5,$H123-P123),Volsmile,2),0)),$CG123,$CH123,($A123-DateToday)+15,1,0)),P123-$H123),0)))</f>
        <v> </v>
      </c>
      <c r="Z123" s="317" t="str">
        <f aca="false">IF($A123="N/A"," ",(IF(Pricetype=2,IF((Q123-$H123)&lt;=0,0,(Q123-$H123)),IF(Q123&lt;&gt;0,(Q123-$H123),0))))</f>
        <v> </v>
      </c>
      <c r="AA123" s="318" t="str">
        <f aca="false">IF($A123="N/A"," ",IF(VLOOKUP(MONTH(A123),ManualTable,2)=1,(IF(0&lt;&gt;R123,IF(Pricetype=1,(xSPRDOPT(I123,$E123,$CI123,0,($CD123+IF(Smile=TRUE(),VLOOKUP(MAX(-5,$H123-I123),Volsmile,2),0)),$CG123,$CH123,($A123-DateToday)+15,1,1))*(8*$HD123),8*$HD123),0)),0))</f>
        <v> </v>
      </c>
      <c r="AB123" s="318" t="str">
        <f aca="false">IF($A123="N/A"," ",IF(VLOOKUP(MONTH(A123),ManualTable,3)=1,(IF(S123&lt;&gt;0,IF(Pricetype=1,(xSPRDOPT(J123,$E123,$CI123,0,($CD123+IF(Smile=TRUE(),VLOOKUP(MAX(-5,$H123-J123),Volsmile,2),0)),$CG123,$CH123,($A123-DateToday)+15,1,1))*(8*$HD123),8*$HD123),0)),0))</f>
        <v> </v>
      </c>
      <c r="AC123" s="318" t="str">
        <f aca="false">IF($A123="N/A"," ",IF(VLOOKUP(MONTH(A123),ManualTable,4)=1,(IF(T123&lt;&gt;0,(8*$HD123),0)),0))</f>
        <v> </v>
      </c>
      <c r="AD123" s="318" t="str">
        <f aca="false">IF($A123="N/A"," ",IF(VLOOKUP(MONTH(A123),ManualTable,5)=1,(IF(U123&lt;&gt;0,IF(Pricetype=1,(xSPRDOPT(L123,$E123,$CI123,0,($CD123+IF(Smile=TRUE(),VLOOKUP(MAX(-5,$H123-L123),Volsmile,2),0)),$CG123,$CH123,($A123-DateToday)+15,1,1))*(8*$HE123),8*$HE123),0)),0))</f>
        <v> </v>
      </c>
      <c r="AE123" s="318" t="str">
        <f aca="false">IF($A123="N/A"," ",IF(VLOOKUP(MONTH(A123),ManualTable,6)=1,(IF(V123&lt;&gt;0,IF(Pricetype=1,(xSPRDOPT(M123,$E123,$CI123,0,($CD123+IF(Smile=TRUE(),VLOOKUP(MAX(-5,$H123-M123),Volsmile,2),0)),$CG123,$CH123,($A123-DateToday)+15,1,1))*(8*$HE123),8*$HE123),0)),0))</f>
        <v> </v>
      </c>
      <c r="AF123" s="318" t="str">
        <f aca="false">IF($A123="N/A"," ",IF(VLOOKUP(MONTH(A123),ManualTable,7)=1,(IF(W123&lt;&gt;0,(8*$HE123),0)),0))</f>
        <v> </v>
      </c>
      <c r="AG123" s="318" t="str">
        <f aca="false">IF($A123="N/A"," ",IF(VLOOKUP(MONTH(A123),ManualTable,8)=1,(IF(X123&lt;&gt;0,IF(Pricetype=1,(xSPRDOPT(O123,$E123,$CI123,0,($CD123+IF(Smile=TRUE(),VLOOKUP(MAX(-5,$H123-O123),Volsmile,2),0)),$CG123,$CH123,($A123-DateToday)+15,1,1))*(8*$HF123),8*$HF123),0)),0))</f>
        <v> </v>
      </c>
      <c r="AH123" s="318" t="str">
        <f aca="false">IF($A123="N/A"," ",IF(VLOOKUP(MONTH(A123),ManualTable,9)=1,(IF(Y123&lt;&gt;0,IF(Pricetype=1,(xSPRDOPT(P123,$E123,$CI123,0,($CD123+IF(Smile=TRUE(),VLOOKUP(MAX(-5,$H123-P123),Volsmile,2),0)),$CG123,$CH123,($A123-DateToday)+15,1,1))*(8*$HF123),8*$HF123),0)),0))</f>
        <v> </v>
      </c>
      <c r="AI123" s="318" t="str">
        <f aca="false">IF($A123="N/A"," ",IF(VLOOKUP(MONTH(A123),ManualTable,10)=1,(IF(Z123&lt;&gt;0,(8*($HF123)),0)),0))</f>
        <v> </v>
      </c>
      <c r="AJ123" s="349" t="str">
        <f aca="false">IF($A123="N/A"," ",RANK(R123,$R$112:$Z$123))</f>
        <v> </v>
      </c>
      <c r="AK123" s="350" t="str">
        <f aca="false">IF($A123="N/A"," ",RANK(S123,$R$112:$Z$123))</f>
        <v> </v>
      </c>
      <c r="AL123" s="350" t="str">
        <f aca="false">IF($A123="N/A"," ",RANK(T123,$R$112:$Z$123))</f>
        <v> </v>
      </c>
      <c r="AM123" s="350" t="str">
        <f aca="false">IF($A123="N/A"," ",RANK(U123,$R$112:$Z$123))</f>
        <v> </v>
      </c>
      <c r="AN123" s="350" t="str">
        <f aca="false">IF($A123="N/A"," ",RANK(V123,$R$112:$Z$123))</f>
        <v> </v>
      </c>
      <c r="AO123" s="350" t="str">
        <f aca="false">IF($A123="N/A"," ",RANK(W123,$R$112:$Z$123))</f>
        <v> </v>
      </c>
      <c r="AP123" s="350" t="str">
        <f aca="false">IF($A123="N/A"," ",RANK(X123,$R$112:$Z$123))</f>
        <v> </v>
      </c>
      <c r="AQ123" s="350" t="str">
        <f aca="false">IF($A123="N/A"," ",RANK(Y123,$R$112:$Z$123))</f>
        <v> </v>
      </c>
      <c r="AR123" s="351" t="str">
        <f aca="false">IF($A123="N/A"," ",RANK(Z123,$R$112:$Z$123))</f>
        <v> </v>
      </c>
      <c r="AS123" s="352" t="str">
        <f aca="false">IF($A123="N/A"," ",IF(AJ123&lt;=$AR$2,AA123,0))</f>
        <v> </v>
      </c>
      <c r="AT123" s="353" t="str">
        <f aca="false">IF($A123="N/A"," ",IF(AK123&lt;=$AR$2,AB123,0))</f>
        <v> </v>
      </c>
      <c r="AU123" s="353" t="str">
        <f aca="false">IF($A123="N/A"," ",IF(AL123&lt;=$AR$2,AC123,0))</f>
        <v> </v>
      </c>
      <c r="AV123" s="353" t="str">
        <f aca="false">IF($A123="N/A"," ",IF(AM123&lt;=$AR$2,AD123,0))</f>
        <v> </v>
      </c>
      <c r="AW123" s="353" t="str">
        <f aca="false">IF($A123="N/A"," ",IF(AN123&lt;=$AR$2,AE123,0))</f>
        <v> </v>
      </c>
      <c r="AX123" s="353" t="str">
        <f aca="false">IF($A123="N/A"," ",IF(AO123&lt;=$AR$2,AF123,0))</f>
        <v> </v>
      </c>
      <c r="AY123" s="353" t="str">
        <f aca="false">IF($A123="N/A"," ",IF(AP123&lt;=$AR$2,AG123,0))</f>
        <v> </v>
      </c>
      <c r="AZ123" s="353" t="str">
        <f aca="false">IF($A123="N/A"," ",IF(AQ123&lt;=$AR$2,AH123,0))</f>
        <v> </v>
      </c>
      <c r="BA123" s="353" t="str">
        <f aca="false">IF($A123="N/A"," ",IF(AR123&lt;=$AR$2,AI123,0))</f>
        <v> </v>
      </c>
      <c r="BB123" s="351" t="n">
        <f aca="false">IF(($AZ$2-BB122)&gt;=0,$AZ$2-BB122,0)</f>
        <v>980</v>
      </c>
      <c r="BC123" s="354" t="str">
        <f aca="false">IF($A123="N/A"," ",IF(AND(AJ123=$AR$2+1,AS123=0),MIN($BB$123,AA123),0))</f>
        <v> </v>
      </c>
      <c r="BD123" s="355" t="str">
        <f aca="false">IF($A123="N/A"," ",IF(AND(AK123=$AR$2+1,AT123=0),MIN($BB$123,AB123),0))</f>
        <v> </v>
      </c>
      <c r="BE123" s="346" t="str">
        <f aca="false">IF($A123="N/A"," ",IF(AND(AL123=$AR$2+1,AU123=0),MIN($BB$123,AC123),0))</f>
        <v> </v>
      </c>
      <c r="BF123" s="355" t="str">
        <f aca="false">IF($A123="N/A"," ",IF(AND(AM123=$AR$2+1,AV123=0),MIN($BB$123,AD123),0))</f>
        <v> </v>
      </c>
      <c r="BG123" s="355" t="str">
        <f aca="false">IF($A123="N/A"," ",IF(AND(AN123=$AR$2+1,AW123=0),MIN($BB$123,AE123),0))</f>
        <v> </v>
      </c>
      <c r="BH123" s="346" t="str">
        <f aca="false">IF($A123="N/A"," ",IF(AND(AO123=$AR$2+1,AX123=0),MIN($BB$123,AF123),0))</f>
        <v> </v>
      </c>
      <c r="BI123" s="355" t="str">
        <f aca="false">IF($A123="N/A"," ",IF(AND(AP123=$AR$2+1,AY123=0),MIN($BB$123,AG123),0))</f>
        <v> </v>
      </c>
      <c r="BJ123" s="355" t="str">
        <f aca="false">IF($A123="N/A"," ",IF(AND(AQ123=$AR$2+1,AZ123=0),MIN($BB$123,AH123),0))</f>
        <v> </v>
      </c>
      <c r="BK123" s="355" t="str">
        <f aca="false">IF($A123="N/A"," ",IF(AND(AR123=$AR$2+1,BA123=0),MIN($BB$123,AI123),0))</f>
        <v> </v>
      </c>
      <c r="BL123" s="356" t="n">
        <f aca="false">BB122+BL122</f>
        <v>0</v>
      </c>
      <c r="BM123" s="329" t="str">
        <f aca="false">IF($A123="N/A"," ",(IF(MONTH(A123)&gt;=4,IF(MONTH(A123)&lt;=10,Inputs!$F$13-Inputs!$G$13,Inputs!$F$14-Inputs!$G$14),Inputs!$F$14-Inputs!$G$14))*$CK123*Availability)</f>
        <v> </v>
      </c>
      <c r="BN123" s="330" t="str">
        <f aca="false">IF($A123="N/A"," ",(IF(AS123&gt;0,($BM123*(8*($HD123))*R123),0)+IF(BC123&gt;0,($BM123*((BC123/AA123)*8*$HD123)*R123),0)))</f>
        <v> </v>
      </c>
      <c r="BO123" s="330" t="str">
        <f aca="false">IF($A123="N/A"," ",(IF(AT123&gt;0,($BM123*(8*($HD123))*S123),0)+IF(BD123&gt;0,($BM123*((BD123/AB123)*8*$HD123)*S123),0)))</f>
        <v> </v>
      </c>
      <c r="BP123" s="330" t="str">
        <f aca="false">IF($A123="N/A"," ",(IF(AU123&gt;0,($BM123*(8*($HD123))*T123),0)+IF(BE123&gt;0,($BM123*((BE123))*T123),0)))</f>
        <v> </v>
      </c>
      <c r="BQ123" s="330" t="str">
        <f aca="false">IF($A123="N/A"," ",(IF(AV123&gt;0,($BM123*(8*($HE123))*U123),0)+IF(BF123&gt;0,($BM123*((BF123/AD123)*8*$HE123)*U123),0)))</f>
        <v> </v>
      </c>
      <c r="BR123" s="330" t="str">
        <f aca="false">IF($A123="N/A"," ",(IF(AW123&gt;0,($BM123*(8*($HE123))*V123),0)+IF(BG123&gt;0,($BM123*((BG123/AE123)*8*$HE123)*V123),0)))</f>
        <v> </v>
      </c>
      <c r="BS123" s="330" t="str">
        <f aca="false">IF($A123="N/A"," ",(IF(AX123&gt;0,($BM123*(8*($HE123))*W123),0)+IF(BH123&gt;0,($BM123*((BH123))*W123),0)))</f>
        <v> </v>
      </c>
      <c r="BT123" s="330" t="str">
        <f aca="false">IF($A123="N/A"," ",(IF(AY123&gt;0,($BM123*(8*($HF123))*X123),0)+IF(BI123&gt;0,($BM123*((BI123/AG123)*8*$HF123)*X123),0)))</f>
        <v> </v>
      </c>
      <c r="BU123" s="330" t="str">
        <f aca="false">IF($A123="N/A"," ",(IF(AZ123&gt;0,($BM123*(8*($HF123))*Y123),0)+IF(BJ123&gt;0,($BM123*((BJ123/AH123)*8*$HF123)*Y123),0)))</f>
        <v> </v>
      </c>
      <c r="BV123" s="330" t="str">
        <f aca="false">IF($A123="N/A"," ",(IF(BA123&gt;0,($BM123*(8*($HF123))*Z123),0)+IF(BK123&gt;0,($BM123*((BK123))*Z123),0)))</f>
        <v> </v>
      </c>
      <c r="BW123" s="330" t="str">
        <f aca="false">IF($A123="N/A"," ",SUM(BN123:BV123))</f>
        <v> </v>
      </c>
      <c r="BX123" s="331" t="str">
        <f aca="false">IF($A123="N/A"," ",(H123*(SUM(AS123:BA123)+SUM(BC123:BK123))*BM123))</f>
        <v> </v>
      </c>
      <c r="BY123" s="332" t="str">
        <f aca="false">IF($A123="N/A"," ",((C123*D123)*(SUM($AS123:$BA123)+SUM($BC123:$BK123))*$BM123))</f>
        <v> </v>
      </c>
      <c r="BZ123" s="332" t="str">
        <f aca="false">IF($A123="N/A"," ",(F123*(SUM($AS123:$BA123)+SUM($BC123:$BK123))*$BM123))</f>
        <v> </v>
      </c>
      <c r="CA123" s="333" t="str">
        <f aca="false">IF($A123="N/A"," ",(G123*(SUM($AS123:$BA123)+SUM($BC123:$BK123))*$BM123))</f>
        <v> </v>
      </c>
      <c r="CB123" s="334" t="str">
        <f aca="false">IF(A123="N/A"," ",(VLOOKUP(A123,PowerVolTable,(IF(BMO=2,7,IF(BMO=1,6,8))),FALSE())))</f>
        <v> </v>
      </c>
      <c r="CC123" s="334" t="str">
        <f aca="false">IF(A123="N/A"," ",(VLOOKUP(A123,IntraPowerVol,(IF(BMO=2,3,IF(BMO=1,2,4))),FALSE())*VLOOKUP(MONTH($A123),Volscale,2)))</f>
        <v> </v>
      </c>
      <c r="CD123" s="335" t="str">
        <f aca="false">IF($A123="N/A"," ",(IF(DateToday&gt;$A123,$CC123,((($CB123^2)*((($A123-1)-DateToday)/((EOMONTH($A123,0)+1)-DateToday-15)))+((($CC123)^2)*((15)/((EOMONTH($A123,0)+1)-DateToday-15))))^0.5)))</f>
        <v> </v>
      </c>
      <c r="CE123" s="334" t="str">
        <f aca="false">IF($A123="N/A"," ",(VLOOKUP($A123,GasVolTable,(IF(BMO=2,6,IF(BMO=1,7,5))),FALSE())))</f>
        <v> </v>
      </c>
      <c r="CF123" s="334" t="str">
        <f aca="false">IF($A123="N/A"," ",(VLOOKUP($A123,OmicronVol,(IF(BMO=2,3,IF(BMO=1,4,2))),FALSE())))</f>
        <v> </v>
      </c>
      <c r="CG123" s="335" t="str">
        <f aca="false">IF($A123="N/A"," ",(IF(DateToday&gt;$A123,$CF123,((($CE123^2)*((($A123-1)-DateToday)/((EOMONTH($A123,0)+1)-DateToday-15)))+((($CF123)^2)*((15)/((EOMONTH($A123,0)+1)-DateToday-15))))^0.5)))</f>
        <v> </v>
      </c>
      <c r="CH123" s="334" t="str">
        <f aca="false">IF($A123="N/A"," ",VLOOKUP($A123,CorrelationTable,2,FALSE()))</f>
        <v> </v>
      </c>
      <c r="CI123" s="336" t="str">
        <f aca="false">IF($A123="N/A"," ",F123+G123+(D123*('Pricing Inputs'!T156)))</f>
        <v> </v>
      </c>
      <c r="CJ123" s="334" t="str">
        <f aca="false">IF($A123="N/A"," ",IF(PV=1,0,'Pricing Inputs'!U156))</f>
        <v> </v>
      </c>
      <c r="CK123" s="337" t="str">
        <f aca="false">IF($A123="N/A"," ",(1+CJ123/2)^(-2*((EOMONTH(A123,0)+20)-DateToday)/365.25))</f>
        <v> </v>
      </c>
      <c r="CL123" s="338" t="str">
        <f aca="false">IF(A123="N/A"," ",IF(CC=2,(VLOOKUP(MONTH($A123),Hrtable,3))/1000,0))</f>
        <v> </v>
      </c>
      <c r="CM123" s="339" t="str">
        <f aca="false">IF(A123="N/A"," ",IF(CC=2,(CL123*C123)+F123,0))</f>
        <v> </v>
      </c>
      <c r="CN123" s="340" t="str">
        <f aca="false">IF($A123="N/A"," ",IF(CC=2,(VLOOKUP(A123,ScaledPrice,(IF(AND(Dayrun&gt;=1,Dayrun&lt;=6),2,4)))-((IF(R123&lt;&gt;0,$D123,$CL123)*$C123)+$F123+$G123)),0))</f>
        <v> </v>
      </c>
      <c r="CO123" s="340" t="str">
        <f aca="false">IF($A123="N/A"," ",IF(CC=2,(IF(AND(Dayrun&gt;=1,Dayrun&lt;=6),I123,(VLOOKUP(A123,ScaledPrice,2))*(2-(VLOOKUP(A123,ScaledPrice,3))))-((IF(S123&lt;&gt;0,$D123,$CL123)*$C123)+$F123+$G123)),0))</f>
        <v> </v>
      </c>
      <c r="CP123" s="340" t="str">
        <f aca="false">IF(A123="N/A"," ",IF(CC=2,(VLOOKUP(A123,ScaledPrice,9)-((IF(T123&lt;&gt;0,$D123,$CL123)*$C123)+$F123+$G123)),0))</f>
        <v> </v>
      </c>
      <c r="CQ123" s="340" t="str">
        <f aca="false">IF(A123="N/A"," ",IF(CC=2,(IF(OR(Dayrun=2,Dayrun=3,Dayrun=5,Dayrun=6,Dayrun=8,Dayrun=9),VLOOKUP(A123,ScaledPrice,IF(AND(Dayrun&gt;=2,Dayrun&lt;=6),5,6)),0)-((IF(U123&lt;&gt;0,$D123,$CL123)*$C123)+$F123+$G123)),0))</f>
        <v> </v>
      </c>
      <c r="CR123" s="340" t="str">
        <f aca="false">IF(A123="N/A"," ",IF(CC=2,(IF(OR(Dayrun=2,Dayrun=3,Dayrun=5,Dayrun=6,Dayrun=8,Dayrun=9),IF(AND(Dayrun&gt;=2,Dayrun&lt;=6),L123,(VLOOKUP(A123,ScaledPrice,5))*(2-(VLOOKUP(A123,ScaledPrice,3)))),0)-((IF(V123&lt;&gt;0,$D123,$CL123)*$C123)+$F123+$G123)),0))</f>
        <v> </v>
      </c>
      <c r="CS123" s="340" t="str">
        <f aca="false">IF(A123="N/A"," ",IF(CC=2,(VLOOKUP(A123,ScaledPrice,9)-((IF(W123&lt;&gt;0,$D123,$CL123)*$C123)+$F123+$G123)),0))</f>
        <v> </v>
      </c>
      <c r="CT123" s="340" t="str">
        <f aca="false">IF(A123="N/A"," ",IF(CC=2,(IF(OR(Dayrun=3,Dayrun=6,Dayrun=9),(VLOOKUP(A123,ScaledPrice,IF(AND(Dayrun&gt;=3,Dayrun&lt;=6),7,8))),0)-((IF(X123&lt;&gt;0,$D123,$CL123)*$C123)+$F123+$G123)),0))</f>
        <v> </v>
      </c>
      <c r="CU123" s="340" t="str">
        <f aca="false">IF(A123="N/A"," ",IF(CC=2,(IF(OR(Dayrun=3,Dayrun=6,Dayrun=9),IF(AND(Dayrun&gt;=3,Dayrun&lt;=6),O123,(VLOOKUP(A123,ScaledPrice,7))*(2-(VLOOKUP(A123,ScaledPrice,3)))),0)-((IF(Y123&lt;&gt;0,$D123,$CL123)*$C123)+$F123+$G123)),0))</f>
        <v> </v>
      </c>
      <c r="CV123" s="340" t="str">
        <f aca="false">IF(A123="N/A"," ",IF(CC=2,(VLOOKUP(A123,ScaledPrice,9)-((IF(Z123&lt;&gt;0,$D123,$CL123)*$C123)+$F123+$G123)),0))</f>
        <v> </v>
      </c>
      <c r="CW123" s="318" t="str">
        <f aca="false">IF($A123="N/A"," ",IF(0&lt;&gt;CN123,IF(CC=2,8*$HD123,0),0))</f>
        <v> </v>
      </c>
      <c r="CX123" s="318" t="str">
        <f aca="false">IF($A123="N/A"," ",IF(0&lt;&gt;CO123,IF(CC=2,8*$HD123,0),0))</f>
        <v> </v>
      </c>
      <c r="CY123" s="318" t="str">
        <f aca="false">IF($A123="N/A"," ",IF(0&lt;&gt;CP123,IF(CC=2,8*$HD123,0),0))</f>
        <v> </v>
      </c>
      <c r="CZ123" s="318" t="str">
        <f aca="false">IF($A123="N/A"," ",IF(0&lt;&gt;CQ123,IF(CC=2,8*$HE123,0),0))</f>
        <v> </v>
      </c>
      <c r="DA123" s="318" t="str">
        <f aca="false">IF($A123="N/A"," ",IF(0&lt;&gt;CR123,IF(CC=2,8*$HE123,0),0))</f>
        <v> </v>
      </c>
      <c r="DB123" s="318" t="str">
        <f aca="false">IF($A123="N/A"," ",IF(0&lt;&gt;CS123,IF(CC=2,8*$HE123,0),0))</f>
        <v> </v>
      </c>
      <c r="DC123" s="318" t="str">
        <f aca="false">IF($A123="N/A"," ",IF(0&lt;&gt;CT123,IF(CC=2,8*$HF123,0),0))</f>
        <v> </v>
      </c>
      <c r="DD123" s="318" t="str">
        <f aca="false">IF($A123="N/A"," ",IF(0&lt;&gt;CU123,IF(CC=2,8*$HF123,0),0))</f>
        <v> </v>
      </c>
      <c r="DE123" s="318" t="str">
        <f aca="false">IF($A123="N/A"," ",IF(0&lt;&gt;CV123,IF(CC=2,8*$HF123,0),0))</f>
        <v> </v>
      </c>
      <c r="DF123" s="341" t="str">
        <f aca="false">IF($A123="N/A"," ",IF(CC=2,(IF(MONTH(A123)&gt;=4,IF(MONTH(A123)&lt;=10,Inputs!$G$13,Inputs!$G$14),Inputs!$G$14))*$CK123,0))</f>
        <v> </v>
      </c>
      <c r="DG123" s="342" t="str">
        <f aca="false">IF($A123="N/A"," ",IF(CC=2,$DF123*CW123*CN123,0))</f>
        <v> </v>
      </c>
      <c r="DH123" s="342" t="str">
        <f aca="false">IF($A123="N/A"," ",IF(CC=2,$DF123*CX123*CO123,0))</f>
        <v> </v>
      </c>
      <c r="DI123" s="342" t="str">
        <f aca="false">IF($A123="N/A"," ",IF(CC=2,$DF123*CY123*CP123,0))</f>
        <v> </v>
      </c>
      <c r="DJ123" s="342" t="str">
        <f aca="false">IF($A123="N/A"," ",IF(CC=2,$DF123*CZ123*CQ123,0))</f>
        <v> </v>
      </c>
      <c r="DK123" s="342" t="str">
        <f aca="false">IF($A123="N/A"," ",IF(CC=2,$DF123*DA123*CR123,0))</f>
        <v> </v>
      </c>
      <c r="DL123" s="342" t="str">
        <f aca="false">IF($A123="N/A"," ",IF(CC=2,$DF123*DB123*CS123,0))</f>
        <v> </v>
      </c>
      <c r="DM123" s="342" t="str">
        <f aca="false">IF($A123="N/A"," ",IF(CC=2,$DF123*DC123*CT123,0))</f>
        <v> </v>
      </c>
      <c r="DN123" s="342" t="str">
        <f aca="false">IF($A123="N/A"," ",IF(CC=2,$DF123*DD123*CU123,0))</f>
        <v> </v>
      </c>
      <c r="DO123" s="342" t="str">
        <f aca="false">IF($A123="N/A"," ",IF(CC=2,$DF123*DE123*CV123,0))</f>
        <v> </v>
      </c>
      <c r="DP123" s="343" t="str">
        <f aca="false">IF($A123="N/A"," ",IF(CC=2,SUM(DG123:DO123),0))</f>
        <v> </v>
      </c>
      <c r="DQ123" s="0" t="str">
        <f aca="false">IF(A123="N/A"," ",Perstart)</f>
        <v> </v>
      </c>
      <c r="HD123" s="0" t="str">
        <f aca="false">IF($A123="N/A"," ",VLOOKUP($A123,NumberofDaysTable,2))</f>
        <v> </v>
      </c>
      <c r="HE123" s="0" t="str">
        <f aca="false">IF($A123="N/A"," ",VLOOKUP($A123,NumberofDaysTable,3))</f>
        <v> </v>
      </c>
      <c r="HF123" s="0" t="str">
        <f aca="false">IF($A123="N/A"," ",VLOOKUP($A123,NumberofDaysTable,4))</f>
        <v> </v>
      </c>
    </row>
    <row r="124" customFormat="false" ht="12.75" hidden="false" customHeight="false" outlineLevel="0" collapsed="false">
      <c r="A124" s="308" t="str">
        <f aca="false">IF(A123="N/A","N/A",IF(EDATE(A123,1)&gt;Inputs!$K$3,"N/A",EDATE(A123,1)))</f>
        <v>N/A</v>
      </c>
      <c r="B124" s="309" t="str">
        <f aca="false">IF(A124="N/A"," ",YEAR(A124))</f>
        <v> </v>
      </c>
      <c r="C124" s="310" t="str">
        <f aca="false">IF(A124="N/A"," ",VLOOKUP(A124,ScaledPrice,10))</f>
        <v> </v>
      </c>
      <c r="D124" s="311" t="str">
        <f aca="false">IF(A124="N/A"," ",(VLOOKUP(MONTH($A124),Hrtable,2))/1000)</f>
        <v> </v>
      </c>
      <c r="E124" s="312" t="str">
        <f aca="false">IF($A124="N/A"," ",(C124-'Pricing Inputs'!T157)*D124)</f>
        <v> </v>
      </c>
      <c r="F124" s="313" t="str">
        <f aca="false">IF(A124="N/A"," ",$F112*(1+VOMesc))</f>
        <v> </v>
      </c>
      <c r="G124" s="313" t="str">
        <f aca="false">IF(A124="N/A"," ",Perstart/IF(AND(Dayrun&gt;=4,Dayrun&lt;=6),16,IF(AND(Dayrun&gt;=7,Dayrun&lt;=9),8,24))/(BM124/CK124))</f>
        <v> </v>
      </c>
      <c r="H124" s="314" t="str">
        <f aca="false">IF(A124="N/A"," ",(C124*D124)+F124+G124)</f>
        <v> </v>
      </c>
      <c r="I124" s="315" t="str">
        <f aca="false">VLOOKUP(A124,ScaledPrice,(IF(AND(Dayrun&gt;=1,Dayrun&lt;=6),2,4)))</f>
        <v> </v>
      </c>
      <c r="J124" s="315" t="str">
        <f aca="false">IF(A124="N/A"," ",IF(AND(Dayrun&gt;=1,Dayrun&lt;=6),I124,(VLOOKUP(A124,ScaledPrice,2))*(2-(VLOOKUP(A124,ScaledPrice,3)))))</f>
        <v> </v>
      </c>
      <c r="K124" s="315" t="str">
        <f aca="false">IF(A124="N/A"," ",IF(AND(Dayrun&gt;=1,Dayrun&lt;=3),VLOOKUP(A124,ScaledPrice,9),0))</f>
        <v> </v>
      </c>
      <c r="L124" s="315" t="str">
        <f aca="false">IF(A124="N/A"," ",IF(OR(Dayrun=2,Dayrun=3,Dayrun=5,Dayrun=6,Dayrun=8,Dayrun=9),VLOOKUP(A124,ScaledPrice,IF(AND(Dayrun&gt;=2,Dayrun&lt;=6),5,6)),0))</f>
        <v> </v>
      </c>
      <c r="M124" s="315" t="str">
        <f aca="false">IF(A124="N/A"," ",IF(OR(Dayrun=2,Dayrun=3,Dayrun=5,Dayrun=6,Dayrun=8,Dayrun=9),IF(AND(Dayrun&gt;=2,Dayrun&lt;=6),L124,(VLOOKUP(A124,ScaledPrice,5))*(2-(VLOOKUP(A124,ScaledPrice,3)))),0))</f>
        <v> </v>
      </c>
      <c r="N124" s="315" t="str">
        <f aca="false">IF(A124="N/A"," ",IF(AND(Dayrun&gt;1,Dayrun&lt;=3),VLOOKUP(A124,ScaledPrice,9),0))</f>
        <v> </v>
      </c>
      <c r="O124" s="315" t="str">
        <f aca="false">IF(A124="N/A"," ",IF(OR(Dayrun=3,Dayrun=6,Dayrun=9),(VLOOKUP(A124,ScaledPrice,IF(AND(Dayrun&gt;=3,Dayrun&lt;=6),7,8))),0))</f>
        <v> </v>
      </c>
      <c r="P124" s="315" t="str">
        <f aca="false">IF(A124="N/A"," ",IF(OR(Dayrun=3,Dayrun=6,Dayrun=9),IF(AND(Dayrun&gt;=3,Dayrun&lt;=6),O124,(VLOOKUP(A124,ScaledPrice,7))*(2-(VLOOKUP(A124,ScaledPrice,3)))),0))</f>
        <v> </v>
      </c>
      <c r="Q124" s="315" t="str">
        <f aca="false">IF(A124="N/A"," ",IF(AND(Dayrun&gt;2,Dayrun&lt;=3),VLOOKUP(A124,ScaledPrice,9),0))</f>
        <v> </v>
      </c>
      <c r="R124" s="316" t="str">
        <f aca="false">IF($A124="N/A"," ",IF(Pricetype=2,MAX(I124-$H124,0),IF(Pricetype=1,(xSPRDOPT(I124,$E124,$CI124,0,($CD124+IF(Smile=TRUE(),VLOOKUP(MAX(-5,$H124-I124),Volsmile,2),0)),$CG124,$CH124,($A124-DateToday)+15,1,0)),I124-$H124)))</f>
        <v> </v>
      </c>
      <c r="S124" s="316" t="str">
        <f aca="false">IF($A124="N/A"," ",IF(Pricetype=2,MAX(J124-$H124,0),IF(Pricetype=1,(xSPRDOPT(J124,$E124,$CI124,0,($CD124+IF(Smile=TRUE(),VLOOKUP(MAX(-5,$H124-J124),Volsmile,2),0)),$CG124,$CH124,($A124-DateToday)+15,1,0)),J124-$H124)))</f>
        <v> </v>
      </c>
      <c r="T124" s="317" t="str">
        <f aca="false">IF($A124="N/A"," ",(IF(Pricetype=2,IF((K124-$H124)&lt;=0,0,(K124-$H124)),IF(K124&lt;&gt;0,(K124-$H124),0))))</f>
        <v> </v>
      </c>
      <c r="U124" s="316" t="str">
        <f aca="false">IF($A124="N/A"," ",IF(Pricetype=2,MAX(L124-$H124,0),IF(L124&lt;&gt;0,IF(Pricetype=1,(xSPRDOPT(L124,$E124,$CI124,0,($CD124+IF(Smile=TRUE(),VLOOKUP(MAX(-5,$H124-L124),Volsmile,2),0)),$CG124,$CH124,($A124-DateToday)+15,1,0)),L124-$H124),0)))</f>
        <v> </v>
      </c>
      <c r="V124" s="316" t="str">
        <f aca="false">IF($A124="N/A"," ",IF(Pricetype=2,MAX(M124-$H124,0),IF(M124&lt;&gt;0,IF(Pricetype=1,(xSPRDOPT(M124,$E124,$CI124,0,($CD124+IF(Smile=TRUE(),VLOOKUP(MAX(-5,$H124-M124),Volsmile,2),0)),$CG124,$CH124,($A124-DateToday)+15,1,0)),M124-$H124),0)))</f>
        <v> </v>
      </c>
      <c r="W124" s="317" t="str">
        <f aca="false">IF($A124="N/A"," ",(IF(Pricetype=2,IF((N124-$H124)&lt;=0,0,(N124-$H124)),IF(N124&lt;&gt;0,(N124-$H124),0))))</f>
        <v> </v>
      </c>
      <c r="X124" s="316" t="str">
        <f aca="false">IF($A124="N/A"," ",IF(Pricetype=2,MAX(O124-$H124,0),IF(O124&lt;&gt;0,IF(Pricetype=1,(xSPRDOPT(O124,$E124,$CI124,0,($CD124+IF(Smile=TRUE(),VLOOKUP(MAX(-5,$H124-O124),Volsmile,2),0)),$CG124,$CH124,($A124-DateToday)+15,1,0)),O124-$H124),0)))</f>
        <v> </v>
      </c>
      <c r="Y124" s="316" t="str">
        <f aca="false">IF($A124="N/A"," ",IF(Pricetype=2,MAX(P124-$H124,0),IF(P124&lt;&gt;0,IF(Pricetype=1,(xSPRDOPT(P124,$E124,$CI124,0,($CD124+IF(Smile=TRUE(),VLOOKUP(MAX(-5,$H124-P124),Volsmile,2),0)),$CG124,$CH124,($A124-DateToday)+15,1,0)),P124-$H124),0)))</f>
        <v> </v>
      </c>
      <c r="Z124" s="317" t="str">
        <f aca="false">IF($A124="N/A"," ",(IF(Pricetype=2,IF((Q124-$H124)&lt;=0,0,(Q124-$H124)),IF(Q124&lt;&gt;0,(Q124-$H124),0))))</f>
        <v> </v>
      </c>
      <c r="AA124" s="318" t="str">
        <f aca="false">IF($A124="N/A"," ",IF(VLOOKUP(MONTH(A124),ManualTable,2)=1,(IF(0&lt;&gt;R124,IF(Pricetype=1,(xSPRDOPT(I124,$E124,$CI124,0,($CD124+IF(Smile=TRUE(),VLOOKUP(MAX(-5,$H124-I124),Volsmile,2),0)),$CG124,$CH124,($A124-DateToday)+15,1,1))*(8*$HD124),8*$HD124),0)),0))</f>
        <v> </v>
      </c>
      <c r="AB124" s="318" t="str">
        <f aca="false">IF($A124="N/A"," ",IF(VLOOKUP(MONTH(A124),ManualTable,3)=1,(IF(S124&lt;&gt;0,IF(Pricetype=1,(xSPRDOPT(J124,$E124,$CI124,0,($CD124+IF(Smile=TRUE(),VLOOKUP(MAX(-5,$H124-J124),Volsmile,2),0)),$CG124,$CH124,($A124-DateToday)+15,1,1))*(8*$HD124),8*$HD124),0)),0))</f>
        <v> </v>
      </c>
      <c r="AC124" s="318" t="str">
        <f aca="false">IF($A124="N/A"," ",IF(VLOOKUP(MONTH(A124),ManualTable,4)=1,(IF(T124&lt;&gt;0,(8*$HD124),0)),0))</f>
        <v> </v>
      </c>
      <c r="AD124" s="318" t="str">
        <f aca="false">IF($A124="N/A"," ",IF(VLOOKUP(MONTH(A124),ManualTable,5)=1,(IF(U124&lt;&gt;0,IF(Pricetype=1,(xSPRDOPT(L124,$E124,$CI124,0,($CD124+IF(Smile=TRUE(),VLOOKUP(MAX(-5,$H124-L124),Volsmile,2),0)),$CG124,$CH124,($A124-DateToday)+15,1,1))*(8*$HE124),8*$HE124),0)),0))</f>
        <v> </v>
      </c>
      <c r="AE124" s="318" t="str">
        <f aca="false">IF($A124="N/A"," ",IF(VLOOKUP(MONTH(A124),ManualTable,6)=1,(IF(V124&lt;&gt;0,IF(Pricetype=1,(xSPRDOPT(M124,$E124,$CI124,0,($CD124+IF(Smile=TRUE(),VLOOKUP(MAX(-5,$H124-M124),Volsmile,2),0)),$CG124,$CH124,($A124-DateToday)+15,1,1))*(8*$HE124),8*$HE124),0)),0))</f>
        <v> </v>
      </c>
      <c r="AF124" s="318" t="str">
        <f aca="false">IF($A124="N/A"," ",IF(VLOOKUP(MONTH(A124),ManualTable,7)=1,(IF(W124&lt;&gt;0,(8*$HE124),0)),0))</f>
        <v> </v>
      </c>
      <c r="AG124" s="318" t="str">
        <f aca="false">IF($A124="N/A"," ",IF(VLOOKUP(MONTH(A124),ManualTable,8)=1,(IF(X124&lt;&gt;0,IF(Pricetype=1,(xSPRDOPT(O124,$E124,$CI124,0,($CD124+IF(Smile=TRUE(),VLOOKUP(MAX(-5,$H124-O124),Volsmile,2),0)),$CG124,$CH124,($A124-DateToday)+15,1,1))*(8*$HF124),8*$HF124),0)),0))</f>
        <v> </v>
      </c>
      <c r="AH124" s="318" t="str">
        <f aca="false">IF($A124="N/A"," ",IF(VLOOKUP(MONTH(A124),ManualTable,9)=1,(IF(Y124&lt;&gt;0,IF(Pricetype=1,(xSPRDOPT(P124,$E124,$CI124,0,($CD124+IF(Smile=TRUE(),VLOOKUP(MAX(-5,$H124-P124),Volsmile,2),0)),$CG124,$CH124,($A124-DateToday)+15,1,1))*(8*$HF124),8*$HF124),0)),0))</f>
        <v> </v>
      </c>
      <c r="AI124" s="318" t="str">
        <f aca="false">IF($A124="N/A"," ",IF(VLOOKUP(MONTH(A124),ManualTable,10)=1,(IF(Z124&lt;&gt;0,(8*($HF124)),0)),0))</f>
        <v> </v>
      </c>
      <c r="AJ124" s="319" t="str">
        <f aca="false">IF($A124="N/A"," ",RANK(R124,$R$124:$Z$135))</f>
        <v> </v>
      </c>
      <c r="AK124" s="320" t="str">
        <f aca="false">IF($A124="N/A"," ",RANK(S124,$R$124:$Z$135))</f>
        <v> </v>
      </c>
      <c r="AL124" s="320" t="str">
        <f aca="false">IF($A124="N/A"," ",RANK(T124,$R$124:$Z$135))</f>
        <v> </v>
      </c>
      <c r="AM124" s="320" t="str">
        <f aca="false">IF($A124="N/A"," ",RANK(U124,$R$124:$Z$135))</f>
        <v> </v>
      </c>
      <c r="AN124" s="320" t="str">
        <f aca="false">IF($A124="N/A"," ",RANK(V124,$R$124:$Z$135))</f>
        <v> </v>
      </c>
      <c r="AO124" s="320" t="str">
        <f aca="false">IF($A124="N/A"," ",RANK(W124,$R$124:$Z$135))</f>
        <v> </v>
      </c>
      <c r="AP124" s="320" t="str">
        <f aca="false">IF($A124="N/A"," ",RANK(X124,$R$124:$Z$135))</f>
        <v> </v>
      </c>
      <c r="AQ124" s="320" t="str">
        <f aca="false">IF($A124="N/A"," ",RANK(Y124,$R$124:$Z$135))</f>
        <v> </v>
      </c>
      <c r="AR124" s="322" t="str">
        <f aca="false">IF($A124="N/A"," ",RANK(Z124,$R$124:$Z$135))</f>
        <v> </v>
      </c>
      <c r="AS124" s="357" t="str">
        <f aca="false">IF($A124="N/A"," ",IF(AJ124&lt;=$AR$2,AA124,0))</f>
        <v> </v>
      </c>
      <c r="AT124" s="324" t="str">
        <f aca="false">IF($A124="N/A"," ",IF(AK124&lt;=$AR$2,AB124,0))</f>
        <v> </v>
      </c>
      <c r="AU124" s="325" t="str">
        <f aca="false">IF($A124="N/A"," ",IF(AL124&lt;=$AR$2,AC124,0))</f>
        <v> </v>
      </c>
      <c r="AV124" s="325" t="str">
        <f aca="false">IF($A124="N/A"," ",IF(AM124&lt;=$AR$2,AD124,0))</f>
        <v> </v>
      </c>
      <c r="AW124" s="325" t="str">
        <f aca="false">IF($A124="N/A"," ",IF(AN124&lt;=$AR$2,AE124,0))</f>
        <v> </v>
      </c>
      <c r="AX124" s="325" t="str">
        <f aca="false">IF($A124="N/A"," ",IF(AO124&lt;=$AR$2,AF124,0))</f>
        <v> </v>
      </c>
      <c r="AY124" s="324" t="str">
        <f aca="false">IF($A124="N/A"," ",IF(AP124&lt;=$AR$2,AG124,0))</f>
        <v> </v>
      </c>
      <c r="AZ124" s="324" t="str">
        <f aca="false">IF($A124="N/A"," ",IF(AQ124&lt;=$AR$2,AH124,0))</f>
        <v> </v>
      </c>
      <c r="BA124" s="324" t="str">
        <f aca="false">IF($A124="N/A"," ",IF(AR124&lt;=$AR$2,AI124,0))</f>
        <v> </v>
      </c>
      <c r="BB124" s="322"/>
      <c r="BC124" s="358" t="str">
        <f aca="false">IF($A124="N/A"," ",IF(AND(AJ124=$AR$2+1,AS124=0),MIN($BB$135,AA124),0))</f>
        <v> </v>
      </c>
      <c r="BD124" s="327" t="str">
        <f aca="false">IF($A124="N/A"," ",IF(AND(AK124=$AR$2+1,AT124=0),MIN($BB$135,AB124),0))</f>
        <v> </v>
      </c>
      <c r="BE124" s="327" t="str">
        <f aca="false">IF($A124="N/A"," ",IF(AND(AL124=$AR$2+1,AU124=0),MIN($BB$135,AC124),0))</f>
        <v> </v>
      </c>
      <c r="BF124" s="327" t="str">
        <f aca="false">IF($A124="N/A"," ",IF(AND(AM124=$AR$2+1,AV124=0),MIN($BB$135,AD124),0))</f>
        <v> </v>
      </c>
      <c r="BG124" s="327" t="str">
        <f aca="false">IF($A124="N/A"," ",IF(AND(AN124=$AR$2+1,AW124=0),MIN($BB$135,AE124),0))</f>
        <v> </v>
      </c>
      <c r="BH124" s="327" t="str">
        <f aca="false">IF($A124="N/A"," ",IF(AND(AO124=$AR$2+1,AX124=0),MIN($BB$135,AF124),0))</f>
        <v> </v>
      </c>
      <c r="BI124" s="327" t="str">
        <f aca="false">IF($A124="N/A"," ",IF(AND(AP124=$AR$2+1,AY124=0),MIN($BB$135,AG124),0))</f>
        <v> </v>
      </c>
      <c r="BJ124" s="327" t="str">
        <f aca="false">IF($A124="N/A"," ",IF(AND(AQ124=$AR$2+1,AZ124=0),MIN($BB$135,AH124),0))</f>
        <v> </v>
      </c>
      <c r="BK124" s="327" t="str">
        <f aca="false">IF($A124="N/A"," ",IF(AND(AR124=$AR$2+1,BA124=0),MIN($BB$135,AI124),0))</f>
        <v> </v>
      </c>
      <c r="BL124" s="322"/>
      <c r="BM124" s="329" t="str">
        <f aca="false">IF($A124="N/A"," ",(IF(MONTH(A124)&gt;=4,IF(MONTH(A124)&lt;=10,Inputs!$F$13-Inputs!$G$13,Inputs!$F$14-Inputs!$G$14),Inputs!$F$14-Inputs!$G$14))*$CK124*Availability)</f>
        <v> </v>
      </c>
      <c r="BN124" s="330" t="str">
        <f aca="false">IF($A124="N/A"," ",(IF(AS124&gt;0,($BM124*(8*($HD124))*R124),0)+IF(BC124&gt;0,($BM124*((BC124/AA124)*8*$HD124)*R124),0)))</f>
        <v> </v>
      </c>
      <c r="BO124" s="330" t="str">
        <f aca="false">IF($A124="N/A"," ",(IF(AT124&gt;0,($BM124*(8*($HD124))*S124),0)+IF(BD124&gt;0,($BM124*((BD124/AB124)*8*$HD124)*S124),0)))</f>
        <v> </v>
      </c>
      <c r="BP124" s="330" t="str">
        <f aca="false">IF($A124="N/A"," ",(IF(AU124&gt;0,($BM124*(8*($HD124))*T124),0)+IF(BE124&gt;0,($BM124*((BE124))*T124),0)))</f>
        <v> </v>
      </c>
      <c r="BQ124" s="330" t="str">
        <f aca="false">IF($A124="N/A"," ",(IF(AV124&gt;0,($BM124*(8*($HE124))*U124),0)+IF(BF124&gt;0,($BM124*((BF124/AD124)*8*$HE124)*U124),0)))</f>
        <v> </v>
      </c>
      <c r="BR124" s="330" t="str">
        <f aca="false">IF($A124="N/A"," ",(IF(AW124&gt;0,($BM124*(8*($HE124))*V124),0)+IF(BG124&gt;0,($BM124*((BG124/AE124)*8*$HE124)*V124),0)))</f>
        <v> </v>
      </c>
      <c r="BS124" s="330" t="str">
        <f aca="false">IF($A124="N/A"," ",(IF(AX124&gt;0,($BM124*(8*($HE124))*W124),0)+IF(BH124&gt;0,($BM124*((BH124))*W124),0)))</f>
        <v> </v>
      </c>
      <c r="BT124" s="330" t="str">
        <f aca="false">IF($A124="N/A"," ",(IF(AY124&gt;0,($BM124*(8*($HF124))*X124),0)+IF(BI124&gt;0,($BM124*((BI124/AG124)*8*$HF124)*X124),0)))</f>
        <v> </v>
      </c>
      <c r="BU124" s="330" t="str">
        <f aca="false">IF($A124="N/A"," ",(IF(AZ124&gt;0,($BM124*(8*($HF124))*Y124),0)+IF(BJ124&gt;0,($BM124*((BJ124/AH124)*8*$HF124)*Y124),0)))</f>
        <v> </v>
      </c>
      <c r="BV124" s="330" t="str">
        <f aca="false">IF($A124="N/A"," ",(IF(BA124&gt;0,($BM124*(8*($HF124))*Z124),0)+IF(BK124&gt;0,($BM124*((BK124))*Z124),0)))</f>
        <v> </v>
      </c>
      <c r="BW124" s="330" t="str">
        <f aca="false">IF($A124="N/A"," ",SUM(BN124:BV124))</f>
        <v> </v>
      </c>
      <c r="BX124" s="331" t="str">
        <f aca="false">IF($A124="N/A"," ",(H124*(SUM(AS124:BA124)+SUM(BC124:BK124))*BM124))</f>
        <v> </v>
      </c>
      <c r="BY124" s="332" t="str">
        <f aca="false">IF($A124="N/A"," ",((C124*D124)*(SUM($AS124:$BA124)+SUM($BC124:$BK124))*$BM124))</f>
        <v> </v>
      </c>
      <c r="BZ124" s="332" t="str">
        <f aca="false">IF($A124="N/A"," ",(F124*(SUM($AS124:$BA124)+SUM($BC124:$BK124))*$BM124))</f>
        <v> </v>
      </c>
      <c r="CA124" s="333" t="str">
        <f aca="false">IF($A124="N/A"," ",(G124*(SUM($AS124:$BA124)+SUM($BC124:$BK124))*$BM124))</f>
        <v> </v>
      </c>
      <c r="CB124" s="334" t="str">
        <f aca="false">IF(A124="N/A"," ",(VLOOKUP(A124,PowerVolTable,(IF(BMO=2,7,IF(BMO=1,6,8))),FALSE())))</f>
        <v> </v>
      </c>
      <c r="CC124" s="334" t="str">
        <f aca="false">IF(A124="N/A"," ",(VLOOKUP(A124,IntraPowerVol,(IF(BMO=2,3,IF(BMO=1,2,4))),FALSE())*VLOOKUP(MONTH($A124),Volscale,2)))</f>
        <v> </v>
      </c>
      <c r="CD124" s="335" t="str">
        <f aca="false">IF($A124="N/A"," ",(IF(DateToday&gt;$A124,$CC124,((($CB124^2)*((($A124-1)-DateToday)/((EOMONTH($A124,0)+1)-DateToday-15)))+((($CC124)^2)*((15)/((EOMONTH($A124,0)+1)-DateToday-15))))^0.5)))</f>
        <v> </v>
      </c>
      <c r="CE124" s="334" t="str">
        <f aca="false">IF($A124="N/A"," ",(VLOOKUP($A124,GasVolTable,(IF(BMO=2,6,IF(BMO=1,7,5))),FALSE())))</f>
        <v> </v>
      </c>
      <c r="CF124" s="334" t="str">
        <f aca="false">IF($A124="N/A"," ",(VLOOKUP($A124,OmicronVol,(IF(BMO=2,3,IF(BMO=1,4,2))),FALSE())))</f>
        <v> </v>
      </c>
      <c r="CG124" s="335" t="str">
        <f aca="false">IF($A124="N/A"," ",(IF(DateToday&gt;$A124,$CF124,((($CE124^2)*((($A124-1)-DateToday)/((EOMONTH($A124,0)+1)-DateToday-15)))+((($CF124)^2)*((15)/((EOMONTH($A124,0)+1)-DateToday-15))))^0.5)))</f>
        <v> </v>
      </c>
      <c r="CH124" s="334" t="str">
        <f aca="false">IF($A124="N/A"," ",VLOOKUP($A124,CorrelationTable,2,FALSE()))</f>
        <v> </v>
      </c>
      <c r="CI124" s="336" t="str">
        <f aca="false">IF($A124="N/A"," ",F124+G124+(D124*('Pricing Inputs'!T157)))</f>
        <v> </v>
      </c>
      <c r="CJ124" s="334" t="str">
        <f aca="false">IF($A124="N/A"," ",IF(PV=1,0,'Pricing Inputs'!U157))</f>
        <v> </v>
      </c>
      <c r="CK124" s="337" t="str">
        <f aca="false">IF($A124="N/A"," ",(1+CJ124/2)^(-2*((EOMONTH(A124,0)+20)-DateToday)/365.25))</f>
        <v> </v>
      </c>
      <c r="CL124" s="338" t="str">
        <f aca="false">IF(A124="N/A"," ",IF(CC=2,(VLOOKUP(MONTH($A124),Hrtable,3))/1000,0))</f>
        <v> </v>
      </c>
      <c r="CM124" s="339" t="str">
        <f aca="false">IF(A124="N/A"," ",IF(CC=2,(CL124*C124)+F124,0))</f>
        <v> </v>
      </c>
      <c r="CN124" s="340" t="str">
        <f aca="false">IF($A124="N/A"," ",IF(CC=2,(VLOOKUP(A124,ScaledPrice,(IF(AND(Dayrun&gt;=1,Dayrun&lt;=6),2,4)))-((IF(R124&lt;&gt;0,$D124,$CL124)*$C124)+$F124+$G124)),0))</f>
        <v> </v>
      </c>
      <c r="CO124" s="340" t="str">
        <f aca="false">IF($A124="N/A"," ",IF(CC=2,(IF(AND(Dayrun&gt;=1,Dayrun&lt;=6),I124,(VLOOKUP(A124,ScaledPrice,2))*(2-(VLOOKUP(A124,ScaledPrice,3))))-((IF(S124&lt;&gt;0,$D124,$CL124)*$C124)+$F124+$G124)),0))</f>
        <v> </v>
      </c>
      <c r="CP124" s="340" t="str">
        <f aca="false">IF(A124="N/A"," ",IF(CC=2,(VLOOKUP(A124,ScaledPrice,9)-((IF(T124&lt;&gt;0,$D124,$CL124)*$C124)+$F124+$G124)),0))</f>
        <v> </v>
      </c>
      <c r="CQ124" s="340" t="str">
        <f aca="false">IF(A124="N/A"," ",IF(CC=2,(IF(OR(Dayrun=2,Dayrun=3,Dayrun=5,Dayrun=6,Dayrun=8,Dayrun=9),VLOOKUP(A124,ScaledPrice,IF(AND(Dayrun&gt;=2,Dayrun&lt;=6),5,6)),0)-((IF(U124&lt;&gt;0,$D124,$CL124)*$C124)+$F124+$G124)),0))</f>
        <v> </v>
      </c>
      <c r="CR124" s="340" t="str">
        <f aca="false">IF(A124="N/A"," ",IF(CC=2,(IF(OR(Dayrun=2,Dayrun=3,Dayrun=5,Dayrun=6,Dayrun=8,Dayrun=9),IF(AND(Dayrun&gt;=2,Dayrun&lt;=6),L124,(VLOOKUP(A124,ScaledPrice,5))*(2-(VLOOKUP(A124,ScaledPrice,3)))),0)-((IF(V124&lt;&gt;0,$D124,$CL124)*$C124)+$F124+$G124)),0))</f>
        <v> </v>
      </c>
      <c r="CS124" s="340" t="str">
        <f aca="false">IF(A124="N/A"," ",IF(CC=2,(VLOOKUP(A124,ScaledPrice,9)-((IF(W124&lt;&gt;0,$D124,$CL124)*$C124)+$F124+$G124)),0))</f>
        <v> </v>
      </c>
      <c r="CT124" s="340" t="str">
        <f aca="false">IF(A124="N/A"," ",IF(CC=2,(IF(OR(Dayrun=3,Dayrun=6,Dayrun=9),(VLOOKUP(A124,ScaledPrice,IF(AND(Dayrun&gt;=3,Dayrun&lt;=6),7,8))),0)-((IF(X124&lt;&gt;0,$D124,$CL124)*$C124)+$F124+$G124)),0))</f>
        <v> </v>
      </c>
      <c r="CU124" s="340" t="str">
        <f aca="false">IF(A124="N/A"," ",IF(CC=2,(IF(OR(Dayrun=3,Dayrun=6,Dayrun=9),IF(AND(Dayrun&gt;=3,Dayrun&lt;=6),O124,(VLOOKUP(A124,ScaledPrice,7))*(2-(VLOOKUP(A124,ScaledPrice,3)))),0)-((IF(Y124&lt;&gt;0,$D124,$CL124)*$C124)+$F124+$G124)),0))</f>
        <v> </v>
      </c>
      <c r="CV124" s="340" t="str">
        <f aca="false">IF(A124="N/A"," ",IF(CC=2,(VLOOKUP(A124,ScaledPrice,9)-((IF(Z124&lt;&gt;0,$D124,$CL124)*$C124)+$F124+$G124)),0))</f>
        <v> </v>
      </c>
      <c r="CW124" s="318" t="str">
        <f aca="false">IF($A124="N/A"," ",IF(0&lt;&gt;CN124,IF(CC=2,8*$HD124,0),0))</f>
        <v> </v>
      </c>
      <c r="CX124" s="318" t="str">
        <f aca="false">IF($A124="N/A"," ",IF(0&lt;&gt;CO124,IF(CC=2,8*$HD124,0),0))</f>
        <v> </v>
      </c>
      <c r="CY124" s="318" t="str">
        <f aca="false">IF($A124="N/A"," ",IF(0&lt;&gt;CP124,IF(CC=2,8*$HD124,0),0))</f>
        <v> </v>
      </c>
      <c r="CZ124" s="318" t="str">
        <f aca="false">IF($A124="N/A"," ",IF(0&lt;&gt;CQ124,IF(CC=2,8*$HE124,0),0))</f>
        <v> </v>
      </c>
      <c r="DA124" s="318" t="str">
        <f aca="false">IF($A124="N/A"," ",IF(0&lt;&gt;CR124,IF(CC=2,8*$HE124,0),0))</f>
        <v> </v>
      </c>
      <c r="DB124" s="318" t="str">
        <f aca="false">IF($A124="N/A"," ",IF(0&lt;&gt;CS124,IF(CC=2,8*$HE124,0),0))</f>
        <v> </v>
      </c>
      <c r="DC124" s="318" t="str">
        <f aca="false">IF($A124="N/A"," ",IF(0&lt;&gt;CT124,IF(CC=2,8*$HF124,0),0))</f>
        <v> </v>
      </c>
      <c r="DD124" s="318" t="str">
        <f aca="false">IF($A124="N/A"," ",IF(0&lt;&gt;CU124,IF(CC=2,8*$HF124,0),0))</f>
        <v> </v>
      </c>
      <c r="DE124" s="318" t="str">
        <f aca="false">IF($A124="N/A"," ",IF(0&lt;&gt;CV124,IF(CC=2,8*$HF124,0),0))</f>
        <v> </v>
      </c>
      <c r="DF124" s="341" t="str">
        <f aca="false">IF($A124="N/A"," ",IF(CC=2,(IF(MONTH(A124)&gt;=4,IF(MONTH(A124)&lt;=10,Inputs!$G$13,Inputs!$G$14),Inputs!$G$14))*$CK124,0))</f>
        <v> </v>
      </c>
      <c r="DG124" s="342" t="str">
        <f aca="false">IF($A124="N/A"," ",IF(CC=2,$DF124*CW124*CN124,0))</f>
        <v> </v>
      </c>
      <c r="DH124" s="342" t="str">
        <f aca="false">IF($A124="N/A"," ",IF(CC=2,$DF124*CX124*CO124,0))</f>
        <v> </v>
      </c>
      <c r="DI124" s="342" t="str">
        <f aca="false">IF($A124="N/A"," ",IF(CC=2,$DF124*CY124*CP124,0))</f>
        <v> </v>
      </c>
      <c r="DJ124" s="342" t="str">
        <f aca="false">IF($A124="N/A"," ",IF(CC=2,$DF124*CZ124*CQ124,0))</f>
        <v> </v>
      </c>
      <c r="DK124" s="342" t="str">
        <f aca="false">IF($A124="N/A"," ",IF(CC=2,$DF124*DA124*CR124,0))</f>
        <v> </v>
      </c>
      <c r="DL124" s="342" t="str">
        <f aca="false">IF($A124="N/A"," ",IF(CC=2,$DF124*DB124*CS124,0))</f>
        <v> </v>
      </c>
      <c r="DM124" s="342" t="str">
        <f aca="false">IF($A124="N/A"," ",IF(CC=2,$DF124*DC124*CT124,0))</f>
        <v> </v>
      </c>
      <c r="DN124" s="342" t="str">
        <f aca="false">IF($A124="N/A"," ",IF(CC=2,$DF124*DD124*CU124,0))</f>
        <v> </v>
      </c>
      <c r="DO124" s="342" t="str">
        <f aca="false">IF($A124="N/A"," ",IF(CC=2,$DF124*DE124*CV124,0))</f>
        <v> </v>
      </c>
      <c r="DP124" s="343" t="str">
        <f aca="false">IF($A124="N/A"," ",IF(CC=2,SUM(DG124:DO124),0))</f>
        <v> </v>
      </c>
      <c r="DQ124" s="0" t="str">
        <f aca="false">IF(A124="N/A"," ",Perstart)</f>
        <v> </v>
      </c>
      <c r="HD124" s="0" t="str">
        <f aca="false">IF($A124="N/A"," ",VLOOKUP($A124,NumberofDaysTable,2))</f>
        <v> </v>
      </c>
      <c r="HE124" s="0" t="str">
        <f aca="false">IF($A124="N/A"," ",VLOOKUP($A124,NumberofDaysTable,3))</f>
        <v> </v>
      </c>
      <c r="HF124" s="0" t="str">
        <f aca="false">IF($A124="N/A"," ",VLOOKUP($A124,NumberofDaysTable,4))</f>
        <v> </v>
      </c>
    </row>
    <row r="125" customFormat="false" ht="12.75" hidden="false" customHeight="false" outlineLevel="0" collapsed="false">
      <c r="A125" s="308" t="str">
        <f aca="false">IF(A124="N/A","N/A",IF(EDATE(A124,1)&gt;Inputs!$K$3,"N/A",EDATE(A124,1)))</f>
        <v>N/A</v>
      </c>
      <c r="B125" s="309" t="str">
        <f aca="false">IF(A125="N/A"," ",YEAR(A125))</f>
        <v> </v>
      </c>
      <c r="C125" s="310" t="str">
        <f aca="false">IF(A125="N/A"," ",VLOOKUP(A125,ScaledPrice,10))</f>
        <v> </v>
      </c>
      <c r="D125" s="311" t="str">
        <f aca="false">IF(A125="N/A"," ",(VLOOKUP(MONTH($A125),Hrtable,2))/1000)</f>
        <v> </v>
      </c>
      <c r="E125" s="312" t="str">
        <f aca="false">IF($A125="N/A"," ",(C125-'Pricing Inputs'!T158)*D125)</f>
        <v> </v>
      </c>
      <c r="F125" s="313" t="str">
        <f aca="false">IF(A125="N/A"," ",$F113*(1+VOMesc))</f>
        <v> </v>
      </c>
      <c r="G125" s="313" t="str">
        <f aca="false">IF(A125="N/A"," ",Perstart/IF(AND(Dayrun&gt;=4,Dayrun&lt;=6),16,IF(AND(Dayrun&gt;=7,Dayrun&lt;=9),8,24))/(BM125/CK125))</f>
        <v> </v>
      </c>
      <c r="H125" s="314" t="str">
        <f aca="false">IF(A125="N/A"," ",(C125*D125)+F125+G125)</f>
        <v> </v>
      </c>
      <c r="I125" s="315" t="str">
        <f aca="false">VLOOKUP(A125,ScaledPrice,(IF(AND(Dayrun&gt;=1,Dayrun&lt;=6),2,4)))</f>
        <v> </v>
      </c>
      <c r="J125" s="315" t="str">
        <f aca="false">IF(A125="N/A"," ",IF(AND(Dayrun&gt;=1,Dayrun&lt;=6),I125,(VLOOKUP(A125,ScaledPrice,2))*(2-(VLOOKUP(A125,ScaledPrice,3)))))</f>
        <v> </v>
      </c>
      <c r="K125" s="315" t="str">
        <f aca="false">IF(A125="N/A"," ",IF(AND(Dayrun&gt;=1,Dayrun&lt;=3),VLOOKUP(A125,ScaledPrice,9),0))</f>
        <v> </v>
      </c>
      <c r="L125" s="315" t="str">
        <f aca="false">IF(A125="N/A"," ",IF(OR(Dayrun=2,Dayrun=3,Dayrun=5,Dayrun=6,Dayrun=8,Dayrun=9),VLOOKUP(A125,ScaledPrice,IF(AND(Dayrun&gt;=2,Dayrun&lt;=6),5,6)),0))</f>
        <v> </v>
      </c>
      <c r="M125" s="315" t="str">
        <f aca="false">IF(A125="N/A"," ",IF(OR(Dayrun=2,Dayrun=3,Dayrun=5,Dayrun=6,Dayrun=8,Dayrun=9),IF(AND(Dayrun&gt;=2,Dayrun&lt;=6),L125,(VLOOKUP(A125,ScaledPrice,5))*(2-(VLOOKUP(A125,ScaledPrice,3)))),0))</f>
        <v> </v>
      </c>
      <c r="N125" s="315" t="str">
        <f aca="false">IF(A125="N/A"," ",IF(AND(Dayrun&gt;1,Dayrun&lt;=3),VLOOKUP(A125,ScaledPrice,9),0))</f>
        <v> </v>
      </c>
      <c r="O125" s="315" t="str">
        <f aca="false">IF(A125="N/A"," ",IF(OR(Dayrun=3,Dayrun=6,Dayrun=9),(VLOOKUP(A125,ScaledPrice,IF(AND(Dayrun&gt;=3,Dayrun&lt;=6),7,8))),0))</f>
        <v> </v>
      </c>
      <c r="P125" s="315" t="str">
        <f aca="false">IF(A125="N/A"," ",IF(OR(Dayrun=3,Dayrun=6,Dayrun=9),IF(AND(Dayrun&gt;=3,Dayrun&lt;=6),O125,(VLOOKUP(A125,ScaledPrice,7))*(2-(VLOOKUP(A125,ScaledPrice,3)))),0))</f>
        <v> </v>
      </c>
      <c r="Q125" s="315" t="str">
        <f aca="false">IF(A125="N/A"," ",IF(AND(Dayrun&gt;2,Dayrun&lt;=3),VLOOKUP(A125,ScaledPrice,9),0))</f>
        <v> </v>
      </c>
      <c r="R125" s="316" t="str">
        <f aca="false">IF($A125="N/A"," ",IF(Pricetype=2,MAX(I125-$H125,0),IF(Pricetype=1,(xSPRDOPT(I125,$E125,$CI125,0,($CD125+IF(Smile=TRUE(),VLOOKUP(MAX(-5,$H125-I125),Volsmile,2),0)),$CG125,$CH125,($A125-DateToday)+15,1,0)),I125-$H125)))</f>
        <v> </v>
      </c>
      <c r="S125" s="316" t="str">
        <f aca="false">IF($A125="N/A"," ",IF(Pricetype=2,MAX(J125-$H125,0),IF(Pricetype=1,(xSPRDOPT(J125,$E125,$CI125,0,($CD125+IF(Smile=TRUE(),VLOOKUP(MAX(-5,$H125-J125),Volsmile,2),0)),$CG125,$CH125,($A125-DateToday)+15,1,0)),J125-$H125)))</f>
        <v> </v>
      </c>
      <c r="T125" s="317" t="str">
        <f aca="false">IF($A125="N/A"," ",(IF(Pricetype=2,IF((K125-$H125)&lt;=0,0,(K125-$H125)),IF(K125&lt;&gt;0,(K125-$H125),0))))</f>
        <v> </v>
      </c>
      <c r="U125" s="316" t="str">
        <f aca="false">IF($A125="N/A"," ",IF(Pricetype=2,MAX(L125-$H125,0),IF(L125&lt;&gt;0,IF(Pricetype=1,(xSPRDOPT(L125,$E125,$CI125,0,($CD125+IF(Smile=TRUE(),VLOOKUP(MAX(-5,$H125-L125),Volsmile,2),0)),$CG125,$CH125,($A125-DateToday)+15,1,0)),L125-$H125),0)))</f>
        <v> </v>
      </c>
      <c r="V125" s="316" t="str">
        <f aca="false">IF($A125="N/A"," ",IF(Pricetype=2,MAX(M125-$H125,0),IF(M125&lt;&gt;0,IF(Pricetype=1,(xSPRDOPT(M125,$E125,$CI125,0,($CD125+IF(Smile=TRUE(),VLOOKUP(MAX(-5,$H125-M125),Volsmile,2),0)),$CG125,$CH125,($A125-DateToday)+15,1,0)),M125-$H125),0)))</f>
        <v> </v>
      </c>
      <c r="W125" s="317" t="str">
        <f aca="false">IF($A125="N/A"," ",(IF(Pricetype=2,IF((N125-$H125)&lt;=0,0,(N125-$H125)),IF(N125&lt;&gt;0,(N125-$H125),0))))</f>
        <v> </v>
      </c>
      <c r="X125" s="316" t="str">
        <f aca="false">IF($A125="N/A"," ",IF(Pricetype=2,MAX(O125-$H125,0),IF(O125&lt;&gt;0,IF(Pricetype=1,(xSPRDOPT(O125,$E125,$CI125,0,($CD125+IF(Smile=TRUE(),VLOOKUP(MAX(-5,$H125-O125),Volsmile,2),0)),$CG125,$CH125,($A125-DateToday)+15,1,0)),O125-$H125),0)))</f>
        <v> </v>
      </c>
      <c r="Y125" s="316" t="str">
        <f aca="false">IF($A125="N/A"," ",IF(Pricetype=2,MAX(P125-$H125,0),IF(P125&lt;&gt;0,IF(Pricetype=1,(xSPRDOPT(P125,$E125,$CI125,0,($CD125+IF(Smile=TRUE(),VLOOKUP(MAX(-5,$H125-P125),Volsmile,2),0)),$CG125,$CH125,($A125-DateToday)+15,1,0)),P125-$H125),0)))</f>
        <v> </v>
      </c>
      <c r="Z125" s="317" t="str">
        <f aca="false">IF($A125="N/A"," ",(IF(Pricetype=2,IF((Q125-$H125)&lt;=0,0,(Q125-$H125)),IF(Q125&lt;&gt;0,(Q125-$H125),0))))</f>
        <v> </v>
      </c>
      <c r="AA125" s="318" t="str">
        <f aca="false">IF($A125="N/A"," ",IF(VLOOKUP(MONTH(A125),ManualTable,2)=1,(IF(0&lt;&gt;R125,IF(Pricetype=1,(xSPRDOPT(I125,$E125,$CI125,0,($CD125+IF(Smile=TRUE(),VLOOKUP(MAX(-5,$H125-I125),Volsmile,2),0)),$CG125,$CH125,($A125-DateToday)+15,1,1))*(8*$HD125),8*$HD125),0)),0))</f>
        <v> </v>
      </c>
      <c r="AB125" s="318" t="str">
        <f aca="false">IF($A125="N/A"," ",IF(VLOOKUP(MONTH(A125),ManualTable,3)=1,(IF(S125&lt;&gt;0,IF(Pricetype=1,(xSPRDOPT(J125,$E125,$CI125,0,($CD125+IF(Smile=TRUE(),VLOOKUP(MAX(-5,$H125-J125),Volsmile,2),0)),$CG125,$CH125,($A125-DateToday)+15,1,1))*(8*$HD125),8*$HD125),0)),0))</f>
        <v> </v>
      </c>
      <c r="AC125" s="318" t="str">
        <f aca="false">IF($A125="N/A"," ",IF(VLOOKUP(MONTH(A125),ManualTable,4)=1,(IF(T125&lt;&gt;0,(8*$HD125),0)),0))</f>
        <v> </v>
      </c>
      <c r="AD125" s="318" t="str">
        <f aca="false">IF($A125="N/A"," ",IF(VLOOKUP(MONTH(A125),ManualTable,5)=1,(IF(U125&lt;&gt;0,IF(Pricetype=1,(xSPRDOPT(L125,$E125,$CI125,0,($CD125+IF(Smile=TRUE(),VLOOKUP(MAX(-5,$H125-L125),Volsmile,2),0)),$CG125,$CH125,($A125-DateToday)+15,1,1))*(8*$HE125),8*$HE125),0)),0))</f>
        <v> </v>
      </c>
      <c r="AE125" s="318" t="str">
        <f aca="false">IF($A125="N/A"," ",IF(VLOOKUP(MONTH(A125),ManualTable,6)=1,(IF(V125&lt;&gt;0,IF(Pricetype=1,(xSPRDOPT(M125,$E125,$CI125,0,($CD125+IF(Smile=TRUE(),VLOOKUP(MAX(-5,$H125-M125),Volsmile,2),0)),$CG125,$CH125,($A125-DateToday)+15,1,1))*(8*$HE125),8*$HE125),0)),0))</f>
        <v> </v>
      </c>
      <c r="AF125" s="318" t="str">
        <f aca="false">IF($A125="N/A"," ",IF(VLOOKUP(MONTH(A125),ManualTable,7)=1,(IF(W125&lt;&gt;0,(8*$HE125),0)),0))</f>
        <v> </v>
      </c>
      <c r="AG125" s="318" t="str">
        <f aca="false">IF($A125="N/A"," ",IF(VLOOKUP(MONTH(A125),ManualTable,8)=1,(IF(X125&lt;&gt;0,IF(Pricetype=1,(xSPRDOPT(O125,$E125,$CI125,0,($CD125+IF(Smile=TRUE(),VLOOKUP(MAX(-5,$H125-O125),Volsmile,2),0)),$CG125,$CH125,($A125-DateToday)+15,1,1))*(8*$HF125),8*$HF125),0)),0))</f>
        <v> </v>
      </c>
      <c r="AH125" s="318" t="str">
        <f aca="false">IF($A125="N/A"," ",IF(VLOOKUP(MONTH(A125),ManualTable,9)=1,(IF(Y125&lt;&gt;0,IF(Pricetype=1,(xSPRDOPT(P125,$E125,$CI125,0,($CD125+IF(Smile=TRUE(),VLOOKUP(MAX(-5,$H125-P125),Volsmile,2),0)),$CG125,$CH125,($A125-DateToday)+15,1,1))*(8*$HF125),8*$HF125),0)),0))</f>
        <v> </v>
      </c>
      <c r="AI125" s="318" t="str">
        <f aca="false">IF($A125="N/A"," ",IF(VLOOKUP(MONTH(A125),ManualTable,10)=1,(IF(Z125&lt;&gt;0,(8*($HF125)),0)),0))</f>
        <v> </v>
      </c>
      <c r="AJ125" s="344" t="str">
        <f aca="false">IF($A125="N/A"," ",RANK(R125,$R$124:$Z$135))</f>
        <v> </v>
      </c>
      <c r="AK125" s="321" t="str">
        <f aca="false">IF($A125="N/A"," ",RANK(S125,$R$124:$Z$135))</f>
        <v> </v>
      </c>
      <c r="AL125" s="321" t="str">
        <f aca="false">IF($A125="N/A"," ",RANK(T125,$R$124:$Z$135))</f>
        <v> </v>
      </c>
      <c r="AM125" s="321" t="str">
        <f aca="false">IF($A125="N/A"," ",RANK(U125,$R$124:$Z$135))</f>
        <v> </v>
      </c>
      <c r="AN125" s="321" t="str">
        <f aca="false">IF($A125="N/A"," ",RANK(V125,$R$124:$Z$135))</f>
        <v> </v>
      </c>
      <c r="AO125" s="321" t="str">
        <f aca="false">IF($A125="N/A"," ",RANK(W125,$R$124:$Z$135))</f>
        <v> </v>
      </c>
      <c r="AP125" s="321" t="str">
        <f aca="false">IF($A125="N/A"," ",RANK(X125,$R$124:$Z$135))</f>
        <v> </v>
      </c>
      <c r="AQ125" s="321" t="str">
        <f aca="false">IF($A125="N/A"," ",RANK(Y125,$R$124:$Z$135))</f>
        <v> </v>
      </c>
      <c r="AR125" s="345" t="str">
        <f aca="false">IF($A125="N/A"," ",RANK(Z125,$R$124:$Z$135))</f>
        <v> </v>
      </c>
      <c r="AS125" s="323" t="str">
        <f aca="false">IF($A125="N/A"," ",IF(AJ125&lt;=$AR$2,AA125,0))</f>
        <v> </v>
      </c>
      <c r="AT125" s="325" t="str">
        <f aca="false">IF($A125="N/A"," ",IF(AK125&lt;=$AR$2,AB125,0))</f>
        <v> </v>
      </c>
      <c r="AU125" s="325" t="str">
        <f aca="false">IF($A125="N/A"," ",IF(AL125&lt;=$AR$2,AC125,0))</f>
        <v> </v>
      </c>
      <c r="AV125" s="325" t="str">
        <f aca="false">IF($A125="N/A"," ",IF(AM125&lt;=$AR$2,AD125,0))</f>
        <v> </v>
      </c>
      <c r="AW125" s="325" t="str">
        <f aca="false">IF($A125="N/A"," ",IF(AN125&lt;=$AR$2,AE125,0))</f>
        <v> </v>
      </c>
      <c r="AX125" s="325" t="str">
        <f aca="false">IF($A125="N/A"," ",IF(AO125&lt;=$AR$2,AF125,0))</f>
        <v> </v>
      </c>
      <c r="AY125" s="325" t="str">
        <f aca="false">IF($A125="N/A"," ",IF(AP125&lt;=$AR$2,AG125,0))</f>
        <v> </v>
      </c>
      <c r="AZ125" s="325" t="str">
        <f aca="false">IF($A125="N/A"," ",IF(AQ125&lt;=$AR$2,AH125,0))</f>
        <v> </v>
      </c>
      <c r="BA125" s="325" t="str">
        <f aca="false">IF($A125="N/A"," ",IF(AR125&lt;=$AR$2,AI125,0))</f>
        <v> </v>
      </c>
      <c r="BB125" s="345"/>
      <c r="BC125" s="326" t="str">
        <f aca="false">IF($A125="N/A"," ",IF(AND(AJ125=$AR$2+1,AS125=0),MIN($BB$135,AA125),0))</f>
        <v> </v>
      </c>
      <c r="BD125" s="346" t="str">
        <f aca="false">IF($A125="N/A"," ",IF(AND(AK125=$AR$2+1,AT125=0),MIN($BB$135,AB125),0))</f>
        <v> </v>
      </c>
      <c r="BE125" s="346" t="str">
        <f aca="false">IF($A125="N/A"," ",IF(AND(AL125=$AR$2+1,AU125=0),MIN($BB$135,AC125),0))</f>
        <v> </v>
      </c>
      <c r="BF125" s="346" t="str">
        <f aca="false">IF($A125="N/A"," ",IF(AND(AM125=$AR$2+1,AV125=0),MIN($BB$135,AD125),0))</f>
        <v> </v>
      </c>
      <c r="BG125" s="346" t="str">
        <f aca="false">IF($A125="N/A"," ",IF(AND(AN125=$AR$2+1,AW125=0),MIN($BB$135,AE125),0))</f>
        <v> </v>
      </c>
      <c r="BH125" s="346" t="str">
        <f aca="false">IF($A125="N/A"," ",IF(AND(AO125=$AR$2+1,AX125=0),MIN($BB$135,AF125),0))</f>
        <v> </v>
      </c>
      <c r="BI125" s="346" t="str">
        <f aca="false">IF($A125="N/A"," ",IF(AND(AP125=$AR$2+1,AY125=0),MIN($BB$135,AG125),0))</f>
        <v> </v>
      </c>
      <c r="BJ125" s="346" t="str">
        <f aca="false">IF($A125="N/A"," ",IF(AND(AQ125=$AR$2+1,AZ125=0),MIN($BB$135,AH125),0))</f>
        <v> </v>
      </c>
      <c r="BK125" s="346" t="str">
        <f aca="false">IF($A125="N/A"," ",IF(AND(AR125=$AR$2+1,BA125=0),MIN($BB$135,AI125),0))</f>
        <v> </v>
      </c>
      <c r="BL125" s="345"/>
      <c r="BM125" s="329" t="str">
        <f aca="false">IF($A125="N/A"," ",(IF(MONTH(A125)&gt;=4,IF(MONTH(A125)&lt;=10,Inputs!$F$13-Inputs!$G$13,Inputs!$F$14-Inputs!$G$14),Inputs!$F$14-Inputs!$G$14))*$CK125*Availability)</f>
        <v> </v>
      </c>
      <c r="BN125" s="330" t="str">
        <f aca="false">IF($A125="N/A"," ",(IF(AS125&gt;0,($BM125*(8*($HD125))*R125),0)+IF(BC125&gt;0,($BM125*((BC125/AA125)*8*$HD125)*R125),0)))</f>
        <v> </v>
      </c>
      <c r="BO125" s="330" t="str">
        <f aca="false">IF($A125="N/A"," ",(IF(AT125&gt;0,($BM125*(8*($HD125))*S125),0)+IF(BD125&gt;0,($BM125*((BD125/AB125)*8*$HD125)*S125),0)))</f>
        <v> </v>
      </c>
      <c r="BP125" s="330" t="str">
        <f aca="false">IF($A125="N/A"," ",(IF(AU125&gt;0,($BM125*(8*($HD125))*T125),0)+IF(BE125&gt;0,($BM125*((BE125))*T125),0)))</f>
        <v> </v>
      </c>
      <c r="BQ125" s="330" t="str">
        <f aca="false">IF($A125="N/A"," ",(IF(AV125&gt;0,($BM125*(8*($HE125))*U125),0)+IF(BF125&gt;0,($BM125*((BF125/AD125)*8*$HE125)*U125),0)))</f>
        <v> </v>
      </c>
      <c r="BR125" s="330" t="str">
        <f aca="false">IF($A125="N/A"," ",(IF(AW125&gt;0,($BM125*(8*($HE125))*V125),0)+IF(BG125&gt;0,($BM125*((BG125/AE125)*8*$HE125)*V125),0)))</f>
        <v> </v>
      </c>
      <c r="BS125" s="330" t="str">
        <f aca="false">IF($A125="N/A"," ",(IF(AX125&gt;0,($BM125*(8*($HE125))*W125),0)+IF(BH125&gt;0,($BM125*((BH125))*W125),0)))</f>
        <v> </v>
      </c>
      <c r="BT125" s="330" t="str">
        <f aca="false">IF($A125="N/A"," ",(IF(AY125&gt;0,($BM125*(8*($HF125))*X125),0)+IF(BI125&gt;0,($BM125*((BI125/AG125)*8*$HF125)*X125),0)))</f>
        <v> </v>
      </c>
      <c r="BU125" s="330" t="str">
        <f aca="false">IF($A125="N/A"," ",(IF(AZ125&gt;0,($BM125*(8*($HF125))*Y125),0)+IF(BJ125&gt;0,($BM125*((BJ125/AH125)*8*$HF125)*Y125),0)))</f>
        <v> </v>
      </c>
      <c r="BV125" s="330" t="str">
        <f aca="false">IF($A125="N/A"," ",(IF(BA125&gt;0,($BM125*(8*($HF125))*Z125),0)+IF(BK125&gt;0,($BM125*((BK125))*Z125),0)))</f>
        <v> </v>
      </c>
      <c r="BW125" s="330" t="str">
        <f aca="false">IF($A125="N/A"," ",SUM(BN125:BV125))</f>
        <v> </v>
      </c>
      <c r="BX125" s="331" t="str">
        <f aca="false">IF($A125="N/A"," ",(H125*(SUM(AS125:BA125)+SUM(BC125:BK125))*BM125))</f>
        <v> </v>
      </c>
      <c r="BY125" s="332" t="str">
        <f aca="false">IF($A125="N/A"," ",((C125*D125)*(SUM($AS125:$BA125)+SUM($BC125:$BK125))*$BM125))</f>
        <v> </v>
      </c>
      <c r="BZ125" s="332" t="str">
        <f aca="false">IF($A125="N/A"," ",(F125*(SUM($AS125:$BA125)+SUM($BC125:$BK125))*$BM125))</f>
        <v> </v>
      </c>
      <c r="CA125" s="333" t="str">
        <f aca="false">IF($A125="N/A"," ",(G125*(SUM($AS125:$BA125)+SUM($BC125:$BK125))*$BM125))</f>
        <v> </v>
      </c>
      <c r="CB125" s="334" t="str">
        <f aca="false">IF(A125="N/A"," ",(VLOOKUP(A125,PowerVolTable,(IF(BMO=2,7,IF(BMO=1,6,8))),FALSE())))</f>
        <v> </v>
      </c>
      <c r="CC125" s="334" t="str">
        <f aca="false">IF(A125="N/A"," ",(VLOOKUP(A125,IntraPowerVol,(IF(BMO=2,3,IF(BMO=1,2,4))),FALSE())*VLOOKUP(MONTH($A125),Volscale,2)))</f>
        <v> </v>
      </c>
      <c r="CD125" s="335" t="str">
        <f aca="false">IF($A125="N/A"," ",(IF(DateToday&gt;$A125,$CC125,((($CB125^2)*((($A125-1)-DateToday)/((EOMONTH($A125,0)+1)-DateToday-15)))+((($CC125)^2)*((15)/((EOMONTH($A125,0)+1)-DateToday-15))))^0.5)))</f>
        <v> </v>
      </c>
      <c r="CE125" s="334" t="str">
        <f aca="false">IF($A125="N/A"," ",(VLOOKUP($A125,GasVolTable,(IF(BMO=2,6,IF(BMO=1,7,5))),FALSE())))</f>
        <v> </v>
      </c>
      <c r="CF125" s="334" t="str">
        <f aca="false">IF($A125="N/A"," ",(VLOOKUP($A125,OmicronVol,(IF(BMO=2,3,IF(BMO=1,4,2))),FALSE())))</f>
        <v> </v>
      </c>
      <c r="CG125" s="335" t="str">
        <f aca="false">IF($A125="N/A"," ",(IF(DateToday&gt;$A125,$CF125,((($CE125^2)*((($A125-1)-DateToday)/((EOMONTH($A125,0)+1)-DateToday-15)))+((($CF125)^2)*((15)/((EOMONTH($A125,0)+1)-DateToday-15))))^0.5)))</f>
        <v> </v>
      </c>
      <c r="CH125" s="334" t="str">
        <f aca="false">IF($A125="N/A"," ",VLOOKUP($A125,CorrelationTable,2,FALSE()))</f>
        <v> </v>
      </c>
      <c r="CI125" s="336" t="str">
        <f aca="false">IF($A125="N/A"," ",F125+G125+(D125*('Pricing Inputs'!T158)))</f>
        <v> </v>
      </c>
      <c r="CJ125" s="334" t="str">
        <f aca="false">IF($A125="N/A"," ",IF(PV=1,0,'Pricing Inputs'!U158))</f>
        <v> </v>
      </c>
      <c r="CK125" s="337" t="str">
        <f aca="false">IF($A125="N/A"," ",(1+CJ125/2)^(-2*((EOMONTH(A125,0)+20)-DateToday)/365.25))</f>
        <v> </v>
      </c>
      <c r="CL125" s="338" t="str">
        <f aca="false">IF(A125="N/A"," ",IF(CC=2,(VLOOKUP(MONTH($A125),Hrtable,3))/1000,0))</f>
        <v> </v>
      </c>
      <c r="CM125" s="339" t="str">
        <f aca="false">IF(A125="N/A"," ",IF(CC=2,(CL125*C125)+F125,0))</f>
        <v> </v>
      </c>
      <c r="CN125" s="340" t="str">
        <f aca="false">IF($A125="N/A"," ",IF(CC=2,(VLOOKUP(A125,ScaledPrice,(IF(AND(Dayrun&gt;=1,Dayrun&lt;=6),2,4)))-((IF(R125&lt;&gt;0,$D125,$CL125)*$C125)+$F125+$G125)),0))</f>
        <v> </v>
      </c>
      <c r="CO125" s="340" t="str">
        <f aca="false">IF($A125="N/A"," ",IF(CC=2,(IF(AND(Dayrun&gt;=1,Dayrun&lt;=6),I125,(VLOOKUP(A125,ScaledPrice,2))*(2-(VLOOKUP(A125,ScaledPrice,3))))-((IF(S125&lt;&gt;0,$D125,$CL125)*$C125)+$F125+$G125)),0))</f>
        <v> </v>
      </c>
      <c r="CP125" s="340" t="str">
        <f aca="false">IF(A125="N/A"," ",IF(CC=2,(VLOOKUP(A125,ScaledPrice,9)-((IF(T125&lt;&gt;0,$D125,$CL125)*$C125)+$F125+$G125)),0))</f>
        <v> </v>
      </c>
      <c r="CQ125" s="340" t="str">
        <f aca="false">IF(A125="N/A"," ",IF(CC=2,(IF(OR(Dayrun=2,Dayrun=3,Dayrun=5,Dayrun=6,Dayrun=8,Dayrun=9),VLOOKUP(A125,ScaledPrice,IF(AND(Dayrun&gt;=2,Dayrun&lt;=6),5,6)),0)-((IF(U125&lt;&gt;0,$D125,$CL125)*$C125)+$F125+$G125)),0))</f>
        <v> </v>
      </c>
      <c r="CR125" s="340" t="str">
        <f aca="false">IF(A125="N/A"," ",IF(CC=2,(IF(OR(Dayrun=2,Dayrun=3,Dayrun=5,Dayrun=6,Dayrun=8,Dayrun=9),IF(AND(Dayrun&gt;=2,Dayrun&lt;=6),L125,(VLOOKUP(A125,ScaledPrice,5))*(2-(VLOOKUP(A125,ScaledPrice,3)))),0)-((IF(V125&lt;&gt;0,$D125,$CL125)*$C125)+$F125+$G125)),0))</f>
        <v> </v>
      </c>
      <c r="CS125" s="340" t="str">
        <f aca="false">IF(A125="N/A"," ",IF(CC=2,(VLOOKUP(A125,ScaledPrice,9)-((IF(W125&lt;&gt;0,$D125,$CL125)*$C125)+$F125+$G125)),0))</f>
        <v> </v>
      </c>
      <c r="CT125" s="340" t="str">
        <f aca="false">IF(A125="N/A"," ",IF(CC=2,(IF(OR(Dayrun=3,Dayrun=6,Dayrun=9),(VLOOKUP(A125,ScaledPrice,IF(AND(Dayrun&gt;=3,Dayrun&lt;=6),7,8))),0)-((IF(X125&lt;&gt;0,$D125,$CL125)*$C125)+$F125+$G125)),0))</f>
        <v> </v>
      </c>
      <c r="CU125" s="340" t="str">
        <f aca="false">IF(A125="N/A"," ",IF(CC=2,(IF(OR(Dayrun=3,Dayrun=6,Dayrun=9),IF(AND(Dayrun&gt;=3,Dayrun&lt;=6),O125,(VLOOKUP(A125,ScaledPrice,7))*(2-(VLOOKUP(A125,ScaledPrice,3)))),0)-((IF(Y125&lt;&gt;0,$D125,$CL125)*$C125)+$F125+$G125)),0))</f>
        <v> </v>
      </c>
      <c r="CV125" s="340" t="str">
        <f aca="false">IF(A125="N/A"," ",IF(CC=2,(VLOOKUP(A125,ScaledPrice,9)-((IF(Z125&lt;&gt;0,$D125,$CL125)*$C125)+$F125+$G125)),0))</f>
        <v> </v>
      </c>
      <c r="CW125" s="318" t="str">
        <f aca="false">IF($A125="N/A"," ",IF(0&lt;&gt;CN125,IF(CC=2,8*$HD125,0),0))</f>
        <v> </v>
      </c>
      <c r="CX125" s="318" t="str">
        <f aca="false">IF($A125="N/A"," ",IF(0&lt;&gt;CO125,IF(CC=2,8*$HD125,0),0))</f>
        <v> </v>
      </c>
      <c r="CY125" s="318" t="str">
        <f aca="false">IF($A125="N/A"," ",IF(0&lt;&gt;CP125,IF(CC=2,8*$HD125,0),0))</f>
        <v> </v>
      </c>
      <c r="CZ125" s="318" t="str">
        <f aca="false">IF($A125="N/A"," ",IF(0&lt;&gt;CQ125,IF(CC=2,8*$HE125,0),0))</f>
        <v> </v>
      </c>
      <c r="DA125" s="318" t="str">
        <f aca="false">IF($A125="N/A"," ",IF(0&lt;&gt;CR125,IF(CC=2,8*$HE125,0),0))</f>
        <v> </v>
      </c>
      <c r="DB125" s="318" t="str">
        <f aca="false">IF($A125="N/A"," ",IF(0&lt;&gt;CS125,IF(CC=2,8*$HE125,0),0))</f>
        <v> </v>
      </c>
      <c r="DC125" s="318" t="str">
        <f aca="false">IF($A125="N/A"," ",IF(0&lt;&gt;CT125,IF(CC=2,8*$HF125,0),0))</f>
        <v> </v>
      </c>
      <c r="DD125" s="318" t="str">
        <f aca="false">IF($A125="N/A"," ",IF(0&lt;&gt;CU125,IF(CC=2,8*$HF125,0),0))</f>
        <v> </v>
      </c>
      <c r="DE125" s="318" t="str">
        <f aca="false">IF($A125="N/A"," ",IF(0&lt;&gt;CV125,IF(CC=2,8*$HF125,0),0))</f>
        <v> </v>
      </c>
      <c r="DF125" s="341" t="str">
        <f aca="false">IF($A125="N/A"," ",IF(CC=2,(IF(MONTH(A125)&gt;=4,IF(MONTH(A125)&lt;=10,Inputs!$G$13,Inputs!$G$14),Inputs!$G$14))*$CK125,0))</f>
        <v> </v>
      </c>
      <c r="DG125" s="342" t="str">
        <f aca="false">IF($A125="N/A"," ",IF(CC=2,$DF125*CW125*CN125,0))</f>
        <v> </v>
      </c>
      <c r="DH125" s="342" t="str">
        <f aca="false">IF($A125="N/A"," ",IF(CC=2,$DF125*CX125*CO125,0))</f>
        <v> </v>
      </c>
      <c r="DI125" s="342" t="str">
        <f aca="false">IF($A125="N/A"," ",IF(CC=2,$DF125*CY125*CP125,0))</f>
        <v> </v>
      </c>
      <c r="DJ125" s="342" t="str">
        <f aca="false">IF($A125="N/A"," ",IF(CC=2,$DF125*CZ125*CQ125,0))</f>
        <v> </v>
      </c>
      <c r="DK125" s="342" t="str">
        <f aca="false">IF($A125="N/A"," ",IF(CC=2,$DF125*DA125*CR125,0))</f>
        <v> </v>
      </c>
      <c r="DL125" s="342" t="str">
        <f aca="false">IF($A125="N/A"," ",IF(CC=2,$DF125*DB125*CS125,0))</f>
        <v> </v>
      </c>
      <c r="DM125" s="342" t="str">
        <f aca="false">IF($A125="N/A"," ",IF(CC=2,$DF125*DC125*CT125,0))</f>
        <v> </v>
      </c>
      <c r="DN125" s="342" t="str">
        <f aca="false">IF($A125="N/A"," ",IF(CC=2,$DF125*DD125*CU125,0))</f>
        <v> </v>
      </c>
      <c r="DO125" s="342" t="str">
        <f aca="false">IF($A125="N/A"," ",IF(CC=2,$DF125*DE125*CV125,0))</f>
        <v> </v>
      </c>
      <c r="DP125" s="343" t="str">
        <f aca="false">IF($A125="N/A"," ",IF(CC=2,SUM(DG125:DO125),0))</f>
        <v> </v>
      </c>
      <c r="DQ125" s="0" t="str">
        <f aca="false">IF(A125="N/A"," ",Perstart)</f>
        <v> </v>
      </c>
      <c r="HD125" s="0" t="str">
        <f aca="false">IF($A125="N/A"," ",VLOOKUP($A125,NumberofDaysTable,2))</f>
        <v> </v>
      </c>
      <c r="HE125" s="0" t="str">
        <f aca="false">IF($A125="N/A"," ",VLOOKUP($A125,NumberofDaysTable,3))</f>
        <v> </v>
      </c>
      <c r="HF125" s="0" t="str">
        <f aca="false">IF($A125="N/A"," ",VLOOKUP($A125,NumberofDaysTable,4))</f>
        <v> </v>
      </c>
    </row>
    <row r="126" customFormat="false" ht="12.75" hidden="false" customHeight="false" outlineLevel="0" collapsed="false">
      <c r="A126" s="308" t="str">
        <f aca="false">IF(A125="N/A","N/A",IF(EDATE(A125,1)&gt;Inputs!$K$3,"N/A",EDATE(A125,1)))</f>
        <v>N/A</v>
      </c>
      <c r="B126" s="309" t="str">
        <f aca="false">IF(A126="N/A"," ",YEAR(A126))</f>
        <v> </v>
      </c>
      <c r="C126" s="310" t="str">
        <f aca="false">IF(A126="N/A"," ",VLOOKUP(A126,ScaledPrice,10))</f>
        <v> </v>
      </c>
      <c r="D126" s="311" t="str">
        <f aca="false">IF(A126="N/A"," ",(VLOOKUP(MONTH($A126),Hrtable,2))/1000)</f>
        <v> </v>
      </c>
      <c r="E126" s="312" t="str">
        <f aca="false">IF($A126="N/A"," ",(C126-'Pricing Inputs'!T159)*D126)</f>
        <v> </v>
      </c>
      <c r="F126" s="313" t="str">
        <f aca="false">IF(A126="N/A"," ",$F114*(1+VOMesc))</f>
        <v> </v>
      </c>
      <c r="G126" s="313" t="str">
        <f aca="false">IF(A126="N/A"," ",Perstart/IF(AND(Dayrun&gt;=4,Dayrun&lt;=6),16,IF(AND(Dayrun&gt;=7,Dayrun&lt;=9),8,24))/(BM126/CK126))</f>
        <v> </v>
      </c>
      <c r="H126" s="314" t="str">
        <f aca="false">IF(A126="N/A"," ",(C126*D126)+F126+G126)</f>
        <v> </v>
      </c>
      <c r="I126" s="315" t="str">
        <f aca="false">VLOOKUP(A126,ScaledPrice,(IF(AND(Dayrun&gt;=1,Dayrun&lt;=6),2,4)))</f>
        <v> </v>
      </c>
      <c r="J126" s="315" t="str">
        <f aca="false">IF(A126="N/A"," ",IF(AND(Dayrun&gt;=1,Dayrun&lt;=6),I126,(VLOOKUP(A126,ScaledPrice,2))*(2-(VLOOKUP(A126,ScaledPrice,3)))))</f>
        <v> </v>
      </c>
      <c r="K126" s="315" t="str">
        <f aca="false">IF(A126="N/A"," ",IF(AND(Dayrun&gt;=1,Dayrun&lt;=3),VLOOKUP(A126,ScaledPrice,9),0))</f>
        <v> </v>
      </c>
      <c r="L126" s="315" t="str">
        <f aca="false">IF(A126="N/A"," ",IF(OR(Dayrun=2,Dayrun=3,Dayrun=5,Dayrun=6,Dayrun=8,Dayrun=9),VLOOKUP(A126,ScaledPrice,IF(AND(Dayrun&gt;=2,Dayrun&lt;=6),5,6)),0))</f>
        <v> </v>
      </c>
      <c r="M126" s="315" t="str">
        <f aca="false">IF(A126="N/A"," ",IF(OR(Dayrun=2,Dayrun=3,Dayrun=5,Dayrun=6,Dayrun=8,Dayrun=9),IF(AND(Dayrun&gt;=2,Dayrun&lt;=6),L126,(VLOOKUP(A126,ScaledPrice,5))*(2-(VLOOKUP(A126,ScaledPrice,3)))),0))</f>
        <v> </v>
      </c>
      <c r="N126" s="315" t="str">
        <f aca="false">IF(A126="N/A"," ",IF(AND(Dayrun&gt;1,Dayrun&lt;=3),VLOOKUP(A126,ScaledPrice,9),0))</f>
        <v> </v>
      </c>
      <c r="O126" s="315" t="str">
        <f aca="false">IF(A126="N/A"," ",IF(OR(Dayrun=3,Dayrun=6,Dayrun=9),(VLOOKUP(A126,ScaledPrice,IF(AND(Dayrun&gt;=3,Dayrun&lt;=6),7,8))),0))</f>
        <v> </v>
      </c>
      <c r="P126" s="315" t="str">
        <f aca="false">IF(A126="N/A"," ",IF(OR(Dayrun=3,Dayrun=6,Dayrun=9),IF(AND(Dayrun&gt;=3,Dayrun&lt;=6),O126,(VLOOKUP(A126,ScaledPrice,7))*(2-(VLOOKUP(A126,ScaledPrice,3)))),0))</f>
        <v> </v>
      </c>
      <c r="Q126" s="315" t="str">
        <f aca="false">IF(A126="N/A"," ",IF(AND(Dayrun&gt;2,Dayrun&lt;=3),VLOOKUP(A126,ScaledPrice,9),0))</f>
        <v> </v>
      </c>
      <c r="R126" s="316" t="str">
        <f aca="false">IF($A126="N/A"," ",IF(Pricetype=2,MAX(I126-$H126,0),IF(Pricetype=1,(xSPRDOPT(I126,$E126,$CI126,0,($CD126+IF(Smile=TRUE(),VLOOKUP(MAX(-5,$H126-I126),Volsmile,2),0)),$CG126,$CH126,($A126-DateToday)+15,1,0)),I126-$H126)))</f>
        <v> </v>
      </c>
      <c r="S126" s="316" t="str">
        <f aca="false">IF($A126="N/A"," ",IF(Pricetype=2,MAX(J126-$H126,0),IF(Pricetype=1,(xSPRDOPT(J126,$E126,$CI126,0,($CD126+IF(Smile=TRUE(),VLOOKUP(MAX(-5,$H126-J126),Volsmile,2),0)),$CG126,$CH126,($A126-DateToday)+15,1,0)),J126-$H126)))</f>
        <v> </v>
      </c>
      <c r="T126" s="317" t="str">
        <f aca="false">IF($A126="N/A"," ",(IF(Pricetype=2,IF((K126-$H126)&lt;=0,0,(K126-$H126)),IF(K126&lt;&gt;0,(K126-$H126),0))))</f>
        <v> </v>
      </c>
      <c r="U126" s="316" t="str">
        <f aca="false">IF($A126="N/A"," ",IF(Pricetype=2,MAX(L126-$H126,0),IF(L126&lt;&gt;0,IF(Pricetype=1,(xSPRDOPT(L126,$E126,$CI126,0,($CD126+IF(Smile=TRUE(),VLOOKUP(MAX(-5,$H126-L126),Volsmile,2),0)),$CG126,$CH126,($A126-DateToday)+15,1,0)),L126-$H126),0)))</f>
        <v> </v>
      </c>
      <c r="V126" s="316" t="str">
        <f aca="false">IF($A126="N/A"," ",IF(Pricetype=2,MAX(M126-$H126,0),IF(M126&lt;&gt;0,IF(Pricetype=1,(xSPRDOPT(M126,$E126,$CI126,0,($CD126+IF(Smile=TRUE(),VLOOKUP(MAX(-5,$H126-M126),Volsmile,2),0)),$CG126,$CH126,($A126-DateToday)+15,1,0)),M126-$H126),0)))</f>
        <v> </v>
      </c>
      <c r="W126" s="317" t="str">
        <f aca="false">IF($A126="N/A"," ",(IF(Pricetype=2,IF((N126-$H126)&lt;=0,0,(N126-$H126)),IF(N126&lt;&gt;0,(N126-$H126),0))))</f>
        <v> </v>
      </c>
      <c r="X126" s="316" t="str">
        <f aca="false">IF($A126="N/A"," ",IF(Pricetype=2,MAX(O126-$H126,0),IF(O126&lt;&gt;0,IF(Pricetype=1,(xSPRDOPT(O126,$E126,$CI126,0,($CD126+IF(Smile=TRUE(),VLOOKUP(MAX(-5,$H126-O126),Volsmile,2),0)),$CG126,$CH126,($A126-DateToday)+15,1,0)),O126-$H126),0)))</f>
        <v> </v>
      </c>
      <c r="Y126" s="316" t="str">
        <f aca="false">IF($A126="N/A"," ",IF(Pricetype=2,MAX(P126-$H126,0),IF(P126&lt;&gt;0,IF(Pricetype=1,(xSPRDOPT(P126,$E126,$CI126,0,($CD126+IF(Smile=TRUE(),VLOOKUP(MAX(-5,$H126-P126),Volsmile,2),0)),$CG126,$CH126,($A126-DateToday)+15,1,0)),P126-$H126),0)))</f>
        <v> </v>
      </c>
      <c r="Z126" s="317" t="str">
        <f aca="false">IF($A126="N/A"," ",(IF(Pricetype=2,IF((Q126-$H126)&lt;=0,0,(Q126-$H126)),IF(Q126&lt;&gt;0,(Q126-$H126),0))))</f>
        <v> </v>
      </c>
      <c r="AA126" s="318" t="str">
        <f aca="false">IF($A126="N/A"," ",IF(VLOOKUP(MONTH(A126),ManualTable,2)=1,(IF(0&lt;&gt;R126,IF(Pricetype=1,(xSPRDOPT(I126,$E126,$CI126,0,($CD126+IF(Smile=TRUE(),VLOOKUP(MAX(-5,$H126-I126),Volsmile,2),0)),$CG126,$CH126,($A126-DateToday)+15,1,1))*(8*$HD126),8*$HD126),0)),0))</f>
        <v> </v>
      </c>
      <c r="AB126" s="318" t="str">
        <f aca="false">IF($A126="N/A"," ",IF(VLOOKUP(MONTH(A126),ManualTable,3)=1,(IF(S126&lt;&gt;0,IF(Pricetype=1,(xSPRDOPT(J126,$E126,$CI126,0,($CD126+IF(Smile=TRUE(),VLOOKUP(MAX(-5,$H126-J126),Volsmile,2),0)),$CG126,$CH126,($A126-DateToday)+15,1,1))*(8*$HD126),8*$HD126),0)),0))</f>
        <v> </v>
      </c>
      <c r="AC126" s="318" t="str">
        <f aca="false">IF($A126="N/A"," ",IF(VLOOKUP(MONTH(A126),ManualTable,4)=1,(IF(T126&lt;&gt;0,(8*$HD126),0)),0))</f>
        <v> </v>
      </c>
      <c r="AD126" s="318" t="str">
        <f aca="false">IF($A126="N/A"," ",IF(VLOOKUP(MONTH(A126),ManualTable,5)=1,(IF(U126&lt;&gt;0,IF(Pricetype=1,(xSPRDOPT(L126,$E126,$CI126,0,($CD126+IF(Smile=TRUE(),VLOOKUP(MAX(-5,$H126-L126),Volsmile,2),0)),$CG126,$CH126,($A126-DateToday)+15,1,1))*(8*$HE126),8*$HE126),0)),0))</f>
        <v> </v>
      </c>
      <c r="AE126" s="318" t="str">
        <f aca="false">IF($A126="N/A"," ",IF(VLOOKUP(MONTH(A126),ManualTable,6)=1,(IF(V126&lt;&gt;0,IF(Pricetype=1,(xSPRDOPT(M126,$E126,$CI126,0,($CD126+IF(Smile=TRUE(),VLOOKUP(MAX(-5,$H126-M126),Volsmile,2),0)),$CG126,$CH126,($A126-DateToday)+15,1,1))*(8*$HE126),8*$HE126),0)),0))</f>
        <v> </v>
      </c>
      <c r="AF126" s="318" t="str">
        <f aca="false">IF($A126="N/A"," ",IF(VLOOKUP(MONTH(A126),ManualTable,7)=1,(IF(W126&lt;&gt;0,(8*$HE126),0)),0))</f>
        <v> </v>
      </c>
      <c r="AG126" s="318" t="str">
        <f aca="false">IF($A126="N/A"," ",IF(VLOOKUP(MONTH(A126),ManualTable,8)=1,(IF(X126&lt;&gt;0,IF(Pricetype=1,(xSPRDOPT(O126,$E126,$CI126,0,($CD126+IF(Smile=TRUE(),VLOOKUP(MAX(-5,$H126-O126),Volsmile,2),0)),$CG126,$CH126,($A126-DateToday)+15,1,1))*(8*$HF126),8*$HF126),0)),0))</f>
        <v> </v>
      </c>
      <c r="AH126" s="318" t="str">
        <f aca="false">IF($A126="N/A"," ",IF(VLOOKUP(MONTH(A126),ManualTable,9)=1,(IF(Y126&lt;&gt;0,IF(Pricetype=1,(xSPRDOPT(P126,$E126,$CI126,0,($CD126+IF(Smile=TRUE(),VLOOKUP(MAX(-5,$H126-P126),Volsmile,2),0)),$CG126,$CH126,($A126-DateToday)+15,1,1))*(8*$HF126),8*$HF126),0)),0))</f>
        <v> </v>
      </c>
      <c r="AI126" s="318" t="str">
        <f aca="false">IF($A126="N/A"," ",IF(VLOOKUP(MONTH(A126),ManualTable,10)=1,(IF(Z126&lt;&gt;0,(8*($HF126)),0)),0))</f>
        <v> </v>
      </c>
      <c r="AJ126" s="344" t="str">
        <f aca="false">IF($A126="N/A"," ",RANK(R126,$R$124:$Z$135))</f>
        <v> </v>
      </c>
      <c r="AK126" s="321" t="str">
        <f aca="false">IF($A126="N/A"," ",RANK(S126,$R$124:$Z$135))</f>
        <v> </v>
      </c>
      <c r="AL126" s="321" t="str">
        <f aca="false">IF($A126="N/A"," ",RANK(T126,$R$124:$Z$135))</f>
        <v> </v>
      </c>
      <c r="AM126" s="321" t="str">
        <f aca="false">IF($A126="N/A"," ",RANK(U126,$R$124:$Z$135))</f>
        <v> </v>
      </c>
      <c r="AN126" s="321" t="str">
        <f aca="false">IF($A126="N/A"," ",RANK(V126,$R$124:$Z$135))</f>
        <v> </v>
      </c>
      <c r="AO126" s="321" t="str">
        <f aca="false">IF($A126="N/A"," ",RANK(W126,$R$124:$Z$135))</f>
        <v> </v>
      </c>
      <c r="AP126" s="321" t="str">
        <f aca="false">IF($A126="N/A"," ",RANK(X126,$R$124:$Z$135))</f>
        <v> </v>
      </c>
      <c r="AQ126" s="321" t="str">
        <f aca="false">IF($A126="N/A"," ",RANK(Y126,$R$124:$Z$135))</f>
        <v> </v>
      </c>
      <c r="AR126" s="345" t="str">
        <f aca="false">IF($A126="N/A"," ",RANK(Z126,$R$124:$Z$135))</f>
        <v> </v>
      </c>
      <c r="AS126" s="323" t="str">
        <f aca="false">IF($A126="N/A"," ",IF(AJ126&lt;=$AR$2,AA126,0))</f>
        <v> </v>
      </c>
      <c r="AT126" s="325" t="str">
        <f aca="false">IF($A126="N/A"," ",IF(AK126&lt;=$AR$2,AB126,0))</f>
        <v> </v>
      </c>
      <c r="AU126" s="325" t="str">
        <f aca="false">IF($A126="N/A"," ",IF(AL126&lt;=$AR$2,AC126,0))</f>
        <v> </v>
      </c>
      <c r="AV126" s="325" t="str">
        <f aca="false">IF($A126="N/A"," ",IF(AM126&lt;=$AR$2,AD126,0))</f>
        <v> </v>
      </c>
      <c r="AW126" s="325" t="str">
        <f aca="false">IF($A126="N/A"," ",IF(AN126&lt;=$AR$2,AE126,0))</f>
        <v> </v>
      </c>
      <c r="AX126" s="325" t="str">
        <f aca="false">IF($A126="N/A"," ",IF(AO126&lt;=$AR$2,AF126,0))</f>
        <v> </v>
      </c>
      <c r="AY126" s="325" t="str">
        <f aca="false">IF($A126="N/A"," ",IF(AP126&lt;=$AR$2,AG126,0))</f>
        <v> </v>
      </c>
      <c r="AZ126" s="325" t="str">
        <f aca="false">IF($A126="N/A"," ",IF(AQ126&lt;=$AR$2,AH126,0))</f>
        <v> </v>
      </c>
      <c r="BA126" s="325" t="str">
        <f aca="false">IF($A126="N/A"," ",IF(AR126&lt;=$AR$2,AI126,0))</f>
        <v> </v>
      </c>
      <c r="BB126" s="345"/>
      <c r="BC126" s="326" t="str">
        <f aca="false">IF($A126="N/A"," ",IF(AND(AJ126=$AR$2+1,AS126=0),MIN($BB$135,AA126),0))</f>
        <v> </v>
      </c>
      <c r="BD126" s="346" t="str">
        <f aca="false">IF($A126="N/A"," ",IF(AND(AK126=$AR$2+1,AT126=0),MIN($BB$135,AB126),0))</f>
        <v> </v>
      </c>
      <c r="BE126" s="346" t="str">
        <f aca="false">IF($A126="N/A"," ",IF(AND(AL126=$AR$2+1,AU126=0),MIN($BB$135,AC126),0))</f>
        <v> </v>
      </c>
      <c r="BF126" s="346" t="str">
        <f aca="false">IF($A126="N/A"," ",IF(AND(AM126=$AR$2+1,AV126=0),MIN($BB$135,AD126),0))</f>
        <v> </v>
      </c>
      <c r="BG126" s="346" t="str">
        <f aca="false">IF($A126="N/A"," ",IF(AND(AN126=$AR$2+1,AW126=0),MIN($BB$135,AE126),0))</f>
        <v> </v>
      </c>
      <c r="BH126" s="346" t="str">
        <f aca="false">IF($A126="N/A"," ",IF(AND(AO126=$AR$2+1,AX126=0),MIN($BB$135,AF126),0))</f>
        <v> </v>
      </c>
      <c r="BI126" s="346" t="str">
        <f aca="false">IF($A126="N/A"," ",IF(AND(AP126=$AR$2+1,AY126=0),MIN($BB$135,AG126),0))</f>
        <v> </v>
      </c>
      <c r="BJ126" s="346" t="str">
        <f aca="false">IF($A126="N/A"," ",IF(AND(AQ126=$AR$2+1,AZ126=0),MIN($BB$135,AH126),0))</f>
        <v> </v>
      </c>
      <c r="BK126" s="346" t="str">
        <f aca="false">IF($A126="N/A"," ",IF(AND(AR126=$AR$2+1,BA126=0),MIN($BB$135,AI126),0))</f>
        <v> </v>
      </c>
      <c r="BL126" s="345"/>
      <c r="BM126" s="329" t="str">
        <f aca="false">IF($A126="N/A"," ",(IF(MONTH(A126)&gt;=4,IF(MONTH(A126)&lt;=10,Inputs!$F$13-Inputs!$G$13,Inputs!$F$14-Inputs!$G$14),Inputs!$F$14-Inputs!$G$14))*$CK126*Availability)</f>
        <v> </v>
      </c>
      <c r="BN126" s="330" t="str">
        <f aca="false">IF($A126="N/A"," ",(IF(AS126&gt;0,($BM126*(8*($HD126))*R126),0)+IF(BC126&gt;0,($BM126*((BC126/AA126)*8*$HD126)*R126),0)))</f>
        <v> </v>
      </c>
      <c r="BO126" s="330" t="str">
        <f aca="false">IF($A126="N/A"," ",(IF(AT126&gt;0,($BM126*(8*($HD126))*S126),0)+IF(BD126&gt;0,($BM126*((BD126/AB126)*8*$HD126)*S126),0)))</f>
        <v> </v>
      </c>
      <c r="BP126" s="330" t="str">
        <f aca="false">IF($A126="N/A"," ",(IF(AU126&gt;0,($BM126*(8*($HD126))*T126),0)+IF(BE126&gt;0,($BM126*((BE126))*T126),0)))</f>
        <v> </v>
      </c>
      <c r="BQ126" s="330" t="str">
        <f aca="false">IF($A126="N/A"," ",(IF(AV126&gt;0,($BM126*(8*($HE126))*U126),0)+IF(BF126&gt;0,($BM126*((BF126/AD126)*8*$HE126)*U126),0)))</f>
        <v> </v>
      </c>
      <c r="BR126" s="330" t="str">
        <f aca="false">IF($A126="N/A"," ",(IF(AW126&gt;0,($BM126*(8*($HE126))*V126),0)+IF(BG126&gt;0,($BM126*((BG126/AE126)*8*$HE126)*V126),0)))</f>
        <v> </v>
      </c>
      <c r="BS126" s="330" t="str">
        <f aca="false">IF($A126="N/A"," ",(IF(AX126&gt;0,($BM126*(8*($HE126))*W126),0)+IF(BH126&gt;0,($BM126*((BH126))*W126),0)))</f>
        <v> </v>
      </c>
      <c r="BT126" s="330" t="str">
        <f aca="false">IF($A126="N/A"," ",(IF(AY126&gt;0,($BM126*(8*($HF126))*X126),0)+IF(BI126&gt;0,($BM126*((BI126/AG126)*8*$HF126)*X126),0)))</f>
        <v> </v>
      </c>
      <c r="BU126" s="330" t="str">
        <f aca="false">IF($A126="N/A"," ",(IF(AZ126&gt;0,($BM126*(8*($HF126))*Y126),0)+IF(BJ126&gt;0,($BM126*((BJ126/AH126)*8*$HF126)*Y126),0)))</f>
        <v> </v>
      </c>
      <c r="BV126" s="330" t="str">
        <f aca="false">IF($A126="N/A"," ",(IF(BA126&gt;0,($BM126*(8*($HF126))*Z126),0)+IF(BK126&gt;0,($BM126*((BK126))*Z126),0)))</f>
        <v> </v>
      </c>
      <c r="BW126" s="330" t="str">
        <f aca="false">IF($A126="N/A"," ",SUM(BN126:BV126))</f>
        <v> </v>
      </c>
      <c r="BX126" s="331" t="str">
        <f aca="false">IF($A126="N/A"," ",(H126*(SUM(AS126:BA126)+SUM(BC126:BK126))*BM126))</f>
        <v> </v>
      </c>
      <c r="BY126" s="332" t="str">
        <f aca="false">IF($A126="N/A"," ",((C126*D126)*(SUM($AS126:$BA126)+SUM($BC126:$BK126))*$BM126))</f>
        <v> </v>
      </c>
      <c r="BZ126" s="332" t="str">
        <f aca="false">IF($A126="N/A"," ",(F126*(SUM($AS126:$BA126)+SUM($BC126:$BK126))*$BM126))</f>
        <v> </v>
      </c>
      <c r="CA126" s="333" t="str">
        <f aca="false">IF($A126="N/A"," ",(G126*(SUM($AS126:$BA126)+SUM($BC126:$BK126))*$BM126))</f>
        <v> </v>
      </c>
      <c r="CB126" s="334" t="str">
        <f aca="false">IF(A126="N/A"," ",(VLOOKUP(A126,PowerVolTable,(IF(BMO=2,7,IF(BMO=1,6,8))),FALSE())))</f>
        <v> </v>
      </c>
      <c r="CC126" s="334" t="str">
        <f aca="false">IF(A126="N/A"," ",(VLOOKUP(A126,IntraPowerVol,(IF(BMO=2,3,IF(BMO=1,2,4))),FALSE())*VLOOKUP(MONTH($A126),Volscale,2)))</f>
        <v> </v>
      </c>
      <c r="CD126" s="335" t="str">
        <f aca="false">IF($A126="N/A"," ",(IF(DateToday&gt;$A126,$CC126,((($CB126^2)*((($A126-1)-DateToday)/((EOMONTH($A126,0)+1)-DateToday-15)))+((($CC126)^2)*((15)/((EOMONTH($A126,0)+1)-DateToday-15))))^0.5)))</f>
        <v> </v>
      </c>
      <c r="CE126" s="334" t="str">
        <f aca="false">IF($A126="N/A"," ",(VLOOKUP($A126,GasVolTable,(IF(BMO=2,6,IF(BMO=1,7,5))),FALSE())))</f>
        <v> </v>
      </c>
      <c r="CF126" s="334" t="str">
        <f aca="false">IF($A126="N/A"," ",(VLOOKUP($A126,OmicronVol,(IF(BMO=2,3,IF(BMO=1,4,2))),FALSE())))</f>
        <v> </v>
      </c>
      <c r="CG126" s="335" t="str">
        <f aca="false">IF($A126="N/A"," ",(IF(DateToday&gt;$A126,$CF126,((($CE126^2)*((($A126-1)-DateToday)/((EOMONTH($A126,0)+1)-DateToday-15)))+((($CF126)^2)*((15)/((EOMONTH($A126,0)+1)-DateToday-15))))^0.5)))</f>
        <v> </v>
      </c>
      <c r="CH126" s="334" t="str">
        <f aca="false">IF($A126="N/A"," ",VLOOKUP($A126,CorrelationTable,2,FALSE()))</f>
        <v> </v>
      </c>
      <c r="CI126" s="336" t="str">
        <f aca="false">IF($A126="N/A"," ",F126+G126+(D126*('Pricing Inputs'!T159)))</f>
        <v> </v>
      </c>
      <c r="CJ126" s="334" t="str">
        <f aca="false">IF($A126="N/A"," ",IF(PV=1,0,'Pricing Inputs'!U159))</f>
        <v> </v>
      </c>
      <c r="CK126" s="337" t="str">
        <f aca="false">IF($A126="N/A"," ",(1+CJ126/2)^(-2*((EOMONTH(A126,0)+20)-DateToday)/365.25))</f>
        <v> </v>
      </c>
      <c r="CL126" s="338" t="str">
        <f aca="false">IF(A126="N/A"," ",IF(CC=2,(VLOOKUP(MONTH($A126),Hrtable,3))/1000,0))</f>
        <v> </v>
      </c>
      <c r="CM126" s="339" t="str">
        <f aca="false">IF(A126="N/A"," ",IF(CC=2,(CL126*C126)+F126,0))</f>
        <v> </v>
      </c>
      <c r="CN126" s="340" t="str">
        <f aca="false">IF($A126="N/A"," ",IF(CC=2,(VLOOKUP(A126,ScaledPrice,(IF(AND(Dayrun&gt;=1,Dayrun&lt;=6),2,4)))-((IF(R126&lt;&gt;0,$D126,$CL126)*$C126)+$F126+$G126)),0))</f>
        <v> </v>
      </c>
      <c r="CO126" s="340" t="str">
        <f aca="false">IF($A126="N/A"," ",IF(CC=2,(IF(AND(Dayrun&gt;=1,Dayrun&lt;=6),I126,(VLOOKUP(A126,ScaledPrice,2))*(2-(VLOOKUP(A126,ScaledPrice,3))))-((IF(S126&lt;&gt;0,$D126,$CL126)*$C126)+$F126+$G126)),0))</f>
        <v> </v>
      </c>
      <c r="CP126" s="340" t="str">
        <f aca="false">IF(A126="N/A"," ",IF(CC=2,(VLOOKUP(A126,ScaledPrice,9)-((IF(T126&lt;&gt;0,$D126,$CL126)*$C126)+$F126+$G126)),0))</f>
        <v> </v>
      </c>
      <c r="CQ126" s="340" t="str">
        <f aca="false">IF(A126="N/A"," ",IF(CC=2,(IF(OR(Dayrun=2,Dayrun=3,Dayrun=5,Dayrun=6,Dayrun=8,Dayrun=9),VLOOKUP(A126,ScaledPrice,IF(AND(Dayrun&gt;=2,Dayrun&lt;=6),5,6)),0)-((IF(U126&lt;&gt;0,$D126,$CL126)*$C126)+$F126+$G126)),0))</f>
        <v> </v>
      </c>
      <c r="CR126" s="340" t="str">
        <f aca="false">IF(A126="N/A"," ",IF(CC=2,(IF(OR(Dayrun=2,Dayrun=3,Dayrun=5,Dayrun=6,Dayrun=8,Dayrun=9),IF(AND(Dayrun&gt;=2,Dayrun&lt;=6),L126,(VLOOKUP(A126,ScaledPrice,5))*(2-(VLOOKUP(A126,ScaledPrice,3)))),0)-((IF(V126&lt;&gt;0,$D126,$CL126)*$C126)+$F126+$G126)),0))</f>
        <v> </v>
      </c>
      <c r="CS126" s="340" t="str">
        <f aca="false">IF(A126="N/A"," ",IF(CC=2,(VLOOKUP(A126,ScaledPrice,9)-((IF(W126&lt;&gt;0,$D126,$CL126)*$C126)+$F126+$G126)),0))</f>
        <v> </v>
      </c>
      <c r="CT126" s="340" t="str">
        <f aca="false">IF(A126="N/A"," ",IF(CC=2,(IF(OR(Dayrun=3,Dayrun=6,Dayrun=9),(VLOOKUP(A126,ScaledPrice,IF(AND(Dayrun&gt;=3,Dayrun&lt;=6),7,8))),0)-((IF(X126&lt;&gt;0,$D126,$CL126)*$C126)+$F126+$G126)),0))</f>
        <v> </v>
      </c>
      <c r="CU126" s="340" t="str">
        <f aca="false">IF(A126="N/A"," ",IF(CC=2,(IF(OR(Dayrun=3,Dayrun=6,Dayrun=9),IF(AND(Dayrun&gt;=3,Dayrun&lt;=6),O126,(VLOOKUP(A126,ScaledPrice,7))*(2-(VLOOKUP(A126,ScaledPrice,3)))),0)-((IF(Y126&lt;&gt;0,$D126,$CL126)*$C126)+$F126+$G126)),0))</f>
        <v> </v>
      </c>
      <c r="CV126" s="340" t="str">
        <f aca="false">IF(A126="N/A"," ",IF(CC=2,(VLOOKUP(A126,ScaledPrice,9)-((IF(Z126&lt;&gt;0,$D126,$CL126)*$C126)+$F126+$G126)),0))</f>
        <v> </v>
      </c>
      <c r="CW126" s="318" t="str">
        <f aca="false">IF($A126="N/A"," ",IF(0&lt;&gt;CN126,IF(CC=2,8*$HD126,0),0))</f>
        <v> </v>
      </c>
      <c r="CX126" s="318" t="str">
        <f aca="false">IF($A126="N/A"," ",IF(0&lt;&gt;CO126,IF(CC=2,8*$HD126,0),0))</f>
        <v> </v>
      </c>
      <c r="CY126" s="318" t="str">
        <f aca="false">IF($A126="N/A"," ",IF(0&lt;&gt;CP126,IF(CC=2,8*$HD126,0),0))</f>
        <v> </v>
      </c>
      <c r="CZ126" s="318" t="str">
        <f aca="false">IF($A126="N/A"," ",IF(0&lt;&gt;CQ126,IF(CC=2,8*$HE126,0),0))</f>
        <v> </v>
      </c>
      <c r="DA126" s="318" t="str">
        <f aca="false">IF($A126="N/A"," ",IF(0&lt;&gt;CR126,IF(CC=2,8*$HE126,0),0))</f>
        <v> </v>
      </c>
      <c r="DB126" s="318" t="str">
        <f aca="false">IF($A126="N/A"," ",IF(0&lt;&gt;CS126,IF(CC=2,8*$HE126,0),0))</f>
        <v> </v>
      </c>
      <c r="DC126" s="318" t="str">
        <f aca="false">IF($A126="N/A"," ",IF(0&lt;&gt;CT126,IF(CC=2,8*$HF126,0),0))</f>
        <v> </v>
      </c>
      <c r="DD126" s="318" t="str">
        <f aca="false">IF($A126="N/A"," ",IF(0&lt;&gt;CU126,IF(CC=2,8*$HF126,0),0))</f>
        <v> </v>
      </c>
      <c r="DE126" s="318" t="str">
        <f aca="false">IF($A126="N/A"," ",IF(0&lt;&gt;CV126,IF(CC=2,8*$HF126,0),0))</f>
        <v> </v>
      </c>
      <c r="DF126" s="341" t="str">
        <f aca="false">IF($A126="N/A"," ",IF(CC=2,(IF(MONTH(A126)&gt;=4,IF(MONTH(A126)&lt;=10,Inputs!$G$13,Inputs!$G$14),Inputs!$G$14))*$CK126,0))</f>
        <v> </v>
      </c>
      <c r="DG126" s="342" t="str">
        <f aca="false">IF($A126="N/A"," ",IF(CC=2,$DF126*CW126*CN126,0))</f>
        <v> </v>
      </c>
      <c r="DH126" s="342" t="str">
        <f aca="false">IF($A126="N/A"," ",IF(CC=2,$DF126*CX126*CO126,0))</f>
        <v> </v>
      </c>
      <c r="DI126" s="342" t="str">
        <f aca="false">IF($A126="N/A"," ",IF(CC=2,$DF126*CY126*CP126,0))</f>
        <v> </v>
      </c>
      <c r="DJ126" s="342" t="str">
        <f aca="false">IF($A126="N/A"," ",IF(CC=2,$DF126*CZ126*CQ126,0))</f>
        <v> </v>
      </c>
      <c r="DK126" s="342" t="str">
        <f aca="false">IF($A126="N/A"," ",IF(CC=2,$DF126*DA126*CR126,0))</f>
        <v> </v>
      </c>
      <c r="DL126" s="342" t="str">
        <f aca="false">IF($A126="N/A"," ",IF(CC=2,$DF126*DB126*CS126,0))</f>
        <v> </v>
      </c>
      <c r="DM126" s="342" t="str">
        <f aca="false">IF($A126="N/A"," ",IF(CC=2,$DF126*DC126*CT126,0))</f>
        <v> </v>
      </c>
      <c r="DN126" s="342" t="str">
        <f aca="false">IF($A126="N/A"," ",IF(CC=2,$DF126*DD126*CU126,0))</f>
        <v> </v>
      </c>
      <c r="DO126" s="342" t="str">
        <f aca="false">IF($A126="N/A"," ",IF(CC=2,$DF126*DE126*CV126,0))</f>
        <v> </v>
      </c>
      <c r="DP126" s="343" t="str">
        <f aca="false">IF($A126="N/A"," ",IF(CC=2,SUM(DG126:DO126),0))</f>
        <v> </v>
      </c>
      <c r="DQ126" s="0" t="str">
        <f aca="false">IF(A126="N/A"," ",Perstart)</f>
        <v> </v>
      </c>
      <c r="HD126" s="0" t="str">
        <f aca="false">IF($A126="N/A"," ",VLOOKUP($A126,NumberofDaysTable,2))</f>
        <v> </v>
      </c>
      <c r="HE126" s="0" t="str">
        <f aca="false">IF($A126="N/A"," ",VLOOKUP($A126,NumberofDaysTable,3))</f>
        <v> </v>
      </c>
      <c r="HF126" s="0" t="str">
        <f aca="false">IF($A126="N/A"," ",VLOOKUP($A126,NumberofDaysTable,4))</f>
        <v> </v>
      </c>
    </row>
    <row r="127" customFormat="false" ht="12.75" hidden="false" customHeight="false" outlineLevel="0" collapsed="false">
      <c r="A127" s="308" t="str">
        <f aca="false">IF(A126="N/A","N/A",IF(EDATE(A126,1)&gt;Inputs!$K$3,"N/A",EDATE(A126,1)))</f>
        <v>N/A</v>
      </c>
      <c r="B127" s="309" t="str">
        <f aca="false">IF(A127="N/A"," ",YEAR(A127))</f>
        <v> </v>
      </c>
      <c r="C127" s="310" t="str">
        <f aca="false">IF(A127="N/A"," ",VLOOKUP(A127,ScaledPrice,10))</f>
        <v> </v>
      </c>
      <c r="D127" s="311" t="str">
        <f aca="false">IF(A127="N/A"," ",(VLOOKUP(MONTH($A127),Hrtable,2))/1000)</f>
        <v> </v>
      </c>
      <c r="E127" s="312" t="str">
        <f aca="false">IF($A127="N/A"," ",(C127-'Pricing Inputs'!T160)*D127)</f>
        <v> </v>
      </c>
      <c r="F127" s="313" t="str">
        <f aca="false">IF(A127="N/A"," ",$F115*(1+VOMesc))</f>
        <v> </v>
      </c>
      <c r="G127" s="313" t="str">
        <f aca="false">IF(A127="N/A"," ",Perstart/IF(AND(Dayrun&gt;=4,Dayrun&lt;=6),16,IF(AND(Dayrun&gt;=7,Dayrun&lt;=9),8,24))/(BM127/CK127))</f>
        <v> </v>
      </c>
      <c r="H127" s="314" t="str">
        <f aca="false">IF(A127="N/A"," ",(C127*D127)+F127+G127)</f>
        <v> </v>
      </c>
      <c r="I127" s="315" t="str">
        <f aca="false">VLOOKUP(A127,ScaledPrice,(IF(AND(Dayrun&gt;=1,Dayrun&lt;=6),2,4)))</f>
        <v> </v>
      </c>
      <c r="J127" s="315" t="str">
        <f aca="false">IF(A127="N/A"," ",IF(AND(Dayrun&gt;=1,Dayrun&lt;=6),I127,(VLOOKUP(A127,ScaledPrice,2))*(2-(VLOOKUP(A127,ScaledPrice,3)))))</f>
        <v> </v>
      </c>
      <c r="K127" s="315" t="str">
        <f aca="false">IF(A127="N/A"," ",IF(AND(Dayrun&gt;=1,Dayrun&lt;=3),VLOOKUP(A127,ScaledPrice,9),0))</f>
        <v> </v>
      </c>
      <c r="L127" s="315" t="str">
        <f aca="false">IF(A127="N/A"," ",IF(OR(Dayrun=2,Dayrun=3,Dayrun=5,Dayrun=6,Dayrun=8,Dayrun=9),VLOOKUP(A127,ScaledPrice,IF(AND(Dayrun&gt;=2,Dayrun&lt;=6),5,6)),0))</f>
        <v> </v>
      </c>
      <c r="M127" s="315" t="str">
        <f aca="false">IF(A127="N/A"," ",IF(OR(Dayrun=2,Dayrun=3,Dayrun=5,Dayrun=6,Dayrun=8,Dayrun=9),IF(AND(Dayrun&gt;=2,Dayrun&lt;=6),L127,(VLOOKUP(A127,ScaledPrice,5))*(2-(VLOOKUP(A127,ScaledPrice,3)))),0))</f>
        <v> </v>
      </c>
      <c r="N127" s="315" t="str">
        <f aca="false">IF(A127="N/A"," ",IF(AND(Dayrun&gt;1,Dayrun&lt;=3),VLOOKUP(A127,ScaledPrice,9),0))</f>
        <v> </v>
      </c>
      <c r="O127" s="315" t="str">
        <f aca="false">IF(A127="N/A"," ",IF(OR(Dayrun=3,Dayrun=6,Dayrun=9),(VLOOKUP(A127,ScaledPrice,IF(AND(Dayrun&gt;=3,Dayrun&lt;=6),7,8))),0))</f>
        <v> </v>
      </c>
      <c r="P127" s="315" t="str">
        <f aca="false">IF(A127="N/A"," ",IF(OR(Dayrun=3,Dayrun=6,Dayrun=9),IF(AND(Dayrun&gt;=3,Dayrun&lt;=6),O127,(VLOOKUP(A127,ScaledPrice,7))*(2-(VLOOKUP(A127,ScaledPrice,3)))),0))</f>
        <v> </v>
      </c>
      <c r="Q127" s="315" t="str">
        <f aca="false">IF(A127="N/A"," ",IF(AND(Dayrun&gt;2,Dayrun&lt;=3),VLOOKUP(A127,ScaledPrice,9),0))</f>
        <v> </v>
      </c>
      <c r="R127" s="316" t="str">
        <f aca="false">IF($A127="N/A"," ",IF(Pricetype=2,MAX(I127-$H127,0),IF(Pricetype=1,(xSPRDOPT(I127,$E127,$CI127,0,($CD127+IF(Smile=TRUE(),VLOOKUP(MAX(-5,$H127-I127),Volsmile,2),0)),$CG127,$CH127,($A127-DateToday)+15,1,0)),I127-$H127)))</f>
        <v> </v>
      </c>
      <c r="S127" s="316" t="str">
        <f aca="false">IF($A127="N/A"," ",IF(Pricetype=2,MAX(J127-$H127,0),IF(Pricetype=1,(xSPRDOPT(J127,$E127,$CI127,0,($CD127+IF(Smile=TRUE(),VLOOKUP(MAX(-5,$H127-J127),Volsmile,2),0)),$CG127,$CH127,($A127-DateToday)+15,1,0)),J127-$H127)))</f>
        <v> </v>
      </c>
      <c r="T127" s="317" t="str">
        <f aca="false">IF($A127="N/A"," ",(IF(Pricetype=2,IF((K127-$H127)&lt;=0,0,(K127-$H127)),IF(K127&lt;&gt;0,(K127-$H127),0))))</f>
        <v> </v>
      </c>
      <c r="U127" s="316" t="str">
        <f aca="false">IF($A127="N/A"," ",IF(Pricetype=2,MAX(L127-$H127,0),IF(L127&lt;&gt;0,IF(Pricetype=1,(xSPRDOPT(L127,$E127,$CI127,0,($CD127+IF(Smile=TRUE(),VLOOKUP(MAX(-5,$H127-L127),Volsmile,2),0)),$CG127,$CH127,($A127-DateToday)+15,1,0)),L127-$H127),0)))</f>
        <v> </v>
      </c>
      <c r="V127" s="316" t="str">
        <f aca="false">IF($A127="N/A"," ",IF(Pricetype=2,MAX(M127-$H127,0),IF(M127&lt;&gt;0,IF(Pricetype=1,(xSPRDOPT(M127,$E127,$CI127,0,($CD127+IF(Smile=TRUE(),VLOOKUP(MAX(-5,$H127-M127),Volsmile,2),0)),$CG127,$CH127,($A127-DateToday)+15,1,0)),M127-$H127),0)))</f>
        <v> </v>
      </c>
      <c r="W127" s="317" t="str">
        <f aca="false">IF($A127="N/A"," ",(IF(Pricetype=2,IF((N127-$H127)&lt;=0,0,(N127-$H127)),IF(N127&lt;&gt;0,(N127-$H127),0))))</f>
        <v> </v>
      </c>
      <c r="X127" s="316" t="str">
        <f aca="false">IF($A127="N/A"," ",IF(Pricetype=2,MAX(O127-$H127,0),IF(O127&lt;&gt;0,IF(Pricetype=1,(xSPRDOPT(O127,$E127,$CI127,0,($CD127+IF(Smile=TRUE(),VLOOKUP(MAX(-5,$H127-O127),Volsmile,2),0)),$CG127,$CH127,($A127-DateToday)+15,1,0)),O127-$H127),0)))</f>
        <v> </v>
      </c>
      <c r="Y127" s="316" t="str">
        <f aca="false">IF($A127="N/A"," ",IF(Pricetype=2,MAX(P127-$H127,0),IF(P127&lt;&gt;0,IF(Pricetype=1,(xSPRDOPT(P127,$E127,$CI127,0,($CD127+IF(Smile=TRUE(),VLOOKUP(MAX(-5,$H127-P127),Volsmile,2),0)),$CG127,$CH127,($A127-DateToday)+15,1,0)),P127-$H127),0)))</f>
        <v> </v>
      </c>
      <c r="Z127" s="317" t="str">
        <f aca="false">IF($A127="N/A"," ",(IF(Pricetype=2,IF((Q127-$H127)&lt;=0,0,(Q127-$H127)),IF(Q127&lt;&gt;0,(Q127-$H127),0))))</f>
        <v> </v>
      </c>
      <c r="AA127" s="318" t="str">
        <f aca="false">IF($A127="N/A"," ",IF(VLOOKUP(MONTH(A127),ManualTable,2)=1,(IF(0&lt;&gt;R127,IF(Pricetype=1,(xSPRDOPT(I127,$E127,$CI127,0,($CD127+IF(Smile=TRUE(),VLOOKUP(MAX(-5,$H127-I127),Volsmile,2),0)),$CG127,$CH127,($A127-DateToday)+15,1,1))*(8*$HD127),8*$HD127),0)),0))</f>
        <v> </v>
      </c>
      <c r="AB127" s="318" t="str">
        <f aca="false">IF($A127="N/A"," ",IF(VLOOKUP(MONTH(A127),ManualTable,3)=1,(IF(S127&lt;&gt;0,IF(Pricetype=1,(xSPRDOPT(J127,$E127,$CI127,0,($CD127+IF(Smile=TRUE(),VLOOKUP(MAX(-5,$H127-J127),Volsmile,2),0)),$CG127,$CH127,($A127-DateToday)+15,1,1))*(8*$HD127),8*$HD127),0)),0))</f>
        <v> </v>
      </c>
      <c r="AC127" s="318" t="str">
        <f aca="false">IF($A127="N/A"," ",IF(VLOOKUP(MONTH(A127),ManualTable,4)=1,(IF(T127&lt;&gt;0,(8*$HD127),0)),0))</f>
        <v> </v>
      </c>
      <c r="AD127" s="318" t="str">
        <f aca="false">IF($A127="N/A"," ",IF(VLOOKUP(MONTH(A127),ManualTable,5)=1,(IF(U127&lt;&gt;0,IF(Pricetype=1,(xSPRDOPT(L127,$E127,$CI127,0,($CD127+IF(Smile=TRUE(),VLOOKUP(MAX(-5,$H127-L127),Volsmile,2),0)),$CG127,$CH127,($A127-DateToday)+15,1,1))*(8*$HE127),8*$HE127),0)),0))</f>
        <v> </v>
      </c>
      <c r="AE127" s="318" t="str">
        <f aca="false">IF($A127="N/A"," ",IF(VLOOKUP(MONTH(A127),ManualTable,6)=1,(IF(V127&lt;&gt;0,IF(Pricetype=1,(xSPRDOPT(M127,$E127,$CI127,0,($CD127+IF(Smile=TRUE(),VLOOKUP(MAX(-5,$H127-M127),Volsmile,2),0)),$CG127,$CH127,($A127-DateToday)+15,1,1))*(8*$HE127),8*$HE127),0)),0))</f>
        <v> </v>
      </c>
      <c r="AF127" s="318" t="str">
        <f aca="false">IF($A127="N/A"," ",IF(VLOOKUP(MONTH(A127),ManualTable,7)=1,(IF(W127&lt;&gt;0,(8*$HE127),0)),0))</f>
        <v> </v>
      </c>
      <c r="AG127" s="318" t="str">
        <f aca="false">IF($A127="N/A"," ",IF(VLOOKUP(MONTH(A127),ManualTable,8)=1,(IF(X127&lt;&gt;0,IF(Pricetype=1,(xSPRDOPT(O127,$E127,$CI127,0,($CD127+IF(Smile=TRUE(),VLOOKUP(MAX(-5,$H127-O127),Volsmile,2),0)),$CG127,$CH127,($A127-DateToday)+15,1,1))*(8*$HF127),8*$HF127),0)),0))</f>
        <v> </v>
      </c>
      <c r="AH127" s="318" t="str">
        <f aca="false">IF($A127="N/A"," ",IF(VLOOKUP(MONTH(A127),ManualTable,9)=1,(IF(Y127&lt;&gt;0,IF(Pricetype=1,(xSPRDOPT(P127,$E127,$CI127,0,($CD127+IF(Smile=TRUE(),VLOOKUP(MAX(-5,$H127-P127),Volsmile,2),0)),$CG127,$CH127,($A127-DateToday)+15,1,1))*(8*$HF127),8*$HF127),0)),0))</f>
        <v> </v>
      </c>
      <c r="AI127" s="318" t="str">
        <f aca="false">IF($A127="N/A"," ",IF(VLOOKUP(MONTH(A127),ManualTable,10)=1,(IF(Z127&lt;&gt;0,(8*($HF127)),0)),0))</f>
        <v> </v>
      </c>
      <c r="AJ127" s="344" t="str">
        <f aca="false">IF($A127="N/A"," ",RANK(R127,$R$124:$Z$135))</f>
        <v> </v>
      </c>
      <c r="AK127" s="321" t="str">
        <f aca="false">IF($A127="N/A"," ",RANK(S127,$R$124:$Z$135))</f>
        <v> </v>
      </c>
      <c r="AL127" s="321" t="str">
        <f aca="false">IF($A127="N/A"," ",RANK(T127,$R$124:$Z$135))</f>
        <v> </v>
      </c>
      <c r="AM127" s="321" t="str">
        <f aca="false">IF($A127="N/A"," ",RANK(U127,$R$124:$Z$135))</f>
        <v> </v>
      </c>
      <c r="AN127" s="321" t="str">
        <f aca="false">IF($A127="N/A"," ",RANK(V127,$R$124:$Z$135))</f>
        <v> </v>
      </c>
      <c r="AO127" s="321" t="str">
        <f aca="false">IF($A127="N/A"," ",RANK(W127,$R$124:$Z$135))</f>
        <v> </v>
      </c>
      <c r="AP127" s="321" t="str">
        <f aca="false">IF($A127="N/A"," ",RANK(X127,$R$124:$Z$135))</f>
        <v> </v>
      </c>
      <c r="AQ127" s="321" t="str">
        <f aca="false">IF($A127="N/A"," ",RANK(Y127,$R$124:$Z$135))</f>
        <v> </v>
      </c>
      <c r="AR127" s="345" t="str">
        <f aca="false">IF($A127="N/A"," ",RANK(Z127,$R$124:$Z$135))</f>
        <v> </v>
      </c>
      <c r="AS127" s="323" t="str">
        <f aca="false">IF($A127="N/A"," ",IF(AJ127&lt;=$AR$2,AA127,0))</f>
        <v> </v>
      </c>
      <c r="AT127" s="325" t="str">
        <f aca="false">IF($A127="N/A"," ",IF(AK127&lt;=$AR$2,AB127,0))</f>
        <v> </v>
      </c>
      <c r="AU127" s="325" t="str">
        <f aca="false">IF($A127="N/A"," ",IF(AL127&lt;=$AR$2,AC127,0))</f>
        <v> </v>
      </c>
      <c r="AV127" s="325" t="str">
        <f aca="false">IF($A127="N/A"," ",IF(AM127&lt;=$AR$2,AD127,0))</f>
        <v> </v>
      </c>
      <c r="AW127" s="325" t="str">
        <f aca="false">IF($A127="N/A"," ",IF(AN127&lt;=$AR$2,AE127,0))</f>
        <v> </v>
      </c>
      <c r="AX127" s="325" t="str">
        <f aca="false">IF($A127="N/A"," ",IF(AO127&lt;=$AR$2,AF127,0))</f>
        <v> </v>
      </c>
      <c r="AY127" s="325" t="str">
        <f aca="false">IF($A127="N/A"," ",IF(AP127&lt;=$AR$2,AG127,0))</f>
        <v> </v>
      </c>
      <c r="AZ127" s="325" t="str">
        <f aca="false">IF($A127="N/A"," ",IF(AQ127&lt;=$AR$2,AH127,0))</f>
        <v> </v>
      </c>
      <c r="BA127" s="325" t="str">
        <f aca="false">IF($A127="N/A"," ",IF(AR127&lt;=$AR$2,AI127,0))</f>
        <v> </v>
      </c>
      <c r="BB127" s="345"/>
      <c r="BC127" s="326" t="str">
        <f aca="false">IF($A127="N/A"," ",IF(AND(AJ127=$AR$2+1,AS127=0),MIN($BB$135,AA127),0))</f>
        <v> </v>
      </c>
      <c r="BD127" s="346" t="str">
        <f aca="false">IF($A127="N/A"," ",IF(AND(AK127=$AR$2+1,AT127=0),MIN($BB$135,AB127),0))</f>
        <v> </v>
      </c>
      <c r="BE127" s="346" t="str">
        <f aca="false">IF($A127="N/A"," ",IF(AND(AL127=$AR$2+1,AU127=0),MIN($BB$135,AC127),0))</f>
        <v> </v>
      </c>
      <c r="BF127" s="346" t="str">
        <f aca="false">IF($A127="N/A"," ",IF(AND(AM127=$AR$2+1,AV127=0),MIN($BB$135,AD127),0))</f>
        <v> </v>
      </c>
      <c r="BG127" s="346" t="str">
        <f aca="false">IF($A127="N/A"," ",IF(AND(AN127=$AR$2+1,AW127=0),MIN($BB$135,AE127),0))</f>
        <v> </v>
      </c>
      <c r="BH127" s="346" t="str">
        <f aca="false">IF($A127="N/A"," ",IF(AND(AO127=$AR$2+1,AX127=0),MIN($BB$135,AF127),0))</f>
        <v> </v>
      </c>
      <c r="BI127" s="346" t="str">
        <f aca="false">IF($A127="N/A"," ",IF(AND(AP127=$AR$2+1,AY127=0),MIN($BB$135,AG127),0))</f>
        <v> </v>
      </c>
      <c r="BJ127" s="346" t="str">
        <f aca="false">IF($A127="N/A"," ",IF(AND(AQ127=$AR$2+1,AZ127=0),MIN($BB$135,AH127),0))</f>
        <v> </v>
      </c>
      <c r="BK127" s="346" t="str">
        <f aca="false">IF($A127="N/A"," ",IF(AND(AR127=$AR$2+1,BA127=0),MIN($BB$135,AI127),0))</f>
        <v> </v>
      </c>
      <c r="BL127" s="345"/>
      <c r="BM127" s="329" t="str">
        <f aca="false">IF($A127="N/A"," ",(IF(MONTH(A127)&gt;=4,IF(MONTH(A127)&lt;=10,Inputs!$F$13-Inputs!$G$13,Inputs!$F$14-Inputs!$G$14),Inputs!$F$14-Inputs!$G$14))*$CK127*Availability)</f>
        <v> </v>
      </c>
      <c r="BN127" s="330" t="str">
        <f aca="false">IF($A127="N/A"," ",(IF(AS127&gt;0,($BM127*(8*($HD127))*R127),0)+IF(BC127&gt;0,($BM127*((BC127/AA127)*8*$HD127)*R127),0)))</f>
        <v> </v>
      </c>
      <c r="BO127" s="330" t="str">
        <f aca="false">IF($A127="N/A"," ",(IF(AT127&gt;0,($BM127*(8*($HD127))*S127),0)+IF(BD127&gt;0,($BM127*((BD127/AB127)*8*$HD127)*S127),0)))</f>
        <v> </v>
      </c>
      <c r="BP127" s="330" t="str">
        <f aca="false">IF($A127="N/A"," ",(IF(AU127&gt;0,($BM127*(8*($HD127))*T127),0)+IF(BE127&gt;0,($BM127*((BE127))*T127),0)))</f>
        <v> </v>
      </c>
      <c r="BQ127" s="330" t="str">
        <f aca="false">IF($A127="N/A"," ",(IF(AV127&gt;0,($BM127*(8*($HE127))*U127),0)+IF(BF127&gt;0,($BM127*((BF127/AD127)*8*$HE127)*U127),0)))</f>
        <v> </v>
      </c>
      <c r="BR127" s="330" t="str">
        <f aca="false">IF($A127="N/A"," ",(IF(AW127&gt;0,($BM127*(8*($HE127))*V127),0)+IF(BG127&gt;0,($BM127*((BG127/AE127)*8*$HE127)*V127),0)))</f>
        <v> </v>
      </c>
      <c r="BS127" s="330" t="str">
        <f aca="false">IF($A127="N/A"," ",(IF(AX127&gt;0,($BM127*(8*($HE127))*W127),0)+IF(BH127&gt;0,($BM127*((BH127))*W127),0)))</f>
        <v> </v>
      </c>
      <c r="BT127" s="330" t="str">
        <f aca="false">IF($A127="N/A"," ",(IF(AY127&gt;0,($BM127*(8*($HF127))*X127),0)+IF(BI127&gt;0,($BM127*((BI127/AG127)*8*$HF127)*X127),0)))</f>
        <v> </v>
      </c>
      <c r="BU127" s="330" t="str">
        <f aca="false">IF($A127="N/A"," ",(IF(AZ127&gt;0,($BM127*(8*($HF127))*Y127),0)+IF(BJ127&gt;0,($BM127*((BJ127/AH127)*8*$HF127)*Y127),0)))</f>
        <v> </v>
      </c>
      <c r="BV127" s="330" t="str">
        <f aca="false">IF($A127="N/A"," ",(IF(BA127&gt;0,($BM127*(8*($HF127))*Z127),0)+IF(BK127&gt;0,($BM127*((BK127))*Z127),0)))</f>
        <v> </v>
      </c>
      <c r="BW127" s="330" t="str">
        <f aca="false">IF($A127="N/A"," ",SUM(BN127:BV127))</f>
        <v> </v>
      </c>
      <c r="BX127" s="331" t="str">
        <f aca="false">IF($A127="N/A"," ",(H127*(SUM(AS127:BA127)+SUM(BC127:BK127))*BM127))</f>
        <v> </v>
      </c>
      <c r="BY127" s="332" t="str">
        <f aca="false">IF($A127="N/A"," ",((C127*D127)*(SUM($AS127:$BA127)+SUM($BC127:$BK127))*$BM127))</f>
        <v> </v>
      </c>
      <c r="BZ127" s="332" t="str">
        <f aca="false">IF($A127="N/A"," ",(F127*(SUM($AS127:$BA127)+SUM($BC127:$BK127))*$BM127))</f>
        <v> </v>
      </c>
      <c r="CA127" s="333" t="str">
        <f aca="false">IF($A127="N/A"," ",(G127*(SUM($AS127:$BA127)+SUM($BC127:$BK127))*$BM127))</f>
        <v> </v>
      </c>
      <c r="CB127" s="334" t="str">
        <f aca="false">IF(A127="N/A"," ",(VLOOKUP(A127,PowerVolTable,(IF(BMO=2,7,IF(BMO=1,6,8))),FALSE())))</f>
        <v> </v>
      </c>
      <c r="CC127" s="334" t="str">
        <f aca="false">IF(A127="N/A"," ",(VLOOKUP(A127,IntraPowerVol,(IF(BMO=2,3,IF(BMO=1,2,4))),FALSE())*VLOOKUP(MONTH($A127),Volscale,2)))</f>
        <v> </v>
      </c>
      <c r="CD127" s="335" t="str">
        <f aca="false">IF($A127="N/A"," ",(IF(DateToday&gt;$A127,$CC127,((($CB127^2)*((($A127-1)-DateToday)/((EOMONTH($A127,0)+1)-DateToday-15)))+((($CC127)^2)*((15)/((EOMONTH($A127,0)+1)-DateToday-15))))^0.5)))</f>
        <v> </v>
      </c>
      <c r="CE127" s="334" t="str">
        <f aca="false">IF($A127="N/A"," ",(VLOOKUP($A127,GasVolTable,(IF(BMO=2,6,IF(BMO=1,7,5))),FALSE())))</f>
        <v> </v>
      </c>
      <c r="CF127" s="334" t="str">
        <f aca="false">IF($A127="N/A"," ",(VLOOKUP($A127,OmicronVol,(IF(BMO=2,3,IF(BMO=1,4,2))),FALSE())))</f>
        <v> </v>
      </c>
      <c r="CG127" s="335" t="str">
        <f aca="false">IF($A127="N/A"," ",(IF(DateToday&gt;$A127,$CF127,((($CE127^2)*((($A127-1)-DateToday)/((EOMONTH($A127,0)+1)-DateToday-15)))+((($CF127)^2)*((15)/((EOMONTH($A127,0)+1)-DateToday-15))))^0.5)))</f>
        <v> </v>
      </c>
      <c r="CH127" s="334" t="str">
        <f aca="false">IF($A127="N/A"," ",VLOOKUP($A127,CorrelationTable,2,FALSE()))</f>
        <v> </v>
      </c>
      <c r="CI127" s="336" t="str">
        <f aca="false">IF($A127="N/A"," ",F127+G127+(D127*('Pricing Inputs'!T160)))</f>
        <v> </v>
      </c>
      <c r="CJ127" s="334" t="str">
        <f aca="false">IF($A127="N/A"," ",IF(PV=1,0,'Pricing Inputs'!U160))</f>
        <v> </v>
      </c>
      <c r="CK127" s="337" t="str">
        <f aca="false">IF($A127="N/A"," ",(1+CJ127/2)^(-2*((EOMONTH(A127,0)+20)-DateToday)/365.25))</f>
        <v> </v>
      </c>
      <c r="CL127" s="338" t="str">
        <f aca="false">IF(A127="N/A"," ",IF(CC=2,(VLOOKUP(MONTH($A127),Hrtable,3))/1000,0))</f>
        <v> </v>
      </c>
      <c r="CM127" s="339" t="str">
        <f aca="false">IF(A127="N/A"," ",IF(CC=2,(CL127*C127)+F127,0))</f>
        <v> </v>
      </c>
      <c r="CN127" s="340" t="str">
        <f aca="false">IF($A127="N/A"," ",IF(CC=2,(VLOOKUP(A127,ScaledPrice,(IF(AND(Dayrun&gt;=1,Dayrun&lt;=6),2,4)))-((IF(R127&lt;&gt;0,$D127,$CL127)*$C127)+$F127+$G127)),0))</f>
        <v> </v>
      </c>
      <c r="CO127" s="340" t="str">
        <f aca="false">IF($A127="N/A"," ",IF(CC=2,(IF(AND(Dayrun&gt;=1,Dayrun&lt;=6),I127,(VLOOKUP(A127,ScaledPrice,2))*(2-(VLOOKUP(A127,ScaledPrice,3))))-((IF(S127&lt;&gt;0,$D127,$CL127)*$C127)+$F127+$G127)),0))</f>
        <v> </v>
      </c>
      <c r="CP127" s="340" t="str">
        <f aca="false">IF(A127="N/A"," ",IF(CC=2,(VLOOKUP(A127,ScaledPrice,9)-((IF(T127&lt;&gt;0,$D127,$CL127)*$C127)+$F127+$G127)),0))</f>
        <v> </v>
      </c>
      <c r="CQ127" s="340" t="str">
        <f aca="false">IF(A127="N/A"," ",IF(CC=2,(IF(OR(Dayrun=2,Dayrun=3,Dayrun=5,Dayrun=6,Dayrun=8,Dayrun=9),VLOOKUP(A127,ScaledPrice,IF(AND(Dayrun&gt;=2,Dayrun&lt;=6),5,6)),0)-((IF(U127&lt;&gt;0,$D127,$CL127)*$C127)+$F127+$G127)),0))</f>
        <v> </v>
      </c>
      <c r="CR127" s="340" t="str">
        <f aca="false">IF(A127="N/A"," ",IF(CC=2,(IF(OR(Dayrun=2,Dayrun=3,Dayrun=5,Dayrun=6,Dayrun=8,Dayrun=9),IF(AND(Dayrun&gt;=2,Dayrun&lt;=6),L127,(VLOOKUP(A127,ScaledPrice,5))*(2-(VLOOKUP(A127,ScaledPrice,3)))),0)-((IF(V127&lt;&gt;0,$D127,$CL127)*$C127)+$F127+$G127)),0))</f>
        <v> </v>
      </c>
      <c r="CS127" s="340" t="str">
        <f aca="false">IF(A127="N/A"," ",IF(CC=2,(VLOOKUP(A127,ScaledPrice,9)-((IF(W127&lt;&gt;0,$D127,$CL127)*$C127)+$F127+$G127)),0))</f>
        <v> </v>
      </c>
      <c r="CT127" s="340" t="str">
        <f aca="false">IF(A127="N/A"," ",IF(CC=2,(IF(OR(Dayrun=3,Dayrun=6,Dayrun=9),(VLOOKUP(A127,ScaledPrice,IF(AND(Dayrun&gt;=3,Dayrun&lt;=6),7,8))),0)-((IF(X127&lt;&gt;0,$D127,$CL127)*$C127)+$F127+$G127)),0))</f>
        <v> </v>
      </c>
      <c r="CU127" s="340" t="str">
        <f aca="false">IF(A127="N/A"," ",IF(CC=2,(IF(OR(Dayrun=3,Dayrun=6,Dayrun=9),IF(AND(Dayrun&gt;=3,Dayrun&lt;=6),O127,(VLOOKUP(A127,ScaledPrice,7))*(2-(VLOOKUP(A127,ScaledPrice,3)))),0)-((IF(Y127&lt;&gt;0,$D127,$CL127)*$C127)+$F127+$G127)),0))</f>
        <v> </v>
      </c>
      <c r="CV127" s="340" t="str">
        <f aca="false">IF(A127="N/A"," ",IF(CC=2,(VLOOKUP(A127,ScaledPrice,9)-((IF(Z127&lt;&gt;0,$D127,$CL127)*$C127)+$F127+$G127)),0))</f>
        <v> </v>
      </c>
      <c r="CW127" s="318" t="str">
        <f aca="false">IF($A127="N/A"," ",IF(0&lt;&gt;CN127,IF(CC=2,8*$HD127,0),0))</f>
        <v> </v>
      </c>
      <c r="CX127" s="318" t="str">
        <f aca="false">IF($A127="N/A"," ",IF(0&lt;&gt;CO127,IF(CC=2,8*$HD127,0),0))</f>
        <v> </v>
      </c>
      <c r="CY127" s="318" t="str">
        <f aca="false">IF($A127="N/A"," ",IF(0&lt;&gt;CP127,IF(CC=2,8*$HD127,0),0))</f>
        <v> </v>
      </c>
      <c r="CZ127" s="318" t="str">
        <f aca="false">IF($A127="N/A"," ",IF(0&lt;&gt;CQ127,IF(CC=2,8*$HE127,0),0))</f>
        <v> </v>
      </c>
      <c r="DA127" s="318" t="str">
        <f aca="false">IF($A127="N/A"," ",IF(0&lt;&gt;CR127,IF(CC=2,8*$HE127,0),0))</f>
        <v> </v>
      </c>
      <c r="DB127" s="318" t="str">
        <f aca="false">IF($A127="N/A"," ",IF(0&lt;&gt;CS127,IF(CC=2,8*$HE127,0),0))</f>
        <v> </v>
      </c>
      <c r="DC127" s="318" t="str">
        <f aca="false">IF($A127="N/A"," ",IF(0&lt;&gt;CT127,IF(CC=2,8*$HF127,0),0))</f>
        <v> </v>
      </c>
      <c r="DD127" s="318" t="str">
        <f aca="false">IF($A127="N/A"," ",IF(0&lt;&gt;CU127,IF(CC=2,8*$HF127,0),0))</f>
        <v> </v>
      </c>
      <c r="DE127" s="318" t="str">
        <f aca="false">IF($A127="N/A"," ",IF(0&lt;&gt;CV127,IF(CC=2,8*$HF127,0),0))</f>
        <v> </v>
      </c>
      <c r="DF127" s="341" t="str">
        <f aca="false">IF($A127="N/A"," ",IF(CC=2,(IF(MONTH(A127)&gt;=4,IF(MONTH(A127)&lt;=10,Inputs!$G$13,Inputs!$G$14),Inputs!$G$14))*$CK127,0))</f>
        <v> </v>
      </c>
      <c r="DG127" s="342" t="str">
        <f aca="false">IF($A127="N/A"," ",IF(CC=2,$DF127*CW127*CN127,0))</f>
        <v> </v>
      </c>
      <c r="DH127" s="342" t="str">
        <f aca="false">IF($A127="N/A"," ",IF(CC=2,$DF127*CX127*CO127,0))</f>
        <v> </v>
      </c>
      <c r="DI127" s="342" t="str">
        <f aca="false">IF($A127="N/A"," ",IF(CC=2,$DF127*CY127*CP127,0))</f>
        <v> </v>
      </c>
      <c r="DJ127" s="342" t="str">
        <f aca="false">IF($A127="N/A"," ",IF(CC=2,$DF127*CZ127*CQ127,0))</f>
        <v> </v>
      </c>
      <c r="DK127" s="342" t="str">
        <f aca="false">IF($A127="N/A"," ",IF(CC=2,$DF127*DA127*CR127,0))</f>
        <v> </v>
      </c>
      <c r="DL127" s="342" t="str">
        <f aca="false">IF($A127="N/A"," ",IF(CC=2,$DF127*DB127*CS127,0))</f>
        <v> </v>
      </c>
      <c r="DM127" s="342" t="str">
        <f aca="false">IF($A127="N/A"," ",IF(CC=2,$DF127*DC127*CT127,0))</f>
        <v> </v>
      </c>
      <c r="DN127" s="342" t="str">
        <f aca="false">IF($A127="N/A"," ",IF(CC=2,$DF127*DD127*CU127,0))</f>
        <v> </v>
      </c>
      <c r="DO127" s="342" t="str">
        <f aca="false">IF($A127="N/A"," ",IF(CC=2,$DF127*DE127*CV127,0))</f>
        <v> </v>
      </c>
      <c r="DP127" s="343" t="str">
        <f aca="false">IF($A127="N/A"," ",IF(CC=2,SUM(DG127:DO127),0))</f>
        <v> </v>
      </c>
      <c r="DQ127" s="0" t="str">
        <f aca="false">IF(A127="N/A"," ",Perstart)</f>
        <v> </v>
      </c>
      <c r="HD127" s="0" t="str">
        <f aca="false">IF($A127="N/A"," ",VLOOKUP($A127,NumberofDaysTable,2))</f>
        <v> </v>
      </c>
      <c r="HE127" s="0" t="str">
        <f aca="false">IF($A127="N/A"," ",VLOOKUP($A127,NumberofDaysTable,3))</f>
        <v> </v>
      </c>
      <c r="HF127" s="0" t="str">
        <f aca="false">IF($A127="N/A"," ",VLOOKUP($A127,NumberofDaysTable,4))</f>
        <v> </v>
      </c>
    </row>
    <row r="128" customFormat="false" ht="12.75" hidden="false" customHeight="false" outlineLevel="0" collapsed="false">
      <c r="A128" s="308" t="str">
        <f aca="false">IF(A127="N/A","N/A",IF(EDATE(A127,1)&gt;Inputs!$K$3,"N/A",EDATE(A127,1)))</f>
        <v>N/A</v>
      </c>
      <c r="B128" s="309" t="str">
        <f aca="false">IF(A128="N/A"," ",YEAR(A128))</f>
        <v> </v>
      </c>
      <c r="C128" s="310" t="str">
        <f aca="false">IF(A128="N/A"," ",VLOOKUP(A128,ScaledPrice,10))</f>
        <v> </v>
      </c>
      <c r="D128" s="311" t="str">
        <f aca="false">IF(A128="N/A"," ",(VLOOKUP(MONTH($A128),Hrtable,2))/1000)</f>
        <v> </v>
      </c>
      <c r="E128" s="312" t="str">
        <f aca="false">IF($A128="N/A"," ",(C128-'Pricing Inputs'!T161)*D128)</f>
        <v> </v>
      </c>
      <c r="F128" s="313" t="str">
        <f aca="false">IF(A128="N/A"," ",$F116*(1+VOMesc))</f>
        <v> </v>
      </c>
      <c r="G128" s="313" t="str">
        <f aca="false">IF(A128="N/A"," ",Perstart/IF(AND(Dayrun&gt;=4,Dayrun&lt;=6),16,IF(AND(Dayrun&gt;=7,Dayrun&lt;=9),8,24))/(BM128/CK128))</f>
        <v> </v>
      </c>
      <c r="H128" s="314" t="str">
        <f aca="false">IF(A128="N/A"," ",(C128*D128)+F128+G128)</f>
        <v> </v>
      </c>
      <c r="I128" s="315" t="str">
        <f aca="false">VLOOKUP(A128,ScaledPrice,(IF(AND(Dayrun&gt;=1,Dayrun&lt;=6),2,4)))</f>
        <v> </v>
      </c>
      <c r="J128" s="315" t="str">
        <f aca="false">IF(A128="N/A"," ",IF(AND(Dayrun&gt;=1,Dayrun&lt;=6),I128,(VLOOKUP(A128,ScaledPrice,2))*(2-(VLOOKUP(A128,ScaledPrice,3)))))</f>
        <v> </v>
      </c>
      <c r="K128" s="315" t="str">
        <f aca="false">IF(A128="N/A"," ",IF(AND(Dayrun&gt;=1,Dayrun&lt;=3),VLOOKUP(A128,ScaledPrice,9),0))</f>
        <v> </v>
      </c>
      <c r="L128" s="315" t="str">
        <f aca="false">IF(A128="N/A"," ",IF(OR(Dayrun=2,Dayrun=3,Dayrun=5,Dayrun=6,Dayrun=8,Dayrun=9),VLOOKUP(A128,ScaledPrice,IF(AND(Dayrun&gt;=2,Dayrun&lt;=6),5,6)),0))</f>
        <v> </v>
      </c>
      <c r="M128" s="315" t="str">
        <f aca="false">IF(A128="N/A"," ",IF(OR(Dayrun=2,Dayrun=3,Dayrun=5,Dayrun=6,Dayrun=8,Dayrun=9),IF(AND(Dayrun&gt;=2,Dayrun&lt;=6),L128,(VLOOKUP(A128,ScaledPrice,5))*(2-(VLOOKUP(A128,ScaledPrice,3)))),0))</f>
        <v> </v>
      </c>
      <c r="N128" s="315" t="str">
        <f aca="false">IF(A128="N/A"," ",IF(AND(Dayrun&gt;1,Dayrun&lt;=3),VLOOKUP(A128,ScaledPrice,9),0))</f>
        <v> </v>
      </c>
      <c r="O128" s="315" t="str">
        <f aca="false">IF(A128="N/A"," ",IF(OR(Dayrun=3,Dayrun=6,Dayrun=9),(VLOOKUP(A128,ScaledPrice,IF(AND(Dayrun&gt;=3,Dayrun&lt;=6),7,8))),0))</f>
        <v> </v>
      </c>
      <c r="P128" s="315" t="str">
        <f aca="false">IF(A128="N/A"," ",IF(OR(Dayrun=3,Dayrun=6,Dayrun=9),IF(AND(Dayrun&gt;=3,Dayrun&lt;=6),O128,(VLOOKUP(A128,ScaledPrice,7))*(2-(VLOOKUP(A128,ScaledPrice,3)))),0))</f>
        <v> </v>
      </c>
      <c r="Q128" s="315" t="str">
        <f aca="false">IF(A128="N/A"," ",IF(AND(Dayrun&gt;2,Dayrun&lt;=3),VLOOKUP(A128,ScaledPrice,9),0))</f>
        <v> </v>
      </c>
      <c r="R128" s="316" t="str">
        <f aca="false">IF($A128="N/A"," ",IF(Pricetype=2,MAX(I128-$H128,0),IF(Pricetype=1,(xSPRDOPT(I128,$E128,$CI128,0,($CD128+IF(Smile=TRUE(),VLOOKUP(MAX(-5,$H128-I128),Volsmile,2),0)),$CG128,$CH128,($A128-DateToday)+15,1,0)),I128-$H128)))</f>
        <v> </v>
      </c>
      <c r="S128" s="316" t="str">
        <f aca="false">IF($A128="N/A"," ",IF(Pricetype=2,MAX(J128-$H128,0),IF(Pricetype=1,(xSPRDOPT(J128,$E128,$CI128,0,($CD128+IF(Smile=TRUE(),VLOOKUP(MAX(-5,$H128-J128),Volsmile,2),0)),$CG128,$CH128,($A128-DateToday)+15,1,0)),J128-$H128)))</f>
        <v> </v>
      </c>
      <c r="T128" s="317" t="str">
        <f aca="false">IF($A128="N/A"," ",(IF(Pricetype=2,IF((K128-$H128)&lt;=0,0,(K128-$H128)),IF(K128&lt;&gt;0,(K128-$H128),0))))</f>
        <v> </v>
      </c>
      <c r="U128" s="316" t="str">
        <f aca="false">IF($A128="N/A"," ",IF(Pricetype=2,MAX(L128-$H128,0),IF(L128&lt;&gt;0,IF(Pricetype=1,(xSPRDOPT(L128,$E128,$CI128,0,($CD128+IF(Smile=TRUE(),VLOOKUP(MAX(-5,$H128-L128),Volsmile,2),0)),$CG128,$CH128,($A128-DateToday)+15,1,0)),L128-$H128),0)))</f>
        <v> </v>
      </c>
      <c r="V128" s="316" t="str">
        <f aca="false">IF($A128="N/A"," ",IF(Pricetype=2,MAX(M128-$H128,0),IF(M128&lt;&gt;0,IF(Pricetype=1,(xSPRDOPT(M128,$E128,$CI128,0,($CD128+IF(Smile=TRUE(),VLOOKUP(MAX(-5,$H128-M128),Volsmile,2),0)),$CG128,$CH128,($A128-DateToday)+15,1,0)),M128-$H128),0)))</f>
        <v> </v>
      </c>
      <c r="W128" s="317" t="str">
        <f aca="false">IF($A128="N/A"," ",(IF(Pricetype=2,IF((N128-$H128)&lt;=0,0,(N128-$H128)),IF(N128&lt;&gt;0,(N128-$H128),0))))</f>
        <v> </v>
      </c>
      <c r="X128" s="316" t="str">
        <f aca="false">IF($A128="N/A"," ",IF(Pricetype=2,MAX(O128-$H128,0),IF(O128&lt;&gt;0,IF(Pricetype=1,(xSPRDOPT(O128,$E128,$CI128,0,($CD128+IF(Smile=TRUE(),VLOOKUP(MAX(-5,$H128-O128),Volsmile,2),0)),$CG128,$CH128,($A128-DateToday)+15,1,0)),O128-$H128),0)))</f>
        <v> </v>
      </c>
      <c r="Y128" s="316" t="str">
        <f aca="false">IF($A128="N/A"," ",IF(Pricetype=2,MAX(P128-$H128,0),IF(P128&lt;&gt;0,IF(Pricetype=1,(xSPRDOPT(P128,$E128,$CI128,0,($CD128+IF(Smile=TRUE(),VLOOKUP(MAX(-5,$H128-P128),Volsmile,2),0)),$CG128,$CH128,($A128-DateToday)+15,1,0)),P128-$H128),0)))</f>
        <v> </v>
      </c>
      <c r="Z128" s="317" t="str">
        <f aca="false">IF($A128="N/A"," ",(IF(Pricetype=2,IF((Q128-$H128)&lt;=0,0,(Q128-$H128)),IF(Q128&lt;&gt;0,(Q128-$H128),0))))</f>
        <v> </v>
      </c>
      <c r="AA128" s="318" t="str">
        <f aca="false">IF($A128="N/A"," ",IF(VLOOKUP(MONTH(A128),ManualTable,2)=1,(IF(0&lt;&gt;R128,IF(Pricetype=1,(xSPRDOPT(I128,$E128,$CI128,0,($CD128+IF(Smile=TRUE(),VLOOKUP(MAX(-5,$H128-I128),Volsmile,2),0)),$CG128,$CH128,($A128-DateToday)+15,1,1))*(8*$HD128),8*$HD128),0)),0))</f>
        <v> </v>
      </c>
      <c r="AB128" s="318" t="str">
        <f aca="false">IF($A128="N/A"," ",IF(VLOOKUP(MONTH(A128),ManualTable,3)=1,(IF(S128&lt;&gt;0,IF(Pricetype=1,(xSPRDOPT(J128,$E128,$CI128,0,($CD128+IF(Smile=TRUE(),VLOOKUP(MAX(-5,$H128-J128),Volsmile,2),0)),$CG128,$CH128,($A128-DateToday)+15,1,1))*(8*$HD128),8*$HD128),0)),0))</f>
        <v> </v>
      </c>
      <c r="AC128" s="318" t="str">
        <f aca="false">IF($A128="N/A"," ",IF(VLOOKUP(MONTH(A128),ManualTable,4)=1,(IF(T128&lt;&gt;0,(8*$HD128),0)),0))</f>
        <v> </v>
      </c>
      <c r="AD128" s="318" t="str">
        <f aca="false">IF($A128="N/A"," ",IF(VLOOKUP(MONTH(A128),ManualTable,5)=1,(IF(U128&lt;&gt;0,IF(Pricetype=1,(xSPRDOPT(L128,$E128,$CI128,0,($CD128+IF(Smile=TRUE(),VLOOKUP(MAX(-5,$H128-L128),Volsmile,2),0)),$CG128,$CH128,($A128-DateToday)+15,1,1))*(8*$HE128),8*$HE128),0)),0))</f>
        <v> </v>
      </c>
      <c r="AE128" s="318" t="str">
        <f aca="false">IF($A128="N/A"," ",IF(VLOOKUP(MONTH(A128),ManualTable,6)=1,(IF(V128&lt;&gt;0,IF(Pricetype=1,(xSPRDOPT(M128,$E128,$CI128,0,($CD128+IF(Smile=TRUE(),VLOOKUP(MAX(-5,$H128-M128),Volsmile,2),0)),$CG128,$CH128,($A128-DateToday)+15,1,1))*(8*$HE128),8*$HE128),0)),0))</f>
        <v> </v>
      </c>
      <c r="AF128" s="318" t="str">
        <f aca="false">IF($A128="N/A"," ",IF(VLOOKUP(MONTH(A128),ManualTable,7)=1,(IF(W128&lt;&gt;0,(8*$HE128),0)),0))</f>
        <v> </v>
      </c>
      <c r="AG128" s="318" t="str">
        <f aca="false">IF($A128="N/A"," ",IF(VLOOKUP(MONTH(A128),ManualTable,8)=1,(IF(X128&lt;&gt;0,IF(Pricetype=1,(xSPRDOPT(O128,$E128,$CI128,0,($CD128+IF(Smile=TRUE(),VLOOKUP(MAX(-5,$H128-O128),Volsmile,2),0)),$CG128,$CH128,($A128-DateToday)+15,1,1))*(8*$HF128),8*$HF128),0)),0))</f>
        <v> </v>
      </c>
      <c r="AH128" s="318" t="str">
        <f aca="false">IF($A128="N/A"," ",IF(VLOOKUP(MONTH(A128),ManualTable,9)=1,(IF(Y128&lt;&gt;0,IF(Pricetype=1,(xSPRDOPT(P128,$E128,$CI128,0,($CD128+IF(Smile=TRUE(),VLOOKUP(MAX(-5,$H128-P128),Volsmile,2),0)),$CG128,$CH128,($A128-DateToday)+15,1,1))*(8*$HF128),8*$HF128),0)),0))</f>
        <v> </v>
      </c>
      <c r="AI128" s="318" t="str">
        <f aca="false">IF($A128="N/A"," ",IF(VLOOKUP(MONTH(A128),ManualTable,10)=1,(IF(Z128&lt;&gt;0,(8*($HF128)),0)),0))</f>
        <v> </v>
      </c>
      <c r="AJ128" s="344" t="str">
        <f aca="false">IF($A128="N/A"," ",RANK(R128,$R$124:$Z$135))</f>
        <v> </v>
      </c>
      <c r="AK128" s="321" t="str">
        <f aca="false">IF($A128="N/A"," ",RANK(S128,$R$124:$Z$135))</f>
        <v> </v>
      </c>
      <c r="AL128" s="321" t="str">
        <f aca="false">IF($A128="N/A"," ",RANK(T128,$R$124:$Z$135))</f>
        <v> </v>
      </c>
      <c r="AM128" s="321" t="str">
        <f aca="false">IF($A128="N/A"," ",RANK(U128,$R$124:$Z$135))</f>
        <v> </v>
      </c>
      <c r="AN128" s="321" t="str">
        <f aca="false">IF($A128="N/A"," ",RANK(V128,$R$124:$Z$135))</f>
        <v> </v>
      </c>
      <c r="AO128" s="321" t="str">
        <f aca="false">IF($A128="N/A"," ",RANK(W128,$R$124:$Z$135))</f>
        <v> </v>
      </c>
      <c r="AP128" s="321" t="str">
        <f aca="false">IF($A128="N/A"," ",RANK(X128,$R$124:$Z$135))</f>
        <v> </v>
      </c>
      <c r="AQ128" s="321" t="str">
        <f aca="false">IF($A128="N/A"," ",RANK(Y128,$R$124:$Z$135))</f>
        <v> </v>
      </c>
      <c r="AR128" s="345" t="str">
        <f aca="false">IF($A128="N/A"," ",RANK(Z128,$R$124:$Z$135))</f>
        <v> </v>
      </c>
      <c r="AS128" s="323" t="str">
        <f aca="false">IF($A128="N/A"," ",IF(AJ128&lt;=$AR$2,AA128,0))</f>
        <v> </v>
      </c>
      <c r="AT128" s="325" t="str">
        <f aca="false">IF($A128="N/A"," ",IF(AK128&lt;=$AR$2,AB128,0))</f>
        <v> </v>
      </c>
      <c r="AU128" s="325" t="str">
        <f aca="false">IF($A128="N/A"," ",IF(AL128&lt;=$AR$2,AC128,0))</f>
        <v> </v>
      </c>
      <c r="AV128" s="325" t="str">
        <f aca="false">IF($A128="N/A"," ",IF(AM128&lt;=$AR$2,AD128,0))</f>
        <v> </v>
      </c>
      <c r="AW128" s="325" t="str">
        <f aca="false">IF($A128="N/A"," ",IF(AN128&lt;=$AR$2,AE128,0))</f>
        <v> </v>
      </c>
      <c r="AX128" s="325" t="str">
        <f aca="false">IF($A128="N/A"," ",IF(AO128&lt;=$AR$2,AF128,0))</f>
        <v> </v>
      </c>
      <c r="AY128" s="325" t="str">
        <f aca="false">IF($A128="N/A"," ",IF(AP128&lt;=$AR$2,AG128,0))</f>
        <v> </v>
      </c>
      <c r="AZ128" s="325" t="str">
        <f aca="false">IF($A128="N/A"," ",IF(AQ128&lt;=$AR$2,AH128,0))</f>
        <v> </v>
      </c>
      <c r="BA128" s="325" t="str">
        <f aca="false">IF($A128="N/A"," ",IF(AR128&lt;=$AR$2,AI128,0))</f>
        <v> </v>
      </c>
      <c r="BB128" s="345"/>
      <c r="BC128" s="326" t="str">
        <f aca="false">IF($A128="N/A"," ",IF(AND(AJ128=$AR$2+1,AS128=0),MIN($BB$135,AA128),0))</f>
        <v> </v>
      </c>
      <c r="BD128" s="346" t="str">
        <f aca="false">IF($A128="N/A"," ",IF(AND(AK128=$AR$2+1,AT128=0),MIN($BB$135,AB128),0))</f>
        <v> </v>
      </c>
      <c r="BE128" s="346" t="str">
        <f aca="false">IF($A128="N/A"," ",IF(AND(AL128=$AR$2+1,AU128=0),MIN($BB$135,AC128),0))</f>
        <v> </v>
      </c>
      <c r="BF128" s="346" t="str">
        <f aca="false">IF($A128="N/A"," ",IF(AND(AM128=$AR$2+1,AV128=0),MIN($BB$135,AD128),0))</f>
        <v> </v>
      </c>
      <c r="BG128" s="346" t="str">
        <f aca="false">IF($A128="N/A"," ",IF(AND(AN128=$AR$2+1,AW128=0),MIN($BB$135,AE128),0))</f>
        <v> </v>
      </c>
      <c r="BH128" s="346" t="str">
        <f aca="false">IF($A128="N/A"," ",IF(AND(AO128=$AR$2+1,AX128=0),MIN($BB$135,AF128),0))</f>
        <v> </v>
      </c>
      <c r="BI128" s="346" t="str">
        <f aca="false">IF($A128="N/A"," ",IF(AND(AP128=$AR$2+1,AY128=0),MIN($BB$135,AG128),0))</f>
        <v> </v>
      </c>
      <c r="BJ128" s="346" t="str">
        <f aca="false">IF($A128="N/A"," ",IF(AND(AQ128=$AR$2+1,AZ128=0),MIN($BB$135,AH128),0))</f>
        <v> </v>
      </c>
      <c r="BK128" s="346" t="str">
        <f aca="false">IF($A128="N/A"," ",IF(AND(AR128=$AR$2+1,BA128=0),MIN($BB$135,AI128),0))</f>
        <v> </v>
      </c>
      <c r="BL128" s="345"/>
      <c r="BM128" s="329" t="str">
        <f aca="false">IF($A128="N/A"," ",(IF(MONTH(A128)&gt;=4,IF(MONTH(A128)&lt;=10,Inputs!$F$13-Inputs!$G$13,Inputs!$F$14-Inputs!$G$14),Inputs!$F$14-Inputs!$G$14))*$CK128*Availability)</f>
        <v> </v>
      </c>
      <c r="BN128" s="330" t="str">
        <f aca="false">IF($A128="N/A"," ",(IF(AS128&gt;0,($BM128*(8*($HD128))*R128),0)+IF(BC128&gt;0,($BM128*((BC128/AA128)*8*$HD128)*R128),0)))</f>
        <v> </v>
      </c>
      <c r="BO128" s="330" t="str">
        <f aca="false">IF($A128="N/A"," ",(IF(AT128&gt;0,($BM128*(8*($HD128))*S128),0)+IF(BD128&gt;0,($BM128*((BD128/AB128)*8*$HD128)*S128),0)))</f>
        <v> </v>
      </c>
      <c r="BP128" s="330" t="str">
        <f aca="false">IF($A128="N/A"," ",(IF(AU128&gt;0,($BM128*(8*($HD128))*T128),0)+IF(BE128&gt;0,($BM128*((BE128))*T128),0)))</f>
        <v> </v>
      </c>
      <c r="BQ128" s="330" t="str">
        <f aca="false">IF($A128="N/A"," ",(IF(AV128&gt;0,($BM128*(8*($HE128))*U128),0)+IF(BF128&gt;0,($BM128*((BF128/AD128)*8*$HE128)*U128),0)))</f>
        <v> </v>
      </c>
      <c r="BR128" s="330" t="str">
        <f aca="false">IF($A128="N/A"," ",(IF(AW128&gt;0,($BM128*(8*($HE128))*V128),0)+IF(BG128&gt;0,($BM128*((BG128/AE128)*8*$HE128)*V128),0)))</f>
        <v> </v>
      </c>
      <c r="BS128" s="330" t="str">
        <f aca="false">IF($A128="N/A"," ",(IF(AX128&gt;0,($BM128*(8*($HE128))*W128),0)+IF(BH128&gt;0,($BM128*((BH128))*W128),0)))</f>
        <v> </v>
      </c>
      <c r="BT128" s="330" t="str">
        <f aca="false">IF($A128="N/A"," ",(IF(AY128&gt;0,($BM128*(8*($HF128))*X128),0)+IF(BI128&gt;0,($BM128*((BI128/AG128)*8*$HF128)*X128),0)))</f>
        <v> </v>
      </c>
      <c r="BU128" s="330" t="str">
        <f aca="false">IF($A128="N/A"," ",(IF(AZ128&gt;0,($BM128*(8*($HF128))*Y128),0)+IF(BJ128&gt;0,($BM128*((BJ128/AH128)*8*$HF128)*Y128),0)))</f>
        <v> </v>
      </c>
      <c r="BV128" s="330" t="str">
        <f aca="false">IF($A128="N/A"," ",(IF(BA128&gt;0,($BM128*(8*($HF128))*Z128),0)+IF(BK128&gt;0,($BM128*((BK128))*Z128),0)))</f>
        <v> </v>
      </c>
      <c r="BW128" s="330" t="str">
        <f aca="false">IF($A128="N/A"," ",SUM(BN128:BV128))</f>
        <v> </v>
      </c>
      <c r="BX128" s="331" t="str">
        <f aca="false">IF($A128="N/A"," ",(H128*(SUM(AS128:BA128)+SUM(BC128:BK128))*BM128))</f>
        <v> </v>
      </c>
      <c r="BY128" s="332" t="str">
        <f aca="false">IF($A128="N/A"," ",((C128*D128)*(SUM($AS128:$BA128)+SUM($BC128:$BK128))*$BM128))</f>
        <v> </v>
      </c>
      <c r="BZ128" s="332" t="str">
        <f aca="false">IF($A128="N/A"," ",(F128*(SUM($AS128:$BA128)+SUM($BC128:$BK128))*$BM128))</f>
        <v> </v>
      </c>
      <c r="CA128" s="333" t="str">
        <f aca="false">IF($A128="N/A"," ",(G128*(SUM($AS128:$BA128)+SUM($BC128:$BK128))*$BM128))</f>
        <v> </v>
      </c>
      <c r="CB128" s="334" t="str">
        <f aca="false">IF(A128="N/A"," ",(VLOOKUP(A128,PowerVolTable,(IF(BMO=2,7,IF(BMO=1,6,8))),FALSE())))</f>
        <v> </v>
      </c>
      <c r="CC128" s="334" t="str">
        <f aca="false">IF(A128="N/A"," ",(VLOOKUP(A128,IntraPowerVol,(IF(BMO=2,3,IF(BMO=1,2,4))),FALSE())*VLOOKUP(MONTH($A128),Volscale,2)))</f>
        <v> </v>
      </c>
      <c r="CD128" s="335" t="str">
        <f aca="false">IF($A128="N/A"," ",(IF(DateToday&gt;$A128,$CC128,((($CB128^2)*((($A128-1)-DateToday)/((EOMONTH($A128,0)+1)-DateToday-15)))+((($CC128)^2)*((15)/((EOMONTH($A128,0)+1)-DateToday-15))))^0.5)))</f>
        <v> </v>
      </c>
      <c r="CE128" s="334" t="str">
        <f aca="false">IF($A128="N/A"," ",(VLOOKUP($A128,GasVolTable,(IF(BMO=2,6,IF(BMO=1,7,5))),FALSE())))</f>
        <v> </v>
      </c>
      <c r="CF128" s="334" t="str">
        <f aca="false">IF($A128="N/A"," ",(VLOOKUP($A128,OmicronVol,(IF(BMO=2,3,IF(BMO=1,4,2))),FALSE())))</f>
        <v> </v>
      </c>
      <c r="CG128" s="335" t="str">
        <f aca="false">IF($A128="N/A"," ",(IF(DateToday&gt;$A128,$CF128,((($CE128^2)*((($A128-1)-DateToday)/((EOMONTH($A128,0)+1)-DateToday-15)))+((($CF128)^2)*((15)/((EOMONTH($A128,0)+1)-DateToday-15))))^0.5)))</f>
        <v> </v>
      </c>
      <c r="CH128" s="334" t="str">
        <f aca="false">IF($A128="N/A"," ",VLOOKUP($A128,CorrelationTable,2,FALSE()))</f>
        <v> </v>
      </c>
      <c r="CI128" s="336" t="str">
        <f aca="false">IF($A128="N/A"," ",F128+G128+(D128*('Pricing Inputs'!T161)))</f>
        <v> </v>
      </c>
      <c r="CJ128" s="334" t="str">
        <f aca="false">IF($A128="N/A"," ",IF(PV=1,0,'Pricing Inputs'!U161))</f>
        <v> </v>
      </c>
      <c r="CK128" s="337" t="str">
        <f aca="false">IF($A128="N/A"," ",(1+CJ128/2)^(-2*((EOMONTH(A128,0)+20)-DateToday)/365.25))</f>
        <v> </v>
      </c>
      <c r="CL128" s="338" t="str">
        <f aca="false">IF(A128="N/A"," ",IF(CC=2,(VLOOKUP(MONTH($A128),Hrtable,3))/1000,0))</f>
        <v> </v>
      </c>
      <c r="CM128" s="339" t="str">
        <f aca="false">IF(A128="N/A"," ",IF(CC=2,(CL128*C128)+F128,0))</f>
        <v> </v>
      </c>
      <c r="CN128" s="340" t="str">
        <f aca="false">IF($A128="N/A"," ",IF(CC=2,(VLOOKUP(A128,ScaledPrice,(IF(AND(Dayrun&gt;=1,Dayrun&lt;=6),2,4)))-((IF(R128&lt;&gt;0,$D128,$CL128)*$C128)+$F128+$G128)),0))</f>
        <v> </v>
      </c>
      <c r="CO128" s="340" t="str">
        <f aca="false">IF($A128="N/A"," ",IF(CC=2,(IF(AND(Dayrun&gt;=1,Dayrun&lt;=6),I128,(VLOOKUP(A128,ScaledPrice,2))*(2-(VLOOKUP(A128,ScaledPrice,3))))-((IF(S128&lt;&gt;0,$D128,$CL128)*$C128)+$F128+$G128)),0))</f>
        <v> </v>
      </c>
      <c r="CP128" s="340" t="str">
        <f aca="false">IF(A128="N/A"," ",IF(CC=2,(VLOOKUP(A128,ScaledPrice,9)-((IF(T128&lt;&gt;0,$D128,$CL128)*$C128)+$F128+$G128)),0))</f>
        <v> </v>
      </c>
      <c r="CQ128" s="340" t="str">
        <f aca="false">IF(A128="N/A"," ",IF(CC=2,(IF(OR(Dayrun=2,Dayrun=3,Dayrun=5,Dayrun=6,Dayrun=8,Dayrun=9),VLOOKUP(A128,ScaledPrice,IF(AND(Dayrun&gt;=2,Dayrun&lt;=6),5,6)),0)-((IF(U128&lt;&gt;0,$D128,$CL128)*$C128)+$F128+$G128)),0))</f>
        <v> </v>
      </c>
      <c r="CR128" s="340" t="str">
        <f aca="false">IF(A128="N/A"," ",IF(CC=2,(IF(OR(Dayrun=2,Dayrun=3,Dayrun=5,Dayrun=6,Dayrun=8,Dayrun=9),IF(AND(Dayrun&gt;=2,Dayrun&lt;=6),L128,(VLOOKUP(A128,ScaledPrice,5))*(2-(VLOOKUP(A128,ScaledPrice,3)))),0)-((IF(V128&lt;&gt;0,$D128,$CL128)*$C128)+$F128+$G128)),0))</f>
        <v> </v>
      </c>
      <c r="CS128" s="340" t="str">
        <f aca="false">IF(A128="N/A"," ",IF(CC=2,(VLOOKUP(A128,ScaledPrice,9)-((IF(W128&lt;&gt;0,$D128,$CL128)*$C128)+$F128+$G128)),0))</f>
        <v> </v>
      </c>
      <c r="CT128" s="340" t="str">
        <f aca="false">IF(A128="N/A"," ",IF(CC=2,(IF(OR(Dayrun=3,Dayrun=6,Dayrun=9),(VLOOKUP(A128,ScaledPrice,IF(AND(Dayrun&gt;=3,Dayrun&lt;=6),7,8))),0)-((IF(X128&lt;&gt;0,$D128,$CL128)*$C128)+$F128+$G128)),0))</f>
        <v> </v>
      </c>
      <c r="CU128" s="340" t="str">
        <f aca="false">IF(A128="N/A"," ",IF(CC=2,(IF(OR(Dayrun=3,Dayrun=6,Dayrun=9),IF(AND(Dayrun&gt;=3,Dayrun&lt;=6),O128,(VLOOKUP(A128,ScaledPrice,7))*(2-(VLOOKUP(A128,ScaledPrice,3)))),0)-((IF(Y128&lt;&gt;0,$D128,$CL128)*$C128)+$F128+$G128)),0))</f>
        <v> </v>
      </c>
      <c r="CV128" s="340" t="str">
        <f aca="false">IF(A128="N/A"," ",IF(CC=2,(VLOOKUP(A128,ScaledPrice,9)-((IF(Z128&lt;&gt;0,$D128,$CL128)*$C128)+$F128+$G128)),0))</f>
        <v> </v>
      </c>
      <c r="CW128" s="318" t="str">
        <f aca="false">IF($A128="N/A"," ",IF(0&lt;&gt;CN128,IF(CC=2,8*$HD128,0),0))</f>
        <v> </v>
      </c>
      <c r="CX128" s="318" t="str">
        <f aca="false">IF($A128="N/A"," ",IF(0&lt;&gt;CO128,IF(CC=2,8*$HD128,0),0))</f>
        <v> </v>
      </c>
      <c r="CY128" s="318" t="str">
        <f aca="false">IF($A128="N/A"," ",IF(0&lt;&gt;CP128,IF(CC=2,8*$HD128,0),0))</f>
        <v> </v>
      </c>
      <c r="CZ128" s="318" t="str">
        <f aca="false">IF($A128="N/A"," ",IF(0&lt;&gt;CQ128,IF(CC=2,8*$HE128,0),0))</f>
        <v> </v>
      </c>
      <c r="DA128" s="318" t="str">
        <f aca="false">IF($A128="N/A"," ",IF(0&lt;&gt;CR128,IF(CC=2,8*$HE128,0),0))</f>
        <v> </v>
      </c>
      <c r="DB128" s="318" t="str">
        <f aca="false">IF($A128="N/A"," ",IF(0&lt;&gt;CS128,IF(CC=2,8*$HE128,0),0))</f>
        <v> </v>
      </c>
      <c r="DC128" s="318" t="str">
        <f aca="false">IF($A128="N/A"," ",IF(0&lt;&gt;CT128,IF(CC=2,8*$HF128,0),0))</f>
        <v> </v>
      </c>
      <c r="DD128" s="318" t="str">
        <f aca="false">IF($A128="N/A"," ",IF(0&lt;&gt;CU128,IF(CC=2,8*$HF128,0),0))</f>
        <v> </v>
      </c>
      <c r="DE128" s="318" t="str">
        <f aca="false">IF($A128="N/A"," ",IF(0&lt;&gt;CV128,IF(CC=2,8*$HF128,0),0))</f>
        <v> </v>
      </c>
      <c r="DF128" s="341" t="str">
        <f aca="false">IF($A128="N/A"," ",IF(CC=2,(IF(MONTH(A128)&gt;=4,IF(MONTH(A128)&lt;=10,Inputs!$G$13,Inputs!$G$14),Inputs!$G$14))*$CK128,0))</f>
        <v> </v>
      </c>
      <c r="DG128" s="342" t="str">
        <f aca="false">IF($A128="N/A"," ",IF(CC=2,$DF128*CW128*CN128,0))</f>
        <v> </v>
      </c>
      <c r="DH128" s="342" t="str">
        <f aca="false">IF($A128="N/A"," ",IF(CC=2,$DF128*CX128*CO128,0))</f>
        <v> </v>
      </c>
      <c r="DI128" s="342" t="str">
        <f aca="false">IF($A128="N/A"," ",IF(CC=2,$DF128*CY128*CP128,0))</f>
        <v> </v>
      </c>
      <c r="DJ128" s="342" t="str">
        <f aca="false">IF($A128="N/A"," ",IF(CC=2,$DF128*CZ128*CQ128,0))</f>
        <v> </v>
      </c>
      <c r="DK128" s="342" t="str">
        <f aca="false">IF($A128="N/A"," ",IF(CC=2,$DF128*DA128*CR128,0))</f>
        <v> </v>
      </c>
      <c r="DL128" s="342" t="str">
        <f aca="false">IF($A128="N/A"," ",IF(CC=2,$DF128*DB128*CS128,0))</f>
        <v> </v>
      </c>
      <c r="DM128" s="342" t="str">
        <f aca="false">IF($A128="N/A"," ",IF(CC=2,$DF128*DC128*CT128,0))</f>
        <v> </v>
      </c>
      <c r="DN128" s="342" t="str">
        <f aca="false">IF($A128="N/A"," ",IF(CC=2,$DF128*DD128*CU128,0))</f>
        <v> </v>
      </c>
      <c r="DO128" s="342" t="str">
        <f aca="false">IF($A128="N/A"," ",IF(CC=2,$DF128*DE128*CV128,0))</f>
        <v> </v>
      </c>
      <c r="DP128" s="343" t="str">
        <f aca="false">IF($A128="N/A"," ",IF(CC=2,SUM(DG128:DO128),0))</f>
        <v> </v>
      </c>
      <c r="DQ128" s="0" t="str">
        <f aca="false">IF(A128="N/A"," ",Perstart)</f>
        <v> </v>
      </c>
      <c r="HD128" s="0" t="str">
        <f aca="false">IF($A128="N/A"," ",VLOOKUP($A128,NumberofDaysTable,2))</f>
        <v> </v>
      </c>
      <c r="HE128" s="0" t="str">
        <f aca="false">IF($A128="N/A"," ",VLOOKUP($A128,NumberofDaysTable,3))</f>
        <v> </v>
      </c>
      <c r="HF128" s="0" t="str">
        <f aca="false">IF($A128="N/A"," ",VLOOKUP($A128,NumberofDaysTable,4))</f>
        <v> </v>
      </c>
    </row>
    <row r="129" customFormat="false" ht="12.75" hidden="false" customHeight="false" outlineLevel="0" collapsed="false">
      <c r="A129" s="308" t="str">
        <f aca="false">IF(A128="N/A","N/A",IF(EDATE(A128,1)&gt;Inputs!$K$3,"N/A",EDATE(A128,1)))</f>
        <v>N/A</v>
      </c>
      <c r="B129" s="309" t="str">
        <f aca="false">IF(A129="N/A"," ",YEAR(A129))</f>
        <v> </v>
      </c>
      <c r="C129" s="310" t="str">
        <f aca="false">IF(A129="N/A"," ",VLOOKUP(A129,ScaledPrice,10))</f>
        <v> </v>
      </c>
      <c r="D129" s="311" t="str">
        <f aca="false">IF(A129="N/A"," ",(VLOOKUP(MONTH($A129),Hrtable,2))/1000)</f>
        <v> </v>
      </c>
      <c r="E129" s="312" t="str">
        <f aca="false">IF($A129="N/A"," ",(C129-'Pricing Inputs'!T162)*D129)</f>
        <v> </v>
      </c>
      <c r="F129" s="313" t="str">
        <f aca="false">IF(A129="N/A"," ",$F117*(1+VOMesc))</f>
        <v> </v>
      </c>
      <c r="G129" s="313" t="str">
        <f aca="false">IF(A129="N/A"," ",Perstart/IF(AND(Dayrun&gt;=4,Dayrun&lt;=6),16,IF(AND(Dayrun&gt;=7,Dayrun&lt;=9),8,24))/(BM129/CK129))</f>
        <v> </v>
      </c>
      <c r="H129" s="314" t="str">
        <f aca="false">IF(A129="N/A"," ",(C129*D129)+F129+G129)</f>
        <v> </v>
      </c>
      <c r="I129" s="315" t="str">
        <f aca="false">VLOOKUP(A129,ScaledPrice,(IF(AND(Dayrun&gt;=1,Dayrun&lt;=6),2,4)))</f>
        <v> </v>
      </c>
      <c r="J129" s="315" t="str">
        <f aca="false">IF(A129="N/A"," ",IF(AND(Dayrun&gt;=1,Dayrun&lt;=6),I129,(VLOOKUP(A129,ScaledPrice,2))*(2-(VLOOKUP(A129,ScaledPrice,3)))))</f>
        <v> </v>
      </c>
      <c r="K129" s="315" t="str">
        <f aca="false">IF(A129="N/A"," ",IF(AND(Dayrun&gt;=1,Dayrun&lt;=3),VLOOKUP(A129,ScaledPrice,9),0))</f>
        <v> </v>
      </c>
      <c r="L129" s="315" t="str">
        <f aca="false">IF(A129="N/A"," ",IF(OR(Dayrun=2,Dayrun=3,Dayrun=5,Dayrun=6,Dayrun=8,Dayrun=9),VLOOKUP(A129,ScaledPrice,IF(AND(Dayrun&gt;=2,Dayrun&lt;=6),5,6)),0))</f>
        <v> </v>
      </c>
      <c r="M129" s="315" t="str">
        <f aca="false">IF(A129="N/A"," ",IF(OR(Dayrun=2,Dayrun=3,Dayrun=5,Dayrun=6,Dayrun=8,Dayrun=9),IF(AND(Dayrun&gt;=2,Dayrun&lt;=6),L129,(VLOOKUP(A129,ScaledPrice,5))*(2-(VLOOKUP(A129,ScaledPrice,3)))),0))</f>
        <v> </v>
      </c>
      <c r="N129" s="315" t="str">
        <f aca="false">IF(A129="N/A"," ",IF(AND(Dayrun&gt;1,Dayrun&lt;=3),VLOOKUP(A129,ScaledPrice,9),0))</f>
        <v> </v>
      </c>
      <c r="O129" s="315" t="str">
        <f aca="false">IF(A129="N/A"," ",IF(OR(Dayrun=3,Dayrun=6,Dayrun=9),(VLOOKUP(A129,ScaledPrice,IF(AND(Dayrun&gt;=3,Dayrun&lt;=6),7,8))),0))</f>
        <v> </v>
      </c>
      <c r="P129" s="315" t="str">
        <f aca="false">IF(A129="N/A"," ",IF(OR(Dayrun=3,Dayrun=6,Dayrun=9),IF(AND(Dayrun&gt;=3,Dayrun&lt;=6),O129,(VLOOKUP(A129,ScaledPrice,7))*(2-(VLOOKUP(A129,ScaledPrice,3)))),0))</f>
        <v> </v>
      </c>
      <c r="Q129" s="315" t="str">
        <f aca="false">IF(A129="N/A"," ",IF(AND(Dayrun&gt;2,Dayrun&lt;=3),VLOOKUP(A129,ScaledPrice,9),0))</f>
        <v> </v>
      </c>
      <c r="R129" s="316" t="str">
        <f aca="false">IF($A129="N/A"," ",IF(Pricetype=2,MAX(I129-$H129,0),IF(Pricetype=1,(xSPRDOPT(I129,$E129,$CI129,0,($CD129+IF(Smile=TRUE(),VLOOKUP(MAX(-5,$H129-I129),Volsmile,2),0)),$CG129,$CH129,($A129-DateToday)+15,1,0)),I129-$H129)))</f>
        <v> </v>
      </c>
      <c r="S129" s="316" t="str">
        <f aca="false">IF($A129="N/A"," ",IF(Pricetype=2,MAX(J129-$H129,0),IF(Pricetype=1,(xSPRDOPT(J129,$E129,$CI129,0,($CD129+IF(Smile=TRUE(),VLOOKUP(MAX(-5,$H129-J129),Volsmile,2),0)),$CG129,$CH129,($A129-DateToday)+15,1,0)),J129-$H129)))</f>
        <v> </v>
      </c>
      <c r="T129" s="317" t="str">
        <f aca="false">IF($A129="N/A"," ",(IF(Pricetype=2,IF((K129-$H129)&lt;=0,0,(K129-$H129)),IF(K129&lt;&gt;0,(K129-$H129),0))))</f>
        <v> </v>
      </c>
      <c r="U129" s="316" t="str">
        <f aca="false">IF($A129="N/A"," ",IF(Pricetype=2,MAX(L129-$H129,0),IF(L129&lt;&gt;0,IF(Pricetype=1,(xSPRDOPT(L129,$E129,$CI129,0,($CD129+IF(Smile=TRUE(),VLOOKUP(MAX(-5,$H129-L129),Volsmile,2),0)),$CG129,$CH129,($A129-DateToday)+15,1,0)),L129-$H129),0)))</f>
        <v> </v>
      </c>
      <c r="V129" s="316" t="str">
        <f aca="false">IF($A129="N/A"," ",IF(Pricetype=2,MAX(M129-$H129,0),IF(M129&lt;&gt;0,IF(Pricetype=1,(xSPRDOPT(M129,$E129,$CI129,0,($CD129+IF(Smile=TRUE(),VLOOKUP(MAX(-5,$H129-M129),Volsmile,2),0)),$CG129,$CH129,($A129-DateToday)+15,1,0)),M129-$H129),0)))</f>
        <v> </v>
      </c>
      <c r="W129" s="317" t="str">
        <f aca="false">IF($A129="N/A"," ",(IF(Pricetype=2,IF((N129-$H129)&lt;=0,0,(N129-$H129)),IF(N129&lt;&gt;0,(N129-$H129),0))))</f>
        <v> </v>
      </c>
      <c r="X129" s="316" t="str">
        <f aca="false">IF($A129="N/A"," ",IF(Pricetype=2,MAX(O129-$H129,0),IF(O129&lt;&gt;0,IF(Pricetype=1,(xSPRDOPT(O129,$E129,$CI129,0,($CD129+IF(Smile=TRUE(),VLOOKUP(MAX(-5,$H129-O129),Volsmile,2),0)),$CG129,$CH129,($A129-DateToday)+15,1,0)),O129-$H129),0)))</f>
        <v> </v>
      </c>
      <c r="Y129" s="316" t="str">
        <f aca="false">IF($A129="N/A"," ",IF(Pricetype=2,MAX(P129-$H129,0),IF(P129&lt;&gt;0,IF(Pricetype=1,(xSPRDOPT(P129,$E129,$CI129,0,($CD129+IF(Smile=TRUE(),VLOOKUP(MAX(-5,$H129-P129),Volsmile,2),0)),$CG129,$CH129,($A129-DateToday)+15,1,0)),P129-$H129),0)))</f>
        <v> </v>
      </c>
      <c r="Z129" s="317" t="str">
        <f aca="false">IF($A129="N/A"," ",(IF(Pricetype=2,IF((Q129-$H129)&lt;=0,0,(Q129-$H129)),IF(Q129&lt;&gt;0,(Q129-$H129),0))))</f>
        <v> </v>
      </c>
      <c r="AA129" s="318" t="str">
        <f aca="false">IF($A129="N/A"," ",IF(VLOOKUP(MONTH(A129),ManualTable,2)=1,(IF(0&lt;&gt;R129,IF(Pricetype=1,(xSPRDOPT(I129,$E129,$CI129,0,($CD129+IF(Smile=TRUE(),VLOOKUP(MAX(-5,$H129-I129),Volsmile,2),0)),$CG129,$CH129,($A129-DateToday)+15,1,1))*(8*$HD129),8*$HD129),0)),0))</f>
        <v> </v>
      </c>
      <c r="AB129" s="318" t="str">
        <f aca="false">IF($A129="N/A"," ",IF(VLOOKUP(MONTH(A129),ManualTable,3)=1,(IF(S129&lt;&gt;0,IF(Pricetype=1,(xSPRDOPT(J129,$E129,$CI129,0,($CD129+IF(Smile=TRUE(),VLOOKUP(MAX(-5,$H129-J129),Volsmile,2),0)),$CG129,$CH129,($A129-DateToday)+15,1,1))*(8*$HD129),8*$HD129),0)),0))</f>
        <v> </v>
      </c>
      <c r="AC129" s="318" t="str">
        <f aca="false">IF($A129="N/A"," ",IF(VLOOKUP(MONTH(A129),ManualTable,4)=1,(IF(T129&lt;&gt;0,(8*$HD129),0)),0))</f>
        <v> </v>
      </c>
      <c r="AD129" s="318" t="str">
        <f aca="false">IF($A129="N/A"," ",IF(VLOOKUP(MONTH(A129),ManualTable,5)=1,(IF(U129&lt;&gt;0,IF(Pricetype=1,(xSPRDOPT(L129,$E129,$CI129,0,($CD129+IF(Smile=TRUE(),VLOOKUP(MAX(-5,$H129-L129),Volsmile,2),0)),$CG129,$CH129,($A129-DateToday)+15,1,1))*(8*$HE129),8*$HE129),0)),0))</f>
        <v> </v>
      </c>
      <c r="AE129" s="318" t="str">
        <f aca="false">IF($A129="N/A"," ",IF(VLOOKUP(MONTH(A129),ManualTable,6)=1,(IF(V129&lt;&gt;0,IF(Pricetype=1,(xSPRDOPT(M129,$E129,$CI129,0,($CD129+IF(Smile=TRUE(),VLOOKUP(MAX(-5,$H129-M129),Volsmile,2),0)),$CG129,$CH129,($A129-DateToday)+15,1,1))*(8*$HE129),8*$HE129),0)),0))</f>
        <v> </v>
      </c>
      <c r="AF129" s="318" t="str">
        <f aca="false">IF($A129="N/A"," ",IF(VLOOKUP(MONTH(A129),ManualTable,7)=1,(IF(W129&lt;&gt;0,(8*$HE129),0)),0))</f>
        <v> </v>
      </c>
      <c r="AG129" s="318" t="str">
        <f aca="false">IF($A129="N/A"," ",IF(VLOOKUP(MONTH(A129),ManualTable,8)=1,(IF(X129&lt;&gt;0,IF(Pricetype=1,(xSPRDOPT(O129,$E129,$CI129,0,($CD129+IF(Smile=TRUE(),VLOOKUP(MAX(-5,$H129-O129),Volsmile,2),0)),$CG129,$CH129,($A129-DateToday)+15,1,1))*(8*$HF129),8*$HF129),0)),0))</f>
        <v> </v>
      </c>
      <c r="AH129" s="318" t="str">
        <f aca="false">IF($A129="N/A"," ",IF(VLOOKUP(MONTH(A129),ManualTable,9)=1,(IF(Y129&lt;&gt;0,IF(Pricetype=1,(xSPRDOPT(P129,$E129,$CI129,0,($CD129+IF(Smile=TRUE(),VLOOKUP(MAX(-5,$H129-P129),Volsmile,2),0)),$CG129,$CH129,($A129-DateToday)+15,1,1))*(8*$HF129),8*$HF129),0)),0))</f>
        <v> </v>
      </c>
      <c r="AI129" s="318" t="str">
        <f aca="false">IF($A129="N/A"," ",IF(VLOOKUP(MONTH(A129),ManualTable,10)=1,(IF(Z129&lt;&gt;0,(8*($HF129)),0)),0))</f>
        <v> </v>
      </c>
      <c r="AJ129" s="344" t="str">
        <f aca="false">IF($A129="N/A"," ",RANK(R129,$R$124:$Z$135))</f>
        <v> </v>
      </c>
      <c r="AK129" s="321" t="str">
        <f aca="false">IF($A129="N/A"," ",RANK(S129,$R$124:$Z$135))</f>
        <v> </v>
      </c>
      <c r="AL129" s="321" t="str">
        <f aca="false">IF($A129="N/A"," ",RANK(T129,$R$124:$Z$135))</f>
        <v> </v>
      </c>
      <c r="AM129" s="321" t="str">
        <f aca="false">IF($A129="N/A"," ",RANK(U129,$R$124:$Z$135))</f>
        <v> </v>
      </c>
      <c r="AN129" s="321" t="str">
        <f aca="false">IF($A129="N/A"," ",RANK(V129,$R$124:$Z$135))</f>
        <v> </v>
      </c>
      <c r="AO129" s="321" t="str">
        <f aca="false">IF($A129="N/A"," ",RANK(W129,$R$124:$Z$135))</f>
        <v> </v>
      </c>
      <c r="AP129" s="321" t="str">
        <f aca="false">IF($A129="N/A"," ",RANK(X129,$R$124:$Z$135))</f>
        <v> </v>
      </c>
      <c r="AQ129" s="321" t="str">
        <f aca="false">IF($A129="N/A"," ",RANK(Y129,$R$124:$Z$135))</f>
        <v> </v>
      </c>
      <c r="AR129" s="345" t="str">
        <f aca="false">IF($A129="N/A"," ",RANK(Z129,$R$124:$Z$135))</f>
        <v> </v>
      </c>
      <c r="AS129" s="323" t="str">
        <f aca="false">IF($A129="N/A"," ",IF(AJ129&lt;=$AR$2,AA129,0))</f>
        <v> </v>
      </c>
      <c r="AT129" s="325" t="str">
        <f aca="false">IF($A129="N/A"," ",IF(AK129&lt;=$AR$2,AB129,0))</f>
        <v> </v>
      </c>
      <c r="AU129" s="325" t="str">
        <f aca="false">IF($A129="N/A"," ",IF(AL129&lt;=$AR$2,AC129,0))</f>
        <v> </v>
      </c>
      <c r="AV129" s="325" t="str">
        <f aca="false">IF($A129="N/A"," ",IF(AM129&lt;=$AR$2,AD129,0))</f>
        <v> </v>
      </c>
      <c r="AW129" s="325" t="str">
        <f aca="false">IF($A129="N/A"," ",IF(AN129&lt;=$AR$2,AE129,0))</f>
        <v> </v>
      </c>
      <c r="AX129" s="325" t="str">
        <f aca="false">IF($A129="N/A"," ",IF(AO129&lt;=$AR$2,AF129,0))</f>
        <v> </v>
      </c>
      <c r="AY129" s="325" t="str">
        <f aca="false">IF($A129="N/A"," ",IF(AP129&lt;=$AR$2,AG129,0))</f>
        <v> </v>
      </c>
      <c r="AZ129" s="325" t="str">
        <f aca="false">IF($A129="N/A"," ",IF(AQ129&lt;=$AR$2,AH129,0))</f>
        <v> </v>
      </c>
      <c r="BA129" s="325" t="str">
        <f aca="false">IF($A129="N/A"," ",IF(AR129&lt;=$AR$2,AI129,0))</f>
        <v> </v>
      </c>
      <c r="BB129" s="345"/>
      <c r="BC129" s="326" t="str">
        <f aca="false">IF($A129="N/A"," ",IF(AND(AJ129=$AR$2+1,AS129=0),MIN($BB$135,AA129),0))</f>
        <v> </v>
      </c>
      <c r="BD129" s="346" t="str">
        <f aca="false">IF($A129="N/A"," ",IF(AND(AK129=$AR$2+1,AT129=0),MIN($BB$135,AB129),0))</f>
        <v> </v>
      </c>
      <c r="BE129" s="346" t="str">
        <f aca="false">IF($A129="N/A"," ",IF(AND(AL129=$AR$2+1,AU129=0),MIN($BB$135,AC129),0))</f>
        <v> </v>
      </c>
      <c r="BF129" s="346" t="str">
        <f aca="false">IF($A129="N/A"," ",IF(AND(AM129=$AR$2+1,AV129=0),MIN($BB$135,AD129),0))</f>
        <v> </v>
      </c>
      <c r="BG129" s="346" t="str">
        <f aca="false">IF($A129="N/A"," ",IF(AND(AN129=$AR$2+1,AW129=0),MIN($BB$135,AE129),0))</f>
        <v> </v>
      </c>
      <c r="BH129" s="346" t="str">
        <f aca="false">IF($A129="N/A"," ",IF(AND(AO129=$AR$2+1,AX129=0),MIN($BB$135,AF129),0))</f>
        <v> </v>
      </c>
      <c r="BI129" s="346" t="str">
        <f aca="false">IF($A129="N/A"," ",IF(AND(AP129=$AR$2+1,AY129=0),MIN($BB$135,AG129),0))</f>
        <v> </v>
      </c>
      <c r="BJ129" s="346" t="str">
        <f aca="false">IF($A129="N/A"," ",IF(AND(AQ129=$AR$2+1,AZ129=0),MIN($BB$135,AH129),0))</f>
        <v> </v>
      </c>
      <c r="BK129" s="346" t="str">
        <f aca="false">IF($A129="N/A"," ",IF(AND(AR129=$AR$2+1,BA129=0),MIN($BB$135,AI129),0))</f>
        <v> </v>
      </c>
      <c r="BL129" s="345"/>
      <c r="BM129" s="329" t="str">
        <f aca="false">IF($A129="N/A"," ",(IF(MONTH(A129)&gt;=4,IF(MONTH(A129)&lt;=10,Inputs!$F$13-Inputs!$G$13,Inputs!$F$14-Inputs!$G$14),Inputs!$F$14-Inputs!$G$14))*$CK129*Availability)</f>
        <v> </v>
      </c>
      <c r="BN129" s="330" t="str">
        <f aca="false">IF($A129="N/A"," ",(IF(AS129&gt;0,($BM129*(8*($HD129))*R129),0)+IF(BC129&gt;0,($BM129*((BC129/AA129)*8*$HD129)*R129),0)))</f>
        <v> </v>
      </c>
      <c r="BO129" s="330" t="str">
        <f aca="false">IF($A129="N/A"," ",(IF(AT129&gt;0,($BM129*(8*($HD129))*S129),0)+IF(BD129&gt;0,($BM129*((BD129/AB129)*8*$HD129)*S129),0)))</f>
        <v> </v>
      </c>
      <c r="BP129" s="330" t="str">
        <f aca="false">IF($A129="N/A"," ",(IF(AU129&gt;0,($BM129*(8*($HD129))*T129),0)+IF(BE129&gt;0,($BM129*((BE129))*T129),0)))</f>
        <v> </v>
      </c>
      <c r="BQ129" s="330" t="str">
        <f aca="false">IF($A129="N/A"," ",(IF(AV129&gt;0,($BM129*(8*($HE129))*U129),0)+IF(BF129&gt;0,($BM129*((BF129/AD129)*8*$HE129)*U129),0)))</f>
        <v> </v>
      </c>
      <c r="BR129" s="330" t="str">
        <f aca="false">IF($A129="N/A"," ",(IF(AW129&gt;0,($BM129*(8*($HE129))*V129),0)+IF(BG129&gt;0,($BM129*((BG129/AE129)*8*$HE129)*V129),0)))</f>
        <v> </v>
      </c>
      <c r="BS129" s="330" t="str">
        <f aca="false">IF($A129="N/A"," ",(IF(AX129&gt;0,($BM129*(8*($HE129))*W129),0)+IF(BH129&gt;0,($BM129*((BH129))*W129),0)))</f>
        <v> </v>
      </c>
      <c r="BT129" s="330" t="str">
        <f aca="false">IF($A129="N/A"," ",(IF(AY129&gt;0,($BM129*(8*($HF129))*X129),0)+IF(BI129&gt;0,($BM129*((BI129/AG129)*8*$HF129)*X129),0)))</f>
        <v> </v>
      </c>
      <c r="BU129" s="330" t="str">
        <f aca="false">IF($A129="N/A"," ",(IF(AZ129&gt;0,($BM129*(8*($HF129))*Y129),0)+IF(BJ129&gt;0,($BM129*((BJ129/AH129)*8*$HF129)*Y129),0)))</f>
        <v> </v>
      </c>
      <c r="BV129" s="330" t="str">
        <f aca="false">IF($A129="N/A"," ",(IF(BA129&gt;0,($BM129*(8*($HF129))*Z129),0)+IF(BK129&gt;0,($BM129*((BK129))*Z129),0)))</f>
        <v> </v>
      </c>
      <c r="BW129" s="330" t="str">
        <f aca="false">IF($A129="N/A"," ",SUM(BN129:BV129))</f>
        <v> </v>
      </c>
      <c r="BX129" s="331" t="str">
        <f aca="false">IF($A129="N/A"," ",(H129*(SUM(AS129:BA129)+SUM(BC129:BK129))*BM129))</f>
        <v> </v>
      </c>
      <c r="BY129" s="332" t="str">
        <f aca="false">IF($A129="N/A"," ",((C129*D129)*(SUM($AS129:$BA129)+SUM($BC129:$BK129))*$BM129))</f>
        <v> </v>
      </c>
      <c r="BZ129" s="332" t="str">
        <f aca="false">IF($A129="N/A"," ",(F129*(SUM($AS129:$BA129)+SUM($BC129:$BK129))*$BM129))</f>
        <v> </v>
      </c>
      <c r="CA129" s="333" t="str">
        <f aca="false">IF($A129="N/A"," ",(G129*(SUM($AS129:$BA129)+SUM($BC129:$BK129))*$BM129))</f>
        <v> </v>
      </c>
      <c r="CB129" s="334" t="str">
        <f aca="false">IF(A129="N/A"," ",(VLOOKUP(A129,PowerVolTable,(IF(BMO=2,7,IF(BMO=1,6,8))),FALSE())))</f>
        <v> </v>
      </c>
      <c r="CC129" s="334" t="str">
        <f aca="false">IF(A129="N/A"," ",(VLOOKUP(A129,IntraPowerVol,(IF(BMO=2,3,IF(BMO=1,2,4))),FALSE())*VLOOKUP(MONTH($A129),Volscale,2)))</f>
        <v> </v>
      </c>
      <c r="CD129" s="335" t="str">
        <f aca="false">IF($A129="N/A"," ",(IF(DateToday&gt;$A129,$CC129,((($CB129^2)*((($A129-1)-DateToday)/((EOMONTH($A129,0)+1)-DateToday-15)))+((($CC129)^2)*((15)/((EOMONTH($A129,0)+1)-DateToday-15))))^0.5)))</f>
        <v> </v>
      </c>
      <c r="CE129" s="334" t="str">
        <f aca="false">IF($A129="N/A"," ",(VLOOKUP($A129,GasVolTable,(IF(BMO=2,6,IF(BMO=1,7,5))),FALSE())))</f>
        <v> </v>
      </c>
      <c r="CF129" s="334" t="str">
        <f aca="false">IF($A129="N/A"," ",(VLOOKUP($A129,OmicronVol,(IF(BMO=2,3,IF(BMO=1,4,2))),FALSE())))</f>
        <v> </v>
      </c>
      <c r="CG129" s="335" t="str">
        <f aca="false">IF($A129="N/A"," ",(IF(DateToday&gt;$A129,$CF129,((($CE129^2)*((($A129-1)-DateToday)/((EOMONTH($A129,0)+1)-DateToday-15)))+((($CF129)^2)*((15)/((EOMONTH($A129,0)+1)-DateToday-15))))^0.5)))</f>
        <v> </v>
      </c>
      <c r="CH129" s="334" t="str">
        <f aca="false">IF($A129="N/A"," ",VLOOKUP($A129,CorrelationTable,2,FALSE()))</f>
        <v> </v>
      </c>
      <c r="CI129" s="336" t="str">
        <f aca="false">IF($A129="N/A"," ",F129+G129+(D129*('Pricing Inputs'!T162)))</f>
        <v> </v>
      </c>
      <c r="CJ129" s="334" t="str">
        <f aca="false">IF($A129="N/A"," ",IF(PV=1,0,'Pricing Inputs'!U162))</f>
        <v> </v>
      </c>
      <c r="CK129" s="337" t="str">
        <f aca="false">IF($A129="N/A"," ",(1+CJ129/2)^(-2*((EOMONTH(A129,0)+20)-DateToday)/365.25))</f>
        <v> </v>
      </c>
      <c r="CL129" s="338" t="str">
        <f aca="false">IF(A129="N/A"," ",IF(CC=2,(VLOOKUP(MONTH($A129),Hrtable,3))/1000,0))</f>
        <v> </v>
      </c>
      <c r="CM129" s="339" t="str">
        <f aca="false">IF(A129="N/A"," ",IF(CC=2,(CL129*C129)+F129,0))</f>
        <v> </v>
      </c>
      <c r="CN129" s="340" t="str">
        <f aca="false">IF($A129="N/A"," ",IF(CC=2,(VLOOKUP(A129,ScaledPrice,(IF(AND(Dayrun&gt;=1,Dayrun&lt;=6),2,4)))-((IF(R129&lt;&gt;0,$D129,$CL129)*$C129)+$F129+$G129)),0))</f>
        <v> </v>
      </c>
      <c r="CO129" s="340" t="str">
        <f aca="false">IF($A129="N/A"," ",IF(CC=2,(IF(AND(Dayrun&gt;=1,Dayrun&lt;=6),I129,(VLOOKUP(A129,ScaledPrice,2))*(2-(VLOOKUP(A129,ScaledPrice,3))))-((IF(S129&lt;&gt;0,$D129,$CL129)*$C129)+$F129+$G129)),0))</f>
        <v> </v>
      </c>
      <c r="CP129" s="340" t="str">
        <f aca="false">IF(A129="N/A"," ",IF(CC=2,(VLOOKUP(A129,ScaledPrice,9)-((IF(T129&lt;&gt;0,$D129,$CL129)*$C129)+$F129+$G129)),0))</f>
        <v> </v>
      </c>
      <c r="CQ129" s="340" t="str">
        <f aca="false">IF(A129="N/A"," ",IF(CC=2,(IF(OR(Dayrun=2,Dayrun=3,Dayrun=5,Dayrun=6,Dayrun=8,Dayrun=9),VLOOKUP(A129,ScaledPrice,IF(AND(Dayrun&gt;=2,Dayrun&lt;=6),5,6)),0)-((IF(U129&lt;&gt;0,$D129,$CL129)*$C129)+$F129+$G129)),0))</f>
        <v> </v>
      </c>
      <c r="CR129" s="340" t="str">
        <f aca="false">IF(A129="N/A"," ",IF(CC=2,(IF(OR(Dayrun=2,Dayrun=3,Dayrun=5,Dayrun=6,Dayrun=8,Dayrun=9),IF(AND(Dayrun&gt;=2,Dayrun&lt;=6),L129,(VLOOKUP(A129,ScaledPrice,5))*(2-(VLOOKUP(A129,ScaledPrice,3)))),0)-((IF(V129&lt;&gt;0,$D129,$CL129)*$C129)+$F129+$G129)),0))</f>
        <v> </v>
      </c>
      <c r="CS129" s="340" t="str">
        <f aca="false">IF(A129="N/A"," ",IF(CC=2,(VLOOKUP(A129,ScaledPrice,9)-((IF(W129&lt;&gt;0,$D129,$CL129)*$C129)+$F129+$G129)),0))</f>
        <v> </v>
      </c>
      <c r="CT129" s="340" t="str">
        <f aca="false">IF(A129="N/A"," ",IF(CC=2,(IF(OR(Dayrun=3,Dayrun=6,Dayrun=9),(VLOOKUP(A129,ScaledPrice,IF(AND(Dayrun&gt;=3,Dayrun&lt;=6),7,8))),0)-((IF(X129&lt;&gt;0,$D129,$CL129)*$C129)+$F129+$G129)),0))</f>
        <v> </v>
      </c>
      <c r="CU129" s="340" t="str">
        <f aca="false">IF(A129="N/A"," ",IF(CC=2,(IF(OR(Dayrun=3,Dayrun=6,Dayrun=9),IF(AND(Dayrun&gt;=3,Dayrun&lt;=6),O129,(VLOOKUP(A129,ScaledPrice,7))*(2-(VLOOKUP(A129,ScaledPrice,3)))),0)-((IF(Y129&lt;&gt;0,$D129,$CL129)*$C129)+$F129+$G129)),0))</f>
        <v> </v>
      </c>
      <c r="CV129" s="340" t="str">
        <f aca="false">IF(A129="N/A"," ",IF(CC=2,(VLOOKUP(A129,ScaledPrice,9)-((IF(Z129&lt;&gt;0,$D129,$CL129)*$C129)+$F129+$G129)),0))</f>
        <v> </v>
      </c>
      <c r="CW129" s="318" t="str">
        <f aca="false">IF($A129="N/A"," ",IF(0&lt;&gt;CN129,IF(CC=2,8*$HD129,0),0))</f>
        <v> </v>
      </c>
      <c r="CX129" s="318" t="str">
        <f aca="false">IF($A129="N/A"," ",IF(0&lt;&gt;CO129,IF(CC=2,8*$HD129,0),0))</f>
        <v> </v>
      </c>
      <c r="CY129" s="318" t="str">
        <f aca="false">IF($A129="N/A"," ",IF(0&lt;&gt;CP129,IF(CC=2,8*$HD129,0),0))</f>
        <v> </v>
      </c>
      <c r="CZ129" s="318" t="str">
        <f aca="false">IF($A129="N/A"," ",IF(0&lt;&gt;CQ129,IF(CC=2,8*$HE129,0),0))</f>
        <v> </v>
      </c>
      <c r="DA129" s="318" t="str">
        <f aca="false">IF($A129="N/A"," ",IF(0&lt;&gt;CR129,IF(CC=2,8*$HE129,0),0))</f>
        <v> </v>
      </c>
      <c r="DB129" s="318" t="str">
        <f aca="false">IF($A129="N/A"," ",IF(0&lt;&gt;CS129,IF(CC=2,8*$HE129,0),0))</f>
        <v> </v>
      </c>
      <c r="DC129" s="318" t="str">
        <f aca="false">IF($A129="N/A"," ",IF(0&lt;&gt;CT129,IF(CC=2,8*$HF129,0),0))</f>
        <v> </v>
      </c>
      <c r="DD129" s="318" t="str">
        <f aca="false">IF($A129="N/A"," ",IF(0&lt;&gt;CU129,IF(CC=2,8*$HF129,0),0))</f>
        <v> </v>
      </c>
      <c r="DE129" s="318" t="str">
        <f aca="false">IF($A129="N/A"," ",IF(0&lt;&gt;CV129,IF(CC=2,8*$HF129,0),0))</f>
        <v> </v>
      </c>
      <c r="DF129" s="341" t="str">
        <f aca="false">IF($A129="N/A"," ",IF(CC=2,(IF(MONTH(A129)&gt;=4,IF(MONTH(A129)&lt;=10,Inputs!$G$13,Inputs!$G$14),Inputs!$G$14))*$CK129,0))</f>
        <v> </v>
      </c>
      <c r="DG129" s="342" t="str">
        <f aca="false">IF($A129="N/A"," ",IF(CC=2,$DF129*CW129*CN129,0))</f>
        <v> </v>
      </c>
      <c r="DH129" s="342" t="str">
        <f aca="false">IF($A129="N/A"," ",IF(CC=2,$DF129*CX129*CO129,0))</f>
        <v> </v>
      </c>
      <c r="DI129" s="342" t="str">
        <f aca="false">IF($A129="N/A"," ",IF(CC=2,$DF129*CY129*CP129,0))</f>
        <v> </v>
      </c>
      <c r="DJ129" s="342" t="str">
        <f aca="false">IF($A129="N/A"," ",IF(CC=2,$DF129*CZ129*CQ129,0))</f>
        <v> </v>
      </c>
      <c r="DK129" s="342" t="str">
        <f aca="false">IF($A129="N/A"," ",IF(CC=2,$DF129*DA129*CR129,0))</f>
        <v> </v>
      </c>
      <c r="DL129" s="342" t="str">
        <f aca="false">IF($A129="N/A"," ",IF(CC=2,$DF129*DB129*CS129,0))</f>
        <v> </v>
      </c>
      <c r="DM129" s="342" t="str">
        <f aca="false">IF($A129="N/A"," ",IF(CC=2,$DF129*DC129*CT129,0))</f>
        <v> </v>
      </c>
      <c r="DN129" s="342" t="str">
        <f aca="false">IF($A129="N/A"," ",IF(CC=2,$DF129*DD129*CU129,0))</f>
        <v> </v>
      </c>
      <c r="DO129" s="342" t="str">
        <f aca="false">IF($A129="N/A"," ",IF(CC=2,$DF129*DE129*CV129,0))</f>
        <v> </v>
      </c>
      <c r="DP129" s="343" t="str">
        <f aca="false">IF($A129="N/A"," ",IF(CC=2,SUM(DG129:DO129),0))</f>
        <v> </v>
      </c>
      <c r="DQ129" s="0" t="str">
        <f aca="false">IF(A129="N/A"," ",Perstart)</f>
        <v> </v>
      </c>
      <c r="HD129" s="0" t="str">
        <f aca="false">IF($A129="N/A"," ",VLOOKUP($A129,NumberofDaysTable,2))</f>
        <v> </v>
      </c>
      <c r="HE129" s="0" t="str">
        <f aca="false">IF($A129="N/A"," ",VLOOKUP($A129,NumberofDaysTable,3))</f>
        <v> </v>
      </c>
      <c r="HF129" s="0" t="str">
        <f aca="false">IF($A129="N/A"," ",VLOOKUP($A129,NumberofDaysTable,4))</f>
        <v> </v>
      </c>
    </row>
    <row r="130" customFormat="false" ht="12.75" hidden="false" customHeight="false" outlineLevel="0" collapsed="false">
      <c r="A130" s="308" t="str">
        <f aca="false">IF(A129="N/A","N/A",IF(EDATE(A129,1)&gt;Inputs!$K$3,"N/A",EDATE(A129,1)))</f>
        <v>N/A</v>
      </c>
      <c r="B130" s="309" t="str">
        <f aca="false">IF(A130="N/A"," ",YEAR(A130))</f>
        <v> </v>
      </c>
      <c r="C130" s="310" t="str">
        <f aca="false">IF(A130="N/A"," ",VLOOKUP(A130,ScaledPrice,10))</f>
        <v> </v>
      </c>
      <c r="D130" s="311" t="str">
        <f aca="false">IF(A130="N/A"," ",(VLOOKUP(MONTH($A130),Hrtable,2))/1000)</f>
        <v> </v>
      </c>
      <c r="E130" s="312" t="str">
        <f aca="false">IF($A130="N/A"," ",(C130-'Pricing Inputs'!T163)*D130)</f>
        <v> </v>
      </c>
      <c r="F130" s="313" t="str">
        <f aca="false">IF(A130="N/A"," ",$F118*(1+VOMesc))</f>
        <v> </v>
      </c>
      <c r="G130" s="313" t="str">
        <f aca="false">IF(A130="N/A"," ",Perstart/IF(AND(Dayrun&gt;=4,Dayrun&lt;=6),16,IF(AND(Dayrun&gt;=7,Dayrun&lt;=9),8,24))/(BM130/CK130))</f>
        <v> </v>
      </c>
      <c r="H130" s="314" t="str">
        <f aca="false">IF(A130="N/A"," ",(C130*D130)+F130+G130)</f>
        <v> </v>
      </c>
      <c r="I130" s="315" t="str">
        <f aca="false">VLOOKUP(A130,ScaledPrice,(IF(AND(Dayrun&gt;=1,Dayrun&lt;=6),2,4)))</f>
        <v> </v>
      </c>
      <c r="J130" s="315" t="str">
        <f aca="false">IF(A130="N/A"," ",IF(AND(Dayrun&gt;=1,Dayrun&lt;=6),I130,(VLOOKUP(A130,ScaledPrice,2))*(2-(VLOOKUP(A130,ScaledPrice,3)))))</f>
        <v> </v>
      </c>
      <c r="K130" s="315" t="str">
        <f aca="false">IF(A130="N/A"," ",IF(AND(Dayrun&gt;=1,Dayrun&lt;=3),VLOOKUP(A130,ScaledPrice,9),0))</f>
        <v> </v>
      </c>
      <c r="L130" s="315" t="str">
        <f aca="false">IF(A130="N/A"," ",IF(OR(Dayrun=2,Dayrun=3,Dayrun=5,Dayrun=6,Dayrun=8,Dayrun=9),VLOOKUP(A130,ScaledPrice,IF(AND(Dayrun&gt;=2,Dayrun&lt;=6),5,6)),0))</f>
        <v> </v>
      </c>
      <c r="M130" s="315" t="str">
        <f aca="false">IF(A130="N/A"," ",IF(OR(Dayrun=2,Dayrun=3,Dayrun=5,Dayrun=6,Dayrun=8,Dayrun=9),IF(AND(Dayrun&gt;=2,Dayrun&lt;=6),L130,(VLOOKUP(A130,ScaledPrice,5))*(2-(VLOOKUP(A130,ScaledPrice,3)))),0))</f>
        <v> </v>
      </c>
      <c r="N130" s="315" t="str">
        <f aca="false">IF(A130="N/A"," ",IF(AND(Dayrun&gt;1,Dayrun&lt;=3),VLOOKUP(A130,ScaledPrice,9),0))</f>
        <v> </v>
      </c>
      <c r="O130" s="315" t="str">
        <f aca="false">IF(A130="N/A"," ",IF(OR(Dayrun=3,Dayrun=6,Dayrun=9),(VLOOKUP(A130,ScaledPrice,IF(AND(Dayrun&gt;=3,Dayrun&lt;=6),7,8))),0))</f>
        <v> </v>
      </c>
      <c r="P130" s="315" t="str">
        <f aca="false">IF(A130="N/A"," ",IF(OR(Dayrun=3,Dayrun=6,Dayrun=9),IF(AND(Dayrun&gt;=3,Dayrun&lt;=6),O130,(VLOOKUP(A130,ScaledPrice,7))*(2-(VLOOKUP(A130,ScaledPrice,3)))),0))</f>
        <v> </v>
      </c>
      <c r="Q130" s="315" t="str">
        <f aca="false">IF(A130="N/A"," ",IF(AND(Dayrun&gt;2,Dayrun&lt;=3),VLOOKUP(A130,ScaledPrice,9),0))</f>
        <v> </v>
      </c>
      <c r="R130" s="316" t="str">
        <f aca="false">IF($A130="N/A"," ",IF(Pricetype=2,MAX(I130-$H130,0),IF(Pricetype=1,(xSPRDOPT(I130,$E130,$CI130,0,($CD130+IF(Smile=TRUE(),VLOOKUP(MAX(-5,$H130-I130),Volsmile,2),0)),$CG130,$CH130,($A130-DateToday)+15,1,0)),I130-$H130)))</f>
        <v> </v>
      </c>
      <c r="S130" s="316" t="str">
        <f aca="false">IF($A130="N/A"," ",IF(Pricetype=2,MAX(J130-$H130,0),IF(Pricetype=1,(xSPRDOPT(J130,$E130,$CI130,0,($CD130+IF(Smile=TRUE(),VLOOKUP(MAX(-5,$H130-J130),Volsmile,2),0)),$CG130,$CH130,($A130-DateToday)+15,1,0)),J130-$H130)))</f>
        <v> </v>
      </c>
      <c r="T130" s="317" t="str">
        <f aca="false">IF($A130="N/A"," ",(IF(Pricetype=2,IF((K130-$H130)&lt;=0,0,(K130-$H130)),IF(K130&lt;&gt;0,(K130-$H130),0))))</f>
        <v> </v>
      </c>
      <c r="U130" s="316" t="str">
        <f aca="false">IF($A130="N/A"," ",IF(Pricetype=2,MAX(L130-$H130,0),IF(L130&lt;&gt;0,IF(Pricetype=1,(xSPRDOPT(L130,$E130,$CI130,0,($CD130+IF(Smile=TRUE(),VLOOKUP(MAX(-5,$H130-L130),Volsmile,2),0)),$CG130,$CH130,($A130-DateToday)+15,1,0)),L130-$H130),0)))</f>
        <v> </v>
      </c>
      <c r="V130" s="316" t="str">
        <f aca="false">IF($A130="N/A"," ",IF(Pricetype=2,MAX(M130-$H130,0),IF(M130&lt;&gt;0,IF(Pricetype=1,(xSPRDOPT(M130,$E130,$CI130,0,($CD130+IF(Smile=TRUE(),VLOOKUP(MAX(-5,$H130-M130),Volsmile,2),0)),$CG130,$CH130,($A130-DateToday)+15,1,0)),M130-$H130),0)))</f>
        <v> </v>
      </c>
      <c r="W130" s="317" t="str">
        <f aca="false">IF($A130="N/A"," ",(IF(Pricetype=2,IF((N130-$H130)&lt;=0,0,(N130-$H130)),IF(N130&lt;&gt;0,(N130-$H130),0))))</f>
        <v> </v>
      </c>
      <c r="X130" s="316" t="str">
        <f aca="false">IF($A130="N/A"," ",IF(Pricetype=2,MAX(O130-$H130,0),IF(O130&lt;&gt;0,IF(Pricetype=1,(xSPRDOPT(O130,$E130,$CI130,0,($CD130+IF(Smile=TRUE(),VLOOKUP(MAX(-5,$H130-O130),Volsmile,2),0)),$CG130,$CH130,($A130-DateToday)+15,1,0)),O130-$H130),0)))</f>
        <v> </v>
      </c>
      <c r="Y130" s="316" t="str">
        <f aca="false">IF($A130="N/A"," ",IF(Pricetype=2,MAX(P130-$H130,0),IF(P130&lt;&gt;0,IF(Pricetype=1,(xSPRDOPT(P130,$E130,$CI130,0,($CD130+IF(Smile=TRUE(),VLOOKUP(MAX(-5,$H130-P130),Volsmile,2),0)),$CG130,$CH130,($A130-DateToday)+15,1,0)),P130-$H130),0)))</f>
        <v> </v>
      </c>
      <c r="Z130" s="317" t="str">
        <f aca="false">IF($A130="N/A"," ",(IF(Pricetype=2,IF((Q130-$H130)&lt;=0,0,(Q130-$H130)),IF(Q130&lt;&gt;0,(Q130-$H130),0))))</f>
        <v> </v>
      </c>
      <c r="AA130" s="318" t="str">
        <f aca="false">IF($A130="N/A"," ",IF(VLOOKUP(MONTH(A130),ManualTable,2)=1,(IF(0&lt;&gt;R130,IF(Pricetype=1,(xSPRDOPT(I130,$E130,$CI130,0,($CD130+IF(Smile=TRUE(),VLOOKUP(MAX(-5,$H130-I130),Volsmile,2),0)),$CG130,$CH130,($A130-DateToday)+15,1,1))*(8*$HD130),8*$HD130),0)),0))</f>
        <v> </v>
      </c>
      <c r="AB130" s="318" t="str">
        <f aca="false">IF($A130="N/A"," ",IF(VLOOKUP(MONTH(A130),ManualTable,3)=1,(IF(S130&lt;&gt;0,IF(Pricetype=1,(xSPRDOPT(J130,$E130,$CI130,0,($CD130+IF(Smile=TRUE(),VLOOKUP(MAX(-5,$H130-J130),Volsmile,2),0)),$CG130,$CH130,($A130-DateToday)+15,1,1))*(8*$HD130),8*$HD130),0)),0))</f>
        <v> </v>
      </c>
      <c r="AC130" s="318" t="str">
        <f aca="false">IF($A130="N/A"," ",IF(VLOOKUP(MONTH(A130),ManualTable,4)=1,(IF(T130&lt;&gt;0,(8*$HD130),0)),0))</f>
        <v> </v>
      </c>
      <c r="AD130" s="318" t="str">
        <f aca="false">IF($A130="N/A"," ",IF(VLOOKUP(MONTH(A130),ManualTable,5)=1,(IF(U130&lt;&gt;0,IF(Pricetype=1,(xSPRDOPT(L130,$E130,$CI130,0,($CD130+IF(Smile=TRUE(),VLOOKUP(MAX(-5,$H130-L130),Volsmile,2),0)),$CG130,$CH130,($A130-DateToday)+15,1,1))*(8*$HE130),8*$HE130),0)),0))</f>
        <v> </v>
      </c>
      <c r="AE130" s="318" t="str">
        <f aca="false">IF($A130="N/A"," ",IF(VLOOKUP(MONTH(A130),ManualTable,6)=1,(IF(V130&lt;&gt;0,IF(Pricetype=1,(xSPRDOPT(M130,$E130,$CI130,0,($CD130+IF(Smile=TRUE(),VLOOKUP(MAX(-5,$H130-M130),Volsmile,2),0)),$CG130,$CH130,($A130-DateToday)+15,1,1))*(8*$HE130),8*$HE130),0)),0))</f>
        <v> </v>
      </c>
      <c r="AF130" s="318" t="str">
        <f aca="false">IF($A130="N/A"," ",IF(VLOOKUP(MONTH(A130),ManualTable,7)=1,(IF(W130&lt;&gt;0,(8*$HE130),0)),0))</f>
        <v> </v>
      </c>
      <c r="AG130" s="318" t="str">
        <f aca="false">IF($A130="N/A"," ",IF(VLOOKUP(MONTH(A130),ManualTable,8)=1,(IF(X130&lt;&gt;0,IF(Pricetype=1,(xSPRDOPT(O130,$E130,$CI130,0,($CD130+IF(Smile=TRUE(),VLOOKUP(MAX(-5,$H130-O130),Volsmile,2),0)),$CG130,$CH130,($A130-DateToday)+15,1,1))*(8*$HF130),8*$HF130),0)),0))</f>
        <v> </v>
      </c>
      <c r="AH130" s="318" t="str">
        <f aca="false">IF($A130="N/A"," ",IF(VLOOKUP(MONTH(A130),ManualTable,9)=1,(IF(Y130&lt;&gt;0,IF(Pricetype=1,(xSPRDOPT(P130,$E130,$CI130,0,($CD130+IF(Smile=TRUE(),VLOOKUP(MAX(-5,$H130-P130),Volsmile,2),0)),$CG130,$CH130,($A130-DateToday)+15,1,1))*(8*$HF130),8*$HF130),0)),0))</f>
        <v> </v>
      </c>
      <c r="AI130" s="318" t="str">
        <f aca="false">IF($A130="N/A"," ",IF(VLOOKUP(MONTH(A130),ManualTable,10)=1,(IF(Z130&lt;&gt;0,(8*($HF130)),0)),0))</f>
        <v> </v>
      </c>
      <c r="AJ130" s="344" t="str">
        <f aca="false">IF($A130="N/A"," ",RANK(R130,$R$124:$Z$135))</f>
        <v> </v>
      </c>
      <c r="AK130" s="321" t="str">
        <f aca="false">IF($A130="N/A"," ",RANK(S130,$R$124:$Z$135))</f>
        <v> </v>
      </c>
      <c r="AL130" s="321" t="str">
        <f aca="false">IF($A130="N/A"," ",RANK(T130,$R$124:$Z$135))</f>
        <v> </v>
      </c>
      <c r="AM130" s="321" t="str">
        <f aca="false">IF($A130="N/A"," ",RANK(U130,$R$124:$Z$135))</f>
        <v> </v>
      </c>
      <c r="AN130" s="321" t="str">
        <f aca="false">IF($A130="N/A"," ",RANK(V130,$R$124:$Z$135))</f>
        <v> </v>
      </c>
      <c r="AO130" s="321" t="str">
        <f aca="false">IF($A130="N/A"," ",RANK(W130,$R$124:$Z$135))</f>
        <v> </v>
      </c>
      <c r="AP130" s="321" t="str">
        <f aca="false">IF($A130="N/A"," ",RANK(X130,$R$124:$Z$135))</f>
        <v> </v>
      </c>
      <c r="AQ130" s="321" t="str">
        <f aca="false">IF($A130="N/A"," ",RANK(Y130,$R$124:$Z$135))</f>
        <v> </v>
      </c>
      <c r="AR130" s="345" t="str">
        <f aca="false">IF($A130="N/A"," ",RANK(Z130,$R$124:$Z$135))</f>
        <v> </v>
      </c>
      <c r="AS130" s="323" t="str">
        <f aca="false">IF($A130="N/A"," ",IF(AJ130&lt;=$AR$2,AA130,0))</f>
        <v> </v>
      </c>
      <c r="AT130" s="325" t="str">
        <f aca="false">IF($A130="N/A"," ",IF(AK130&lt;=$AR$2,AB130,0))</f>
        <v> </v>
      </c>
      <c r="AU130" s="325" t="str">
        <f aca="false">IF($A130="N/A"," ",IF(AL130&lt;=$AR$2,AC130,0))</f>
        <v> </v>
      </c>
      <c r="AV130" s="325" t="str">
        <f aca="false">IF($A130="N/A"," ",IF(AM130&lt;=$AR$2,AD130,0))</f>
        <v> </v>
      </c>
      <c r="AW130" s="325" t="str">
        <f aca="false">IF($A130="N/A"," ",IF(AN130&lt;=$AR$2,AE130,0))</f>
        <v> </v>
      </c>
      <c r="AX130" s="325" t="str">
        <f aca="false">IF($A130="N/A"," ",IF(AO130&lt;=$AR$2,AF130,0))</f>
        <v> </v>
      </c>
      <c r="AY130" s="325" t="str">
        <f aca="false">IF($A130="N/A"," ",IF(AP130&lt;=$AR$2,AG130,0))</f>
        <v> </v>
      </c>
      <c r="AZ130" s="325" t="str">
        <f aca="false">IF($A130="N/A"," ",IF(AQ130&lt;=$AR$2,AH130,0))</f>
        <v> </v>
      </c>
      <c r="BA130" s="325" t="str">
        <f aca="false">IF($A130="N/A"," ",IF(AR130&lt;=$AR$2,AI130,0))</f>
        <v> </v>
      </c>
      <c r="BB130" s="345"/>
      <c r="BC130" s="326" t="str">
        <f aca="false">IF($A130="N/A"," ",IF(AND(AJ130=$AR$2+1,AS130=0),MIN($BB$135,AA130),0))</f>
        <v> </v>
      </c>
      <c r="BD130" s="346" t="str">
        <f aca="false">IF($A130="N/A"," ",IF(AND(AK130=$AR$2+1,AT130=0),MIN($BB$135,AB130),0))</f>
        <v> </v>
      </c>
      <c r="BE130" s="346" t="str">
        <f aca="false">IF($A130="N/A"," ",IF(AND(AL130=$AR$2+1,AU130=0),MIN($BB$135,AC130),0))</f>
        <v> </v>
      </c>
      <c r="BF130" s="346" t="str">
        <f aca="false">IF($A130="N/A"," ",IF(AND(AM130=$AR$2+1,AV130=0),MIN($BB$135,AD130),0))</f>
        <v> </v>
      </c>
      <c r="BG130" s="346" t="str">
        <f aca="false">IF($A130="N/A"," ",IF(AND(AN130=$AR$2+1,AW130=0),MIN($BB$135,AE130),0))</f>
        <v> </v>
      </c>
      <c r="BH130" s="346" t="str">
        <f aca="false">IF($A130="N/A"," ",IF(AND(AO130=$AR$2+1,AX130=0),MIN($BB$135,AF130),0))</f>
        <v> </v>
      </c>
      <c r="BI130" s="346" t="str">
        <f aca="false">IF($A130="N/A"," ",IF(AND(AP130=$AR$2+1,AY130=0),MIN($BB$135,AG130),0))</f>
        <v> </v>
      </c>
      <c r="BJ130" s="346" t="str">
        <f aca="false">IF($A130="N/A"," ",IF(AND(AQ130=$AR$2+1,AZ130=0),MIN($BB$135,AH130),0))</f>
        <v> </v>
      </c>
      <c r="BK130" s="346" t="str">
        <f aca="false">IF($A130="N/A"," ",IF(AND(AR130=$AR$2+1,BA130=0),MIN($BB$135,AI130),0))</f>
        <v> </v>
      </c>
      <c r="BL130" s="345"/>
      <c r="BM130" s="329" t="str">
        <f aca="false">IF($A130="N/A"," ",(IF(MONTH(A130)&gt;=4,IF(MONTH(A130)&lt;=10,Inputs!$F$13-Inputs!$G$13,Inputs!$F$14-Inputs!$G$14),Inputs!$F$14-Inputs!$G$14))*$CK130*Availability)</f>
        <v> </v>
      </c>
      <c r="BN130" s="330" t="str">
        <f aca="false">IF($A130="N/A"," ",(IF(AS130&gt;0,($BM130*(8*($HD130))*R130),0)+IF(BC130&gt;0,($BM130*((BC130/AA130)*8*$HD130)*R130),0)))</f>
        <v> </v>
      </c>
      <c r="BO130" s="330" t="str">
        <f aca="false">IF($A130="N/A"," ",(IF(AT130&gt;0,($BM130*(8*($HD130))*S130),0)+IF(BD130&gt;0,($BM130*((BD130/AB130)*8*$HD130)*S130),0)))</f>
        <v> </v>
      </c>
      <c r="BP130" s="330" t="str">
        <f aca="false">IF($A130="N/A"," ",(IF(AU130&gt;0,($BM130*(8*($HD130))*T130),0)+IF(BE130&gt;0,($BM130*((BE130))*T130),0)))</f>
        <v> </v>
      </c>
      <c r="BQ130" s="330" t="str">
        <f aca="false">IF($A130="N/A"," ",(IF(AV130&gt;0,($BM130*(8*($HE130))*U130),0)+IF(BF130&gt;0,($BM130*((BF130/AD130)*8*$HE130)*U130),0)))</f>
        <v> </v>
      </c>
      <c r="BR130" s="330" t="str">
        <f aca="false">IF($A130="N/A"," ",(IF(AW130&gt;0,($BM130*(8*($HE130))*V130),0)+IF(BG130&gt;0,($BM130*((BG130/AE130)*8*$HE130)*V130),0)))</f>
        <v> </v>
      </c>
      <c r="BS130" s="330" t="str">
        <f aca="false">IF($A130="N/A"," ",(IF(AX130&gt;0,($BM130*(8*($HE130))*W130),0)+IF(BH130&gt;0,($BM130*((BH130))*W130),0)))</f>
        <v> </v>
      </c>
      <c r="BT130" s="330" t="str">
        <f aca="false">IF($A130="N/A"," ",(IF(AY130&gt;0,($BM130*(8*($HF130))*X130),0)+IF(BI130&gt;0,($BM130*((BI130/AG130)*8*$HF130)*X130),0)))</f>
        <v> </v>
      </c>
      <c r="BU130" s="330" t="str">
        <f aca="false">IF($A130="N/A"," ",(IF(AZ130&gt;0,($BM130*(8*($HF130))*Y130),0)+IF(BJ130&gt;0,($BM130*((BJ130/AH130)*8*$HF130)*Y130),0)))</f>
        <v> </v>
      </c>
      <c r="BV130" s="330" t="str">
        <f aca="false">IF($A130="N/A"," ",(IF(BA130&gt;0,($BM130*(8*($HF130))*Z130),0)+IF(BK130&gt;0,($BM130*((BK130))*Z130),0)))</f>
        <v> </v>
      </c>
      <c r="BW130" s="330" t="str">
        <f aca="false">IF($A130="N/A"," ",SUM(BN130:BV130))</f>
        <v> </v>
      </c>
      <c r="BX130" s="331" t="str">
        <f aca="false">IF($A130="N/A"," ",(H130*(SUM(AS130:BA130)+SUM(BC130:BK130))*BM130))</f>
        <v> </v>
      </c>
      <c r="BY130" s="332" t="str">
        <f aca="false">IF($A130="N/A"," ",((C130*D130)*(SUM($AS130:$BA130)+SUM($BC130:$BK130))*$BM130))</f>
        <v> </v>
      </c>
      <c r="BZ130" s="332" t="str">
        <f aca="false">IF($A130="N/A"," ",(F130*(SUM($AS130:$BA130)+SUM($BC130:$BK130))*$BM130))</f>
        <v> </v>
      </c>
      <c r="CA130" s="333" t="str">
        <f aca="false">IF($A130="N/A"," ",(G130*(SUM($AS130:$BA130)+SUM($BC130:$BK130))*$BM130))</f>
        <v> </v>
      </c>
      <c r="CB130" s="334" t="str">
        <f aca="false">IF(A130="N/A"," ",(VLOOKUP(A130,PowerVolTable,(IF(BMO=2,7,IF(BMO=1,6,8))),FALSE())))</f>
        <v> </v>
      </c>
      <c r="CC130" s="334" t="str">
        <f aca="false">IF(A130="N/A"," ",(VLOOKUP(A130,IntraPowerVol,(IF(BMO=2,3,IF(BMO=1,2,4))),FALSE())*VLOOKUP(MONTH($A130),Volscale,2)))</f>
        <v> </v>
      </c>
      <c r="CD130" s="335" t="str">
        <f aca="false">IF($A130="N/A"," ",(IF(DateToday&gt;$A130,$CC130,((($CB130^2)*((($A130-1)-DateToday)/((EOMONTH($A130,0)+1)-DateToday-15)))+((($CC130)^2)*((15)/((EOMONTH($A130,0)+1)-DateToday-15))))^0.5)))</f>
        <v> </v>
      </c>
      <c r="CE130" s="334" t="str">
        <f aca="false">IF($A130="N/A"," ",(VLOOKUP($A130,GasVolTable,(IF(BMO=2,6,IF(BMO=1,7,5))),FALSE())))</f>
        <v> </v>
      </c>
      <c r="CF130" s="334" t="str">
        <f aca="false">IF($A130="N/A"," ",(VLOOKUP($A130,OmicronVol,(IF(BMO=2,3,IF(BMO=1,4,2))),FALSE())))</f>
        <v> </v>
      </c>
      <c r="CG130" s="335" t="str">
        <f aca="false">IF($A130="N/A"," ",(IF(DateToday&gt;$A130,$CF130,((($CE130^2)*((($A130-1)-DateToday)/((EOMONTH($A130,0)+1)-DateToday-15)))+((($CF130)^2)*((15)/((EOMONTH($A130,0)+1)-DateToday-15))))^0.5)))</f>
        <v> </v>
      </c>
      <c r="CH130" s="334" t="str">
        <f aca="false">IF($A130="N/A"," ",VLOOKUP($A130,CorrelationTable,2,FALSE()))</f>
        <v> </v>
      </c>
      <c r="CI130" s="336" t="str">
        <f aca="false">IF($A130="N/A"," ",F130+G130+(D130*('Pricing Inputs'!T163)))</f>
        <v> </v>
      </c>
      <c r="CJ130" s="334" t="str">
        <f aca="false">IF($A130="N/A"," ",IF(PV=1,0,'Pricing Inputs'!U163))</f>
        <v> </v>
      </c>
      <c r="CK130" s="337" t="str">
        <f aca="false">IF($A130="N/A"," ",(1+CJ130/2)^(-2*((EOMONTH(A130,0)+20)-DateToday)/365.25))</f>
        <v> </v>
      </c>
      <c r="CL130" s="338" t="str">
        <f aca="false">IF(A130="N/A"," ",IF(CC=2,(VLOOKUP(MONTH($A130),Hrtable,3))/1000,0))</f>
        <v> </v>
      </c>
      <c r="CM130" s="339" t="str">
        <f aca="false">IF(A130="N/A"," ",IF(CC=2,(CL130*C130)+F130,0))</f>
        <v> </v>
      </c>
      <c r="CN130" s="340" t="str">
        <f aca="false">IF($A130="N/A"," ",IF(CC=2,(VLOOKUP(A130,ScaledPrice,(IF(AND(Dayrun&gt;=1,Dayrun&lt;=6),2,4)))-((IF(R130&lt;&gt;0,$D130,$CL130)*$C130)+$F130+$G130)),0))</f>
        <v> </v>
      </c>
      <c r="CO130" s="340" t="str">
        <f aca="false">IF($A130="N/A"," ",IF(CC=2,(IF(AND(Dayrun&gt;=1,Dayrun&lt;=6),I130,(VLOOKUP(A130,ScaledPrice,2))*(2-(VLOOKUP(A130,ScaledPrice,3))))-((IF(S130&lt;&gt;0,$D130,$CL130)*$C130)+$F130+$G130)),0))</f>
        <v> </v>
      </c>
      <c r="CP130" s="340" t="str">
        <f aca="false">IF(A130="N/A"," ",IF(CC=2,(VLOOKUP(A130,ScaledPrice,9)-((IF(T130&lt;&gt;0,$D130,$CL130)*$C130)+$F130+$G130)),0))</f>
        <v> </v>
      </c>
      <c r="CQ130" s="340" t="str">
        <f aca="false">IF(A130="N/A"," ",IF(CC=2,(IF(OR(Dayrun=2,Dayrun=3,Dayrun=5,Dayrun=6,Dayrun=8,Dayrun=9),VLOOKUP(A130,ScaledPrice,IF(AND(Dayrun&gt;=2,Dayrun&lt;=6),5,6)),0)-((IF(U130&lt;&gt;0,$D130,$CL130)*$C130)+$F130+$G130)),0))</f>
        <v> </v>
      </c>
      <c r="CR130" s="340" t="str">
        <f aca="false">IF(A130="N/A"," ",IF(CC=2,(IF(OR(Dayrun=2,Dayrun=3,Dayrun=5,Dayrun=6,Dayrun=8,Dayrun=9),IF(AND(Dayrun&gt;=2,Dayrun&lt;=6),L130,(VLOOKUP(A130,ScaledPrice,5))*(2-(VLOOKUP(A130,ScaledPrice,3)))),0)-((IF(V130&lt;&gt;0,$D130,$CL130)*$C130)+$F130+$G130)),0))</f>
        <v> </v>
      </c>
      <c r="CS130" s="340" t="str">
        <f aca="false">IF(A130="N/A"," ",IF(CC=2,(VLOOKUP(A130,ScaledPrice,9)-((IF(W130&lt;&gt;0,$D130,$CL130)*$C130)+$F130+$G130)),0))</f>
        <v> </v>
      </c>
      <c r="CT130" s="340" t="str">
        <f aca="false">IF(A130="N/A"," ",IF(CC=2,(IF(OR(Dayrun=3,Dayrun=6,Dayrun=9),(VLOOKUP(A130,ScaledPrice,IF(AND(Dayrun&gt;=3,Dayrun&lt;=6),7,8))),0)-((IF(X130&lt;&gt;0,$D130,$CL130)*$C130)+$F130+$G130)),0))</f>
        <v> </v>
      </c>
      <c r="CU130" s="340" t="str">
        <f aca="false">IF(A130="N/A"," ",IF(CC=2,(IF(OR(Dayrun=3,Dayrun=6,Dayrun=9),IF(AND(Dayrun&gt;=3,Dayrun&lt;=6),O130,(VLOOKUP(A130,ScaledPrice,7))*(2-(VLOOKUP(A130,ScaledPrice,3)))),0)-((IF(Y130&lt;&gt;0,$D130,$CL130)*$C130)+$F130+$G130)),0))</f>
        <v> </v>
      </c>
      <c r="CV130" s="340" t="str">
        <f aca="false">IF(A130="N/A"," ",IF(CC=2,(VLOOKUP(A130,ScaledPrice,9)-((IF(Z130&lt;&gt;0,$D130,$CL130)*$C130)+$F130+$G130)),0))</f>
        <v> </v>
      </c>
      <c r="CW130" s="318" t="str">
        <f aca="false">IF($A130="N/A"," ",IF(0&lt;&gt;CN130,IF(CC=2,8*$HD130,0),0))</f>
        <v> </v>
      </c>
      <c r="CX130" s="318" t="str">
        <f aca="false">IF($A130="N/A"," ",IF(0&lt;&gt;CO130,IF(CC=2,8*$HD130,0),0))</f>
        <v> </v>
      </c>
      <c r="CY130" s="318" t="str">
        <f aca="false">IF($A130="N/A"," ",IF(0&lt;&gt;CP130,IF(CC=2,8*$HD130,0),0))</f>
        <v> </v>
      </c>
      <c r="CZ130" s="318" t="str">
        <f aca="false">IF($A130="N/A"," ",IF(0&lt;&gt;CQ130,IF(CC=2,8*$HE130,0),0))</f>
        <v> </v>
      </c>
      <c r="DA130" s="318" t="str">
        <f aca="false">IF($A130="N/A"," ",IF(0&lt;&gt;CR130,IF(CC=2,8*$HE130,0),0))</f>
        <v> </v>
      </c>
      <c r="DB130" s="318" t="str">
        <f aca="false">IF($A130="N/A"," ",IF(0&lt;&gt;CS130,IF(CC=2,8*$HE130,0),0))</f>
        <v> </v>
      </c>
      <c r="DC130" s="318" t="str">
        <f aca="false">IF($A130="N/A"," ",IF(0&lt;&gt;CT130,IF(CC=2,8*$HF130,0),0))</f>
        <v> </v>
      </c>
      <c r="DD130" s="318" t="str">
        <f aca="false">IF($A130="N/A"," ",IF(0&lt;&gt;CU130,IF(CC=2,8*$HF130,0),0))</f>
        <v> </v>
      </c>
      <c r="DE130" s="318" t="str">
        <f aca="false">IF($A130="N/A"," ",IF(0&lt;&gt;CV130,IF(CC=2,8*$HF130,0),0))</f>
        <v> </v>
      </c>
      <c r="DF130" s="341" t="str">
        <f aca="false">IF($A130="N/A"," ",IF(CC=2,(IF(MONTH(A130)&gt;=4,IF(MONTH(A130)&lt;=10,Inputs!$G$13,Inputs!$G$14),Inputs!$G$14))*$CK130,0))</f>
        <v> </v>
      </c>
      <c r="DG130" s="342" t="str">
        <f aca="false">IF($A130="N/A"," ",IF(CC=2,$DF130*CW130*CN130,0))</f>
        <v> </v>
      </c>
      <c r="DH130" s="342" t="str">
        <f aca="false">IF($A130="N/A"," ",IF(CC=2,$DF130*CX130*CO130,0))</f>
        <v> </v>
      </c>
      <c r="DI130" s="342" t="str">
        <f aca="false">IF($A130="N/A"," ",IF(CC=2,$DF130*CY130*CP130,0))</f>
        <v> </v>
      </c>
      <c r="DJ130" s="342" t="str">
        <f aca="false">IF($A130="N/A"," ",IF(CC=2,$DF130*CZ130*CQ130,0))</f>
        <v> </v>
      </c>
      <c r="DK130" s="342" t="str">
        <f aca="false">IF($A130="N/A"," ",IF(CC=2,$DF130*DA130*CR130,0))</f>
        <v> </v>
      </c>
      <c r="DL130" s="342" t="str">
        <f aca="false">IF($A130="N/A"," ",IF(CC=2,$DF130*DB130*CS130,0))</f>
        <v> </v>
      </c>
      <c r="DM130" s="342" t="str">
        <f aca="false">IF($A130="N/A"," ",IF(CC=2,$DF130*DC130*CT130,0))</f>
        <v> </v>
      </c>
      <c r="DN130" s="342" t="str">
        <f aca="false">IF($A130="N/A"," ",IF(CC=2,$DF130*DD130*CU130,0))</f>
        <v> </v>
      </c>
      <c r="DO130" s="342" t="str">
        <f aca="false">IF($A130="N/A"," ",IF(CC=2,$DF130*DE130*CV130,0))</f>
        <v> </v>
      </c>
      <c r="DP130" s="343" t="str">
        <f aca="false">IF($A130="N/A"," ",IF(CC=2,SUM(DG130:DO130),0))</f>
        <v> </v>
      </c>
      <c r="DQ130" s="0" t="str">
        <f aca="false">IF(A130="N/A"," ",Perstart)</f>
        <v> </v>
      </c>
      <c r="HD130" s="0" t="str">
        <f aca="false">IF($A130="N/A"," ",VLOOKUP($A130,NumberofDaysTable,2))</f>
        <v> </v>
      </c>
      <c r="HE130" s="0" t="str">
        <f aca="false">IF($A130="N/A"," ",VLOOKUP($A130,NumberofDaysTable,3))</f>
        <v> </v>
      </c>
      <c r="HF130" s="0" t="str">
        <f aca="false">IF($A130="N/A"," ",VLOOKUP($A130,NumberofDaysTable,4))</f>
        <v> </v>
      </c>
    </row>
    <row r="131" customFormat="false" ht="12.75" hidden="false" customHeight="false" outlineLevel="0" collapsed="false">
      <c r="A131" s="308" t="str">
        <f aca="false">IF(A130="N/A","N/A",IF(EDATE(A130,1)&gt;Inputs!$K$3,"N/A",EDATE(A130,1)))</f>
        <v>N/A</v>
      </c>
      <c r="B131" s="309" t="str">
        <f aca="false">IF(A131="N/A"," ",YEAR(A131))</f>
        <v> </v>
      </c>
      <c r="C131" s="310" t="str">
        <f aca="false">IF(A131="N/A"," ",VLOOKUP(A131,ScaledPrice,10))</f>
        <v> </v>
      </c>
      <c r="D131" s="311" t="str">
        <f aca="false">IF(A131="N/A"," ",(VLOOKUP(MONTH($A131),Hrtable,2))/1000)</f>
        <v> </v>
      </c>
      <c r="E131" s="312" t="str">
        <f aca="false">IF($A131="N/A"," ",(C131-'Pricing Inputs'!T164)*D131)</f>
        <v> </v>
      </c>
      <c r="F131" s="313" t="str">
        <f aca="false">IF(A131="N/A"," ",$F119*(1+VOMesc))</f>
        <v> </v>
      </c>
      <c r="G131" s="313" t="str">
        <f aca="false">IF(A131="N/A"," ",Perstart/IF(AND(Dayrun&gt;=4,Dayrun&lt;=6),16,IF(AND(Dayrun&gt;=7,Dayrun&lt;=9),8,24))/(BM131/CK131))</f>
        <v> </v>
      </c>
      <c r="H131" s="314" t="str">
        <f aca="false">IF(A131="N/A"," ",(C131*D131)+F131+G131)</f>
        <v> </v>
      </c>
      <c r="I131" s="315" t="str">
        <f aca="false">VLOOKUP(A131,ScaledPrice,(IF(AND(Dayrun&gt;=1,Dayrun&lt;=6),2,4)))</f>
        <v> </v>
      </c>
      <c r="J131" s="315" t="str">
        <f aca="false">IF(A131="N/A"," ",IF(AND(Dayrun&gt;=1,Dayrun&lt;=6),I131,(VLOOKUP(A131,ScaledPrice,2))*(2-(VLOOKUP(A131,ScaledPrice,3)))))</f>
        <v> </v>
      </c>
      <c r="K131" s="315" t="str">
        <f aca="false">IF(A131="N/A"," ",IF(AND(Dayrun&gt;=1,Dayrun&lt;=3),VLOOKUP(A131,ScaledPrice,9),0))</f>
        <v> </v>
      </c>
      <c r="L131" s="315" t="str">
        <f aca="false">IF(A131="N/A"," ",IF(OR(Dayrun=2,Dayrun=3,Dayrun=5,Dayrun=6,Dayrun=8,Dayrun=9),VLOOKUP(A131,ScaledPrice,IF(AND(Dayrun&gt;=2,Dayrun&lt;=6),5,6)),0))</f>
        <v> </v>
      </c>
      <c r="M131" s="315" t="str">
        <f aca="false">IF(A131="N/A"," ",IF(OR(Dayrun=2,Dayrun=3,Dayrun=5,Dayrun=6,Dayrun=8,Dayrun=9),IF(AND(Dayrun&gt;=2,Dayrun&lt;=6),L131,(VLOOKUP(A131,ScaledPrice,5))*(2-(VLOOKUP(A131,ScaledPrice,3)))),0))</f>
        <v> </v>
      </c>
      <c r="N131" s="315" t="str">
        <f aca="false">IF(A131="N/A"," ",IF(AND(Dayrun&gt;1,Dayrun&lt;=3),VLOOKUP(A131,ScaledPrice,9),0))</f>
        <v> </v>
      </c>
      <c r="O131" s="315" t="str">
        <f aca="false">IF(A131="N/A"," ",IF(OR(Dayrun=3,Dayrun=6,Dayrun=9),(VLOOKUP(A131,ScaledPrice,IF(AND(Dayrun&gt;=3,Dayrun&lt;=6),7,8))),0))</f>
        <v> </v>
      </c>
      <c r="P131" s="315" t="str">
        <f aca="false">IF(A131="N/A"," ",IF(OR(Dayrun=3,Dayrun=6,Dayrun=9),IF(AND(Dayrun&gt;=3,Dayrun&lt;=6),O131,(VLOOKUP(A131,ScaledPrice,7))*(2-(VLOOKUP(A131,ScaledPrice,3)))),0))</f>
        <v> </v>
      </c>
      <c r="Q131" s="315" t="str">
        <f aca="false">IF(A131="N/A"," ",IF(AND(Dayrun&gt;2,Dayrun&lt;=3),VLOOKUP(A131,ScaledPrice,9),0))</f>
        <v> </v>
      </c>
      <c r="R131" s="316" t="str">
        <f aca="false">IF($A131="N/A"," ",IF(Pricetype=2,MAX(I131-$H131,0),IF(Pricetype=1,(xSPRDOPT(I131,$E131,$CI131,0,($CD131+IF(Smile=TRUE(),VLOOKUP(MAX(-5,$H131-I131),Volsmile,2),0)),$CG131,$CH131,($A131-DateToday)+15,1,0)),I131-$H131)))</f>
        <v> </v>
      </c>
      <c r="S131" s="316" t="str">
        <f aca="false">IF($A131="N/A"," ",IF(Pricetype=2,MAX(J131-$H131,0),IF(Pricetype=1,(xSPRDOPT(J131,$E131,$CI131,0,($CD131+IF(Smile=TRUE(),VLOOKUP(MAX(-5,$H131-J131),Volsmile,2),0)),$CG131,$CH131,($A131-DateToday)+15,1,0)),J131-$H131)))</f>
        <v> </v>
      </c>
      <c r="T131" s="317" t="str">
        <f aca="false">IF($A131="N/A"," ",(IF(Pricetype=2,IF((K131-$H131)&lt;=0,0,(K131-$H131)),IF(K131&lt;&gt;0,(K131-$H131),0))))</f>
        <v> </v>
      </c>
      <c r="U131" s="316" t="str">
        <f aca="false">IF($A131="N/A"," ",IF(Pricetype=2,MAX(L131-$H131,0),IF(L131&lt;&gt;0,IF(Pricetype=1,(xSPRDOPT(L131,$E131,$CI131,0,($CD131+IF(Smile=TRUE(),VLOOKUP(MAX(-5,$H131-L131),Volsmile,2),0)),$CG131,$CH131,($A131-DateToday)+15,1,0)),L131-$H131),0)))</f>
        <v> </v>
      </c>
      <c r="V131" s="316" t="str">
        <f aca="false">IF($A131="N/A"," ",IF(Pricetype=2,MAX(M131-$H131,0),IF(M131&lt;&gt;0,IF(Pricetype=1,(xSPRDOPT(M131,$E131,$CI131,0,($CD131+IF(Smile=TRUE(),VLOOKUP(MAX(-5,$H131-M131),Volsmile,2),0)),$CG131,$CH131,($A131-DateToday)+15,1,0)),M131-$H131),0)))</f>
        <v> </v>
      </c>
      <c r="W131" s="317" t="str">
        <f aca="false">IF($A131="N/A"," ",(IF(Pricetype=2,IF((N131-$H131)&lt;=0,0,(N131-$H131)),IF(N131&lt;&gt;0,(N131-$H131),0))))</f>
        <v> </v>
      </c>
      <c r="X131" s="316" t="str">
        <f aca="false">IF($A131="N/A"," ",IF(Pricetype=2,MAX(O131-$H131,0),IF(O131&lt;&gt;0,IF(Pricetype=1,(xSPRDOPT(O131,$E131,$CI131,0,($CD131+IF(Smile=TRUE(),VLOOKUP(MAX(-5,$H131-O131),Volsmile,2),0)),$CG131,$CH131,($A131-DateToday)+15,1,0)),O131-$H131),0)))</f>
        <v> </v>
      </c>
      <c r="Y131" s="316" t="str">
        <f aca="false">IF($A131="N/A"," ",IF(Pricetype=2,MAX(P131-$H131,0),IF(P131&lt;&gt;0,IF(Pricetype=1,(xSPRDOPT(P131,$E131,$CI131,0,($CD131+IF(Smile=TRUE(),VLOOKUP(MAX(-5,$H131-P131),Volsmile,2),0)),$CG131,$CH131,($A131-DateToday)+15,1,0)),P131-$H131),0)))</f>
        <v> </v>
      </c>
      <c r="Z131" s="317" t="str">
        <f aca="false">IF($A131="N/A"," ",(IF(Pricetype=2,IF((Q131-$H131)&lt;=0,0,(Q131-$H131)),IF(Q131&lt;&gt;0,(Q131-$H131),0))))</f>
        <v> </v>
      </c>
      <c r="AA131" s="318" t="str">
        <f aca="false">IF($A131="N/A"," ",IF(VLOOKUP(MONTH(A131),ManualTable,2)=1,(IF(0&lt;&gt;R131,IF(Pricetype=1,(xSPRDOPT(I131,$E131,$CI131,0,($CD131+IF(Smile=TRUE(),VLOOKUP(MAX(-5,$H131-I131),Volsmile,2),0)),$CG131,$CH131,($A131-DateToday)+15,1,1))*(8*$HD131),8*$HD131),0)),0))</f>
        <v> </v>
      </c>
      <c r="AB131" s="318" t="str">
        <f aca="false">IF($A131="N/A"," ",IF(VLOOKUP(MONTH(A131),ManualTable,3)=1,(IF(S131&lt;&gt;0,IF(Pricetype=1,(xSPRDOPT(J131,$E131,$CI131,0,($CD131+IF(Smile=TRUE(),VLOOKUP(MAX(-5,$H131-J131),Volsmile,2),0)),$CG131,$CH131,($A131-DateToday)+15,1,1))*(8*$HD131),8*$HD131),0)),0))</f>
        <v> </v>
      </c>
      <c r="AC131" s="318" t="str">
        <f aca="false">IF($A131="N/A"," ",IF(VLOOKUP(MONTH(A131),ManualTable,4)=1,(IF(T131&lt;&gt;0,(8*$HD131),0)),0))</f>
        <v> </v>
      </c>
      <c r="AD131" s="318" t="str">
        <f aca="false">IF($A131="N/A"," ",IF(VLOOKUP(MONTH(A131),ManualTable,5)=1,(IF(U131&lt;&gt;0,IF(Pricetype=1,(xSPRDOPT(L131,$E131,$CI131,0,($CD131+IF(Smile=TRUE(),VLOOKUP(MAX(-5,$H131-L131),Volsmile,2),0)),$CG131,$CH131,($A131-DateToday)+15,1,1))*(8*$HE131),8*$HE131),0)),0))</f>
        <v> </v>
      </c>
      <c r="AE131" s="318" t="str">
        <f aca="false">IF($A131="N/A"," ",IF(VLOOKUP(MONTH(A131),ManualTable,6)=1,(IF(V131&lt;&gt;0,IF(Pricetype=1,(xSPRDOPT(M131,$E131,$CI131,0,($CD131+IF(Smile=TRUE(),VLOOKUP(MAX(-5,$H131-M131),Volsmile,2),0)),$CG131,$CH131,($A131-DateToday)+15,1,1))*(8*$HE131),8*$HE131),0)),0))</f>
        <v> </v>
      </c>
      <c r="AF131" s="318" t="str">
        <f aca="false">IF($A131="N/A"," ",IF(VLOOKUP(MONTH(A131),ManualTable,7)=1,(IF(W131&lt;&gt;0,(8*$HE131),0)),0))</f>
        <v> </v>
      </c>
      <c r="AG131" s="318" t="str">
        <f aca="false">IF($A131="N/A"," ",IF(VLOOKUP(MONTH(A131),ManualTable,8)=1,(IF(X131&lt;&gt;0,IF(Pricetype=1,(xSPRDOPT(O131,$E131,$CI131,0,($CD131+IF(Smile=TRUE(),VLOOKUP(MAX(-5,$H131-O131),Volsmile,2),0)),$CG131,$CH131,($A131-DateToday)+15,1,1))*(8*$HF131),8*$HF131),0)),0))</f>
        <v> </v>
      </c>
      <c r="AH131" s="318" t="str">
        <f aca="false">IF($A131="N/A"," ",IF(VLOOKUP(MONTH(A131),ManualTable,9)=1,(IF(Y131&lt;&gt;0,IF(Pricetype=1,(xSPRDOPT(P131,$E131,$CI131,0,($CD131+IF(Smile=TRUE(),VLOOKUP(MAX(-5,$H131-P131),Volsmile,2),0)),$CG131,$CH131,($A131-DateToday)+15,1,1))*(8*$HF131),8*$HF131),0)),0))</f>
        <v> </v>
      </c>
      <c r="AI131" s="318" t="str">
        <f aca="false">IF($A131="N/A"," ",IF(VLOOKUP(MONTH(A131),ManualTable,10)=1,(IF(Z131&lt;&gt;0,(8*($HF131)),0)),0))</f>
        <v> </v>
      </c>
      <c r="AJ131" s="344" t="str">
        <f aca="false">IF($A131="N/A"," ",RANK(R131,$R$124:$Z$135))</f>
        <v> </v>
      </c>
      <c r="AK131" s="321" t="str">
        <f aca="false">IF($A131="N/A"," ",RANK(S131,$R$124:$Z$135))</f>
        <v> </v>
      </c>
      <c r="AL131" s="321" t="str">
        <f aca="false">IF($A131="N/A"," ",RANK(T131,$R$124:$Z$135))</f>
        <v> </v>
      </c>
      <c r="AM131" s="321" t="str">
        <f aca="false">IF($A131="N/A"," ",RANK(U131,$R$124:$Z$135))</f>
        <v> </v>
      </c>
      <c r="AN131" s="321" t="str">
        <f aca="false">IF($A131="N/A"," ",RANK(V131,$R$124:$Z$135))</f>
        <v> </v>
      </c>
      <c r="AO131" s="321" t="str">
        <f aca="false">IF($A131="N/A"," ",RANK(W131,$R$124:$Z$135))</f>
        <v> </v>
      </c>
      <c r="AP131" s="321" t="str">
        <f aca="false">IF($A131="N/A"," ",RANK(X131,$R$124:$Z$135))</f>
        <v> </v>
      </c>
      <c r="AQ131" s="321" t="str">
        <f aca="false">IF($A131="N/A"," ",RANK(Y131,$R$124:$Z$135))</f>
        <v> </v>
      </c>
      <c r="AR131" s="345" t="str">
        <f aca="false">IF($A131="N/A"," ",RANK(Z131,$R$124:$Z$135))</f>
        <v> </v>
      </c>
      <c r="AS131" s="323" t="str">
        <f aca="false">IF($A131="N/A"," ",IF(AJ131&lt;=$AR$2,AA131,0))</f>
        <v> </v>
      </c>
      <c r="AT131" s="325" t="str">
        <f aca="false">IF($A131="N/A"," ",IF(AK131&lt;=$AR$2,AB131,0))</f>
        <v> </v>
      </c>
      <c r="AU131" s="325" t="str">
        <f aca="false">IF($A131="N/A"," ",IF(AL131&lt;=$AR$2,AC131,0))</f>
        <v> </v>
      </c>
      <c r="AV131" s="325" t="str">
        <f aca="false">IF($A131="N/A"," ",IF(AM131&lt;=$AR$2,AD131,0))</f>
        <v> </v>
      </c>
      <c r="AW131" s="325" t="str">
        <f aca="false">IF($A131="N/A"," ",IF(AN131&lt;=$AR$2,AE131,0))</f>
        <v> </v>
      </c>
      <c r="AX131" s="325" t="str">
        <f aca="false">IF($A131="N/A"," ",IF(AO131&lt;=$AR$2,AF131,0))</f>
        <v> </v>
      </c>
      <c r="AY131" s="325" t="str">
        <f aca="false">IF($A131="N/A"," ",IF(AP131&lt;=$AR$2,AG131,0))</f>
        <v> </v>
      </c>
      <c r="AZ131" s="325" t="str">
        <f aca="false">IF($A131="N/A"," ",IF(AQ131&lt;=$AR$2,AH131,0))</f>
        <v> </v>
      </c>
      <c r="BA131" s="325" t="str">
        <f aca="false">IF($A131="N/A"," ",IF(AR131&lt;=$AR$2,AI131,0))</f>
        <v> </v>
      </c>
      <c r="BB131" s="345"/>
      <c r="BC131" s="326" t="str">
        <f aca="false">IF($A131="N/A"," ",IF(AND(AJ131=$AR$2+1,AS131=0),MIN($BB$135,AA131),0))</f>
        <v> </v>
      </c>
      <c r="BD131" s="346" t="str">
        <f aca="false">IF($A131="N/A"," ",IF(AND(AK131=$AR$2+1,AT131=0),MIN($BB$135,AB131),0))</f>
        <v> </v>
      </c>
      <c r="BE131" s="346" t="str">
        <f aca="false">IF($A131="N/A"," ",IF(AND(AL131=$AR$2+1,AU131=0),MIN($BB$135,AC131),0))</f>
        <v> </v>
      </c>
      <c r="BF131" s="346" t="str">
        <f aca="false">IF($A131="N/A"," ",IF(AND(AM131=$AR$2+1,AV131=0),MIN($BB$135,AD131),0))</f>
        <v> </v>
      </c>
      <c r="BG131" s="346" t="str">
        <f aca="false">IF($A131="N/A"," ",IF(AND(AN131=$AR$2+1,AW131=0),MIN($BB$135,AE131),0))</f>
        <v> </v>
      </c>
      <c r="BH131" s="346" t="str">
        <f aca="false">IF($A131="N/A"," ",IF(AND(AO131=$AR$2+1,AX131=0),MIN($BB$135,AF131),0))</f>
        <v> </v>
      </c>
      <c r="BI131" s="346" t="str">
        <f aca="false">IF($A131="N/A"," ",IF(AND(AP131=$AR$2+1,AY131=0),MIN($BB$135,AG131),0))</f>
        <v> </v>
      </c>
      <c r="BJ131" s="346" t="str">
        <f aca="false">IF($A131="N/A"," ",IF(AND(AQ131=$AR$2+1,AZ131=0),MIN($BB$135,AH131),0))</f>
        <v> </v>
      </c>
      <c r="BK131" s="346" t="str">
        <f aca="false">IF($A131="N/A"," ",IF(AND(AR131=$AR$2+1,BA131=0),MIN($BB$135,AI131),0))</f>
        <v> </v>
      </c>
      <c r="BL131" s="345"/>
      <c r="BM131" s="329" t="str">
        <f aca="false">IF($A131="N/A"," ",(IF(MONTH(A131)&gt;=4,IF(MONTH(A131)&lt;=10,Inputs!$F$13-Inputs!$G$13,Inputs!$F$14-Inputs!$G$14),Inputs!$F$14-Inputs!$G$14))*$CK131*Availability)</f>
        <v> </v>
      </c>
      <c r="BN131" s="330" t="str">
        <f aca="false">IF($A131="N/A"," ",(IF(AS131&gt;0,($BM131*(8*($HD131))*R131),0)+IF(BC131&gt;0,($BM131*((BC131/AA131)*8*$HD131)*R131),0)))</f>
        <v> </v>
      </c>
      <c r="BO131" s="330" t="str">
        <f aca="false">IF($A131="N/A"," ",(IF(AT131&gt;0,($BM131*(8*($HD131))*S131),0)+IF(BD131&gt;0,($BM131*((BD131/AB131)*8*$HD131)*S131),0)))</f>
        <v> </v>
      </c>
      <c r="BP131" s="330" t="str">
        <f aca="false">IF($A131="N/A"," ",(IF(AU131&gt;0,($BM131*(8*($HD131))*T131),0)+IF(BE131&gt;0,($BM131*((BE131))*T131),0)))</f>
        <v> </v>
      </c>
      <c r="BQ131" s="330" t="str">
        <f aca="false">IF($A131="N/A"," ",(IF(AV131&gt;0,($BM131*(8*($HE131))*U131),0)+IF(BF131&gt;0,($BM131*((BF131/AD131)*8*$HE131)*U131),0)))</f>
        <v> </v>
      </c>
      <c r="BR131" s="330" t="str">
        <f aca="false">IF($A131="N/A"," ",(IF(AW131&gt;0,($BM131*(8*($HE131))*V131),0)+IF(BG131&gt;0,($BM131*((BG131/AE131)*8*$HE131)*V131),0)))</f>
        <v> </v>
      </c>
      <c r="BS131" s="330" t="str">
        <f aca="false">IF($A131="N/A"," ",(IF(AX131&gt;0,($BM131*(8*($HE131))*W131),0)+IF(BH131&gt;0,($BM131*((BH131))*W131),0)))</f>
        <v> </v>
      </c>
      <c r="BT131" s="330" t="str">
        <f aca="false">IF($A131="N/A"," ",(IF(AY131&gt;0,($BM131*(8*($HF131))*X131),0)+IF(BI131&gt;0,($BM131*((BI131/AG131)*8*$HF131)*X131),0)))</f>
        <v> </v>
      </c>
      <c r="BU131" s="330" t="str">
        <f aca="false">IF($A131="N/A"," ",(IF(AZ131&gt;0,($BM131*(8*($HF131))*Y131),0)+IF(BJ131&gt;0,($BM131*((BJ131/AH131)*8*$HF131)*Y131),0)))</f>
        <v> </v>
      </c>
      <c r="BV131" s="330" t="str">
        <f aca="false">IF($A131="N/A"," ",(IF(BA131&gt;0,($BM131*(8*($HF131))*Z131),0)+IF(BK131&gt;0,($BM131*((BK131))*Z131),0)))</f>
        <v> </v>
      </c>
      <c r="BW131" s="330" t="str">
        <f aca="false">IF($A131="N/A"," ",SUM(BN131:BV131))</f>
        <v> </v>
      </c>
      <c r="BX131" s="331" t="str">
        <f aca="false">IF($A131="N/A"," ",(H131*(SUM(AS131:BA131)+SUM(BC131:BK131))*BM131))</f>
        <v> </v>
      </c>
      <c r="BY131" s="332" t="str">
        <f aca="false">IF($A131="N/A"," ",((C131*D131)*(SUM($AS131:$BA131)+SUM($BC131:$BK131))*$BM131))</f>
        <v> </v>
      </c>
      <c r="BZ131" s="332" t="str">
        <f aca="false">IF($A131="N/A"," ",(F131*(SUM($AS131:$BA131)+SUM($BC131:$BK131))*$BM131))</f>
        <v> </v>
      </c>
      <c r="CA131" s="333" t="str">
        <f aca="false">IF($A131="N/A"," ",(G131*(SUM($AS131:$BA131)+SUM($BC131:$BK131))*$BM131))</f>
        <v> </v>
      </c>
      <c r="CB131" s="334" t="str">
        <f aca="false">IF(A131="N/A"," ",(VLOOKUP(A131,PowerVolTable,(IF(BMO=2,7,IF(BMO=1,6,8))),FALSE())))</f>
        <v> </v>
      </c>
      <c r="CC131" s="334" t="str">
        <f aca="false">IF(A131="N/A"," ",(VLOOKUP(A131,IntraPowerVol,(IF(BMO=2,3,IF(BMO=1,2,4))),FALSE())*VLOOKUP(MONTH($A131),Volscale,2)))</f>
        <v> </v>
      </c>
      <c r="CD131" s="335" t="str">
        <f aca="false">IF($A131="N/A"," ",(IF(DateToday&gt;$A131,$CC131,((($CB131^2)*((($A131-1)-DateToday)/((EOMONTH($A131,0)+1)-DateToday-15)))+((($CC131)^2)*((15)/((EOMONTH($A131,0)+1)-DateToday-15))))^0.5)))</f>
        <v> </v>
      </c>
      <c r="CE131" s="334" t="str">
        <f aca="false">IF($A131="N/A"," ",(VLOOKUP($A131,GasVolTable,(IF(BMO=2,6,IF(BMO=1,7,5))),FALSE())))</f>
        <v> </v>
      </c>
      <c r="CF131" s="334" t="str">
        <f aca="false">IF($A131="N/A"," ",(VLOOKUP($A131,OmicronVol,(IF(BMO=2,3,IF(BMO=1,4,2))),FALSE())))</f>
        <v> </v>
      </c>
      <c r="CG131" s="335" t="str">
        <f aca="false">IF($A131="N/A"," ",(IF(DateToday&gt;$A131,$CF131,((($CE131^2)*((($A131-1)-DateToday)/((EOMONTH($A131,0)+1)-DateToday-15)))+((($CF131)^2)*((15)/((EOMONTH($A131,0)+1)-DateToday-15))))^0.5)))</f>
        <v> </v>
      </c>
      <c r="CH131" s="334" t="str">
        <f aca="false">IF($A131="N/A"," ",VLOOKUP($A131,CorrelationTable,2,FALSE()))</f>
        <v> </v>
      </c>
      <c r="CI131" s="336" t="str">
        <f aca="false">IF($A131="N/A"," ",F131+G131+(D131*('Pricing Inputs'!T164)))</f>
        <v> </v>
      </c>
      <c r="CJ131" s="334" t="str">
        <f aca="false">IF($A131="N/A"," ",IF(PV=1,0,'Pricing Inputs'!U164))</f>
        <v> </v>
      </c>
      <c r="CK131" s="337" t="str">
        <f aca="false">IF($A131="N/A"," ",(1+CJ131/2)^(-2*((EOMONTH(A131,0)+20)-DateToday)/365.25))</f>
        <v> </v>
      </c>
      <c r="CL131" s="338" t="str">
        <f aca="false">IF(A131="N/A"," ",IF(CC=2,(VLOOKUP(MONTH($A131),Hrtable,3))/1000,0))</f>
        <v> </v>
      </c>
      <c r="CM131" s="339" t="str">
        <f aca="false">IF(A131="N/A"," ",IF(CC=2,(CL131*C131)+F131,0))</f>
        <v> </v>
      </c>
      <c r="CN131" s="340" t="str">
        <f aca="false">IF($A131="N/A"," ",IF(CC=2,(VLOOKUP(A131,ScaledPrice,(IF(AND(Dayrun&gt;=1,Dayrun&lt;=6),2,4)))-((IF(R131&lt;&gt;0,$D131,$CL131)*$C131)+$F131+$G131)),0))</f>
        <v> </v>
      </c>
      <c r="CO131" s="340" t="str">
        <f aca="false">IF($A131="N/A"," ",IF(CC=2,(IF(AND(Dayrun&gt;=1,Dayrun&lt;=6),I131,(VLOOKUP(A131,ScaledPrice,2))*(2-(VLOOKUP(A131,ScaledPrice,3))))-((IF(S131&lt;&gt;0,$D131,$CL131)*$C131)+$F131+$G131)),0))</f>
        <v> </v>
      </c>
      <c r="CP131" s="340" t="str">
        <f aca="false">IF(A131="N/A"," ",IF(CC=2,(VLOOKUP(A131,ScaledPrice,9)-((IF(T131&lt;&gt;0,$D131,$CL131)*$C131)+$F131+$G131)),0))</f>
        <v> </v>
      </c>
      <c r="CQ131" s="340" t="str">
        <f aca="false">IF(A131="N/A"," ",IF(CC=2,(IF(OR(Dayrun=2,Dayrun=3,Dayrun=5,Dayrun=6,Dayrun=8,Dayrun=9),VLOOKUP(A131,ScaledPrice,IF(AND(Dayrun&gt;=2,Dayrun&lt;=6),5,6)),0)-((IF(U131&lt;&gt;0,$D131,$CL131)*$C131)+$F131+$G131)),0))</f>
        <v> </v>
      </c>
      <c r="CR131" s="340" t="str">
        <f aca="false">IF(A131="N/A"," ",IF(CC=2,(IF(OR(Dayrun=2,Dayrun=3,Dayrun=5,Dayrun=6,Dayrun=8,Dayrun=9),IF(AND(Dayrun&gt;=2,Dayrun&lt;=6),L131,(VLOOKUP(A131,ScaledPrice,5))*(2-(VLOOKUP(A131,ScaledPrice,3)))),0)-((IF(V131&lt;&gt;0,$D131,$CL131)*$C131)+$F131+$G131)),0))</f>
        <v> </v>
      </c>
      <c r="CS131" s="340" t="str">
        <f aca="false">IF(A131="N/A"," ",IF(CC=2,(VLOOKUP(A131,ScaledPrice,9)-((IF(W131&lt;&gt;0,$D131,$CL131)*$C131)+$F131+$G131)),0))</f>
        <v> </v>
      </c>
      <c r="CT131" s="340" t="str">
        <f aca="false">IF(A131="N/A"," ",IF(CC=2,(IF(OR(Dayrun=3,Dayrun=6,Dayrun=9),(VLOOKUP(A131,ScaledPrice,IF(AND(Dayrun&gt;=3,Dayrun&lt;=6),7,8))),0)-((IF(X131&lt;&gt;0,$D131,$CL131)*$C131)+$F131+$G131)),0))</f>
        <v> </v>
      </c>
      <c r="CU131" s="340" t="str">
        <f aca="false">IF(A131="N/A"," ",IF(CC=2,(IF(OR(Dayrun=3,Dayrun=6,Dayrun=9),IF(AND(Dayrun&gt;=3,Dayrun&lt;=6),O131,(VLOOKUP(A131,ScaledPrice,7))*(2-(VLOOKUP(A131,ScaledPrice,3)))),0)-((IF(Y131&lt;&gt;0,$D131,$CL131)*$C131)+$F131+$G131)),0))</f>
        <v> </v>
      </c>
      <c r="CV131" s="340" t="str">
        <f aca="false">IF(A131="N/A"," ",IF(CC=2,(VLOOKUP(A131,ScaledPrice,9)-((IF(Z131&lt;&gt;0,$D131,$CL131)*$C131)+$F131+$G131)),0))</f>
        <v> </v>
      </c>
      <c r="CW131" s="318" t="str">
        <f aca="false">IF($A131="N/A"," ",IF(0&lt;&gt;CN131,IF(CC=2,8*$HD131,0),0))</f>
        <v> </v>
      </c>
      <c r="CX131" s="318" t="str">
        <f aca="false">IF($A131="N/A"," ",IF(0&lt;&gt;CO131,IF(CC=2,8*$HD131,0),0))</f>
        <v> </v>
      </c>
      <c r="CY131" s="318" t="str">
        <f aca="false">IF($A131="N/A"," ",IF(0&lt;&gt;CP131,IF(CC=2,8*$HD131,0),0))</f>
        <v> </v>
      </c>
      <c r="CZ131" s="318" t="str">
        <f aca="false">IF($A131="N/A"," ",IF(0&lt;&gt;CQ131,IF(CC=2,8*$HE131,0),0))</f>
        <v> </v>
      </c>
      <c r="DA131" s="318" t="str">
        <f aca="false">IF($A131="N/A"," ",IF(0&lt;&gt;CR131,IF(CC=2,8*$HE131,0),0))</f>
        <v> </v>
      </c>
      <c r="DB131" s="318" t="str">
        <f aca="false">IF($A131="N/A"," ",IF(0&lt;&gt;CS131,IF(CC=2,8*$HE131,0),0))</f>
        <v> </v>
      </c>
      <c r="DC131" s="318" t="str">
        <f aca="false">IF($A131="N/A"," ",IF(0&lt;&gt;CT131,IF(CC=2,8*$HF131,0),0))</f>
        <v> </v>
      </c>
      <c r="DD131" s="318" t="str">
        <f aca="false">IF($A131="N/A"," ",IF(0&lt;&gt;CU131,IF(CC=2,8*$HF131,0),0))</f>
        <v> </v>
      </c>
      <c r="DE131" s="318" t="str">
        <f aca="false">IF($A131="N/A"," ",IF(0&lt;&gt;CV131,IF(CC=2,8*$HF131,0),0))</f>
        <v> </v>
      </c>
      <c r="DF131" s="341" t="str">
        <f aca="false">IF($A131="N/A"," ",IF(CC=2,(IF(MONTH(A131)&gt;=4,IF(MONTH(A131)&lt;=10,Inputs!$G$13,Inputs!$G$14),Inputs!$G$14))*$CK131,0))</f>
        <v> </v>
      </c>
      <c r="DG131" s="342" t="str">
        <f aca="false">IF($A131="N/A"," ",IF(CC=2,$DF131*CW131*CN131,0))</f>
        <v> </v>
      </c>
      <c r="DH131" s="342" t="str">
        <f aca="false">IF($A131="N/A"," ",IF(CC=2,$DF131*CX131*CO131,0))</f>
        <v> </v>
      </c>
      <c r="DI131" s="342" t="str">
        <f aca="false">IF($A131="N/A"," ",IF(CC=2,$DF131*CY131*CP131,0))</f>
        <v> </v>
      </c>
      <c r="DJ131" s="342" t="str">
        <f aca="false">IF($A131="N/A"," ",IF(CC=2,$DF131*CZ131*CQ131,0))</f>
        <v> </v>
      </c>
      <c r="DK131" s="342" t="str">
        <f aca="false">IF($A131="N/A"," ",IF(CC=2,$DF131*DA131*CR131,0))</f>
        <v> </v>
      </c>
      <c r="DL131" s="342" t="str">
        <f aca="false">IF($A131="N/A"," ",IF(CC=2,$DF131*DB131*CS131,0))</f>
        <v> </v>
      </c>
      <c r="DM131" s="342" t="str">
        <f aca="false">IF($A131="N/A"," ",IF(CC=2,$DF131*DC131*CT131,0))</f>
        <v> </v>
      </c>
      <c r="DN131" s="342" t="str">
        <f aca="false">IF($A131="N/A"," ",IF(CC=2,$DF131*DD131*CU131,0))</f>
        <v> </v>
      </c>
      <c r="DO131" s="342" t="str">
        <f aca="false">IF($A131="N/A"," ",IF(CC=2,$DF131*DE131*CV131,0))</f>
        <v> </v>
      </c>
      <c r="DP131" s="343" t="str">
        <f aca="false">IF($A131="N/A"," ",IF(CC=2,SUM(DG131:DO131),0))</f>
        <v> </v>
      </c>
      <c r="DQ131" s="0" t="str">
        <f aca="false">IF(A131="N/A"," ",Perstart)</f>
        <v> </v>
      </c>
      <c r="HD131" s="0" t="str">
        <f aca="false">IF($A131="N/A"," ",VLOOKUP($A131,NumberofDaysTable,2))</f>
        <v> </v>
      </c>
      <c r="HE131" s="0" t="str">
        <f aca="false">IF($A131="N/A"," ",VLOOKUP($A131,NumberofDaysTable,3))</f>
        <v> </v>
      </c>
      <c r="HF131" s="0" t="str">
        <f aca="false">IF($A131="N/A"," ",VLOOKUP($A131,NumberofDaysTable,4))</f>
        <v> </v>
      </c>
    </row>
    <row r="132" customFormat="false" ht="12.75" hidden="false" customHeight="false" outlineLevel="0" collapsed="false">
      <c r="A132" s="308" t="str">
        <f aca="false">IF(A131="N/A","N/A",IF(EDATE(A131,1)&gt;Inputs!$K$3,"N/A",EDATE(A131,1)))</f>
        <v>N/A</v>
      </c>
      <c r="B132" s="309" t="str">
        <f aca="false">IF(A132="N/A"," ",YEAR(A132))</f>
        <v> </v>
      </c>
      <c r="C132" s="310" t="str">
        <f aca="false">IF(A132="N/A"," ",VLOOKUP(A132,ScaledPrice,10))</f>
        <v> </v>
      </c>
      <c r="D132" s="311" t="str">
        <f aca="false">IF(A132="N/A"," ",(VLOOKUP(MONTH($A132),Hrtable,2))/1000)</f>
        <v> </v>
      </c>
      <c r="E132" s="312" t="str">
        <f aca="false">IF($A132="N/A"," ",(C132-'Pricing Inputs'!T165)*D132)</f>
        <v> </v>
      </c>
      <c r="F132" s="313" t="str">
        <f aca="false">IF(A132="N/A"," ",$F120*(1+VOMesc))</f>
        <v> </v>
      </c>
      <c r="G132" s="313" t="str">
        <f aca="false">IF(A132="N/A"," ",Perstart/IF(AND(Dayrun&gt;=4,Dayrun&lt;=6),16,IF(AND(Dayrun&gt;=7,Dayrun&lt;=9),8,24))/(BM132/CK132))</f>
        <v> </v>
      </c>
      <c r="H132" s="314" t="str">
        <f aca="false">IF(A132="N/A"," ",(C132*D132)+F132+G132)</f>
        <v> </v>
      </c>
      <c r="I132" s="315" t="str">
        <f aca="false">VLOOKUP(A132,ScaledPrice,(IF(AND(Dayrun&gt;=1,Dayrun&lt;=6),2,4)))</f>
        <v> </v>
      </c>
      <c r="J132" s="315" t="str">
        <f aca="false">IF(A132="N/A"," ",IF(AND(Dayrun&gt;=1,Dayrun&lt;=6),I132,(VLOOKUP(A132,ScaledPrice,2))*(2-(VLOOKUP(A132,ScaledPrice,3)))))</f>
        <v> </v>
      </c>
      <c r="K132" s="315" t="str">
        <f aca="false">IF(A132="N/A"," ",IF(AND(Dayrun&gt;=1,Dayrun&lt;=3),VLOOKUP(A132,ScaledPrice,9),0))</f>
        <v> </v>
      </c>
      <c r="L132" s="315" t="str">
        <f aca="false">IF(A132="N/A"," ",IF(OR(Dayrun=2,Dayrun=3,Dayrun=5,Dayrun=6,Dayrun=8,Dayrun=9),VLOOKUP(A132,ScaledPrice,IF(AND(Dayrun&gt;=2,Dayrun&lt;=6),5,6)),0))</f>
        <v> </v>
      </c>
      <c r="M132" s="315" t="str">
        <f aca="false">IF(A132="N/A"," ",IF(OR(Dayrun=2,Dayrun=3,Dayrun=5,Dayrun=6,Dayrun=8,Dayrun=9),IF(AND(Dayrun&gt;=2,Dayrun&lt;=6),L132,(VLOOKUP(A132,ScaledPrice,5))*(2-(VLOOKUP(A132,ScaledPrice,3)))),0))</f>
        <v> </v>
      </c>
      <c r="N132" s="315" t="str">
        <f aca="false">IF(A132="N/A"," ",IF(AND(Dayrun&gt;1,Dayrun&lt;=3),VLOOKUP(A132,ScaledPrice,9),0))</f>
        <v> </v>
      </c>
      <c r="O132" s="315" t="str">
        <f aca="false">IF(A132="N/A"," ",IF(OR(Dayrun=3,Dayrun=6,Dayrun=9),(VLOOKUP(A132,ScaledPrice,IF(AND(Dayrun&gt;=3,Dayrun&lt;=6),7,8))),0))</f>
        <v> </v>
      </c>
      <c r="P132" s="315" t="str">
        <f aca="false">IF(A132="N/A"," ",IF(OR(Dayrun=3,Dayrun=6,Dayrun=9),IF(AND(Dayrun&gt;=3,Dayrun&lt;=6),O132,(VLOOKUP(A132,ScaledPrice,7))*(2-(VLOOKUP(A132,ScaledPrice,3)))),0))</f>
        <v> </v>
      </c>
      <c r="Q132" s="315" t="str">
        <f aca="false">IF(A132="N/A"," ",IF(AND(Dayrun&gt;2,Dayrun&lt;=3),VLOOKUP(A132,ScaledPrice,9),0))</f>
        <v> </v>
      </c>
      <c r="R132" s="316" t="str">
        <f aca="false">IF($A132="N/A"," ",IF(Pricetype=2,MAX(I132-$H132,0),IF(Pricetype=1,(xSPRDOPT(I132,$E132,$CI132,0,($CD132+IF(Smile=TRUE(),VLOOKUP(MAX(-5,$H132-I132),Volsmile,2),0)),$CG132,$CH132,($A132-DateToday)+15,1,0)),I132-$H132)))</f>
        <v> </v>
      </c>
      <c r="S132" s="316" t="str">
        <f aca="false">IF($A132="N/A"," ",IF(Pricetype=2,MAX(J132-$H132,0),IF(Pricetype=1,(xSPRDOPT(J132,$E132,$CI132,0,($CD132+IF(Smile=TRUE(),VLOOKUP(MAX(-5,$H132-J132),Volsmile,2),0)),$CG132,$CH132,($A132-DateToday)+15,1,0)),J132-$H132)))</f>
        <v> </v>
      </c>
      <c r="T132" s="317" t="str">
        <f aca="false">IF($A132="N/A"," ",(IF(Pricetype=2,IF((K132-$H132)&lt;=0,0,(K132-$H132)),IF(K132&lt;&gt;0,(K132-$H132),0))))</f>
        <v> </v>
      </c>
      <c r="U132" s="316" t="str">
        <f aca="false">IF($A132="N/A"," ",IF(Pricetype=2,MAX(L132-$H132,0),IF(L132&lt;&gt;0,IF(Pricetype=1,(xSPRDOPT(L132,$E132,$CI132,0,($CD132+IF(Smile=TRUE(),VLOOKUP(MAX(-5,$H132-L132),Volsmile,2),0)),$CG132,$CH132,($A132-DateToday)+15,1,0)),L132-$H132),0)))</f>
        <v> </v>
      </c>
      <c r="V132" s="316" t="str">
        <f aca="false">IF($A132="N/A"," ",IF(Pricetype=2,MAX(M132-$H132,0),IF(M132&lt;&gt;0,IF(Pricetype=1,(xSPRDOPT(M132,$E132,$CI132,0,($CD132+IF(Smile=TRUE(),VLOOKUP(MAX(-5,$H132-M132),Volsmile,2),0)),$CG132,$CH132,($A132-DateToday)+15,1,0)),M132-$H132),0)))</f>
        <v> </v>
      </c>
      <c r="W132" s="317" t="str">
        <f aca="false">IF($A132="N/A"," ",(IF(Pricetype=2,IF((N132-$H132)&lt;=0,0,(N132-$H132)),IF(N132&lt;&gt;0,(N132-$H132),0))))</f>
        <v> </v>
      </c>
      <c r="X132" s="316" t="str">
        <f aca="false">IF($A132="N/A"," ",IF(Pricetype=2,MAX(O132-$H132,0),IF(O132&lt;&gt;0,IF(Pricetype=1,(xSPRDOPT(O132,$E132,$CI132,0,($CD132+IF(Smile=TRUE(),VLOOKUP(MAX(-5,$H132-O132),Volsmile,2),0)),$CG132,$CH132,($A132-DateToday)+15,1,0)),O132-$H132),0)))</f>
        <v> </v>
      </c>
      <c r="Y132" s="316" t="str">
        <f aca="false">IF($A132="N/A"," ",IF(Pricetype=2,MAX(P132-$H132,0),IF(P132&lt;&gt;0,IF(Pricetype=1,(xSPRDOPT(P132,$E132,$CI132,0,($CD132+IF(Smile=TRUE(),VLOOKUP(MAX(-5,$H132-P132),Volsmile,2),0)),$CG132,$CH132,($A132-DateToday)+15,1,0)),P132-$H132),0)))</f>
        <v> </v>
      </c>
      <c r="Z132" s="317" t="str">
        <f aca="false">IF($A132="N/A"," ",(IF(Pricetype=2,IF((Q132-$H132)&lt;=0,0,(Q132-$H132)),IF(Q132&lt;&gt;0,(Q132-$H132),0))))</f>
        <v> </v>
      </c>
      <c r="AA132" s="318" t="str">
        <f aca="false">IF($A132="N/A"," ",IF(VLOOKUP(MONTH(A132),ManualTable,2)=1,(IF(0&lt;&gt;R132,IF(Pricetype=1,(xSPRDOPT(I132,$E132,$CI132,0,($CD132+IF(Smile=TRUE(),VLOOKUP(MAX(-5,$H132-I132),Volsmile,2),0)),$CG132,$CH132,($A132-DateToday)+15,1,1))*(8*$HD132),8*$HD132),0)),0))</f>
        <v> </v>
      </c>
      <c r="AB132" s="318" t="str">
        <f aca="false">IF($A132="N/A"," ",IF(VLOOKUP(MONTH(A132),ManualTable,3)=1,(IF(S132&lt;&gt;0,IF(Pricetype=1,(xSPRDOPT(J132,$E132,$CI132,0,($CD132+IF(Smile=TRUE(),VLOOKUP(MAX(-5,$H132-J132),Volsmile,2),0)),$CG132,$CH132,($A132-DateToday)+15,1,1))*(8*$HD132),8*$HD132),0)),0))</f>
        <v> </v>
      </c>
      <c r="AC132" s="318" t="str">
        <f aca="false">IF($A132="N/A"," ",IF(VLOOKUP(MONTH(A132),ManualTable,4)=1,(IF(T132&lt;&gt;0,(8*$HD132),0)),0))</f>
        <v> </v>
      </c>
      <c r="AD132" s="318" t="str">
        <f aca="false">IF($A132="N/A"," ",IF(VLOOKUP(MONTH(A132),ManualTable,5)=1,(IF(U132&lt;&gt;0,IF(Pricetype=1,(xSPRDOPT(L132,$E132,$CI132,0,($CD132+IF(Smile=TRUE(),VLOOKUP(MAX(-5,$H132-L132),Volsmile,2),0)),$CG132,$CH132,($A132-DateToday)+15,1,1))*(8*$HE132),8*$HE132),0)),0))</f>
        <v> </v>
      </c>
      <c r="AE132" s="318" t="str">
        <f aca="false">IF($A132="N/A"," ",IF(VLOOKUP(MONTH(A132),ManualTable,6)=1,(IF(V132&lt;&gt;0,IF(Pricetype=1,(xSPRDOPT(M132,$E132,$CI132,0,($CD132+IF(Smile=TRUE(),VLOOKUP(MAX(-5,$H132-M132),Volsmile,2),0)),$CG132,$CH132,($A132-DateToday)+15,1,1))*(8*$HE132),8*$HE132),0)),0))</f>
        <v> </v>
      </c>
      <c r="AF132" s="318" t="str">
        <f aca="false">IF($A132="N/A"," ",IF(VLOOKUP(MONTH(A132),ManualTable,7)=1,(IF(W132&lt;&gt;0,(8*$HE132),0)),0))</f>
        <v> </v>
      </c>
      <c r="AG132" s="318" t="str">
        <f aca="false">IF($A132="N/A"," ",IF(VLOOKUP(MONTH(A132),ManualTable,8)=1,(IF(X132&lt;&gt;0,IF(Pricetype=1,(xSPRDOPT(O132,$E132,$CI132,0,($CD132+IF(Smile=TRUE(),VLOOKUP(MAX(-5,$H132-O132),Volsmile,2),0)),$CG132,$CH132,($A132-DateToday)+15,1,1))*(8*$HF132),8*$HF132),0)),0))</f>
        <v> </v>
      </c>
      <c r="AH132" s="318" t="str">
        <f aca="false">IF($A132="N/A"," ",IF(VLOOKUP(MONTH(A132),ManualTable,9)=1,(IF(Y132&lt;&gt;0,IF(Pricetype=1,(xSPRDOPT(P132,$E132,$CI132,0,($CD132+IF(Smile=TRUE(),VLOOKUP(MAX(-5,$H132-P132),Volsmile,2),0)),$CG132,$CH132,($A132-DateToday)+15,1,1))*(8*$HF132),8*$HF132),0)),0))</f>
        <v> </v>
      </c>
      <c r="AI132" s="318" t="str">
        <f aca="false">IF($A132="N/A"," ",IF(VLOOKUP(MONTH(A132),ManualTable,10)=1,(IF(Z132&lt;&gt;0,(8*($HF132)),0)),0))</f>
        <v> </v>
      </c>
      <c r="AJ132" s="344" t="str">
        <f aca="false">IF($A132="N/A"," ",RANK(R132,$R$124:$Z$135))</f>
        <v> </v>
      </c>
      <c r="AK132" s="321" t="str">
        <f aca="false">IF($A132="N/A"," ",RANK(S132,$R$124:$Z$135))</f>
        <v> </v>
      </c>
      <c r="AL132" s="321" t="str">
        <f aca="false">IF($A132="N/A"," ",RANK(T132,$R$124:$Z$135))</f>
        <v> </v>
      </c>
      <c r="AM132" s="321" t="str">
        <f aca="false">IF($A132="N/A"," ",RANK(U132,$R$124:$Z$135))</f>
        <v> </v>
      </c>
      <c r="AN132" s="321" t="str">
        <f aca="false">IF($A132="N/A"," ",RANK(V132,$R$124:$Z$135))</f>
        <v> </v>
      </c>
      <c r="AO132" s="321" t="str">
        <f aca="false">IF($A132="N/A"," ",RANK(W132,$R$124:$Z$135))</f>
        <v> </v>
      </c>
      <c r="AP132" s="321" t="str">
        <f aca="false">IF($A132="N/A"," ",RANK(X132,$R$124:$Z$135))</f>
        <v> </v>
      </c>
      <c r="AQ132" s="321" t="str">
        <f aca="false">IF($A132="N/A"," ",RANK(Y132,$R$124:$Z$135))</f>
        <v> </v>
      </c>
      <c r="AR132" s="345" t="str">
        <f aca="false">IF($A132="N/A"," ",RANK(Z132,$R$124:$Z$135))</f>
        <v> </v>
      </c>
      <c r="AS132" s="323" t="str">
        <f aca="false">IF($A132="N/A"," ",IF(AJ132&lt;=$AR$2,AA132,0))</f>
        <v> </v>
      </c>
      <c r="AT132" s="325" t="str">
        <f aca="false">IF($A132="N/A"," ",IF(AK132&lt;=$AR$2,AB132,0))</f>
        <v> </v>
      </c>
      <c r="AU132" s="325" t="str">
        <f aca="false">IF($A132="N/A"," ",IF(AL132&lt;=$AR$2,AC132,0))</f>
        <v> </v>
      </c>
      <c r="AV132" s="325" t="str">
        <f aca="false">IF($A132="N/A"," ",IF(AM132&lt;=$AR$2,AD132,0))</f>
        <v> </v>
      </c>
      <c r="AW132" s="325" t="str">
        <f aca="false">IF($A132="N/A"," ",IF(AN132&lt;=$AR$2,AE132,0))</f>
        <v> </v>
      </c>
      <c r="AX132" s="325" t="str">
        <f aca="false">IF($A132="N/A"," ",IF(AO132&lt;=$AR$2,AF132,0))</f>
        <v> </v>
      </c>
      <c r="AY132" s="325" t="str">
        <f aca="false">IF($A132="N/A"," ",IF(AP132&lt;=$AR$2,AG132,0))</f>
        <v> </v>
      </c>
      <c r="AZ132" s="325" t="str">
        <f aca="false">IF($A132="N/A"," ",IF(AQ132&lt;=$AR$2,AH132,0))</f>
        <v> </v>
      </c>
      <c r="BA132" s="325" t="str">
        <f aca="false">IF($A132="N/A"," ",IF(AR132&lt;=$AR$2,AI132,0))</f>
        <v> </v>
      </c>
      <c r="BB132" s="345"/>
      <c r="BC132" s="326" t="str">
        <f aca="false">IF($A132="N/A"," ",IF(AND(AJ132=$AR$2+1,AS132=0),MIN($BB$135,AA132),0))</f>
        <v> </v>
      </c>
      <c r="BD132" s="346" t="str">
        <f aca="false">IF($A132="N/A"," ",IF(AND(AK132=$AR$2+1,AT132=0),MIN($BB$135,AB132),0))</f>
        <v> </v>
      </c>
      <c r="BE132" s="346" t="str">
        <f aca="false">IF($A132="N/A"," ",IF(AND(AL132=$AR$2+1,AU132=0),MIN($BB$135,AC132),0))</f>
        <v> </v>
      </c>
      <c r="BF132" s="346" t="str">
        <f aca="false">IF($A132="N/A"," ",IF(AND(AM132=$AR$2+1,AV132=0),MIN($BB$135,AD132),0))</f>
        <v> </v>
      </c>
      <c r="BG132" s="346" t="str">
        <f aca="false">IF($A132="N/A"," ",IF(AND(AN132=$AR$2+1,AW132=0),MIN($BB$135,AE132),0))</f>
        <v> </v>
      </c>
      <c r="BH132" s="346" t="str">
        <f aca="false">IF($A132="N/A"," ",IF(AND(AO132=$AR$2+1,AX132=0),MIN($BB$135,AF132),0))</f>
        <v> </v>
      </c>
      <c r="BI132" s="346" t="str">
        <f aca="false">IF($A132="N/A"," ",IF(AND(AP132=$AR$2+1,AY132=0),MIN($BB$135,AG132),0))</f>
        <v> </v>
      </c>
      <c r="BJ132" s="346" t="str">
        <f aca="false">IF($A132="N/A"," ",IF(AND(AQ132=$AR$2+1,AZ132=0),MIN($BB$135,AH132),0))</f>
        <v> </v>
      </c>
      <c r="BK132" s="346" t="str">
        <f aca="false">IF($A132="N/A"," ",IF(AND(AR132=$AR$2+1,BA132=0),MIN($BB$135,AI132),0))</f>
        <v> </v>
      </c>
      <c r="BL132" s="347"/>
      <c r="BM132" s="329" t="str">
        <f aca="false">IF($A132="N/A"," ",(IF(MONTH(A132)&gt;=4,IF(MONTH(A132)&lt;=10,Inputs!$F$13-Inputs!$G$13,Inputs!$F$14-Inputs!$G$14),Inputs!$F$14-Inputs!$G$14))*$CK132*Availability)</f>
        <v> </v>
      </c>
      <c r="BN132" s="330" t="str">
        <f aca="false">IF($A132="N/A"," ",(IF(AS132&gt;0,($BM132*(8*($HD132))*R132),0)+IF(BC132&gt;0,($BM132*((BC132/AA132)*8*$HD132)*R132),0)))</f>
        <v> </v>
      </c>
      <c r="BO132" s="330" t="str">
        <f aca="false">IF($A132="N/A"," ",(IF(AT132&gt;0,($BM132*(8*($HD132))*S132),0)+IF(BD132&gt;0,($BM132*((BD132/AB132)*8*$HD132)*S132),0)))</f>
        <v> </v>
      </c>
      <c r="BP132" s="330" t="str">
        <f aca="false">IF($A132="N/A"," ",(IF(AU132&gt;0,($BM132*(8*($HD132))*T132),0)+IF(BE132&gt;0,($BM132*((BE132))*T132),0)))</f>
        <v> </v>
      </c>
      <c r="BQ132" s="330" t="str">
        <f aca="false">IF($A132="N/A"," ",(IF(AV132&gt;0,($BM132*(8*($HE132))*U132),0)+IF(BF132&gt;0,($BM132*((BF132/AD132)*8*$HE132)*U132),0)))</f>
        <v> </v>
      </c>
      <c r="BR132" s="330" t="str">
        <f aca="false">IF($A132="N/A"," ",(IF(AW132&gt;0,($BM132*(8*($HE132))*V132),0)+IF(BG132&gt;0,($BM132*((BG132/AE132)*8*$HE132)*V132),0)))</f>
        <v> </v>
      </c>
      <c r="BS132" s="330" t="str">
        <f aca="false">IF($A132="N/A"," ",(IF(AX132&gt;0,($BM132*(8*($HE132))*W132),0)+IF(BH132&gt;0,($BM132*((BH132))*W132),0)))</f>
        <v> </v>
      </c>
      <c r="BT132" s="330" t="str">
        <f aca="false">IF($A132="N/A"," ",(IF(AY132&gt;0,($BM132*(8*($HF132))*X132),0)+IF(BI132&gt;0,($BM132*((BI132/AG132)*8*$HF132)*X132),0)))</f>
        <v> </v>
      </c>
      <c r="BU132" s="330" t="str">
        <f aca="false">IF($A132="N/A"," ",(IF(AZ132&gt;0,($BM132*(8*($HF132))*Y132),0)+IF(BJ132&gt;0,($BM132*((BJ132/AH132)*8*$HF132)*Y132),0)))</f>
        <v> </v>
      </c>
      <c r="BV132" s="330" t="str">
        <f aca="false">IF($A132="N/A"," ",(IF(BA132&gt;0,($BM132*(8*($HF132))*Z132),0)+IF(BK132&gt;0,($BM132*((BK132))*Z132),0)))</f>
        <v> </v>
      </c>
      <c r="BW132" s="330" t="str">
        <f aca="false">IF($A132="N/A"," ",SUM(BN132:BV132))</f>
        <v> </v>
      </c>
      <c r="BX132" s="331" t="str">
        <f aca="false">IF($A132="N/A"," ",(H132*(SUM(AS132:BA132)+SUM(BC132:BK132))*BM132))</f>
        <v> </v>
      </c>
      <c r="BY132" s="332" t="str">
        <f aca="false">IF($A132="N/A"," ",((C132*D132)*(SUM($AS132:$BA132)+SUM($BC132:$BK132))*$BM132))</f>
        <v> </v>
      </c>
      <c r="BZ132" s="332" t="str">
        <f aca="false">IF($A132="N/A"," ",(F132*(SUM($AS132:$BA132)+SUM($BC132:$BK132))*$BM132))</f>
        <v> </v>
      </c>
      <c r="CA132" s="333" t="str">
        <f aca="false">IF($A132="N/A"," ",(G132*(SUM($AS132:$BA132)+SUM($BC132:$BK132))*$BM132))</f>
        <v> </v>
      </c>
      <c r="CB132" s="334" t="str">
        <f aca="false">IF(A132="N/A"," ",(VLOOKUP(A132,PowerVolTable,(IF(BMO=2,7,IF(BMO=1,6,8))),FALSE())))</f>
        <v> </v>
      </c>
      <c r="CC132" s="334" t="str">
        <f aca="false">IF(A132="N/A"," ",(VLOOKUP(A132,IntraPowerVol,(IF(BMO=2,3,IF(BMO=1,2,4))),FALSE())*VLOOKUP(MONTH($A132),Volscale,2)))</f>
        <v> </v>
      </c>
      <c r="CD132" s="335" t="str">
        <f aca="false">IF($A132="N/A"," ",(IF(DateToday&gt;$A132,$CC132,((($CB132^2)*((($A132-1)-DateToday)/((EOMONTH($A132,0)+1)-DateToday-15)))+((($CC132)^2)*((15)/((EOMONTH($A132,0)+1)-DateToday-15))))^0.5)))</f>
        <v> </v>
      </c>
      <c r="CE132" s="334" t="str">
        <f aca="false">IF($A132="N/A"," ",(VLOOKUP($A132,GasVolTable,(IF(BMO=2,6,IF(BMO=1,7,5))),FALSE())))</f>
        <v> </v>
      </c>
      <c r="CF132" s="334" t="str">
        <f aca="false">IF($A132="N/A"," ",(VLOOKUP($A132,OmicronVol,(IF(BMO=2,3,IF(BMO=1,4,2))),FALSE())))</f>
        <v> </v>
      </c>
      <c r="CG132" s="335" t="str">
        <f aca="false">IF($A132="N/A"," ",(IF(DateToday&gt;$A132,$CF132,((($CE132^2)*((($A132-1)-DateToday)/((EOMONTH($A132,0)+1)-DateToday-15)))+((($CF132)^2)*((15)/((EOMONTH($A132,0)+1)-DateToday-15))))^0.5)))</f>
        <v> </v>
      </c>
      <c r="CH132" s="334" t="str">
        <f aca="false">IF($A132="N/A"," ",VLOOKUP($A132,CorrelationTable,2,FALSE()))</f>
        <v> </v>
      </c>
      <c r="CI132" s="336" t="str">
        <f aca="false">IF($A132="N/A"," ",F132+G132+(D132*('Pricing Inputs'!T165)))</f>
        <v> </v>
      </c>
      <c r="CJ132" s="334" t="str">
        <f aca="false">IF($A132="N/A"," ",IF(PV=1,0,'Pricing Inputs'!U165))</f>
        <v> </v>
      </c>
      <c r="CK132" s="337" t="str">
        <f aca="false">IF($A132="N/A"," ",(1+CJ132/2)^(-2*((EOMONTH(A132,0)+20)-DateToday)/365.25))</f>
        <v> </v>
      </c>
      <c r="CL132" s="338" t="str">
        <f aca="false">IF(A132="N/A"," ",IF(CC=2,(VLOOKUP(MONTH($A132),Hrtable,3))/1000,0))</f>
        <v> </v>
      </c>
      <c r="CM132" s="339" t="str">
        <f aca="false">IF(A132="N/A"," ",IF(CC=2,(CL132*C132)+F132,0))</f>
        <v> </v>
      </c>
      <c r="CN132" s="340" t="str">
        <f aca="false">IF($A132="N/A"," ",IF(CC=2,(VLOOKUP(A132,ScaledPrice,(IF(AND(Dayrun&gt;=1,Dayrun&lt;=6),2,4)))-((IF(R132&lt;&gt;0,$D132,$CL132)*$C132)+$F132+$G132)),0))</f>
        <v> </v>
      </c>
      <c r="CO132" s="340" t="str">
        <f aca="false">IF($A132="N/A"," ",IF(CC=2,(IF(AND(Dayrun&gt;=1,Dayrun&lt;=6),I132,(VLOOKUP(A132,ScaledPrice,2))*(2-(VLOOKUP(A132,ScaledPrice,3))))-((IF(S132&lt;&gt;0,$D132,$CL132)*$C132)+$F132+$G132)),0))</f>
        <v> </v>
      </c>
      <c r="CP132" s="340" t="str">
        <f aca="false">IF(A132="N/A"," ",IF(CC=2,(VLOOKUP(A132,ScaledPrice,9)-((IF(T132&lt;&gt;0,$D132,$CL132)*$C132)+$F132+$G132)),0))</f>
        <v> </v>
      </c>
      <c r="CQ132" s="340" t="str">
        <f aca="false">IF(A132="N/A"," ",IF(CC=2,(IF(OR(Dayrun=2,Dayrun=3,Dayrun=5,Dayrun=6,Dayrun=8,Dayrun=9),VLOOKUP(A132,ScaledPrice,IF(AND(Dayrun&gt;=2,Dayrun&lt;=6),5,6)),0)-((IF(U132&lt;&gt;0,$D132,$CL132)*$C132)+$F132+$G132)),0))</f>
        <v> </v>
      </c>
      <c r="CR132" s="340" t="str">
        <f aca="false">IF(A132="N/A"," ",IF(CC=2,(IF(OR(Dayrun=2,Dayrun=3,Dayrun=5,Dayrun=6,Dayrun=8,Dayrun=9),IF(AND(Dayrun&gt;=2,Dayrun&lt;=6),L132,(VLOOKUP(A132,ScaledPrice,5))*(2-(VLOOKUP(A132,ScaledPrice,3)))),0)-((IF(V132&lt;&gt;0,$D132,$CL132)*$C132)+$F132+$G132)),0))</f>
        <v> </v>
      </c>
      <c r="CS132" s="340" t="str">
        <f aca="false">IF(A132="N/A"," ",IF(CC=2,(VLOOKUP(A132,ScaledPrice,9)-((IF(W132&lt;&gt;0,$D132,$CL132)*$C132)+$F132+$G132)),0))</f>
        <v> </v>
      </c>
      <c r="CT132" s="340" t="str">
        <f aca="false">IF(A132="N/A"," ",IF(CC=2,(IF(OR(Dayrun=3,Dayrun=6,Dayrun=9),(VLOOKUP(A132,ScaledPrice,IF(AND(Dayrun&gt;=3,Dayrun&lt;=6),7,8))),0)-((IF(X132&lt;&gt;0,$D132,$CL132)*$C132)+$F132+$G132)),0))</f>
        <v> </v>
      </c>
      <c r="CU132" s="340" t="str">
        <f aca="false">IF(A132="N/A"," ",IF(CC=2,(IF(OR(Dayrun=3,Dayrun=6,Dayrun=9),IF(AND(Dayrun&gt;=3,Dayrun&lt;=6),O132,(VLOOKUP(A132,ScaledPrice,7))*(2-(VLOOKUP(A132,ScaledPrice,3)))),0)-((IF(Y132&lt;&gt;0,$D132,$CL132)*$C132)+$F132+$G132)),0))</f>
        <v> </v>
      </c>
      <c r="CV132" s="340" t="str">
        <f aca="false">IF(A132="N/A"," ",IF(CC=2,(VLOOKUP(A132,ScaledPrice,9)-((IF(Z132&lt;&gt;0,$D132,$CL132)*$C132)+$F132+$G132)),0))</f>
        <v> </v>
      </c>
      <c r="CW132" s="318" t="str">
        <f aca="false">IF($A132="N/A"," ",IF(0&lt;&gt;CN132,IF(CC=2,8*$HD132,0),0))</f>
        <v> </v>
      </c>
      <c r="CX132" s="318" t="str">
        <f aca="false">IF($A132="N/A"," ",IF(0&lt;&gt;CO132,IF(CC=2,8*$HD132,0),0))</f>
        <v> </v>
      </c>
      <c r="CY132" s="318" t="str">
        <f aca="false">IF($A132="N/A"," ",IF(0&lt;&gt;CP132,IF(CC=2,8*$HD132,0),0))</f>
        <v> </v>
      </c>
      <c r="CZ132" s="318" t="str">
        <f aca="false">IF($A132="N/A"," ",IF(0&lt;&gt;CQ132,IF(CC=2,8*$HE132,0),0))</f>
        <v> </v>
      </c>
      <c r="DA132" s="318" t="str">
        <f aca="false">IF($A132="N/A"," ",IF(0&lt;&gt;CR132,IF(CC=2,8*$HE132,0),0))</f>
        <v> </v>
      </c>
      <c r="DB132" s="318" t="str">
        <f aca="false">IF($A132="N/A"," ",IF(0&lt;&gt;CS132,IF(CC=2,8*$HE132,0),0))</f>
        <v> </v>
      </c>
      <c r="DC132" s="318" t="str">
        <f aca="false">IF($A132="N/A"," ",IF(0&lt;&gt;CT132,IF(CC=2,8*$HF132,0),0))</f>
        <v> </v>
      </c>
      <c r="DD132" s="318" t="str">
        <f aca="false">IF($A132="N/A"," ",IF(0&lt;&gt;CU132,IF(CC=2,8*$HF132,0),0))</f>
        <v> </v>
      </c>
      <c r="DE132" s="318" t="str">
        <f aca="false">IF($A132="N/A"," ",IF(0&lt;&gt;CV132,IF(CC=2,8*$HF132,0),0))</f>
        <v> </v>
      </c>
      <c r="DF132" s="341" t="str">
        <f aca="false">IF($A132="N/A"," ",IF(CC=2,(IF(MONTH(A132)&gt;=4,IF(MONTH(A132)&lt;=10,Inputs!$G$13,Inputs!$G$14),Inputs!$G$14))*$CK132,0))</f>
        <v> </v>
      </c>
      <c r="DG132" s="342" t="str">
        <f aca="false">IF($A132="N/A"," ",IF(CC=2,$DF132*CW132*CN132,0))</f>
        <v> </v>
      </c>
      <c r="DH132" s="342" t="str">
        <f aca="false">IF($A132="N/A"," ",IF(CC=2,$DF132*CX132*CO132,0))</f>
        <v> </v>
      </c>
      <c r="DI132" s="342" t="str">
        <f aca="false">IF($A132="N/A"," ",IF(CC=2,$DF132*CY132*CP132,0))</f>
        <v> </v>
      </c>
      <c r="DJ132" s="342" t="str">
        <f aca="false">IF($A132="N/A"," ",IF(CC=2,$DF132*CZ132*CQ132,0))</f>
        <v> </v>
      </c>
      <c r="DK132" s="342" t="str">
        <f aca="false">IF($A132="N/A"," ",IF(CC=2,$DF132*DA132*CR132,0))</f>
        <v> </v>
      </c>
      <c r="DL132" s="342" t="str">
        <f aca="false">IF($A132="N/A"," ",IF(CC=2,$DF132*DB132*CS132,0))</f>
        <v> </v>
      </c>
      <c r="DM132" s="342" t="str">
        <f aca="false">IF($A132="N/A"," ",IF(CC=2,$DF132*DC132*CT132,0))</f>
        <v> </v>
      </c>
      <c r="DN132" s="342" t="str">
        <f aca="false">IF($A132="N/A"," ",IF(CC=2,$DF132*DD132*CU132,0))</f>
        <v> </v>
      </c>
      <c r="DO132" s="342" t="str">
        <f aca="false">IF($A132="N/A"," ",IF(CC=2,$DF132*DE132*CV132,0))</f>
        <v> </v>
      </c>
      <c r="DP132" s="343" t="str">
        <f aca="false">IF($A132="N/A"," ",IF(CC=2,SUM(DG132:DO132),0))</f>
        <v> </v>
      </c>
      <c r="DQ132" s="0" t="str">
        <f aca="false">IF(A132="N/A"," ",Perstart)</f>
        <v> </v>
      </c>
      <c r="HD132" s="0" t="str">
        <f aca="false">IF($A132="N/A"," ",VLOOKUP($A132,NumberofDaysTable,2))</f>
        <v> </v>
      </c>
      <c r="HE132" s="0" t="str">
        <f aca="false">IF($A132="N/A"," ",VLOOKUP($A132,NumberofDaysTable,3))</f>
        <v> </v>
      </c>
      <c r="HF132" s="0" t="str">
        <f aca="false">IF($A132="N/A"," ",VLOOKUP($A132,NumberofDaysTable,4))</f>
        <v> </v>
      </c>
    </row>
    <row r="133" customFormat="false" ht="12.75" hidden="false" customHeight="false" outlineLevel="0" collapsed="false">
      <c r="A133" s="308" t="str">
        <f aca="false">IF(A132="N/A","N/A",IF(EDATE(A132,1)&gt;Inputs!$K$3,"N/A",EDATE(A132,1)))</f>
        <v>N/A</v>
      </c>
      <c r="B133" s="309" t="str">
        <f aca="false">IF(A133="N/A"," ",YEAR(A133))</f>
        <v> </v>
      </c>
      <c r="C133" s="310" t="str">
        <f aca="false">IF(A133="N/A"," ",VLOOKUP(A133,ScaledPrice,10))</f>
        <v> </v>
      </c>
      <c r="D133" s="311" t="str">
        <f aca="false">IF(A133="N/A"," ",(VLOOKUP(MONTH($A133),Hrtable,2))/1000)</f>
        <v> </v>
      </c>
      <c r="E133" s="312" t="str">
        <f aca="false">IF($A133="N/A"," ",(C133-'Pricing Inputs'!T166)*D133)</f>
        <v> </v>
      </c>
      <c r="F133" s="313" t="str">
        <f aca="false">IF(A133="N/A"," ",$F121*(1+VOMesc))</f>
        <v> </v>
      </c>
      <c r="G133" s="313" t="str">
        <f aca="false">IF(A133="N/A"," ",Perstart/IF(AND(Dayrun&gt;=4,Dayrun&lt;=6),16,IF(AND(Dayrun&gt;=7,Dayrun&lt;=9),8,24))/(BM133/CK133))</f>
        <v> </v>
      </c>
      <c r="H133" s="314" t="str">
        <f aca="false">IF(A133="N/A"," ",(C133*D133)+F133+G133)</f>
        <v> </v>
      </c>
      <c r="I133" s="315" t="str">
        <f aca="false">VLOOKUP(A133,ScaledPrice,(IF(AND(Dayrun&gt;=1,Dayrun&lt;=6),2,4)))</f>
        <v> </v>
      </c>
      <c r="J133" s="315" t="str">
        <f aca="false">IF(A133="N/A"," ",IF(AND(Dayrun&gt;=1,Dayrun&lt;=6),I133,(VLOOKUP(A133,ScaledPrice,2))*(2-(VLOOKUP(A133,ScaledPrice,3)))))</f>
        <v> </v>
      </c>
      <c r="K133" s="315" t="str">
        <f aca="false">IF(A133="N/A"," ",IF(AND(Dayrun&gt;=1,Dayrun&lt;=3),VLOOKUP(A133,ScaledPrice,9),0))</f>
        <v> </v>
      </c>
      <c r="L133" s="315" t="str">
        <f aca="false">IF(A133="N/A"," ",IF(OR(Dayrun=2,Dayrun=3,Dayrun=5,Dayrun=6,Dayrun=8,Dayrun=9),VLOOKUP(A133,ScaledPrice,IF(AND(Dayrun&gt;=2,Dayrun&lt;=6),5,6)),0))</f>
        <v> </v>
      </c>
      <c r="M133" s="315" t="str">
        <f aca="false">IF(A133="N/A"," ",IF(OR(Dayrun=2,Dayrun=3,Dayrun=5,Dayrun=6,Dayrun=8,Dayrun=9),IF(AND(Dayrun&gt;=2,Dayrun&lt;=6),L133,(VLOOKUP(A133,ScaledPrice,5))*(2-(VLOOKUP(A133,ScaledPrice,3)))),0))</f>
        <v> </v>
      </c>
      <c r="N133" s="315" t="str">
        <f aca="false">IF(A133="N/A"," ",IF(AND(Dayrun&gt;1,Dayrun&lt;=3),VLOOKUP(A133,ScaledPrice,9),0))</f>
        <v> </v>
      </c>
      <c r="O133" s="315" t="str">
        <f aca="false">IF(A133="N/A"," ",IF(OR(Dayrun=3,Dayrun=6,Dayrun=9),(VLOOKUP(A133,ScaledPrice,IF(AND(Dayrun&gt;=3,Dayrun&lt;=6),7,8))),0))</f>
        <v> </v>
      </c>
      <c r="P133" s="315" t="str">
        <f aca="false">IF(A133="N/A"," ",IF(OR(Dayrun=3,Dayrun=6,Dayrun=9),IF(AND(Dayrun&gt;=3,Dayrun&lt;=6),O133,(VLOOKUP(A133,ScaledPrice,7))*(2-(VLOOKUP(A133,ScaledPrice,3)))),0))</f>
        <v> </v>
      </c>
      <c r="Q133" s="315" t="str">
        <f aca="false">IF(A133="N/A"," ",IF(AND(Dayrun&gt;2,Dayrun&lt;=3),VLOOKUP(A133,ScaledPrice,9),0))</f>
        <v> </v>
      </c>
      <c r="R133" s="316" t="str">
        <f aca="false">IF($A133="N/A"," ",IF(Pricetype=2,MAX(I133-$H133,0),IF(Pricetype=1,(xSPRDOPT(I133,$E133,$CI133,0,($CD133+IF(Smile=TRUE(),VLOOKUP(MAX(-5,$H133-I133),Volsmile,2),0)),$CG133,$CH133,($A133-DateToday)+15,1,0)),I133-$H133)))</f>
        <v> </v>
      </c>
      <c r="S133" s="316" t="str">
        <f aca="false">IF($A133="N/A"," ",IF(Pricetype=2,MAX(J133-$H133,0),IF(Pricetype=1,(xSPRDOPT(J133,$E133,$CI133,0,($CD133+IF(Smile=TRUE(),VLOOKUP(MAX(-5,$H133-J133),Volsmile,2),0)),$CG133,$CH133,($A133-DateToday)+15,1,0)),J133-$H133)))</f>
        <v> </v>
      </c>
      <c r="T133" s="317" t="str">
        <f aca="false">IF($A133="N/A"," ",(IF(Pricetype=2,IF((K133-$H133)&lt;=0,0,(K133-$H133)),IF(K133&lt;&gt;0,(K133-$H133),0))))</f>
        <v> </v>
      </c>
      <c r="U133" s="316" t="str">
        <f aca="false">IF($A133="N/A"," ",IF(Pricetype=2,MAX(L133-$H133,0),IF(L133&lt;&gt;0,IF(Pricetype=1,(xSPRDOPT(L133,$E133,$CI133,0,($CD133+IF(Smile=TRUE(),VLOOKUP(MAX(-5,$H133-L133),Volsmile,2),0)),$CG133,$CH133,($A133-DateToday)+15,1,0)),L133-$H133),0)))</f>
        <v> </v>
      </c>
      <c r="V133" s="316" t="str">
        <f aca="false">IF($A133="N/A"," ",IF(Pricetype=2,MAX(M133-$H133,0),IF(M133&lt;&gt;0,IF(Pricetype=1,(xSPRDOPT(M133,$E133,$CI133,0,($CD133+IF(Smile=TRUE(),VLOOKUP(MAX(-5,$H133-M133),Volsmile,2),0)),$CG133,$CH133,($A133-DateToday)+15,1,0)),M133-$H133),0)))</f>
        <v> </v>
      </c>
      <c r="W133" s="317" t="str">
        <f aca="false">IF($A133="N/A"," ",(IF(Pricetype=2,IF((N133-$H133)&lt;=0,0,(N133-$H133)),IF(N133&lt;&gt;0,(N133-$H133),0))))</f>
        <v> </v>
      </c>
      <c r="X133" s="316" t="str">
        <f aca="false">IF($A133="N/A"," ",IF(Pricetype=2,MAX(O133-$H133,0),IF(O133&lt;&gt;0,IF(Pricetype=1,(xSPRDOPT(O133,$E133,$CI133,0,($CD133+IF(Smile=TRUE(),VLOOKUP(MAX(-5,$H133-O133),Volsmile,2),0)),$CG133,$CH133,($A133-DateToday)+15,1,0)),O133-$H133),0)))</f>
        <v> </v>
      </c>
      <c r="Y133" s="316" t="str">
        <f aca="false">IF($A133="N/A"," ",IF(Pricetype=2,MAX(P133-$H133,0),IF(P133&lt;&gt;0,IF(Pricetype=1,(xSPRDOPT(P133,$E133,$CI133,0,($CD133+IF(Smile=TRUE(),VLOOKUP(MAX(-5,$H133-P133),Volsmile,2),0)),$CG133,$CH133,($A133-DateToday)+15,1,0)),P133-$H133),0)))</f>
        <v> </v>
      </c>
      <c r="Z133" s="317" t="str">
        <f aca="false">IF($A133="N/A"," ",(IF(Pricetype=2,IF((Q133-$H133)&lt;=0,0,(Q133-$H133)),IF(Q133&lt;&gt;0,(Q133-$H133),0))))</f>
        <v> </v>
      </c>
      <c r="AA133" s="318" t="str">
        <f aca="false">IF($A133="N/A"," ",IF(VLOOKUP(MONTH(A133),ManualTable,2)=1,(IF(0&lt;&gt;R133,IF(Pricetype=1,(xSPRDOPT(I133,$E133,$CI133,0,($CD133+IF(Smile=TRUE(),VLOOKUP(MAX(-5,$H133-I133),Volsmile,2),0)),$CG133,$CH133,($A133-DateToday)+15,1,1))*(8*$HD133),8*$HD133),0)),0))</f>
        <v> </v>
      </c>
      <c r="AB133" s="318" t="str">
        <f aca="false">IF($A133="N/A"," ",IF(VLOOKUP(MONTH(A133),ManualTable,3)=1,(IF(S133&lt;&gt;0,IF(Pricetype=1,(xSPRDOPT(J133,$E133,$CI133,0,($CD133+IF(Smile=TRUE(),VLOOKUP(MAX(-5,$H133-J133),Volsmile,2),0)),$CG133,$CH133,($A133-DateToday)+15,1,1))*(8*$HD133),8*$HD133),0)),0))</f>
        <v> </v>
      </c>
      <c r="AC133" s="318" t="str">
        <f aca="false">IF($A133="N/A"," ",IF(VLOOKUP(MONTH(A133),ManualTable,4)=1,(IF(T133&lt;&gt;0,(8*$HD133),0)),0))</f>
        <v> </v>
      </c>
      <c r="AD133" s="318" t="str">
        <f aca="false">IF($A133="N/A"," ",IF(VLOOKUP(MONTH(A133),ManualTable,5)=1,(IF(U133&lt;&gt;0,IF(Pricetype=1,(xSPRDOPT(L133,$E133,$CI133,0,($CD133+IF(Smile=TRUE(),VLOOKUP(MAX(-5,$H133-L133),Volsmile,2),0)),$CG133,$CH133,($A133-DateToday)+15,1,1))*(8*$HE133),8*$HE133),0)),0))</f>
        <v> </v>
      </c>
      <c r="AE133" s="318" t="str">
        <f aca="false">IF($A133="N/A"," ",IF(VLOOKUP(MONTH(A133),ManualTable,6)=1,(IF(V133&lt;&gt;0,IF(Pricetype=1,(xSPRDOPT(M133,$E133,$CI133,0,($CD133+IF(Smile=TRUE(),VLOOKUP(MAX(-5,$H133-M133),Volsmile,2),0)),$CG133,$CH133,($A133-DateToday)+15,1,1))*(8*$HE133),8*$HE133),0)),0))</f>
        <v> </v>
      </c>
      <c r="AF133" s="318" t="str">
        <f aca="false">IF($A133="N/A"," ",IF(VLOOKUP(MONTH(A133),ManualTable,7)=1,(IF(W133&lt;&gt;0,(8*$HE133),0)),0))</f>
        <v> </v>
      </c>
      <c r="AG133" s="318" t="str">
        <f aca="false">IF($A133="N/A"," ",IF(VLOOKUP(MONTH(A133),ManualTable,8)=1,(IF(X133&lt;&gt;0,IF(Pricetype=1,(xSPRDOPT(O133,$E133,$CI133,0,($CD133+IF(Smile=TRUE(),VLOOKUP(MAX(-5,$H133-O133),Volsmile,2),0)),$CG133,$CH133,($A133-DateToday)+15,1,1))*(8*$HF133),8*$HF133),0)),0))</f>
        <v> </v>
      </c>
      <c r="AH133" s="318" t="str">
        <f aca="false">IF($A133="N/A"," ",IF(VLOOKUP(MONTH(A133),ManualTable,9)=1,(IF(Y133&lt;&gt;0,IF(Pricetype=1,(xSPRDOPT(P133,$E133,$CI133,0,($CD133+IF(Smile=TRUE(),VLOOKUP(MAX(-5,$H133-P133),Volsmile,2),0)),$CG133,$CH133,($A133-DateToday)+15,1,1))*(8*$HF133),8*$HF133),0)),0))</f>
        <v> </v>
      </c>
      <c r="AI133" s="318" t="str">
        <f aca="false">IF($A133="N/A"," ",IF(VLOOKUP(MONTH(A133),ManualTable,10)=1,(IF(Z133&lt;&gt;0,(8*($HF133)),0)),0))</f>
        <v> </v>
      </c>
      <c r="AJ133" s="344" t="str">
        <f aca="false">IF($A133="N/A"," ",RANK(R133,$R$124:$Z$135))</f>
        <v> </v>
      </c>
      <c r="AK133" s="321" t="str">
        <f aca="false">IF($A133="N/A"," ",RANK(S133,$R$124:$Z$135))</f>
        <v> </v>
      </c>
      <c r="AL133" s="321" t="str">
        <f aca="false">IF($A133="N/A"," ",RANK(T133,$R$124:$Z$135))</f>
        <v> </v>
      </c>
      <c r="AM133" s="321" t="str">
        <f aca="false">IF($A133="N/A"," ",RANK(U133,$R$124:$Z$135))</f>
        <v> </v>
      </c>
      <c r="AN133" s="321" t="str">
        <f aca="false">IF($A133="N/A"," ",RANK(V133,$R$124:$Z$135))</f>
        <v> </v>
      </c>
      <c r="AO133" s="321" t="str">
        <f aca="false">IF($A133="N/A"," ",RANK(W133,$R$124:$Z$135))</f>
        <v> </v>
      </c>
      <c r="AP133" s="321" t="str">
        <f aca="false">IF($A133="N/A"," ",RANK(X133,$R$124:$Z$135))</f>
        <v> </v>
      </c>
      <c r="AQ133" s="321" t="str">
        <f aca="false">IF($A133="N/A"," ",RANK(Y133,$R$124:$Z$135))</f>
        <v> </v>
      </c>
      <c r="AR133" s="345" t="str">
        <f aca="false">IF($A133="N/A"," ",RANK(Z133,$R$124:$Z$135))</f>
        <v> </v>
      </c>
      <c r="AS133" s="323" t="str">
        <f aca="false">IF($A133="N/A"," ",IF(AJ133&lt;=$AR$2,AA133,0))</f>
        <v> </v>
      </c>
      <c r="AT133" s="325" t="str">
        <f aca="false">IF($A133="N/A"," ",IF(AK133&lt;=$AR$2,AB133,0))</f>
        <v> </v>
      </c>
      <c r="AU133" s="325" t="str">
        <f aca="false">IF($A133="N/A"," ",IF(AL133&lt;=$AR$2,AC133,0))</f>
        <v> </v>
      </c>
      <c r="AV133" s="325" t="str">
        <f aca="false">IF($A133="N/A"," ",IF(AM133&lt;=$AR$2,AD133,0))</f>
        <v> </v>
      </c>
      <c r="AW133" s="325" t="str">
        <f aca="false">IF($A133="N/A"," ",IF(AN133&lt;=$AR$2,AE133,0))</f>
        <v> </v>
      </c>
      <c r="AX133" s="325" t="str">
        <f aca="false">IF($A133="N/A"," ",IF(AO133&lt;=$AR$2,AF133,0))</f>
        <v> </v>
      </c>
      <c r="AY133" s="325" t="str">
        <f aca="false">IF($A133="N/A"," ",IF(AP133&lt;=$AR$2,AG133,0))</f>
        <v> </v>
      </c>
      <c r="AZ133" s="325" t="str">
        <f aca="false">IF($A133="N/A"," ",IF(AQ133&lt;=$AR$2,AH133,0))</f>
        <v> </v>
      </c>
      <c r="BA133" s="325" t="str">
        <f aca="false">IF($A133="N/A"," ",IF(AR133&lt;=$AR$2,AI133,0))</f>
        <v> </v>
      </c>
      <c r="BB133" s="348" t="s">
        <v>1319</v>
      </c>
      <c r="BC133" s="326" t="str">
        <f aca="false">IF($A133="N/A"," ",IF(AND(AJ133=$AR$2+1,AS133=0),MIN($BB$135,AA133),0))</f>
        <v> </v>
      </c>
      <c r="BD133" s="346" t="str">
        <f aca="false">IF($A133="N/A"," ",IF(AND(AK133=$AR$2+1,AT133=0),MIN($BB$135,AB133),0))</f>
        <v> </v>
      </c>
      <c r="BE133" s="346" t="str">
        <f aca="false">IF($A133="N/A"," ",IF(AND(AL133=$AR$2+1,AU133=0),MIN($BB$135,AC133),0))</f>
        <v> </v>
      </c>
      <c r="BF133" s="346" t="str">
        <f aca="false">IF($A133="N/A"," ",IF(AND(AM133=$AR$2+1,AV133=0),MIN($BB$135,AD133),0))</f>
        <v> </v>
      </c>
      <c r="BG133" s="346" t="str">
        <f aca="false">IF($A133="N/A"," ",IF(AND(AN133=$AR$2+1,AW133=0),MIN($BB$135,AE133),0))</f>
        <v> </v>
      </c>
      <c r="BH133" s="346" t="str">
        <f aca="false">IF($A133="N/A"," ",IF(AND(AO133=$AR$2+1,AX133=0),MIN($BB$135,AF133),0))</f>
        <v> </v>
      </c>
      <c r="BI133" s="346" t="str">
        <f aca="false">IF($A133="N/A"," ",IF(AND(AP133=$AR$2+1,AY133=0),MIN($BB$135,AG133),0))</f>
        <v> </v>
      </c>
      <c r="BJ133" s="346" t="str">
        <f aca="false">IF($A133="N/A"," ",IF(AND(AQ133=$AR$2+1,AZ133=0),MIN($BB$135,AH133),0))</f>
        <v> </v>
      </c>
      <c r="BK133" s="346" t="str">
        <f aca="false">IF($A133="N/A"," ",IF(AND(AR133=$AR$2+1,BA133=0),MIN($BB$135,AI133),0))</f>
        <v> </v>
      </c>
      <c r="BL133" s="347" t="s">
        <v>1359</v>
      </c>
      <c r="BM133" s="329" t="str">
        <f aca="false">IF($A133="N/A"," ",(IF(MONTH(A133)&gt;=4,IF(MONTH(A133)&lt;=10,Inputs!$F$13-Inputs!$G$13,Inputs!$F$14-Inputs!$G$14),Inputs!$F$14-Inputs!$G$14))*$CK133*Availability)</f>
        <v> </v>
      </c>
      <c r="BN133" s="330" t="str">
        <f aca="false">IF($A133="N/A"," ",(IF(AS133&gt;0,($BM133*(8*($HD133))*R133),0)+IF(BC133&gt;0,($BM133*((BC133/AA133)*8*$HD133)*R133),0)))</f>
        <v> </v>
      </c>
      <c r="BO133" s="330" t="str">
        <f aca="false">IF($A133="N/A"," ",(IF(AT133&gt;0,($BM133*(8*($HD133))*S133),0)+IF(BD133&gt;0,($BM133*((BD133/AB133)*8*$HD133)*S133),0)))</f>
        <v> </v>
      </c>
      <c r="BP133" s="330" t="str">
        <f aca="false">IF($A133="N/A"," ",(IF(AU133&gt;0,($BM133*(8*($HD133))*T133),0)+IF(BE133&gt;0,($BM133*((BE133))*T133),0)))</f>
        <v> </v>
      </c>
      <c r="BQ133" s="330" t="str">
        <f aca="false">IF($A133="N/A"," ",(IF(AV133&gt;0,($BM133*(8*($HE133))*U133),0)+IF(BF133&gt;0,($BM133*((BF133/AD133)*8*$HE133)*U133),0)))</f>
        <v> </v>
      </c>
      <c r="BR133" s="330" t="str">
        <f aca="false">IF($A133="N/A"," ",(IF(AW133&gt;0,($BM133*(8*($HE133))*V133),0)+IF(BG133&gt;0,($BM133*((BG133/AE133)*8*$HE133)*V133),0)))</f>
        <v> </v>
      </c>
      <c r="BS133" s="330" t="str">
        <f aca="false">IF($A133="N/A"," ",(IF(AX133&gt;0,($BM133*(8*($HE133))*W133),0)+IF(BH133&gt;0,($BM133*((BH133))*W133),0)))</f>
        <v> </v>
      </c>
      <c r="BT133" s="330" t="str">
        <f aca="false">IF($A133="N/A"," ",(IF(AY133&gt;0,($BM133*(8*($HF133))*X133),0)+IF(BI133&gt;0,($BM133*((BI133/AG133)*8*$HF133)*X133),0)))</f>
        <v> </v>
      </c>
      <c r="BU133" s="330" t="str">
        <f aca="false">IF($A133="N/A"," ",(IF(AZ133&gt;0,($BM133*(8*($HF133))*Y133),0)+IF(BJ133&gt;0,($BM133*((BJ133/AH133)*8*$HF133)*Y133),0)))</f>
        <v> </v>
      </c>
      <c r="BV133" s="330" t="str">
        <f aca="false">IF($A133="N/A"," ",(IF(BA133&gt;0,($BM133*(8*($HF133))*Z133),0)+IF(BK133&gt;0,($BM133*((BK133))*Z133),0)))</f>
        <v> </v>
      </c>
      <c r="BW133" s="330" t="str">
        <f aca="false">IF($A133="N/A"," ",SUM(BN133:BV133))</f>
        <v> </v>
      </c>
      <c r="BX133" s="331" t="str">
        <f aca="false">IF($A133="N/A"," ",(H133*(SUM(AS133:BA133)+SUM(BC133:BK133))*BM133))</f>
        <v> </v>
      </c>
      <c r="BY133" s="332" t="str">
        <f aca="false">IF($A133="N/A"," ",((C133*D133)*(SUM($AS133:$BA133)+SUM($BC133:$BK133))*$BM133))</f>
        <v> </v>
      </c>
      <c r="BZ133" s="332" t="str">
        <f aca="false">IF($A133="N/A"," ",(F133*(SUM($AS133:$BA133)+SUM($BC133:$BK133))*$BM133))</f>
        <v> </v>
      </c>
      <c r="CA133" s="333" t="str">
        <f aca="false">IF($A133="N/A"," ",(G133*(SUM($AS133:$BA133)+SUM($BC133:$BK133))*$BM133))</f>
        <v> </v>
      </c>
      <c r="CB133" s="334" t="str">
        <f aca="false">IF(A133="N/A"," ",(VLOOKUP(A133,PowerVolTable,(IF(BMO=2,7,IF(BMO=1,6,8))),FALSE())))</f>
        <v> </v>
      </c>
      <c r="CC133" s="334" t="str">
        <f aca="false">IF(A133="N/A"," ",(VLOOKUP(A133,IntraPowerVol,(IF(BMO=2,3,IF(BMO=1,2,4))),FALSE())*VLOOKUP(MONTH($A133),Volscale,2)))</f>
        <v> </v>
      </c>
      <c r="CD133" s="335" t="str">
        <f aca="false">IF($A133="N/A"," ",(IF(DateToday&gt;$A133,$CC133,((($CB133^2)*((($A133-1)-DateToday)/((EOMONTH($A133,0)+1)-DateToday-15)))+((($CC133)^2)*((15)/((EOMONTH($A133,0)+1)-DateToday-15))))^0.5)))</f>
        <v> </v>
      </c>
      <c r="CE133" s="334" t="str">
        <f aca="false">IF($A133="N/A"," ",(VLOOKUP($A133,GasVolTable,(IF(BMO=2,6,IF(BMO=1,7,5))),FALSE())))</f>
        <v> </v>
      </c>
      <c r="CF133" s="334" t="str">
        <f aca="false">IF($A133="N/A"," ",(VLOOKUP($A133,OmicronVol,(IF(BMO=2,3,IF(BMO=1,4,2))),FALSE())))</f>
        <v> </v>
      </c>
      <c r="CG133" s="335" t="str">
        <f aca="false">IF($A133="N/A"," ",(IF(DateToday&gt;$A133,$CF133,((($CE133^2)*((($A133-1)-DateToday)/((EOMONTH($A133,0)+1)-DateToday-15)))+((($CF133)^2)*((15)/((EOMONTH($A133,0)+1)-DateToday-15))))^0.5)))</f>
        <v> </v>
      </c>
      <c r="CH133" s="334" t="str">
        <f aca="false">IF($A133="N/A"," ",VLOOKUP($A133,CorrelationTable,2,FALSE()))</f>
        <v> </v>
      </c>
      <c r="CI133" s="336" t="str">
        <f aca="false">IF($A133="N/A"," ",F133+G133+(D133*('Pricing Inputs'!T166)))</f>
        <v> </v>
      </c>
      <c r="CJ133" s="334" t="str">
        <f aca="false">IF($A133="N/A"," ",IF(PV=1,0,'Pricing Inputs'!U166))</f>
        <v> </v>
      </c>
      <c r="CK133" s="337" t="str">
        <f aca="false">IF($A133="N/A"," ",(1+CJ133/2)^(-2*((EOMONTH(A133,0)+20)-DateToday)/365.25))</f>
        <v> </v>
      </c>
      <c r="CL133" s="338" t="str">
        <f aca="false">IF(A133="N/A"," ",IF(CC=2,(VLOOKUP(MONTH($A133),Hrtable,3))/1000,0))</f>
        <v> </v>
      </c>
      <c r="CM133" s="339" t="str">
        <f aca="false">IF(A133="N/A"," ",IF(CC=2,(CL133*C133)+F133,0))</f>
        <v> </v>
      </c>
      <c r="CN133" s="340" t="str">
        <f aca="false">IF($A133="N/A"," ",IF(CC=2,(VLOOKUP(A133,ScaledPrice,(IF(AND(Dayrun&gt;=1,Dayrun&lt;=6),2,4)))-((IF(R133&lt;&gt;0,$D133,$CL133)*$C133)+$F133+$G133)),0))</f>
        <v> </v>
      </c>
      <c r="CO133" s="340" t="str">
        <f aca="false">IF($A133="N/A"," ",IF(CC=2,(IF(AND(Dayrun&gt;=1,Dayrun&lt;=6),I133,(VLOOKUP(A133,ScaledPrice,2))*(2-(VLOOKUP(A133,ScaledPrice,3))))-((IF(S133&lt;&gt;0,$D133,$CL133)*$C133)+$F133+$G133)),0))</f>
        <v> </v>
      </c>
      <c r="CP133" s="340" t="str">
        <f aca="false">IF(A133="N/A"," ",IF(CC=2,(VLOOKUP(A133,ScaledPrice,9)-((IF(T133&lt;&gt;0,$D133,$CL133)*$C133)+$F133+$G133)),0))</f>
        <v> </v>
      </c>
      <c r="CQ133" s="340" t="str">
        <f aca="false">IF(A133="N/A"," ",IF(CC=2,(IF(OR(Dayrun=2,Dayrun=3,Dayrun=5,Dayrun=6,Dayrun=8,Dayrun=9),VLOOKUP(A133,ScaledPrice,IF(AND(Dayrun&gt;=2,Dayrun&lt;=6),5,6)),0)-((IF(U133&lt;&gt;0,$D133,$CL133)*$C133)+$F133+$G133)),0))</f>
        <v> </v>
      </c>
      <c r="CR133" s="340" t="str">
        <f aca="false">IF(A133="N/A"," ",IF(CC=2,(IF(OR(Dayrun=2,Dayrun=3,Dayrun=5,Dayrun=6,Dayrun=8,Dayrun=9),IF(AND(Dayrun&gt;=2,Dayrun&lt;=6),L133,(VLOOKUP(A133,ScaledPrice,5))*(2-(VLOOKUP(A133,ScaledPrice,3)))),0)-((IF(V133&lt;&gt;0,$D133,$CL133)*$C133)+$F133+$G133)),0))</f>
        <v> </v>
      </c>
      <c r="CS133" s="340" t="str">
        <f aca="false">IF(A133="N/A"," ",IF(CC=2,(VLOOKUP(A133,ScaledPrice,9)-((IF(W133&lt;&gt;0,$D133,$CL133)*$C133)+$F133+$G133)),0))</f>
        <v> </v>
      </c>
      <c r="CT133" s="340" t="str">
        <f aca="false">IF(A133="N/A"," ",IF(CC=2,(IF(OR(Dayrun=3,Dayrun=6,Dayrun=9),(VLOOKUP(A133,ScaledPrice,IF(AND(Dayrun&gt;=3,Dayrun&lt;=6),7,8))),0)-((IF(X133&lt;&gt;0,$D133,$CL133)*$C133)+$F133+$G133)),0))</f>
        <v> </v>
      </c>
      <c r="CU133" s="340" t="str">
        <f aca="false">IF(A133="N/A"," ",IF(CC=2,(IF(OR(Dayrun=3,Dayrun=6,Dayrun=9),IF(AND(Dayrun&gt;=3,Dayrun&lt;=6),O133,(VLOOKUP(A133,ScaledPrice,7))*(2-(VLOOKUP(A133,ScaledPrice,3)))),0)-((IF(Y133&lt;&gt;0,$D133,$CL133)*$C133)+$F133+$G133)),0))</f>
        <v> </v>
      </c>
      <c r="CV133" s="340" t="str">
        <f aca="false">IF(A133="N/A"," ",IF(CC=2,(VLOOKUP(A133,ScaledPrice,9)-((IF(Z133&lt;&gt;0,$D133,$CL133)*$C133)+$F133+$G133)),0))</f>
        <v> </v>
      </c>
      <c r="CW133" s="318" t="str">
        <f aca="false">IF($A133="N/A"," ",IF(0&lt;&gt;CN133,IF(CC=2,8*$HD133,0),0))</f>
        <v> </v>
      </c>
      <c r="CX133" s="318" t="str">
        <f aca="false">IF($A133="N/A"," ",IF(0&lt;&gt;CO133,IF(CC=2,8*$HD133,0),0))</f>
        <v> </v>
      </c>
      <c r="CY133" s="318" t="str">
        <f aca="false">IF($A133="N/A"," ",IF(0&lt;&gt;CP133,IF(CC=2,8*$HD133,0),0))</f>
        <v> </v>
      </c>
      <c r="CZ133" s="318" t="str">
        <f aca="false">IF($A133="N/A"," ",IF(0&lt;&gt;CQ133,IF(CC=2,8*$HE133,0),0))</f>
        <v> </v>
      </c>
      <c r="DA133" s="318" t="str">
        <f aca="false">IF($A133="N/A"," ",IF(0&lt;&gt;CR133,IF(CC=2,8*$HE133,0),0))</f>
        <v> </v>
      </c>
      <c r="DB133" s="318" t="str">
        <f aca="false">IF($A133="N/A"," ",IF(0&lt;&gt;CS133,IF(CC=2,8*$HE133,0),0))</f>
        <v> </v>
      </c>
      <c r="DC133" s="318" t="str">
        <f aca="false">IF($A133="N/A"," ",IF(0&lt;&gt;CT133,IF(CC=2,8*$HF133,0),0))</f>
        <v> </v>
      </c>
      <c r="DD133" s="318" t="str">
        <f aca="false">IF($A133="N/A"," ",IF(0&lt;&gt;CU133,IF(CC=2,8*$HF133,0),0))</f>
        <v> </v>
      </c>
      <c r="DE133" s="318" t="str">
        <f aca="false">IF($A133="N/A"," ",IF(0&lt;&gt;CV133,IF(CC=2,8*$HF133,0),0))</f>
        <v> </v>
      </c>
      <c r="DF133" s="341" t="str">
        <f aca="false">IF($A133="N/A"," ",IF(CC=2,(IF(MONTH(A133)&gt;=4,IF(MONTH(A133)&lt;=10,Inputs!$G$13,Inputs!$G$14),Inputs!$G$14))*$CK133,0))</f>
        <v> </v>
      </c>
      <c r="DG133" s="342" t="str">
        <f aca="false">IF($A133="N/A"," ",IF(CC=2,$DF133*CW133*CN133,0))</f>
        <v> </v>
      </c>
      <c r="DH133" s="342" t="str">
        <f aca="false">IF($A133="N/A"," ",IF(CC=2,$DF133*CX133*CO133,0))</f>
        <v> </v>
      </c>
      <c r="DI133" s="342" t="str">
        <f aca="false">IF($A133="N/A"," ",IF(CC=2,$DF133*CY133*CP133,0))</f>
        <v> </v>
      </c>
      <c r="DJ133" s="342" t="str">
        <f aca="false">IF($A133="N/A"," ",IF(CC=2,$DF133*CZ133*CQ133,0))</f>
        <v> </v>
      </c>
      <c r="DK133" s="342" t="str">
        <f aca="false">IF($A133="N/A"," ",IF(CC=2,$DF133*DA133*CR133,0))</f>
        <v> </v>
      </c>
      <c r="DL133" s="342" t="str">
        <f aca="false">IF($A133="N/A"," ",IF(CC=2,$DF133*DB133*CS133,0))</f>
        <v> </v>
      </c>
      <c r="DM133" s="342" t="str">
        <f aca="false">IF($A133="N/A"," ",IF(CC=2,$DF133*DC133*CT133,0))</f>
        <v> </v>
      </c>
      <c r="DN133" s="342" t="str">
        <f aca="false">IF($A133="N/A"," ",IF(CC=2,$DF133*DD133*CU133,0))</f>
        <v> </v>
      </c>
      <c r="DO133" s="342" t="str">
        <f aca="false">IF($A133="N/A"," ",IF(CC=2,$DF133*DE133*CV133,0))</f>
        <v> </v>
      </c>
      <c r="DP133" s="343" t="str">
        <f aca="false">IF($A133="N/A"," ",IF(CC=2,SUM(DG133:DO133),0))</f>
        <v> </v>
      </c>
      <c r="DQ133" s="0" t="str">
        <f aca="false">IF(A133="N/A"," ",Perstart)</f>
        <v> </v>
      </c>
      <c r="HD133" s="0" t="str">
        <f aca="false">IF($A133="N/A"," ",VLOOKUP($A133,NumberofDaysTable,2))</f>
        <v> </v>
      </c>
      <c r="HE133" s="0" t="str">
        <f aca="false">IF($A133="N/A"," ",VLOOKUP($A133,NumberofDaysTable,3))</f>
        <v> </v>
      </c>
      <c r="HF133" s="0" t="str">
        <f aca="false">IF($A133="N/A"," ",VLOOKUP($A133,NumberofDaysTable,4))</f>
        <v> </v>
      </c>
    </row>
    <row r="134" customFormat="false" ht="12.75" hidden="false" customHeight="false" outlineLevel="0" collapsed="false">
      <c r="A134" s="308" t="str">
        <f aca="false">IF(A133="N/A","N/A",IF(EDATE(A133,1)&gt;Inputs!$K$3,"N/A",EDATE(A133,1)))</f>
        <v>N/A</v>
      </c>
      <c r="B134" s="309" t="str">
        <f aca="false">IF(A134="N/A"," ",YEAR(A134))</f>
        <v> </v>
      </c>
      <c r="C134" s="310" t="str">
        <f aca="false">IF(A134="N/A"," ",VLOOKUP(A134,ScaledPrice,10))</f>
        <v> </v>
      </c>
      <c r="D134" s="311" t="str">
        <f aca="false">IF(A134="N/A"," ",(VLOOKUP(MONTH($A134),Hrtable,2))/1000)</f>
        <v> </v>
      </c>
      <c r="E134" s="312" t="str">
        <f aca="false">IF($A134="N/A"," ",(C134-'Pricing Inputs'!T167)*D134)</f>
        <v> </v>
      </c>
      <c r="F134" s="313" t="str">
        <f aca="false">IF(A134="N/A"," ",$F122*(1+VOMesc))</f>
        <v> </v>
      </c>
      <c r="G134" s="313" t="str">
        <f aca="false">IF(A134="N/A"," ",Perstart/IF(AND(Dayrun&gt;=4,Dayrun&lt;=6),16,IF(AND(Dayrun&gt;=7,Dayrun&lt;=9),8,24))/(BM134/CK134))</f>
        <v> </v>
      </c>
      <c r="H134" s="314" t="str">
        <f aca="false">IF(A134="N/A"," ",(C134*D134)+F134+G134)</f>
        <v> </v>
      </c>
      <c r="I134" s="315" t="str">
        <f aca="false">VLOOKUP(A134,ScaledPrice,(IF(AND(Dayrun&gt;=1,Dayrun&lt;=6),2,4)))</f>
        <v> </v>
      </c>
      <c r="J134" s="315" t="str">
        <f aca="false">IF(A134="N/A"," ",IF(AND(Dayrun&gt;=1,Dayrun&lt;=6),I134,(VLOOKUP(A134,ScaledPrice,2))*(2-(VLOOKUP(A134,ScaledPrice,3)))))</f>
        <v> </v>
      </c>
      <c r="K134" s="315" t="str">
        <f aca="false">IF(A134="N/A"," ",IF(AND(Dayrun&gt;=1,Dayrun&lt;=3),VLOOKUP(A134,ScaledPrice,9),0))</f>
        <v> </v>
      </c>
      <c r="L134" s="315" t="str">
        <f aca="false">IF(A134="N/A"," ",IF(OR(Dayrun=2,Dayrun=3,Dayrun=5,Dayrun=6,Dayrun=8,Dayrun=9),VLOOKUP(A134,ScaledPrice,IF(AND(Dayrun&gt;=2,Dayrun&lt;=6),5,6)),0))</f>
        <v> </v>
      </c>
      <c r="M134" s="315" t="str">
        <f aca="false">IF(A134="N/A"," ",IF(OR(Dayrun=2,Dayrun=3,Dayrun=5,Dayrun=6,Dayrun=8,Dayrun=9),IF(AND(Dayrun&gt;=2,Dayrun&lt;=6),L134,(VLOOKUP(A134,ScaledPrice,5))*(2-(VLOOKUP(A134,ScaledPrice,3)))),0))</f>
        <v> </v>
      </c>
      <c r="N134" s="315" t="str">
        <f aca="false">IF(A134="N/A"," ",IF(AND(Dayrun&gt;1,Dayrun&lt;=3),VLOOKUP(A134,ScaledPrice,9),0))</f>
        <v> </v>
      </c>
      <c r="O134" s="315" t="str">
        <f aca="false">IF(A134="N/A"," ",IF(OR(Dayrun=3,Dayrun=6,Dayrun=9),(VLOOKUP(A134,ScaledPrice,IF(AND(Dayrun&gt;=3,Dayrun&lt;=6),7,8))),0))</f>
        <v> </v>
      </c>
      <c r="P134" s="315" t="str">
        <f aca="false">IF(A134="N/A"," ",IF(OR(Dayrun=3,Dayrun=6,Dayrun=9),IF(AND(Dayrun&gt;=3,Dayrun&lt;=6),O134,(VLOOKUP(A134,ScaledPrice,7))*(2-(VLOOKUP(A134,ScaledPrice,3)))),0))</f>
        <v> </v>
      </c>
      <c r="Q134" s="315" t="str">
        <f aca="false">IF(A134="N/A"," ",IF(AND(Dayrun&gt;2,Dayrun&lt;=3),VLOOKUP(A134,ScaledPrice,9),0))</f>
        <v> </v>
      </c>
      <c r="R134" s="316" t="str">
        <f aca="false">IF($A134="N/A"," ",IF(Pricetype=2,MAX(I134-$H134,0),IF(Pricetype=1,(xSPRDOPT(I134,$E134,$CI134,0,($CD134+IF(Smile=TRUE(),VLOOKUP(MAX(-5,$H134-I134),Volsmile,2),0)),$CG134,$CH134,($A134-DateToday)+15,1,0)),I134-$H134)))</f>
        <v> </v>
      </c>
      <c r="S134" s="316" t="str">
        <f aca="false">IF($A134="N/A"," ",IF(Pricetype=2,MAX(J134-$H134,0),IF(Pricetype=1,(xSPRDOPT(J134,$E134,$CI134,0,($CD134+IF(Smile=TRUE(),VLOOKUP(MAX(-5,$H134-J134),Volsmile,2),0)),$CG134,$CH134,($A134-DateToday)+15,1,0)),J134-$H134)))</f>
        <v> </v>
      </c>
      <c r="T134" s="317" t="str">
        <f aca="false">IF($A134="N/A"," ",(IF(Pricetype=2,IF((K134-$H134)&lt;=0,0,(K134-$H134)),IF(K134&lt;&gt;0,(K134-$H134),0))))</f>
        <v> </v>
      </c>
      <c r="U134" s="316" t="str">
        <f aca="false">IF($A134="N/A"," ",IF(Pricetype=2,MAX(L134-$H134,0),IF(L134&lt;&gt;0,IF(Pricetype=1,(xSPRDOPT(L134,$E134,$CI134,0,($CD134+IF(Smile=TRUE(),VLOOKUP(MAX(-5,$H134-L134),Volsmile,2),0)),$CG134,$CH134,($A134-DateToday)+15,1,0)),L134-$H134),0)))</f>
        <v> </v>
      </c>
      <c r="V134" s="316" t="str">
        <f aca="false">IF($A134="N/A"," ",IF(Pricetype=2,MAX(M134-$H134,0),IF(M134&lt;&gt;0,IF(Pricetype=1,(xSPRDOPT(M134,$E134,$CI134,0,($CD134+IF(Smile=TRUE(),VLOOKUP(MAX(-5,$H134-M134),Volsmile,2),0)),$CG134,$CH134,($A134-DateToday)+15,1,0)),M134-$H134),0)))</f>
        <v> </v>
      </c>
      <c r="W134" s="317" t="str">
        <f aca="false">IF($A134="N/A"," ",(IF(Pricetype=2,IF((N134-$H134)&lt;=0,0,(N134-$H134)),IF(N134&lt;&gt;0,(N134-$H134),0))))</f>
        <v> </v>
      </c>
      <c r="X134" s="316" t="str">
        <f aca="false">IF($A134="N/A"," ",IF(Pricetype=2,MAX(O134-$H134,0),IF(O134&lt;&gt;0,IF(Pricetype=1,(xSPRDOPT(O134,$E134,$CI134,0,($CD134+IF(Smile=TRUE(),VLOOKUP(MAX(-5,$H134-O134),Volsmile,2),0)),$CG134,$CH134,($A134-DateToday)+15,1,0)),O134-$H134),0)))</f>
        <v> </v>
      </c>
      <c r="Y134" s="316" t="str">
        <f aca="false">IF($A134="N/A"," ",IF(Pricetype=2,MAX(P134-$H134,0),IF(P134&lt;&gt;0,IF(Pricetype=1,(xSPRDOPT(P134,$E134,$CI134,0,($CD134+IF(Smile=TRUE(),VLOOKUP(MAX(-5,$H134-P134),Volsmile,2),0)),$CG134,$CH134,($A134-DateToday)+15,1,0)),P134-$H134),0)))</f>
        <v> </v>
      </c>
      <c r="Z134" s="317" t="str">
        <f aca="false">IF($A134="N/A"," ",(IF(Pricetype=2,IF((Q134-$H134)&lt;=0,0,(Q134-$H134)),IF(Q134&lt;&gt;0,(Q134-$H134),0))))</f>
        <v> </v>
      </c>
      <c r="AA134" s="318" t="str">
        <f aca="false">IF($A134="N/A"," ",IF(VLOOKUP(MONTH(A134),ManualTable,2)=1,(IF(0&lt;&gt;R134,IF(Pricetype=1,(xSPRDOPT(I134,$E134,$CI134,0,($CD134+IF(Smile=TRUE(),VLOOKUP(MAX(-5,$H134-I134),Volsmile,2),0)),$CG134,$CH134,($A134-DateToday)+15,1,1))*(8*$HD134),8*$HD134),0)),0))</f>
        <v> </v>
      </c>
      <c r="AB134" s="318" t="str">
        <f aca="false">IF($A134="N/A"," ",IF(VLOOKUP(MONTH(A134),ManualTable,3)=1,(IF(S134&lt;&gt;0,IF(Pricetype=1,(xSPRDOPT(J134,$E134,$CI134,0,($CD134+IF(Smile=TRUE(),VLOOKUP(MAX(-5,$H134-J134),Volsmile,2),0)),$CG134,$CH134,($A134-DateToday)+15,1,1))*(8*$HD134),8*$HD134),0)),0))</f>
        <v> </v>
      </c>
      <c r="AC134" s="318" t="str">
        <f aca="false">IF($A134="N/A"," ",IF(VLOOKUP(MONTH(A134),ManualTable,4)=1,(IF(T134&lt;&gt;0,(8*$HD134),0)),0))</f>
        <v> </v>
      </c>
      <c r="AD134" s="318" t="str">
        <f aca="false">IF($A134="N/A"," ",IF(VLOOKUP(MONTH(A134),ManualTable,5)=1,(IF(U134&lt;&gt;0,IF(Pricetype=1,(xSPRDOPT(L134,$E134,$CI134,0,($CD134+IF(Smile=TRUE(),VLOOKUP(MAX(-5,$H134-L134),Volsmile,2),0)),$CG134,$CH134,($A134-DateToday)+15,1,1))*(8*$HE134),8*$HE134),0)),0))</f>
        <v> </v>
      </c>
      <c r="AE134" s="318" t="str">
        <f aca="false">IF($A134="N/A"," ",IF(VLOOKUP(MONTH(A134),ManualTable,6)=1,(IF(V134&lt;&gt;0,IF(Pricetype=1,(xSPRDOPT(M134,$E134,$CI134,0,($CD134+IF(Smile=TRUE(),VLOOKUP(MAX(-5,$H134-M134),Volsmile,2),0)),$CG134,$CH134,($A134-DateToday)+15,1,1))*(8*$HE134),8*$HE134),0)),0))</f>
        <v> </v>
      </c>
      <c r="AF134" s="318" t="str">
        <f aca="false">IF($A134="N/A"," ",IF(VLOOKUP(MONTH(A134),ManualTable,7)=1,(IF(W134&lt;&gt;0,(8*$HE134),0)),0))</f>
        <v> </v>
      </c>
      <c r="AG134" s="318" t="str">
        <f aca="false">IF($A134="N/A"," ",IF(VLOOKUP(MONTH(A134),ManualTable,8)=1,(IF(X134&lt;&gt;0,IF(Pricetype=1,(xSPRDOPT(O134,$E134,$CI134,0,($CD134+IF(Smile=TRUE(),VLOOKUP(MAX(-5,$H134-O134),Volsmile,2),0)),$CG134,$CH134,($A134-DateToday)+15,1,1))*(8*$HF134),8*$HF134),0)),0))</f>
        <v> </v>
      </c>
      <c r="AH134" s="318" t="str">
        <f aca="false">IF($A134="N/A"," ",IF(VLOOKUP(MONTH(A134),ManualTable,9)=1,(IF(Y134&lt;&gt;0,IF(Pricetype=1,(xSPRDOPT(P134,$E134,$CI134,0,($CD134+IF(Smile=TRUE(),VLOOKUP(MAX(-5,$H134-P134),Volsmile,2),0)),$CG134,$CH134,($A134-DateToday)+15,1,1))*(8*$HF134),8*$HF134),0)),0))</f>
        <v> </v>
      </c>
      <c r="AI134" s="318" t="str">
        <f aca="false">IF($A134="N/A"," ",IF(VLOOKUP(MONTH(A134),ManualTable,10)=1,(IF(Z134&lt;&gt;0,(8*($HF134)),0)),0))</f>
        <v> </v>
      </c>
      <c r="AJ134" s="344" t="str">
        <f aca="false">IF($A134="N/A"," ",RANK(R134,$R$124:$Z$135))</f>
        <v> </v>
      </c>
      <c r="AK134" s="321" t="str">
        <f aca="false">IF($A134="N/A"," ",RANK(S134,$R$124:$Z$135))</f>
        <v> </v>
      </c>
      <c r="AL134" s="321" t="str">
        <f aca="false">IF($A134="N/A"," ",RANK(T134,$R$124:$Z$135))</f>
        <v> </v>
      </c>
      <c r="AM134" s="321" t="str">
        <f aca="false">IF($A134="N/A"," ",RANK(U134,$R$124:$Z$135))</f>
        <v> </v>
      </c>
      <c r="AN134" s="321" t="str">
        <f aca="false">IF($A134="N/A"," ",RANK(V134,$R$124:$Z$135))</f>
        <v> </v>
      </c>
      <c r="AO134" s="321" t="str">
        <f aca="false">IF($A134="N/A"," ",RANK(W134,$R$124:$Z$135))</f>
        <v> </v>
      </c>
      <c r="AP134" s="321" t="str">
        <f aca="false">IF($A134="N/A"," ",RANK(X134,$R$124:$Z$135))</f>
        <v> </v>
      </c>
      <c r="AQ134" s="321" t="str">
        <f aca="false">IF($A134="N/A"," ",RANK(Y134,$R$124:$Z$135))</f>
        <v> </v>
      </c>
      <c r="AR134" s="345" t="str">
        <f aca="false">IF($A134="N/A"," ",RANK(Z134,$R$124:$Z$135))</f>
        <v> </v>
      </c>
      <c r="AS134" s="323" t="str">
        <f aca="false">IF($A134="N/A"," ",IF(AJ134&lt;=$AR$2,AA134,0))</f>
        <v> </v>
      </c>
      <c r="AT134" s="325" t="str">
        <f aca="false">IF($A134="N/A"," ",IF(AK134&lt;=$AR$2,AB134,0))</f>
        <v> </v>
      </c>
      <c r="AU134" s="325" t="str">
        <f aca="false">IF($A134="N/A"," ",IF(AL134&lt;=$AR$2,AC134,0))</f>
        <v> </v>
      </c>
      <c r="AV134" s="325" t="str">
        <f aca="false">IF($A134="N/A"," ",IF(AM134&lt;=$AR$2,AD134,0))</f>
        <v> </v>
      </c>
      <c r="AW134" s="325" t="str">
        <f aca="false">IF($A134="N/A"," ",IF(AN134&lt;=$AR$2,AE134,0))</f>
        <v> </v>
      </c>
      <c r="AX134" s="325" t="str">
        <f aca="false">IF($A134="N/A"," ",IF(AO134&lt;=$AR$2,AF134,0))</f>
        <v> </v>
      </c>
      <c r="AY134" s="325" t="str">
        <f aca="false">IF($A134="N/A"," ",IF(AP134&lt;=$AR$2,AG134,0))</f>
        <v> </v>
      </c>
      <c r="AZ134" s="325" t="str">
        <f aca="false">IF($A134="N/A"," ",IF(AQ134&lt;=$AR$2,AH134,0))</f>
        <v> </v>
      </c>
      <c r="BA134" s="325" t="str">
        <f aca="false">IF($A134="N/A"," ",IF(AR134&lt;=$AR$2,AI134,0))</f>
        <v> </v>
      </c>
      <c r="BB134" s="345" t="n">
        <f aca="false">SUM(AS124:BA135)</f>
        <v>0</v>
      </c>
      <c r="BC134" s="326" t="str">
        <f aca="false">IF($A134="N/A"," ",IF(AND(AJ134=$AR$2+1,AS134=0),MIN($BB$135,AA134),0))</f>
        <v> </v>
      </c>
      <c r="BD134" s="346" t="str">
        <f aca="false">IF($A134="N/A"," ",IF(AND(AK134=$AR$2+1,AT134=0),MIN($BB$135,AB134),0))</f>
        <v> </v>
      </c>
      <c r="BE134" s="346" t="str">
        <f aca="false">IF($A134="N/A"," ",IF(AND(AL134=$AR$2+1,AU134=0),MIN($BB$135,AC134),0))</f>
        <v> </v>
      </c>
      <c r="BF134" s="346" t="str">
        <f aca="false">IF($A134="N/A"," ",IF(AND(AM134=$AR$2+1,AV134=0),MIN($BB$135,AD134),0))</f>
        <v> </v>
      </c>
      <c r="BG134" s="346" t="str">
        <f aca="false">IF($A134="N/A"," ",IF(AND(AN134=$AR$2+1,AW134=0),MIN($BB$135,AE134),0))</f>
        <v> </v>
      </c>
      <c r="BH134" s="346" t="str">
        <f aca="false">IF($A134="N/A"," ",IF(AND(AO134=$AR$2+1,AX134=0),MIN($BB$135,AF134),0))</f>
        <v> </v>
      </c>
      <c r="BI134" s="346" t="str">
        <f aca="false">IF($A134="N/A"," ",IF(AND(AP134=$AR$2+1,AY134=0),MIN($BB$135,AG134),0))</f>
        <v> </v>
      </c>
      <c r="BJ134" s="346" t="str">
        <f aca="false">IF($A134="N/A"," ",IF(AND(AQ134=$AR$2+1,AZ134=0),MIN($BB$135,AH134),0))</f>
        <v> </v>
      </c>
      <c r="BK134" s="346" t="str">
        <f aca="false">IF($A134="N/A"," ",IF(AND(AR134=$AR$2+1,BA134=0),MIN($BB$135,AI134),0))</f>
        <v> </v>
      </c>
      <c r="BL134" s="345" t="n">
        <f aca="false">SUM(BC124:BK135)</f>
        <v>0</v>
      </c>
      <c r="BM134" s="329" t="str">
        <f aca="false">IF($A134="N/A"," ",(IF(MONTH(A134)&gt;=4,IF(MONTH(A134)&lt;=10,Inputs!$F$13-Inputs!$G$13,Inputs!$F$14-Inputs!$G$14),Inputs!$F$14-Inputs!$G$14))*$CK134*Availability)</f>
        <v> </v>
      </c>
      <c r="BN134" s="330" t="str">
        <f aca="false">IF($A134="N/A"," ",(IF(AS134&gt;0,($BM134*(8*($HD134))*R134),0)+IF(BC134&gt;0,($BM134*((BC134/AA134)*8*$HD134)*R134),0)))</f>
        <v> </v>
      </c>
      <c r="BO134" s="330" t="str">
        <f aca="false">IF($A134="N/A"," ",(IF(AT134&gt;0,($BM134*(8*($HD134))*S134),0)+IF(BD134&gt;0,($BM134*((BD134/AB134)*8*$HD134)*S134),0)))</f>
        <v> </v>
      </c>
      <c r="BP134" s="330" t="str">
        <f aca="false">IF($A134="N/A"," ",(IF(AU134&gt;0,($BM134*(8*($HD134))*T134),0)+IF(BE134&gt;0,($BM134*((BE134))*T134),0)))</f>
        <v> </v>
      </c>
      <c r="BQ134" s="330" t="str">
        <f aca="false">IF($A134="N/A"," ",(IF(AV134&gt;0,($BM134*(8*($HE134))*U134),0)+IF(BF134&gt;0,($BM134*((BF134/AD134)*8*$HE134)*U134),0)))</f>
        <v> </v>
      </c>
      <c r="BR134" s="330" t="str">
        <f aca="false">IF($A134="N/A"," ",(IF(AW134&gt;0,($BM134*(8*($HE134))*V134),0)+IF(BG134&gt;0,($BM134*((BG134/AE134)*8*$HE134)*V134),0)))</f>
        <v> </v>
      </c>
      <c r="BS134" s="330" t="str">
        <f aca="false">IF($A134="N/A"," ",(IF(AX134&gt;0,($BM134*(8*($HE134))*W134),0)+IF(BH134&gt;0,($BM134*((BH134))*W134),0)))</f>
        <v> </v>
      </c>
      <c r="BT134" s="330" t="str">
        <f aca="false">IF($A134="N/A"," ",(IF(AY134&gt;0,($BM134*(8*($HF134))*X134),0)+IF(BI134&gt;0,($BM134*((BI134/AG134)*8*$HF134)*X134),0)))</f>
        <v> </v>
      </c>
      <c r="BU134" s="330" t="str">
        <f aca="false">IF($A134="N/A"," ",(IF(AZ134&gt;0,($BM134*(8*($HF134))*Y134),0)+IF(BJ134&gt;0,($BM134*((BJ134/AH134)*8*$HF134)*Y134),0)))</f>
        <v> </v>
      </c>
      <c r="BV134" s="330" t="str">
        <f aca="false">IF($A134="N/A"," ",(IF(BA134&gt;0,($BM134*(8*($HF134))*Z134),0)+IF(BK134&gt;0,($BM134*((BK134))*Z134),0)))</f>
        <v> </v>
      </c>
      <c r="BW134" s="330" t="str">
        <f aca="false">IF($A134="N/A"," ",SUM(BN134:BV134))</f>
        <v> </v>
      </c>
      <c r="BX134" s="331" t="str">
        <f aca="false">IF($A134="N/A"," ",(H134*(SUM(AS134:BA134)+SUM(BC134:BK134))*BM134))</f>
        <v> </v>
      </c>
      <c r="BY134" s="332" t="str">
        <f aca="false">IF($A134="N/A"," ",((C134*D134)*(SUM($AS134:$BA134)+SUM($BC134:$BK134))*$BM134))</f>
        <v> </v>
      </c>
      <c r="BZ134" s="332" t="str">
        <f aca="false">IF($A134="N/A"," ",(F134*(SUM($AS134:$BA134)+SUM($BC134:$BK134))*$BM134))</f>
        <v> </v>
      </c>
      <c r="CA134" s="333" t="str">
        <f aca="false">IF($A134="N/A"," ",(G134*(SUM($AS134:$BA134)+SUM($BC134:$BK134))*$BM134))</f>
        <v> </v>
      </c>
      <c r="CB134" s="334" t="str">
        <f aca="false">IF(A134="N/A"," ",(VLOOKUP(A134,PowerVolTable,(IF(BMO=2,7,IF(BMO=1,6,8))),FALSE())))</f>
        <v> </v>
      </c>
      <c r="CC134" s="334" t="str">
        <f aca="false">IF(A134="N/A"," ",(VLOOKUP(A134,IntraPowerVol,(IF(BMO=2,3,IF(BMO=1,2,4))),FALSE())*VLOOKUP(MONTH($A134),Volscale,2)))</f>
        <v> </v>
      </c>
      <c r="CD134" s="335" t="str">
        <f aca="false">IF($A134="N/A"," ",(IF(DateToday&gt;$A134,$CC134,((($CB134^2)*((($A134-1)-DateToday)/((EOMONTH($A134,0)+1)-DateToday-15)))+((($CC134)^2)*((15)/((EOMONTH($A134,0)+1)-DateToday-15))))^0.5)))</f>
        <v> </v>
      </c>
      <c r="CE134" s="334" t="str">
        <f aca="false">IF($A134="N/A"," ",(VLOOKUP($A134,GasVolTable,(IF(BMO=2,6,IF(BMO=1,7,5))),FALSE())))</f>
        <v> </v>
      </c>
      <c r="CF134" s="334" t="str">
        <f aca="false">IF($A134="N/A"," ",(VLOOKUP($A134,OmicronVol,(IF(BMO=2,3,IF(BMO=1,4,2))),FALSE())))</f>
        <v> </v>
      </c>
      <c r="CG134" s="335" t="str">
        <f aca="false">IF($A134="N/A"," ",(IF(DateToday&gt;$A134,$CF134,((($CE134^2)*((($A134-1)-DateToday)/((EOMONTH($A134,0)+1)-DateToday-15)))+((($CF134)^2)*((15)/((EOMONTH($A134,0)+1)-DateToday-15))))^0.5)))</f>
        <v> </v>
      </c>
      <c r="CH134" s="334" t="str">
        <f aca="false">IF($A134="N/A"," ",VLOOKUP($A134,CorrelationTable,2,FALSE()))</f>
        <v> </v>
      </c>
      <c r="CI134" s="336" t="str">
        <f aca="false">IF($A134="N/A"," ",F134+G134+(D134*('Pricing Inputs'!T167)))</f>
        <v> </v>
      </c>
      <c r="CJ134" s="334" t="str">
        <f aca="false">IF($A134="N/A"," ",IF(PV=1,0,'Pricing Inputs'!U167))</f>
        <v> </v>
      </c>
      <c r="CK134" s="337" t="str">
        <f aca="false">IF($A134="N/A"," ",(1+CJ134/2)^(-2*((EOMONTH(A134,0)+20)-DateToday)/365.25))</f>
        <v> </v>
      </c>
      <c r="CL134" s="338" t="str">
        <f aca="false">IF(A134="N/A"," ",IF(CC=2,(VLOOKUP(MONTH($A134),Hrtable,3))/1000,0))</f>
        <v> </v>
      </c>
      <c r="CM134" s="339" t="str">
        <f aca="false">IF(A134="N/A"," ",IF(CC=2,(CL134*C134)+F134,0))</f>
        <v> </v>
      </c>
      <c r="CN134" s="340" t="str">
        <f aca="false">IF($A134="N/A"," ",IF(CC=2,(VLOOKUP(A134,ScaledPrice,(IF(AND(Dayrun&gt;=1,Dayrun&lt;=6),2,4)))-((IF(R134&lt;&gt;0,$D134,$CL134)*$C134)+$F134+$G134)),0))</f>
        <v> </v>
      </c>
      <c r="CO134" s="340" t="str">
        <f aca="false">IF($A134="N/A"," ",IF(CC=2,(IF(AND(Dayrun&gt;=1,Dayrun&lt;=6),I134,(VLOOKUP(A134,ScaledPrice,2))*(2-(VLOOKUP(A134,ScaledPrice,3))))-((IF(S134&lt;&gt;0,$D134,$CL134)*$C134)+$F134+$G134)),0))</f>
        <v> </v>
      </c>
      <c r="CP134" s="340" t="str">
        <f aca="false">IF(A134="N/A"," ",IF(CC=2,(VLOOKUP(A134,ScaledPrice,9)-((IF(T134&lt;&gt;0,$D134,$CL134)*$C134)+$F134+$G134)),0))</f>
        <v> </v>
      </c>
      <c r="CQ134" s="340" t="str">
        <f aca="false">IF(A134="N/A"," ",IF(CC=2,(IF(OR(Dayrun=2,Dayrun=3,Dayrun=5,Dayrun=6,Dayrun=8,Dayrun=9),VLOOKUP(A134,ScaledPrice,IF(AND(Dayrun&gt;=2,Dayrun&lt;=6),5,6)),0)-((IF(U134&lt;&gt;0,$D134,$CL134)*$C134)+$F134+$G134)),0))</f>
        <v> </v>
      </c>
      <c r="CR134" s="340" t="str">
        <f aca="false">IF(A134="N/A"," ",IF(CC=2,(IF(OR(Dayrun=2,Dayrun=3,Dayrun=5,Dayrun=6,Dayrun=8,Dayrun=9),IF(AND(Dayrun&gt;=2,Dayrun&lt;=6),L134,(VLOOKUP(A134,ScaledPrice,5))*(2-(VLOOKUP(A134,ScaledPrice,3)))),0)-((IF(V134&lt;&gt;0,$D134,$CL134)*$C134)+$F134+$G134)),0))</f>
        <v> </v>
      </c>
      <c r="CS134" s="340" t="str">
        <f aca="false">IF(A134="N/A"," ",IF(CC=2,(VLOOKUP(A134,ScaledPrice,9)-((IF(W134&lt;&gt;0,$D134,$CL134)*$C134)+$F134+$G134)),0))</f>
        <v> </v>
      </c>
      <c r="CT134" s="340" t="str">
        <f aca="false">IF(A134="N/A"," ",IF(CC=2,(IF(OR(Dayrun=3,Dayrun=6,Dayrun=9),(VLOOKUP(A134,ScaledPrice,IF(AND(Dayrun&gt;=3,Dayrun&lt;=6),7,8))),0)-((IF(X134&lt;&gt;0,$D134,$CL134)*$C134)+$F134+$G134)),0))</f>
        <v> </v>
      </c>
      <c r="CU134" s="340" t="str">
        <f aca="false">IF(A134="N/A"," ",IF(CC=2,(IF(OR(Dayrun=3,Dayrun=6,Dayrun=9),IF(AND(Dayrun&gt;=3,Dayrun&lt;=6),O134,(VLOOKUP(A134,ScaledPrice,7))*(2-(VLOOKUP(A134,ScaledPrice,3)))),0)-((IF(Y134&lt;&gt;0,$D134,$CL134)*$C134)+$F134+$G134)),0))</f>
        <v> </v>
      </c>
      <c r="CV134" s="340" t="str">
        <f aca="false">IF(A134="N/A"," ",IF(CC=2,(VLOOKUP(A134,ScaledPrice,9)-((IF(Z134&lt;&gt;0,$D134,$CL134)*$C134)+$F134+$G134)),0))</f>
        <v> </v>
      </c>
      <c r="CW134" s="318" t="str">
        <f aca="false">IF($A134="N/A"," ",IF(0&lt;&gt;CN134,IF(CC=2,8*$HD134,0),0))</f>
        <v> </v>
      </c>
      <c r="CX134" s="318" t="str">
        <f aca="false">IF($A134="N/A"," ",IF(0&lt;&gt;CO134,IF(CC=2,8*$HD134,0),0))</f>
        <v> </v>
      </c>
      <c r="CY134" s="318" t="str">
        <f aca="false">IF($A134="N/A"," ",IF(0&lt;&gt;CP134,IF(CC=2,8*$HD134,0),0))</f>
        <v> </v>
      </c>
      <c r="CZ134" s="318" t="str">
        <f aca="false">IF($A134="N/A"," ",IF(0&lt;&gt;CQ134,IF(CC=2,8*$HE134,0),0))</f>
        <v> </v>
      </c>
      <c r="DA134" s="318" t="str">
        <f aca="false">IF($A134="N/A"," ",IF(0&lt;&gt;CR134,IF(CC=2,8*$HE134,0),0))</f>
        <v> </v>
      </c>
      <c r="DB134" s="318" t="str">
        <f aca="false">IF($A134="N/A"," ",IF(0&lt;&gt;CS134,IF(CC=2,8*$HE134,0),0))</f>
        <v> </v>
      </c>
      <c r="DC134" s="318" t="str">
        <f aca="false">IF($A134="N/A"," ",IF(0&lt;&gt;CT134,IF(CC=2,8*$HF134,0),0))</f>
        <v> </v>
      </c>
      <c r="DD134" s="318" t="str">
        <f aca="false">IF($A134="N/A"," ",IF(0&lt;&gt;CU134,IF(CC=2,8*$HF134,0),0))</f>
        <v> </v>
      </c>
      <c r="DE134" s="318" t="str">
        <f aca="false">IF($A134="N/A"," ",IF(0&lt;&gt;CV134,IF(CC=2,8*$HF134,0),0))</f>
        <v> </v>
      </c>
      <c r="DF134" s="341" t="str">
        <f aca="false">IF($A134="N/A"," ",IF(CC=2,(IF(MONTH(A134)&gt;=4,IF(MONTH(A134)&lt;=10,Inputs!$G$13,Inputs!$G$14),Inputs!$G$14))*$CK134,0))</f>
        <v> </v>
      </c>
      <c r="DG134" s="342" t="str">
        <f aca="false">IF($A134="N/A"," ",IF(CC=2,$DF134*CW134*CN134,0))</f>
        <v> </v>
      </c>
      <c r="DH134" s="342" t="str">
        <f aca="false">IF($A134="N/A"," ",IF(CC=2,$DF134*CX134*CO134,0))</f>
        <v> </v>
      </c>
      <c r="DI134" s="342" t="str">
        <f aca="false">IF($A134="N/A"," ",IF(CC=2,$DF134*CY134*CP134,0))</f>
        <v> </v>
      </c>
      <c r="DJ134" s="342" t="str">
        <f aca="false">IF($A134="N/A"," ",IF(CC=2,$DF134*CZ134*CQ134,0))</f>
        <v> </v>
      </c>
      <c r="DK134" s="342" t="str">
        <f aca="false">IF($A134="N/A"," ",IF(CC=2,$DF134*DA134*CR134,0))</f>
        <v> </v>
      </c>
      <c r="DL134" s="342" t="str">
        <f aca="false">IF($A134="N/A"," ",IF(CC=2,$DF134*DB134*CS134,0))</f>
        <v> </v>
      </c>
      <c r="DM134" s="342" t="str">
        <f aca="false">IF($A134="N/A"," ",IF(CC=2,$DF134*DC134*CT134,0))</f>
        <v> </v>
      </c>
      <c r="DN134" s="342" t="str">
        <f aca="false">IF($A134="N/A"," ",IF(CC=2,$DF134*DD134*CU134,0))</f>
        <v> </v>
      </c>
      <c r="DO134" s="342" t="str">
        <f aca="false">IF($A134="N/A"," ",IF(CC=2,$DF134*DE134*CV134,0))</f>
        <v> </v>
      </c>
      <c r="DP134" s="343" t="str">
        <f aca="false">IF($A134="N/A"," ",IF(CC=2,SUM(DG134:DO134),0))</f>
        <v> </v>
      </c>
      <c r="DQ134" s="0" t="str">
        <f aca="false">IF(A134="N/A"," ",Perstart)</f>
        <v> </v>
      </c>
      <c r="HD134" s="0" t="str">
        <f aca="false">IF($A134="N/A"," ",VLOOKUP($A134,NumberofDaysTable,2))</f>
        <v> </v>
      </c>
      <c r="HE134" s="0" t="str">
        <f aca="false">IF($A134="N/A"," ",VLOOKUP($A134,NumberofDaysTable,3))</f>
        <v> </v>
      </c>
      <c r="HF134" s="0" t="str">
        <f aca="false">IF($A134="N/A"," ",VLOOKUP($A134,NumberofDaysTable,4))</f>
        <v> </v>
      </c>
    </row>
    <row r="135" customFormat="false" ht="12.75" hidden="false" customHeight="false" outlineLevel="0" collapsed="false">
      <c r="A135" s="308" t="str">
        <f aca="false">IF(A134="N/A","N/A",IF(EDATE(A134,1)&gt;Inputs!$K$3,"N/A",EDATE(A134,1)))</f>
        <v>N/A</v>
      </c>
      <c r="B135" s="309" t="str">
        <f aca="false">IF(A135="N/A"," ",YEAR(A135))</f>
        <v> </v>
      </c>
      <c r="C135" s="310" t="str">
        <f aca="false">IF(A135="N/A"," ",VLOOKUP(A135,ScaledPrice,10))</f>
        <v> </v>
      </c>
      <c r="D135" s="311" t="str">
        <f aca="false">IF(A135="N/A"," ",(VLOOKUP(MONTH($A135),Hrtable,2))/1000)</f>
        <v> </v>
      </c>
      <c r="E135" s="312" t="str">
        <f aca="false">IF($A135="N/A"," ",(C135-'Pricing Inputs'!T168)*D135)</f>
        <v> </v>
      </c>
      <c r="F135" s="313" t="str">
        <f aca="false">IF(A135="N/A"," ",$F123*(1+VOMesc))</f>
        <v> </v>
      </c>
      <c r="G135" s="313" t="str">
        <f aca="false">IF(A135="N/A"," ",Perstart/IF(AND(Dayrun&gt;=4,Dayrun&lt;=6),16,IF(AND(Dayrun&gt;=7,Dayrun&lt;=9),8,24))/(BM135/CK135))</f>
        <v> </v>
      </c>
      <c r="H135" s="314" t="str">
        <f aca="false">IF(A135="N/A"," ",(C135*D135)+F135+G135)</f>
        <v> </v>
      </c>
      <c r="I135" s="315" t="str">
        <f aca="false">VLOOKUP(A135,ScaledPrice,(IF(AND(Dayrun&gt;=1,Dayrun&lt;=6),2,4)))</f>
        <v> </v>
      </c>
      <c r="J135" s="315" t="str">
        <f aca="false">IF(A135="N/A"," ",IF(AND(Dayrun&gt;=1,Dayrun&lt;=6),I135,(VLOOKUP(A135,ScaledPrice,2))*(2-(VLOOKUP(A135,ScaledPrice,3)))))</f>
        <v> </v>
      </c>
      <c r="K135" s="315" t="str">
        <f aca="false">IF(A135="N/A"," ",IF(AND(Dayrun&gt;=1,Dayrun&lt;=3),VLOOKUP(A135,ScaledPrice,9),0))</f>
        <v> </v>
      </c>
      <c r="L135" s="315" t="str">
        <f aca="false">IF(A135="N/A"," ",IF(OR(Dayrun=2,Dayrun=3,Dayrun=5,Dayrun=6,Dayrun=8,Dayrun=9),VLOOKUP(A135,ScaledPrice,IF(AND(Dayrun&gt;=2,Dayrun&lt;=6),5,6)),0))</f>
        <v> </v>
      </c>
      <c r="M135" s="315" t="str">
        <f aca="false">IF(A135="N/A"," ",IF(OR(Dayrun=2,Dayrun=3,Dayrun=5,Dayrun=6,Dayrun=8,Dayrun=9),IF(AND(Dayrun&gt;=2,Dayrun&lt;=6),L135,(VLOOKUP(A135,ScaledPrice,5))*(2-(VLOOKUP(A135,ScaledPrice,3)))),0))</f>
        <v> </v>
      </c>
      <c r="N135" s="315" t="str">
        <f aca="false">IF(A135="N/A"," ",IF(AND(Dayrun&gt;1,Dayrun&lt;=3),VLOOKUP(A135,ScaledPrice,9),0))</f>
        <v> </v>
      </c>
      <c r="O135" s="315" t="str">
        <f aca="false">IF(A135="N/A"," ",IF(OR(Dayrun=3,Dayrun=6,Dayrun=9),(VLOOKUP(A135,ScaledPrice,IF(AND(Dayrun&gt;=3,Dayrun&lt;=6),7,8))),0))</f>
        <v> </v>
      </c>
      <c r="P135" s="315" t="str">
        <f aca="false">IF(A135="N/A"," ",IF(OR(Dayrun=3,Dayrun=6,Dayrun=9),IF(AND(Dayrun&gt;=3,Dayrun&lt;=6),O135,(VLOOKUP(A135,ScaledPrice,7))*(2-(VLOOKUP(A135,ScaledPrice,3)))),0))</f>
        <v> </v>
      </c>
      <c r="Q135" s="315" t="str">
        <f aca="false">IF(A135="N/A"," ",IF(AND(Dayrun&gt;2,Dayrun&lt;=3),VLOOKUP(A135,ScaledPrice,9),0))</f>
        <v> </v>
      </c>
      <c r="R135" s="316" t="str">
        <f aca="false">IF($A135="N/A"," ",IF(Pricetype=2,MAX(I135-$H135,0),IF(Pricetype=1,(xSPRDOPT(I135,$E135,$CI135,0,($CD135+IF(Smile=TRUE(),VLOOKUP(MAX(-5,$H135-I135),Volsmile,2),0)),$CG135,$CH135,($A135-DateToday)+15,1,0)),I135-$H135)))</f>
        <v> </v>
      </c>
      <c r="S135" s="316" t="str">
        <f aca="false">IF($A135="N/A"," ",IF(Pricetype=2,MAX(J135-$H135,0),IF(Pricetype=1,(xSPRDOPT(J135,$E135,$CI135,0,($CD135+IF(Smile=TRUE(),VLOOKUP(MAX(-5,$H135-J135),Volsmile,2),0)),$CG135,$CH135,($A135-DateToday)+15,1,0)),J135-$H135)))</f>
        <v> </v>
      </c>
      <c r="T135" s="317" t="str">
        <f aca="false">IF($A135="N/A"," ",(IF(Pricetype=2,IF((K135-$H135)&lt;=0,0,(K135-$H135)),IF(K135&lt;&gt;0,(K135-$H135),0))))</f>
        <v> </v>
      </c>
      <c r="U135" s="316" t="str">
        <f aca="false">IF($A135="N/A"," ",IF(Pricetype=2,MAX(L135-$H135,0),IF(L135&lt;&gt;0,IF(Pricetype=1,(xSPRDOPT(L135,$E135,$CI135,0,($CD135+IF(Smile=TRUE(),VLOOKUP(MAX(-5,$H135-L135),Volsmile,2),0)),$CG135,$CH135,($A135-DateToday)+15,1,0)),L135-$H135),0)))</f>
        <v> </v>
      </c>
      <c r="V135" s="316" t="str">
        <f aca="false">IF($A135="N/A"," ",IF(Pricetype=2,MAX(M135-$H135,0),IF(M135&lt;&gt;0,IF(Pricetype=1,(xSPRDOPT(M135,$E135,$CI135,0,($CD135+IF(Smile=TRUE(),VLOOKUP(MAX(-5,$H135-M135),Volsmile,2),0)),$CG135,$CH135,($A135-DateToday)+15,1,0)),M135-$H135),0)))</f>
        <v> </v>
      </c>
      <c r="W135" s="317" t="str">
        <f aca="false">IF($A135="N/A"," ",(IF(Pricetype=2,IF((N135-$H135)&lt;=0,0,(N135-$H135)),IF(N135&lt;&gt;0,(N135-$H135),0))))</f>
        <v> </v>
      </c>
      <c r="X135" s="316" t="str">
        <f aca="false">IF($A135="N/A"," ",IF(Pricetype=2,MAX(O135-$H135,0),IF(O135&lt;&gt;0,IF(Pricetype=1,(xSPRDOPT(O135,$E135,$CI135,0,($CD135+IF(Smile=TRUE(),VLOOKUP(MAX(-5,$H135-O135),Volsmile,2),0)),$CG135,$CH135,($A135-DateToday)+15,1,0)),O135-$H135),0)))</f>
        <v> </v>
      </c>
      <c r="Y135" s="316" t="str">
        <f aca="false">IF($A135="N/A"," ",IF(Pricetype=2,MAX(P135-$H135,0),IF(P135&lt;&gt;0,IF(Pricetype=1,(xSPRDOPT(P135,$E135,$CI135,0,($CD135+IF(Smile=TRUE(),VLOOKUP(MAX(-5,$H135-P135),Volsmile,2),0)),$CG135,$CH135,($A135-DateToday)+15,1,0)),P135-$H135),0)))</f>
        <v> </v>
      </c>
      <c r="Z135" s="317" t="str">
        <f aca="false">IF($A135="N/A"," ",(IF(Pricetype=2,IF((Q135-$H135)&lt;=0,0,(Q135-$H135)),IF(Q135&lt;&gt;0,(Q135-$H135),0))))</f>
        <v> </v>
      </c>
      <c r="AA135" s="318" t="str">
        <f aca="false">IF($A135="N/A"," ",IF(VLOOKUP(MONTH(A135),ManualTable,2)=1,(IF(0&lt;&gt;R135,IF(Pricetype=1,(xSPRDOPT(I135,$E135,$CI135,0,($CD135+IF(Smile=TRUE(),VLOOKUP(MAX(-5,$H135-I135),Volsmile,2),0)),$CG135,$CH135,($A135-DateToday)+15,1,1))*(8*$HD135),8*$HD135),0)),0))</f>
        <v> </v>
      </c>
      <c r="AB135" s="318" t="str">
        <f aca="false">IF($A135="N/A"," ",IF(VLOOKUP(MONTH(A135),ManualTable,3)=1,(IF(S135&lt;&gt;0,IF(Pricetype=1,(xSPRDOPT(J135,$E135,$CI135,0,($CD135+IF(Smile=TRUE(),VLOOKUP(MAX(-5,$H135-J135),Volsmile,2),0)),$CG135,$CH135,($A135-DateToday)+15,1,1))*(8*$HD135),8*$HD135),0)),0))</f>
        <v> </v>
      </c>
      <c r="AC135" s="318" t="str">
        <f aca="false">IF($A135="N/A"," ",IF(VLOOKUP(MONTH(A135),ManualTable,4)=1,(IF(T135&lt;&gt;0,(8*$HD135),0)),0))</f>
        <v> </v>
      </c>
      <c r="AD135" s="318" t="str">
        <f aca="false">IF($A135="N/A"," ",IF(VLOOKUP(MONTH(A135),ManualTable,5)=1,(IF(U135&lt;&gt;0,IF(Pricetype=1,(xSPRDOPT(L135,$E135,$CI135,0,($CD135+IF(Smile=TRUE(),VLOOKUP(MAX(-5,$H135-L135),Volsmile,2),0)),$CG135,$CH135,($A135-DateToday)+15,1,1))*(8*$HE135),8*$HE135),0)),0))</f>
        <v> </v>
      </c>
      <c r="AE135" s="318" t="str">
        <f aca="false">IF($A135="N/A"," ",IF(VLOOKUP(MONTH(A135),ManualTable,6)=1,(IF(V135&lt;&gt;0,IF(Pricetype=1,(xSPRDOPT(M135,$E135,$CI135,0,($CD135+IF(Smile=TRUE(),VLOOKUP(MAX(-5,$H135-M135),Volsmile,2),0)),$CG135,$CH135,($A135-DateToday)+15,1,1))*(8*$HE135),8*$HE135),0)),0))</f>
        <v> </v>
      </c>
      <c r="AF135" s="318" t="str">
        <f aca="false">IF($A135="N/A"," ",IF(VLOOKUP(MONTH(A135),ManualTable,7)=1,(IF(W135&lt;&gt;0,(8*$HE135),0)),0))</f>
        <v> </v>
      </c>
      <c r="AG135" s="318" t="str">
        <f aca="false">IF($A135="N/A"," ",IF(VLOOKUP(MONTH(A135),ManualTable,8)=1,(IF(X135&lt;&gt;0,IF(Pricetype=1,(xSPRDOPT(O135,$E135,$CI135,0,($CD135+IF(Smile=TRUE(),VLOOKUP(MAX(-5,$H135-O135),Volsmile,2),0)),$CG135,$CH135,($A135-DateToday)+15,1,1))*(8*$HF135),8*$HF135),0)),0))</f>
        <v> </v>
      </c>
      <c r="AH135" s="318" t="str">
        <f aca="false">IF($A135="N/A"," ",IF(VLOOKUP(MONTH(A135),ManualTable,9)=1,(IF(Y135&lt;&gt;0,IF(Pricetype=1,(xSPRDOPT(P135,$E135,$CI135,0,($CD135+IF(Smile=TRUE(),VLOOKUP(MAX(-5,$H135-P135),Volsmile,2),0)),$CG135,$CH135,($A135-DateToday)+15,1,1))*(8*$HF135),8*$HF135),0)),0))</f>
        <v> </v>
      </c>
      <c r="AI135" s="318" t="str">
        <f aca="false">IF($A135="N/A"," ",IF(VLOOKUP(MONTH(A135),ManualTable,10)=1,(IF(Z135&lt;&gt;0,(8*($HF135)),0)),0))</f>
        <v> </v>
      </c>
      <c r="AJ135" s="349" t="str">
        <f aca="false">IF($A135="N/A"," ",RANK(R135,$R$124:$Z$135))</f>
        <v> </v>
      </c>
      <c r="AK135" s="350" t="str">
        <f aca="false">IF($A135="N/A"," ",RANK(S135,$R$124:$Z$135))</f>
        <v> </v>
      </c>
      <c r="AL135" s="350" t="str">
        <f aca="false">IF($A135="N/A"," ",RANK(T135,$R$124:$Z$135))</f>
        <v> </v>
      </c>
      <c r="AM135" s="350" t="str">
        <f aca="false">IF($A135="N/A"," ",RANK(U135,$R$124:$Z$135))</f>
        <v> </v>
      </c>
      <c r="AN135" s="350" t="str">
        <f aca="false">IF($A135="N/A"," ",RANK(V135,$R$124:$Z$135))</f>
        <v> </v>
      </c>
      <c r="AO135" s="350" t="str">
        <f aca="false">IF($A135="N/A"," ",RANK(W135,$R$124:$Z$135))</f>
        <v> </v>
      </c>
      <c r="AP135" s="350" t="str">
        <f aca="false">IF($A135="N/A"," ",RANK(X135,$R$124:$Z$135))</f>
        <v> </v>
      </c>
      <c r="AQ135" s="350" t="str">
        <f aca="false">IF($A135="N/A"," ",RANK(Y135,$R$124:$Z$135))</f>
        <v> </v>
      </c>
      <c r="AR135" s="351" t="str">
        <f aca="false">IF($A135="N/A"," ",RANK(Z135,$R$124:$Z$135))</f>
        <v> </v>
      </c>
      <c r="AS135" s="352" t="str">
        <f aca="false">IF($A135="N/A"," ",IF(AJ135&lt;=$AR$2,AA135,0))</f>
        <v> </v>
      </c>
      <c r="AT135" s="353" t="str">
        <f aca="false">IF($A135="N/A"," ",IF(AK135&lt;=$AR$2,AB135,0))</f>
        <v> </v>
      </c>
      <c r="AU135" s="353" t="str">
        <f aca="false">IF($A135="N/A"," ",IF(AL135&lt;=$AR$2,AC135,0))</f>
        <v> </v>
      </c>
      <c r="AV135" s="353" t="str">
        <f aca="false">IF($A135="N/A"," ",IF(AM135&lt;=$AR$2,AD135,0))</f>
        <v> </v>
      </c>
      <c r="AW135" s="353" t="str">
        <f aca="false">IF($A135="N/A"," ",IF(AN135&lt;=$AR$2,AE135,0))</f>
        <v> </v>
      </c>
      <c r="AX135" s="353" t="str">
        <f aca="false">IF($A135="N/A"," ",IF(AO135&lt;=$AR$2,AF135,0))</f>
        <v> </v>
      </c>
      <c r="AY135" s="353" t="str">
        <f aca="false">IF($A135="N/A"," ",IF(AP135&lt;=$AR$2,AG135,0))</f>
        <v> </v>
      </c>
      <c r="AZ135" s="353" t="str">
        <f aca="false">IF($A135="N/A"," ",IF(AQ135&lt;=$AR$2,AH135,0))</f>
        <v> </v>
      </c>
      <c r="BA135" s="353" t="str">
        <f aca="false">IF($A135="N/A"," ",IF(AR135&lt;=$AR$2,AI135,0))</f>
        <v> </v>
      </c>
      <c r="BB135" s="351" t="n">
        <f aca="false">IF(($AZ$2-BB134)&gt;=0,$AZ$2-BB134,0)</f>
        <v>980</v>
      </c>
      <c r="BC135" s="354" t="str">
        <f aca="false">IF($A135="N/A"," ",IF(AND(AJ135=$AR$2+1,AS135=0),MIN($BB$135,AA135),0))</f>
        <v> </v>
      </c>
      <c r="BD135" s="355" t="str">
        <f aca="false">IF($A135="N/A"," ",IF(AND(AK135=$AR$2+1,AT135=0),MIN($BB$135,AB135),0))</f>
        <v> </v>
      </c>
      <c r="BE135" s="346" t="str">
        <f aca="false">IF($A135="N/A"," ",IF(AND(AL135=$AR$2+1,AU135=0),MIN($BB$135,AC135),0))</f>
        <v> </v>
      </c>
      <c r="BF135" s="355" t="str">
        <f aca="false">IF($A135="N/A"," ",IF(AND(AM135=$AR$2+1,AV135=0),MIN($BB$135,AD135),0))</f>
        <v> </v>
      </c>
      <c r="BG135" s="355" t="str">
        <f aca="false">IF($A135="N/A"," ",IF(AND(AN135=$AR$2+1,AW135=0),MIN($BB$135,AE135),0))</f>
        <v> </v>
      </c>
      <c r="BH135" s="346" t="str">
        <f aca="false">IF($A135="N/A"," ",IF(AND(AO135=$AR$2+1,AX135=0),MIN($BB$135,AF135),0))</f>
        <v> </v>
      </c>
      <c r="BI135" s="355" t="str">
        <f aca="false">IF($A135="N/A"," ",IF(AND(AP135=$AR$2+1,AY135=0),MIN($BB$135,AG135),0))</f>
        <v> </v>
      </c>
      <c r="BJ135" s="355" t="str">
        <f aca="false">IF($A135="N/A"," ",IF(AND(AQ135=$AR$2+1,AZ135=0),MIN($BB$135,AH135),0))</f>
        <v> </v>
      </c>
      <c r="BK135" s="355" t="str">
        <f aca="false">IF($A135="N/A"," ",IF(AND(AR135=$AR$2+1,BA135=0),MIN($BB$135,AI135),0))</f>
        <v> </v>
      </c>
      <c r="BL135" s="356" t="n">
        <f aca="false">BB134+BL134</f>
        <v>0</v>
      </c>
      <c r="BM135" s="329" t="str">
        <f aca="false">IF($A135="N/A"," ",(IF(MONTH(A135)&gt;=4,IF(MONTH(A135)&lt;=10,Inputs!$F$13-Inputs!$G$13,Inputs!$F$14-Inputs!$G$14),Inputs!$F$14-Inputs!$G$14))*$CK135*Availability)</f>
        <v> </v>
      </c>
      <c r="BN135" s="330" t="str">
        <f aca="false">IF($A135="N/A"," ",(IF(AS135&gt;0,($BM135*(8*($HD135))*R135),0)+IF(BC135&gt;0,($BM135*((BC135/AA135)*8*$HD135)*R135),0)))</f>
        <v> </v>
      </c>
      <c r="BO135" s="330" t="str">
        <f aca="false">IF($A135="N/A"," ",(IF(AT135&gt;0,($BM135*(8*($HD135))*S135),0)+IF(BD135&gt;0,($BM135*((BD135/AB135)*8*$HD135)*S135),0)))</f>
        <v> </v>
      </c>
      <c r="BP135" s="330" t="str">
        <f aca="false">IF($A135="N/A"," ",(IF(AU135&gt;0,($BM135*(8*($HD135))*T135),0)+IF(BE135&gt;0,($BM135*((BE135))*T135),0)))</f>
        <v> </v>
      </c>
      <c r="BQ135" s="330" t="str">
        <f aca="false">IF($A135="N/A"," ",(IF(AV135&gt;0,($BM135*(8*($HE135))*U135),0)+IF(BF135&gt;0,($BM135*((BF135/AD135)*8*$HE135)*U135),0)))</f>
        <v> </v>
      </c>
      <c r="BR135" s="330" t="str">
        <f aca="false">IF($A135="N/A"," ",(IF(AW135&gt;0,($BM135*(8*($HE135))*V135),0)+IF(BG135&gt;0,($BM135*((BG135/AE135)*8*$HE135)*V135),0)))</f>
        <v> </v>
      </c>
      <c r="BS135" s="330" t="str">
        <f aca="false">IF($A135="N/A"," ",(IF(AX135&gt;0,($BM135*(8*($HE135))*W135),0)+IF(BH135&gt;0,($BM135*((BH135))*W135),0)))</f>
        <v> </v>
      </c>
      <c r="BT135" s="330" t="str">
        <f aca="false">IF($A135="N/A"," ",(IF(AY135&gt;0,($BM135*(8*($HF135))*X135),0)+IF(BI135&gt;0,($BM135*((BI135/AG135)*8*$HF135)*X135),0)))</f>
        <v> </v>
      </c>
      <c r="BU135" s="330" t="str">
        <f aca="false">IF($A135="N/A"," ",(IF(AZ135&gt;0,($BM135*(8*($HF135))*Y135),0)+IF(BJ135&gt;0,($BM135*((BJ135/AH135)*8*$HF135)*Y135),0)))</f>
        <v> </v>
      </c>
      <c r="BV135" s="330" t="str">
        <f aca="false">IF($A135="N/A"," ",(IF(BA135&gt;0,($BM135*(8*($HF135))*Z135),0)+IF(BK135&gt;0,($BM135*((BK135))*Z135),0)))</f>
        <v> </v>
      </c>
      <c r="BW135" s="330" t="str">
        <f aca="false">IF($A135="N/A"," ",SUM(BN135:BV135))</f>
        <v> </v>
      </c>
      <c r="BX135" s="331" t="str">
        <f aca="false">IF($A135="N/A"," ",(H135*(SUM(AS135:BA135)+SUM(BC135:BK135))*BM135))</f>
        <v> </v>
      </c>
      <c r="BY135" s="332" t="str">
        <f aca="false">IF($A135="N/A"," ",((C135*D135)*(SUM($AS135:$BA135)+SUM($BC135:$BK135))*$BM135))</f>
        <v> </v>
      </c>
      <c r="BZ135" s="332" t="str">
        <f aca="false">IF($A135="N/A"," ",(F135*(SUM($AS135:$BA135)+SUM($BC135:$BK135))*$BM135))</f>
        <v> </v>
      </c>
      <c r="CA135" s="333" t="str">
        <f aca="false">IF($A135="N/A"," ",(G135*(SUM($AS135:$BA135)+SUM($BC135:$BK135))*$BM135))</f>
        <v> </v>
      </c>
      <c r="CB135" s="334" t="str">
        <f aca="false">IF(A135="N/A"," ",(VLOOKUP(A135,PowerVolTable,(IF(BMO=2,7,IF(BMO=1,6,8))),FALSE())))</f>
        <v> </v>
      </c>
      <c r="CC135" s="334" t="str">
        <f aca="false">IF(A135="N/A"," ",(VLOOKUP(A135,IntraPowerVol,(IF(BMO=2,3,IF(BMO=1,2,4))),FALSE())*VLOOKUP(MONTH($A135),Volscale,2)))</f>
        <v> </v>
      </c>
      <c r="CD135" s="335" t="str">
        <f aca="false">IF($A135="N/A"," ",(IF(DateToday&gt;$A135,$CC135,((($CB135^2)*((($A135-1)-DateToday)/((EOMONTH($A135,0)+1)-DateToday-15)))+((($CC135)^2)*((15)/((EOMONTH($A135,0)+1)-DateToday-15))))^0.5)))</f>
        <v> </v>
      </c>
      <c r="CE135" s="334" t="str">
        <f aca="false">IF($A135="N/A"," ",(VLOOKUP($A135,GasVolTable,(IF(BMO=2,6,IF(BMO=1,7,5))),FALSE())))</f>
        <v> </v>
      </c>
      <c r="CF135" s="334" t="str">
        <f aca="false">IF($A135="N/A"," ",(VLOOKUP($A135,OmicronVol,(IF(BMO=2,3,IF(BMO=1,4,2))),FALSE())))</f>
        <v> </v>
      </c>
      <c r="CG135" s="335" t="str">
        <f aca="false">IF($A135="N/A"," ",(IF(DateToday&gt;$A135,$CF135,((($CE135^2)*((($A135-1)-DateToday)/((EOMONTH($A135,0)+1)-DateToday-15)))+((($CF135)^2)*((15)/((EOMONTH($A135,0)+1)-DateToday-15))))^0.5)))</f>
        <v> </v>
      </c>
      <c r="CH135" s="334" t="str">
        <f aca="false">IF($A135="N/A"," ",VLOOKUP($A135,CorrelationTable,2,FALSE()))</f>
        <v> </v>
      </c>
      <c r="CI135" s="336" t="str">
        <f aca="false">IF($A135="N/A"," ",F135+G135+(D135*('Pricing Inputs'!T168)))</f>
        <v> </v>
      </c>
      <c r="CJ135" s="334" t="str">
        <f aca="false">IF($A135="N/A"," ",IF(PV=1,0,'Pricing Inputs'!U168))</f>
        <v> </v>
      </c>
      <c r="CK135" s="337" t="str">
        <f aca="false">IF($A135="N/A"," ",(1+CJ135/2)^(-2*((EOMONTH(A135,0)+20)-DateToday)/365.25))</f>
        <v> </v>
      </c>
      <c r="CL135" s="338" t="str">
        <f aca="false">IF(A135="N/A"," ",IF(CC=2,(VLOOKUP(MONTH($A135),Hrtable,3))/1000,0))</f>
        <v> </v>
      </c>
      <c r="CM135" s="339" t="str">
        <f aca="false">IF(A135="N/A"," ",IF(CC=2,(CL135*C135)+F135,0))</f>
        <v> </v>
      </c>
      <c r="CN135" s="340" t="str">
        <f aca="false">IF($A135="N/A"," ",IF(CC=2,(VLOOKUP(A135,ScaledPrice,(IF(AND(Dayrun&gt;=1,Dayrun&lt;=6),2,4)))-((IF(R135&lt;&gt;0,$D135,$CL135)*$C135)+$F135+$G135)),0))</f>
        <v> </v>
      </c>
      <c r="CO135" s="340" t="str">
        <f aca="false">IF($A135="N/A"," ",IF(CC=2,(IF(AND(Dayrun&gt;=1,Dayrun&lt;=6),I135,(VLOOKUP(A135,ScaledPrice,2))*(2-(VLOOKUP(A135,ScaledPrice,3))))-((IF(S135&lt;&gt;0,$D135,$CL135)*$C135)+$F135+$G135)),0))</f>
        <v> </v>
      </c>
      <c r="CP135" s="340" t="str">
        <f aca="false">IF(A135="N/A"," ",IF(CC=2,(VLOOKUP(A135,ScaledPrice,9)-((IF(T135&lt;&gt;0,$D135,$CL135)*$C135)+$F135+$G135)),0))</f>
        <v> </v>
      </c>
      <c r="CQ135" s="340" t="str">
        <f aca="false">IF(A135="N/A"," ",IF(CC=2,(IF(OR(Dayrun=2,Dayrun=3,Dayrun=5,Dayrun=6,Dayrun=8,Dayrun=9),VLOOKUP(A135,ScaledPrice,IF(AND(Dayrun&gt;=2,Dayrun&lt;=6),5,6)),0)-((IF(U135&lt;&gt;0,$D135,$CL135)*$C135)+$F135+$G135)),0))</f>
        <v> </v>
      </c>
      <c r="CR135" s="340" t="str">
        <f aca="false">IF(A135="N/A"," ",IF(CC=2,(IF(OR(Dayrun=2,Dayrun=3,Dayrun=5,Dayrun=6,Dayrun=8,Dayrun=9),IF(AND(Dayrun&gt;=2,Dayrun&lt;=6),L135,(VLOOKUP(A135,ScaledPrice,5))*(2-(VLOOKUP(A135,ScaledPrice,3)))),0)-((IF(V135&lt;&gt;0,$D135,$CL135)*$C135)+$F135+$G135)),0))</f>
        <v> </v>
      </c>
      <c r="CS135" s="340" t="str">
        <f aca="false">IF(A135="N/A"," ",IF(CC=2,(VLOOKUP(A135,ScaledPrice,9)-((IF(W135&lt;&gt;0,$D135,$CL135)*$C135)+$F135+$G135)),0))</f>
        <v> </v>
      </c>
      <c r="CT135" s="340" t="str">
        <f aca="false">IF(A135="N/A"," ",IF(CC=2,(IF(OR(Dayrun=3,Dayrun=6,Dayrun=9),(VLOOKUP(A135,ScaledPrice,IF(AND(Dayrun&gt;=3,Dayrun&lt;=6),7,8))),0)-((IF(X135&lt;&gt;0,$D135,$CL135)*$C135)+$F135+$G135)),0))</f>
        <v> </v>
      </c>
      <c r="CU135" s="340" t="str">
        <f aca="false">IF(A135="N/A"," ",IF(CC=2,(IF(OR(Dayrun=3,Dayrun=6,Dayrun=9),IF(AND(Dayrun&gt;=3,Dayrun&lt;=6),O135,(VLOOKUP(A135,ScaledPrice,7))*(2-(VLOOKUP(A135,ScaledPrice,3)))),0)-((IF(Y135&lt;&gt;0,$D135,$CL135)*$C135)+$F135+$G135)),0))</f>
        <v> </v>
      </c>
      <c r="CV135" s="340" t="str">
        <f aca="false">IF(A135="N/A"," ",IF(CC=2,(VLOOKUP(A135,ScaledPrice,9)-((IF(Z135&lt;&gt;0,$D135,$CL135)*$C135)+$F135+$G135)),0))</f>
        <v> </v>
      </c>
      <c r="CW135" s="318" t="str">
        <f aca="false">IF($A135="N/A"," ",IF(0&lt;&gt;CN135,IF(CC=2,8*$HD135,0),0))</f>
        <v> </v>
      </c>
      <c r="CX135" s="318" t="str">
        <f aca="false">IF($A135="N/A"," ",IF(0&lt;&gt;CO135,IF(CC=2,8*$HD135,0),0))</f>
        <v> </v>
      </c>
      <c r="CY135" s="318" t="str">
        <f aca="false">IF($A135="N/A"," ",IF(0&lt;&gt;CP135,IF(CC=2,8*$HD135,0),0))</f>
        <v> </v>
      </c>
      <c r="CZ135" s="318" t="str">
        <f aca="false">IF($A135="N/A"," ",IF(0&lt;&gt;CQ135,IF(CC=2,8*$HE135,0),0))</f>
        <v> </v>
      </c>
      <c r="DA135" s="318" t="str">
        <f aca="false">IF($A135="N/A"," ",IF(0&lt;&gt;CR135,IF(CC=2,8*$HE135,0),0))</f>
        <v> </v>
      </c>
      <c r="DB135" s="318" t="str">
        <f aca="false">IF($A135="N/A"," ",IF(0&lt;&gt;CS135,IF(CC=2,8*$HE135,0),0))</f>
        <v> </v>
      </c>
      <c r="DC135" s="318" t="str">
        <f aca="false">IF($A135="N/A"," ",IF(0&lt;&gt;CT135,IF(CC=2,8*$HF135,0),0))</f>
        <v> </v>
      </c>
      <c r="DD135" s="318" t="str">
        <f aca="false">IF($A135="N/A"," ",IF(0&lt;&gt;CU135,IF(CC=2,8*$HF135,0),0))</f>
        <v> </v>
      </c>
      <c r="DE135" s="318" t="str">
        <f aca="false">IF($A135="N/A"," ",IF(0&lt;&gt;CV135,IF(CC=2,8*$HF135,0),0))</f>
        <v> </v>
      </c>
      <c r="DF135" s="341" t="str">
        <f aca="false">IF($A135="N/A"," ",IF(CC=2,(IF(MONTH(A135)&gt;=4,IF(MONTH(A135)&lt;=10,Inputs!$G$13,Inputs!$G$14),Inputs!$G$14))*$CK135,0))</f>
        <v> </v>
      </c>
      <c r="DG135" s="342" t="str">
        <f aca="false">IF($A135="N/A"," ",IF(CC=2,$DF135*CW135*CN135,0))</f>
        <v> </v>
      </c>
      <c r="DH135" s="342" t="str">
        <f aca="false">IF($A135="N/A"," ",IF(CC=2,$DF135*CX135*CO135,0))</f>
        <v> </v>
      </c>
      <c r="DI135" s="342" t="str">
        <f aca="false">IF($A135="N/A"," ",IF(CC=2,$DF135*CY135*CP135,0))</f>
        <v> </v>
      </c>
      <c r="DJ135" s="342" t="str">
        <f aca="false">IF($A135="N/A"," ",IF(CC=2,$DF135*CZ135*CQ135,0))</f>
        <v> </v>
      </c>
      <c r="DK135" s="342" t="str">
        <f aca="false">IF($A135="N/A"," ",IF(CC=2,$DF135*DA135*CR135,0))</f>
        <v> </v>
      </c>
      <c r="DL135" s="342" t="str">
        <f aca="false">IF($A135="N/A"," ",IF(CC=2,$DF135*DB135*CS135,0))</f>
        <v> </v>
      </c>
      <c r="DM135" s="342" t="str">
        <f aca="false">IF($A135="N/A"," ",IF(CC=2,$DF135*DC135*CT135,0))</f>
        <v> </v>
      </c>
      <c r="DN135" s="342" t="str">
        <f aca="false">IF($A135="N/A"," ",IF(CC=2,$DF135*DD135*CU135,0))</f>
        <v> </v>
      </c>
      <c r="DO135" s="342" t="str">
        <f aca="false">IF($A135="N/A"," ",IF(CC=2,$DF135*DE135*CV135,0))</f>
        <v> </v>
      </c>
      <c r="DP135" s="343" t="str">
        <f aca="false">IF($A135="N/A"," ",IF(CC=2,SUM(DG135:DO135),0))</f>
        <v> </v>
      </c>
      <c r="DQ135" s="0" t="str">
        <f aca="false">IF(A135="N/A"," ",Perstart)</f>
        <v> </v>
      </c>
      <c r="HD135" s="0" t="str">
        <f aca="false">IF($A135="N/A"," ",VLOOKUP($A135,NumberofDaysTable,2))</f>
        <v> </v>
      </c>
      <c r="HE135" s="0" t="str">
        <f aca="false">IF($A135="N/A"," ",VLOOKUP($A135,NumberofDaysTable,3))</f>
        <v> </v>
      </c>
      <c r="HF135" s="0" t="str">
        <f aca="false">IF($A135="N/A"," ",VLOOKUP($A135,NumberofDaysTable,4))</f>
        <v> </v>
      </c>
    </row>
    <row r="136" customFormat="false" ht="12.75" hidden="false" customHeight="false" outlineLevel="0" collapsed="false">
      <c r="A136" s="308" t="str">
        <f aca="false">IF(A135="N/A","N/A",IF(EDATE(A135,1)&gt;Inputs!$K$3,"N/A",EDATE(A135,1)))</f>
        <v>N/A</v>
      </c>
      <c r="B136" s="309" t="str">
        <f aca="false">IF(A136="N/A"," ",YEAR(A136))</f>
        <v> </v>
      </c>
      <c r="C136" s="310" t="str">
        <f aca="false">IF(A136="N/A"," ",VLOOKUP(A136,ScaledPrice,10))</f>
        <v> </v>
      </c>
      <c r="D136" s="311" t="str">
        <f aca="false">IF(A136="N/A"," ",(VLOOKUP(MONTH($A136),Hrtable,2))/1000)</f>
        <v> </v>
      </c>
      <c r="E136" s="312" t="str">
        <f aca="false">IF($A136="N/A"," ",(C136-'Pricing Inputs'!T169)*D136)</f>
        <v> </v>
      </c>
      <c r="F136" s="313" t="str">
        <f aca="false">IF(A136="N/A"," ",$F124*(1+VOMesc))</f>
        <v> </v>
      </c>
      <c r="G136" s="313" t="str">
        <f aca="false">IF(A136="N/A"," ",Perstart/IF(AND(Dayrun&gt;=4,Dayrun&lt;=6),16,IF(AND(Dayrun&gt;=7,Dayrun&lt;=9),8,24))/(BM136/CK136))</f>
        <v> </v>
      </c>
      <c r="H136" s="314" t="str">
        <f aca="false">IF(A136="N/A"," ",(C136*D136)+F136+G136)</f>
        <v> </v>
      </c>
      <c r="I136" s="315" t="str">
        <f aca="false">VLOOKUP(A136,ScaledPrice,(IF(AND(Dayrun&gt;=1,Dayrun&lt;=6),2,4)))</f>
        <v> </v>
      </c>
      <c r="J136" s="315" t="str">
        <f aca="false">IF(A136="N/A"," ",IF(AND(Dayrun&gt;=1,Dayrun&lt;=6),I136,(VLOOKUP(A136,ScaledPrice,2))*(2-(VLOOKUP(A136,ScaledPrice,3)))))</f>
        <v> </v>
      </c>
      <c r="K136" s="315" t="str">
        <f aca="false">IF(A136="N/A"," ",IF(AND(Dayrun&gt;=1,Dayrun&lt;=3),VLOOKUP(A136,ScaledPrice,9),0))</f>
        <v> </v>
      </c>
      <c r="L136" s="315" t="str">
        <f aca="false">IF(A136="N/A"," ",IF(OR(Dayrun=2,Dayrun=3,Dayrun=5,Dayrun=6,Dayrun=8,Dayrun=9),VLOOKUP(A136,ScaledPrice,IF(AND(Dayrun&gt;=2,Dayrun&lt;=6),5,6)),0))</f>
        <v> </v>
      </c>
      <c r="M136" s="315" t="str">
        <f aca="false">IF(A136="N/A"," ",IF(OR(Dayrun=2,Dayrun=3,Dayrun=5,Dayrun=6,Dayrun=8,Dayrun=9),IF(AND(Dayrun&gt;=2,Dayrun&lt;=6),L136,(VLOOKUP(A136,ScaledPrice,5))*(2-(VLOOKUP(A136,ScaledPrice,3)))),0))</f>
        <v> </v>
      </c>
      <c r="N136" s="315" t="str">
        <f aca="false">IF(A136="N/A"," ",IF(AND(Dayrun&gt;1,Dayrun&lt;=3),VLOOKUP(A136,ScaledPrice,9),0))</f>
        <v> </v>
      </c>
      <c r="O136" s="315" t="str">
        <f aca="false">IF(A136="N/A"," ",IF(OR(Dayrun=3,Dayrun=6,Dayrun=9),(VLOOKUP(A136,ScaledPrice,IF(AND(Dayrun&gt;=3,Dayrun&lt;=6),7,8))),0))</f>
        <v> </v>
      </c>
      <c r="P136" s="315" t="str">
        <f aca="false">IF(A136="N/A"," ",IF(OR(Dayrun=3,Dayrun=6,Dayrun=9),IF(AND(Dayrun&gt;=3,Dayrun&lt;=6),O136,(VLOOKUP(A136,ScaledPrice,7))*(2-(VLOOKUP(A136,ScaledPrice,3)))),0))</f>
        <v> </v>
      </c>
      <c r="Q136" s="315" t="str">
        <f aca="false">IF(A136="N/A"," ",IF(AND(Dayrun&gt;2,Dayrun&lt;=3),VLOOKUP(A136,ScaledPrice,9),0))</f>
        <v> </v>
      </c>
      <c r="R136" s="316" t="str">
        <f aca="false">IF($A136="N/A"," ",IF(Pricetype=2,MAX(I136-$H136,0),IF(Pricetype=1,(xSPRDOPT(I136,$E136,$CI136,0,($CD136+IF(Smile=TRUE(),VLOOKUP(MAX(-5,$H136-I136),Volsmile,2),0)),$CG136,$CH136,($A136-DateToday)+15,1,0)),I136-$H136)))</f>
        <v> </v>
      </c>
      <c r="S136" s="316" t="str">
        <f aca="false">IF($A136="N/A"," ",IF(Pricetype=2,MAX(J136-$H136,0),IF(Pricetype=1,(xSPRDOPT(J136,$E136,$CI136,0,($CD136+IF(Smile=TRUE(),VLOOKUP(MAX(-5,$H136-J136),Volsmile,2),0)),$CG136,$CH136,($A136-DateToday)+15,1,0)),J136-$H136)))</f>
        <v> </v>
      </c>
      <c r="T136" s="317" t="str">
        <f aca="false">IF($A136="N/A"," ",(IF(Pricetype=2,IF((K136-$H136)&lt;=0,0,(K136-$H136)),IF(K136&lt;&gt;0,(K136-$H136),0))))</f>
        <v> </v>
      </c>
      <c r="U136" s="316" t="str">
        <f aca="false">IF($A136="N/A"," ",IF(Pricetype=2,MAX(L136-$H136,0),IF(L136&lt;&gt;0,IF(Pricetype=1,(xSPRDOPT(L136,$E136,$CI136,0,($CD136+IF(Smile=TRUE(),VLOOKUP(MAX(-5,$H136-L136),Volsmile,2),0)),$CG136,$CH136,($A136-DateToday)+15,1,0)),L136-$H136),0)))</f>
        <v> </v>
      </c>
      <c r="V136" s="316" t="str">
        <f aca="false">IF($A136="N/A"," ",IF(Pricetype=2,MAX(M136-$H136,0),IF(M136&lt;&gt;0,IF(Pricetype=1,(xSPRDOPT(M136,$E136,$CI136,0,($CD136+IF(Smile=TRUE(),VLOOKUP(MAX(-5,$H136-M136),Volsmile,2),0)),$CG136,$CH136,($A136-DateToday)+15,1,0)),M136-$H136),0)))</f>
        <v> </v>
      </c>
      <c r="W136" s="317" t="str">
        <f aca="false">IF($A136="N/A"," ",(IF(Pricetype=2,IF((N136-$H136)&lt;=0,0,(N136-$H136)),IF(N136&lt;&gt;0,(N136-$H136),0))))</f>
        <v> </v>
      </c>
      <c r="X136" s="316" t="str">
        <f aca="false">IF($A136="N/A"," ",IF(Pricetype=2,MAX(O136-$H136,0),IF(O136&lt;&gt;0,IF(Pricetype=1,(xSPRDOPT(O136,$E136,$CI136,0,($CD136+IF(Smile=TRUE(),VLOOKUP(MAX(-5,$H136-O136),Volsmile,2),0)),$CG136,$CH136,($A136-DateToday)+15,1,0)),O136-$H136),0)))</f>
        <v> </v>
      </c>
      <c r="Y136" s="316" t="str">
        <f aca="false">IF($A136="N/A"," ",IF(Pricetype=2,MAX(P136-$H136,0),IF(P136&lt;&gt;0,IF(Pricetype=1,(xSPRDOPT(P136,$E136,$CI136,0,($CD136+IF(Smile=TRUE(),VLOOKUP(MAX(-5,$H136-P136),Volsmile,2),0)),$CG136,$CH136,($A136-DateToday)+15,1,0)),P136-$H136),0)))</f>
        <v> </v>
      </c>
      <c r="Z136" s="317" t="str">
        <f aca="false">IF($A136="N/A"," ",(IF(Pricetype=2,IF((Q136-$H136)&lt;=0,0,(Q136-$H136)),IF(Q136&lt;&gt;0,(Q136-$H136),0))))</f>
        <v> </v>
      </c>
      <c r="AA136" s="318" t="str">
        <f aca="false">IF($A136="N/A"," ",IF(VLOOKUP(MONTH(A136),ManualTable,2)=1,(IF(0&lt;&gt;R136,IF(Pricetype=1,(xSPRDOPT(I136,$E136,$CI136,0,($CD136+IF(Smile=TRUE(),VLOOKUP(MAX(-5,$H136-I136),Volsmile,2),0)),$CG136,$CH136,($A136-DateToday)+15,1,1))*(8*$HD136),8*$HD136),0)),0))</f>
        <v> </v>
      </c>
      <c r="AB136" s="318" t="str">
        <f aca="false">IF($A136="N/A"," ",IF(VLOOKUP(MONTH(A136),ManualTable,3)=1,(IF(S136&lt;&gt;0,IF(Pricetype=1,(xSPRDOPT(J136,$E136,$CI136,0,($CD136+IF(Smile=TRUE(),VLOOKUP(MAX(-5,$H136-J136),Volsmile,2),0)),$CG136,$CH136,($A136-DateToday)+15,1,1))*(8*$HD136),8*$HD136),0)),0))</f>
        <v> </v>
      </c>
      <c r="AC136" s="318" t="str">
        <f aca="false">IF($A136="N/A"," ",IF(VLOOKUP(MONTH(A136),ManualTable,4)=1,(IF(T136&lt;&gt;0,(8*$HD136),0)),0))</f>
        <v> </v>
      </c>
      <c r="AD136" s="318" t="str">
        <f aca="false">IF($A136="N/A"," ",IF(VLOOKUP(MONTH(A136),ManualTable,5)=1,(IF(U136&lt;&gt;0,IF(Pricetype=1,(xSPRDOPT(L136,$E136,$CI136,0,($CD136+IF(Smile=TRUE(),VLOOKUP(MAX(-5,$H136-L136),Volsmile,2),0)),$CG136,$CH136,($A136-DateToday)+15,1,1))*(8*$HE136),8*$HE136),0)),0))</f>
        <v> </v>
      </c>
      <c r="AE136" s="318" t="str">
        <f aca="false">IF($A136="N/A"," ",IF(VLOOKUP(MONTH(A136),ManualTable,6)=1,(IF(V136&lt;&gt;0,IF(Pricetype=1,(xSPRDOPT(M136,$E136,$CI136,0,($CD136+IF(Smile=TRUE(),VLOOKUP(MAX(-5,$H136-M136),Volsmile,2),0)),$CG136,$CH136,($A136-DateToday)+15,1,1))*(8*$HE136),8*$HE136),0)),0))</f>
        <v> </v>
      </c>
      <c r="AF136" s="318" t="str">
        <f aca="false">IF($A136="N/A"," ",IF(VLOOKUP(MONTH(A136),ManualTable,7)=1,(IF(W136&lt;&gt;0,(8*$HE136),0)),0))</f>
        <v> </v>
      </c>
      <c r="AG136" s="318" t="str">
        <f aca="false">IF($A136="N/A"," ",IF(VLOOKUP(MONTH(A136),ManualTable,8)=1,(IF(X136&lt;&gt;0,IF(Pricetype=1,(xSPRDOPT(O136,$E136,$CI136,0,($CD136+IF(Smile=TRUE(),VLOOKUP(MAX(-5,$H136-O136),Volsmile,2),0)),$CG136,$CH136,($A136-DateToday)+15,1,1))*(8*$HF136),8*$HF136),0)),0))</f>
        <v> </v>
      </c>
      <c r="AH136" s="318" t="str">
        <f aca="false">IF($A136="N/A"," ",IF(VLOOKUP(MONTH(A136),ManualTable,9)=1,(IF(Y136&lt;&gt;0,IF(Pricetype=1,(xSPRDOPT(P136,$E136,$CI136,0,($CD136+IF(Smile=TRUE(),VLOOKUP(MAX(-5,$H136-P136),Volsmile,2),0)),$CG136,$CH136,($A136-DateToday)+15,1,1))*(8*$HF136),8*$HF136),0)),0))</f>
        <v> </v>
      </c>
      <c r="AI136" s="318" t="str">
        <f aca="false">IF($A136="N/A"," ",IF(VLOOKUP(MONTH(A136),ManualTable,10)=1,(IF(Z136&lt;&gt;0,(8*($HF136)),0)),0))</f>
        <v> </v>
      </c>
      <c r="AJ136" s="319" t="str">
        <f aca="false">IF($A136="N/A"," ",RANK(R136,$R$136:$Z$147))</f>
        <v> </v>
      </c>
      <c r="AK136" s="320" t="str">
        <f aca="false">IF($A136="N/A"," ",RANK(S136,$R$136:$Z$147))</f>
        <v> </v>
      </c>
      <c r="AL136" s="320" t="str">
        <f aca="false">IF($A136="N/A"," ",RANK(T136,$R$136:$Z$147))</f>
        <v> </v>
      </c>
      <c r="AM136" s="320" t="str">
        <f aca="false">IF($A136="N/A"," ",RANK(U136,$R$136:$Z$147))</f>
        <v> </v>
      </c>
      <c r="AN136" s="320" t="str">
        <f aca="false">IF($A136="N/A"," ",RANK(V136,$R$136:$Z$147))</f>
        <v> </v>
      </c>
      <c r="AO136" s="320" t="str">
        <f aca="false">IF($A136="N/A"," ",RANK(W136,$R$136:$Z$147))</f>
        <v> </v>
      </c>
      <c r="AP136" s="320" t="str">
        <f aca="false">IF($A136="N/A"," ",RANK(X136,$R$136:$Z$147))</f>
        <v> </v>
      </c>
      <c r="AQ136" s="320" t="str">
        <f aca="false">IF($A136="N/A"," ",RANK(Y136,$R$136:$Z$147))</f>
        <v> </v>
      </c>
      <c r="AR136" s="322" t="str">
        <f aca="false">IF($A136="N/A"," ",RANK(Z136,$R$136:$Z$147))</f>
        <v> </v>
      </c>
      <c r="AS136" s="357" t="str">
        <f aca="false">IF($A136="N/A"," ",IF(AJ136&lt;=$AR$2,AA136,0))</f>
        <v> </v>
      </c>
      <c r="AT136" s="324" t="str">
        <f aca="false">IF($A136="N/A"," ",IF(AK136&lt;=$AR$2,AB136,0))</f>
        <v> </v>
      </c>
      <c r="AU136" s="325" t="str">
        <f aca="false">IF($A136="N/A"," ",IF(AL136&lt;=$AR$2,AC136,0))</f>
        <v> </v>
      </c>
      <c r="AV136" s="325" t="str">
        <f aca="false">IF($A136="N/A"," ",IF(AM136&lt;=$AR$2,AD136,0))</f>
        <v> </v>
      </c>
      <c r="AW136" s="325" t="str">
        <f aca="false">IF($A136="N/A"," ",IF(AN136&lt;=$AR$2,AE136,0))</f>
        <v> </v>
      </c>
      <c r="AX136" s="325" t="str">
        <f aca="false">IF($A136="N/A"," ",IF(AO136&lt;=$AR$2,AF136,0))</f>
        <v> </v>
      </c>
      <c r="AY136" s="324" t="str">
        <f aca="false">IF($A136="N/A"," ",IF(AP136&lt;=$AR$2,AG136,0))</f>
        <v> </v>
      </c>
      <c r="AZ136" s="324" t="str">
        <f aca="false">IF($A136="N/A"," ",IF(AQ136&lt;=$AR$2,AH136,0))</f>
        <v> </v>
      </c>
      <c r="BA136" s="324" t="str">
        <f aca="false">IF($A136="N/A"," ",IF(AR136&lt;=$AR$2,AI136,0))</f>
        <v> </v>
      </c>
      <c r="BB136" s="322"/>
      <c r="BC136" s="358" t="str">
        <f aca="false">IF($A136="N/A"," ",IF(AND(AJ136=$AR$2+1,AS136=0),MIN($BB$147,AA136),0))</f>
        <v> </v>
      </c>
      <c r="BD136" s="327" t="str">
        <f aca="false">IF($A136="N/A"," ",IF(AND(AK136=$AR$2+1,AT136=0),MIN($BB$147,AB136),0))</f>
        <v> </v>
      </c>
      <c r="BE136" s="327" t="str">
        <f aca="false">IF($A136="N/A"," ",IF(AND(AL136=$AR$2+1,AU136=0),MIN($BB$147,AC136),0))</f>
        <v> </v>
      </c>
      <c r="BF136" s="327" t="str">
        <f aca="false">IF($A136="N/A"," ",IF(AND(AM136=$AR$2+1,AV136=0),MIN($BB$147,AD136),0))</f>
        <v> </v>
      </c>
      <c r="BG136" s="327" t="str">
        <f aca="false">IF($A136="N/A"," ",IF(AND(AN136=$AR$2+1,AW136=0),MIN($BB$147,AE136),0))</f>
        <v> </v>
      </c>
      <c r="BH136" s="327" t="str">
        <f aca="false">IF($A136="N/A"," ",IF(AND(AO136=$AR$2+1,AX136=0),MIN($BB$147,AF136),0))</f>
        <v> </v>
      </c>
      <c r="BI136" s="327" t="str">
        <f aca="false">IF($A136="N/A"," ",IF(AND(AP136=$AR$2+1,AY136=0),MIN($BB$147,AG136),0))</f>
        <v> </v>
      </c>
      <c r="BJ136" s="327" t="str">
        <f aca="false">IF($A136="N/A"," ",IF(AND(AQ136=$AR$2+1,AZ136=0),MIN($BB$147,AH136),0))</f>
        <v> </v>
      </c>
      <c r="BK136" s="327" t="str">
        <f aca="false">IF($A136="N/A"," ",IF(AND(AR136=$AR$2+1,BA136=0),MIN($BB$147,AI136),0))</f>
        <v> </v>
      </c>
      <c r="BL136" s="322"/>
      <c r="BM136" s="329" t="str">
        <f aca="false">IF($A136="N/A"," ",(IF(MONTH(A136)&gt;=4,IF(MONTH(A136)&lt;=10,Inputs!$F$13-Inputs!$G$13,Inputs!$F$14-Inputs!$G$14),Inputs!$F$14-Inputs!$G$14))*$CK136*Availability)</f>
        <v> </v>
      </c>
      <c r="BN136" s="330" t="str">
        <f aca="false">IF($A136="N/A"," ",(IF(AS136&gt;0,($BM136*(8*($HD136))*R136),0)+IF(BC136&gt;0,($BM136*((BC136/AA136)*8*$HD136)*R136),0)))</f>
        <v> </v>
      </c>
      <c r="BO136" s="330" t="str">
        <f aca="false">IF($A136="N/A"," ",(IF(AT136&gt;0,($BM136*(8*($HD136))*S136),0)+IF(BD136&gt;0,($BM136*((BD136/AB136)*8*$HD136)*S136),0)))</f>
        <v> </v>
      </c>
      <c r="BP136" s="330" t="str">
        <f aca="false">IF($A136="N/A"," ",(IF(AU136&gt;0,($BM136*(8*($HD136))*T136),0)+IF(BE136&gt;0,($BM136*((BE136))*T136),0)))</f>
        <v> </v>
      </c>
      <c r="BQ136" s="330" t="str">
        <f aca="false">IF($A136="N/A"," ",(IF(AV136&gt;0,($BM136*(8*($HE136))*U136),0)+IF(BF136&gt;0,($BM136*((BF136/AD136)*8*$HE136)*U136),0)))</f>
        <v> </v>
      </c>
      <c r="BR136" s="330" t="str">
        <f aca="false">IF($A136="N/A"," ",(IF(AW136&gt;0,($BM136*(8*($HE136))*V136),0)+IF(BG136&gt;0,($BM136*((BG136/AE136)*8*$HE136)*V136),0)))</f>
        <v> </v>
      </c>
      <c r="BS136" s="330" t="str">
        <f aca="false">IF($A136="N/A"," ",(IF(AX136&gt;0,($BM136*(8*($HE136))*W136),0)+IF(BH136&gt;0,($BM136*((BH136))*W136),0)))</f>
        <v> </v>
      </c>
      <c r="BT136" s="330" t="str">
        <f aca="false">IF($A136="N/A"," ",(IF(AY136&gt;0,($BM136*(8*($HF136))*X136),0)+IF(BI136&gt;0,($BM136*((BI136/AG136)*8*$HF136)*X136),0)))</f>
        <v> </v>
      </c>
      <c r="BU136" s="330" t="str">
        <f aca="false">IF($A136="N/A"," ",(IF(AZ136&gt;0,($BM136*(8*($HF136))*Y136),0)+IF(BJ136&gt;0,($BM136*((BJ136/AH136)*8*$HF136)*Y136),0)))</f>
        <v> </v>
      </c>
      <c r="BV136" s="330" t="str">
        <f aca="false">IF($A136="N/A"," ",(IF(BA136&gt;0,($BM136*(8*($HF136))*Z136),0)+IF(BK136&gt;0,($BM136*((BK136))*Z136),0)))</f>
        <v> </v>
      </c>
      <c r="BW136" s="330" t="str">
        <f aca="false">IF($A136="N/A"," ",SUM(BN136:BV136))</f>
        <v> </v>
      </c>
      <c r="BX136" s="331" t="str">
        <f aca="false">IF($A136="N/A"," ",(H136*(SUM(AS136:BA136)+SUM(BC136:BK136))*BM136))</f>
        <v> </v>
      </c>
      <c r="BY136" s="332" t="str">
        <f aca="false">IF($A136="N/A"," ",((C136*D136)*(SUM($AS136:$BA136)+SUM($BC136:$BK136))*$BM136))</f>
        <v> </v>
      </c>
      <c r="BZ136" s="332" t="str">
        <f aca="false">IF($A136="N/A"," ",(F136*(SUM($AS136:$BA136)+SUM($BC136:$BK136))*$BM136))</f>
        <v> </v>
      </c>
      <c r="CA136" s="333" t="str">
        <f aca="false">IF($A136="N/A"," ",(G136*(SUM($AS136:$BA136)+SUM($BC136:$BK136))*$BM136))</f>
        <v> </v>
      </c>
      <c r="CB136" s="334" t="str">
        <f aca="false">IF(A136="N/A"," ",(VLOOKUP(A136,PowerVolTable,(IF(BMO=2,7,IF(BMO=1,6,8))),FALSE())))</f>
        <v> </v>
      </c>
      <c r="CC136" s="334" t="str">
        <f aca="false">IF(A136="N/A"," ",(VLOOKUP(A136,IntraPowerVol,(IF(BMO=2,3,IF(BMO=1,2,4))),FALSE())*VLOOKUP(MONTH($A136),Volscale,2)))</f>
        <v> </v>
      </c>
      <c r="CD136" s="335" t="str">
        <f aca="false">IF($A136="N/A"," ",(IF(DateToday&gt;$A136,$CC136,((($CB136^2)*((($A136-1)-DateToday)/((EOMONTH($A136,0)+1)-DateToday-15)))+((($CC136)^2)*((15)/((EOMONTH($A136,0)+1)-DateToday-15))))^0.5)))</f>
        <v> </v>
      </c>
      <c r="CE136" s="334" t="str">
        <f aca="false">IF($A136="N/A"," ",(VLOOKUP($A136,GasVolTable,(IF(BMO=2,6,IF(BMO=1,7,5))),FALSE())))</f>
        <v> </v>
      </c>
      <c r="CF136" s="334" t="str">
        <f aca="false">IF($A136="N/A"," ",(VLOOKUP($A136,OmicronVol,(IF(BMO=2,3,IF(BMO=1,4,2))),FALSE())))</f>
        <v> </v>
      </c>
      <c r="CG136" s="335" t="str">
        <f aca="false">IF($A136="N/A"," ",(IF(DateToday&gt;$A136,$CF136,((($CE136^2)*((($A136-1)-DateToday)/((EOMONTH($A136,0)+1)-DateToday-15)))+((($CF136)^2)*((15)/((EOMONTH($A136,0)+1)-DateToday-15))))^0.5)))</f>
        <v> </v>
      </c>
      <c r="CH136" s="334" t="str">
        <f aca="false">IF($A136="N/A"," ",VLOOKUP($A136,CorrelationTable,2,FALSE()))</f>
        <v> </v>
      </c>
      <c r="CI136" s="336" t="str">
        <f aca="false">IF($A136="N/A"," ",F136+G136+(D136*('Pricing Inputs'!T169)))</f>
        <v> </v>
      </c>
      <c r="CJ136" s="334" t="str">
        <f aca="false">IF($A136="N/A"," ",IF(PV=1,0,'Pricing Inputs'!U169))</f>
        <v> </v>
      </c>
      <c r="CK136" s="337" t="str">
        <f aca="false">IF($A136="N/A"," ",(1+CJ136/2)^(-2*((EOMONTH(A136,0)+20)-DateToday)/365.25))</f>
        <v> </v>
      </c>
      <c r="CL136" s="338" t="str">
        <f aca="false">IF(A136="N/A"," ",IF(CC=2,(VLOOKUP(MONTH($A136),Hrtable,3))/1000,0))</f>
        <v> </v>
      </c>
      <c r="CM136" s="339" t="str">
        <f aca="false">IF(A136="N/A"," ",IF(CC=2,(CL136*C136)+F136,0))</f>
        <v> </v>
      </c>
      <c r="CN136" s="340" t="str">
        <f aca="false">IF($A136="N/A"," ",IF(CC=2,(VLOOKUP(A136,ScaledPrice,(IF(AND(Dayrun&gt;=1,Dayrun&lt;=6),2,4)))-((IF(R136&lt;&gt;0,$D136,$CL136)*$C136)+$F136+$G136)),0))</f>
        <v> </v>
      </c>
      <c r="CO136" s="340" t="str">
        <f aca="false">IF($A136="N/A"," ",IF(CC=2,(IF(AND(Dayrun&gt;=1,Dayrun&lt;=6),I136,(VLOOKUP(A136,ScaledPrice,2))*(2-(VLOOKUP(A136,ScaledPrice,3))))-((IF(S136&lt;&gt;0,$D136,$CL136)*$C136)+$F136+$G136)),0))</f>
        <v> </v>
      </c>
      <c r="CP136" s="340" t="str">
        <f aca="false">IF(A136="N/A"," ",IF(CC=2,(VLOOKUP(A136,ScaledPrice,9)-((IF(T136&lt;&gt;0,$D136,$CL136)*$C136)+$F136+$G136)),0))</f>
        <v> </v>
      </c>
      <c r="CQ136" s="340" t="str">
        <f aca="false">IF(A136="N/A"," ",IF(CC=2,(IF(OR(Dayrun=2,Dayrun=3,Dayrun=5,Dayrun=6,Dayrun=8,Dayrun=9),VLOOKUP(A136,ScaledPrice,IF(AND(Dayrun&gt;=2,Dayrun&lt;=6),5,6)),0)-((IF(U136&lt;&gt;0,$D136,$CL136)*$C136)+$F136+$G136)),0))</f>
        <v> </v>
      </c>
      <c r="CR136" s="340" t="str">
        <f aca="false">IF(A136="N/A"," ",IF(CC=2,(IF(OR(Dayrun=2,Dayrun=3,Dayrun=5,Dayrun=6,Dayrun=8,Dayrun=9),IF(AND(Dayrun&gt;=2,Dayrun&lt;=6),L136,(VLOOKUP(A136,ScaledPrice,5))*(2-(VLOOKUP(A136,ScaledPrice,3)))),0)-((IF(V136&lt;&gt;0,$D136,$CL136)*$C136)+$F136+$G136)),0))</f>
        <v> </v>
      </c>
      <c r="CS136" s="340" t="str">
        <f aca="false">IF(A136="N/A"," ",IF(CC=2,(VLOOKUP(A136,ScaledPrice,9)-((IF(W136&lt;&gt;0,$D136,$CL136)*$C136)+$F136+$G136)),0))</f>
        <v> </v>
      </c>
      <c r="CT136" s="340" t="str">
        <f aca="false">IF(A136="N/A"," ",IF(CC=2,(IF(OR(Dayrun=3,Dayrun=6,Dayrun=9),(VLOOKUP(A136,ScaledPrice,IF(AND(Dayrun&gt;=3,Dayrun&lt;=6),7,8))),0)-((IF(X136&lt;&gt;0,$D136,$CL136)*$C136)+$F136+$G136)),0))</f>
        <v> </v>
      </c>
      <c r="CU136" s="340" t="str">
        <f aca="false">IF(A136="N/A"," ",IF(CC=2,(IF(OR(Dayrun=3,Dayrun=6,Dayrun=9),IF(AND(Dayrun&gt;=3,Dayrun&lt;=6),O136,(VLOOKUP(A136,ScaledPrice,7))*(2-(VLOOKUP(A136,ScaledPrice,3)))),0)-((IF(Y136&lt;&gt;0,$D136,$CL136)*$C136)+$F136+$G136)),0))</f>
        <v> </v>
      </c>
      <c r="CV136" s="340" t="str">
        <f aca="false">IF(A136="N/A"," ",IF(CC=2,(VLOOKUP(A136,ScaledPrice,9)-((IF(Z136&lt;&gt;0,$D136,$CL136)*$C136)+$F136+$G136)),0))</f>
        <v> </v>
      </c>
      <c r="CW136" s="318" t="str">
        <f aca="false">IF($A136="N/A"," ",IF(0&lt;&gt;CN136,IF(CC=2,8*$HD136,0),0))</f>
        <v> </v>
      </c>
      <c r="CX136" s="318" t="str">
        <f aca="false">IF($A136="N/A"," ",IF(0&lt;&gt;CO136,IF(CC=2,8*$HD136,0),0))</f>
        <v> </v>
      </c>
      <c r="CY136" s="318" t="str">
        <f aca="false">IF($A136="N/A"," ",IF(0&lt;&gt;CP136,IF(CC=2,8*$HD136,0),0))</f>
        <v> </v>
      </c>
      <c r="CZ136" s="318" t="str">
        <f aca="false">IF($A136="N/A"," ",IF(0&lt;&gt;CQ136,IF(CC=2,8*$HE136,0),0))</f>
        <v> </v>
      </c>
      <c r="DA136" s="318" t="str">
        <f aca="false">IF($A136="N/A"," ",IF(0&lt;&gt;CR136,IF(CC=2,8*$HE136,0),0))</f>
        <v> </v>
      </c>
      <c r="DB136" s="318" t="str">
        <f aca="false">IF($A136="N/A"," ",IF(0&lt;&gt;CS136,IF(CC=2,8*$HE136,0),0))</f>
        <v> </v>
      </c>
      <c r="DC136" s="318" t="str">
        <f aca="false">IF($A136="N/A"," ",IF(0&lt;&gt;CT136,IF(CC=2,8*$HF136,0),0))</f>
        <v> </v>
      </c>
      <c r="DD136" s="318" t="str">
        <f aca="false">IF($A136="N/A"," ",IF(0&lt;&gt;CU136,IF(CC=2,8*$HF136,0),0))</f>
        <v> </v>
      </c>
      <c r="DE136" s="318" t="str">
        <f aca="false">IF($A136="N/A"," ",IF(0&lt;&gt;CV136,IF(CC=2,8*$HF136,0),0))</f>
        <v> </v>
      </c>
      <c r="DF136" s="341" t="str">
        <f aca="false">IF($A136="N/A"," ",IF(CC=2,(IF(MONTH(A136)&gt;=4,IF(MONTH(A136)&lt;=10,Inputs!$G$13,Inputs!$G$14),Inputs!$G$14))*$CK136,0))</f>
        <v> </v>
      </c>
      <c r="DG136" s="342" t="str">
        <f aca="false">IF($A136="N/A"," ",IF(CC=2,$DF136*CW136*CN136,0))</f>
        <v> </v>
      </c>
      <c r="DH136" s="342" t="str">
        <f aca="false">IF($A136="N/A"," ",IF(CC=2,$DF136*CX136*CO136,0))</f>
        <v> </v>
      </c>
      <c r="DI136" s="342" t="str">
        <f aca="false">IF($A136="N/A"," ",IF(CC=2,$DF136*CY136*CP136,0))</f>
        <v> </v>
      </c>
      <c r="DJ136" s="342" t="str">
        <f aca="false">IF($A136="N/A"," ",IF(CC=2,$DF136*CZ136*CQ136,0))</f>
        <v> </v>
      </c>
      <c r="DK136" s="342" t="str">
        <f aca="false">IF($A136="N/A"," ",IF(CC=2,$DF136*DA136*CR136,0))</f>
        <v> </v>
      </c>
      <c r="DL136" s="342" t="str">
        <f aca="false">IF($A136="N/A"," ",IF(CC=2,$DF136*DB136*CS136,0))</f>
        <v> </v>
      </c>
      <c r="DM136" s="342" t="str">
        <f aca="false">IF($A136="N/A"," ",IF(CC=2,$DF136*DC136*CT136,0))</f>
        <v> </v>
      </c>
      <c r="DN136" s="342" t="str">
        <f aca="false">IF($A136="N/A"," ",IF(CC=2,$DF136*DD136*CU136,0))</f>
        <v> </v>
      </c>
      <c r="DO136" s="342" t="str">
        <f aca="false">IF($A136="N/A"," ",IF(CC=2,$DF136*DE136*CV136,0))</f>
        <v> </v>
      </c>
      <c r="DP136" s="343" t="str">
        <f aca="false">IF($A136="N/A"," ",IF(CC=2,SUM(DG136:DO136),0))</f>
        <v> </v>
      </c>
      <c r="DQ136" s="0" t="str">
        <f aca="false">IF(A136="N/A"," ",Perstart)</f>
        <v> </v>
      </c>
      <c r="HD136" s="0" t="str">
        <f aca="false">IF($A136="N/A"," ",VLOOKUP($A136,NumberofDaysTable,2))</f>
        <v> </v>
      </c>
      <c r="HE136" s="0" t="str">
        <f aca="false">IF($A136="N/A"," ",VLOOKUP($A136,NumberofDaysTable,3))</f>
        <v> </v>
      </c>
      <c r="HF136" s="0" t="str">
        <f aca="false">IF($A136="N/A"," ",VLOOKUP($A136,NumberofDaysTable,4))</f>
        <v> </v>
      </c>
    </row>
    <row r="137" customFormat="false" ht="12.75" hidden="false" customHeight="false" outlineLevel="0" collapsed="false">
      <c r="A137" s="308" t="str">
        <f aca="false">IF(A136="N/A","N/A",IF(EDATE(A136,1)&gt;Inputs!$K$3,"N/A",EDATE(A136,1)))</f>
        <v>N/A</v>
      </c>
      <c r="B137" s="309" t="str">
        <f aca="false">IF(A137="N/A"," ",YEAR(A137))</f>
        <v> </v>
      </c>
      <c r="C137" s="310" t="str">
        <f aca="false">IF(A137="N/A"," ",VLOOKUP(A137,ScaledPrice,10))</f>
        <v> </v>
      </c>
      <c r="D137" s="311" t="str">
        <f aca="false">IF(A137="N/A"," ",(VLOOKUP(MONTH($A137),Hrtable,2))/1000)</f>
        <v> </v>
      </c>
      <c r="E137" s="312" t="str">
        <f aca="false">IF($A137="N/A"," ",(C137-'Pricing Inputs'!T170)*D137)</f>
        <v> </v>
      </c>
      <c r="F137" s="313" t="str">
        <f aca="false">IF(A137="N/A"," ",$F125*(1+VOMesc))</f>
        <v> </v>
      </c>
      <c r="G137" s="313" t="str">
        <f aca="false">IF(A137="N/A"," ",Perstart/IF(AND(Dayrun&gt;=4,Dayrun&lt;=6),16,IF(AND(Dayrun&gt;=7,Dayrun&lt;=9),8,24))/(BM137/CK137))</f>
        <v> </v>
      </c>
      <c r="H137" s="314" t="str">
        <f aca="false">IF(A137="N/A"," ",(C137*D137)+F137+G137)</f>
        <v> </v>
      </c>
      <c r="I137" s="315" t="str">
        <f aca="false">VLOOKUP(A137,ScaledPrice,(IF(AND(Dayrun&gt;=1,Dayrun&lt;=6),2,4)))</f>
        <v> </v>
      </c>
      <c r="J137" s="315" t="str">
        <f aca="false">IF(A137="N/A"," ",IF(AND(Dayrun&gt;=1,Dayrun&lt;=6),I137,(VLOOKUP(A137,ScaledPrice,2))*(2-(VLOOKUP(A137,ScaledPrice,3)))))</f>
        <v> </v>
      </c>
      <c r="K137" s="315" t="str">
        <f aca="false">IF(A137="N/A"," ",IF(AND(Dayrun&gt;=1,Dayrun&lt;=3),VLOOKUP(A137,ScaledPrice,9),0))</f>
        <v> </v>
      </c>
      <c r="L137" s="315" t="str">
        <f aca="false">IF(A137="N/A"," ",IF(OR(Dayrun=2,Dayrun=3,Dayrun=5,Dayrun=6,Dayrun=8,Dayrun=9),VLOOKUP(A137,ScaledPrice,IF(AND(Dayrun&gt;=2,Dayrun&lt;=6),5,6)),0))</f>
        <v> </v>
      </c>
      <c r="M137" s="315" t="str">
        <f aca="false">IF(A137="N/A"," ",IF(OR(Dayrun=2,Dayrun=3,Dayrun=5,Dayrun=6,Dayrun=8,Dayrun=9),IF(AND(Dayrun&gt;=2,Dayrun&lt;=6),L137,(VLOOKUP(A137,ScaledPrice,5))*(2-(VLOOKUP(A137,ScaledPrice,3)))),0))</f>
        <v> </v>
      </c>
      <c r="N137" s="315" t="str">
        <f aca="false">IF(A137="N/A"," ",IF(AND(Dayrun&gt;1,Dayrun&lt;=3),VLOOKUP(A137,ScaledPrice,9),0))</f>
        <v> </v>
      </c>
      <c r="O137" s="315" t="str">
        <f aca="false">IF(A137="N/A"," ",IF(OR(Dayrun=3,Dayrun=6,Dayrun=9),(VLOOKUP(A137,ScaledPrice,IF(AND(Dayrun&gt;=3,Dayrun&lt;=6),7,8))),0))</f>
        <v> </v>
      </c>
      <c r="P137" s="315" t="str">
        <f aca="false">IF(A137="N/A"," ",IF(OR(Dayrun=3,Dayrun=6,Dayrun=9),IF(AND(Dayrun&gt;=3,Dayrun&lt;=6),O137,(VLOOKUP(A137,ScaledPrice,7))*(2-(VLOOKUP(A137,ScaledPrice,3)))),0))</f>
        <v> </v>
      </c>
      <c r="Q137" s="315" t="str">
        <f aca="false">IF(A137="N/A"," ",IF(AND(Dayrun&gt;2,Dayrun&lt;=3),VLOOKUP(A137,ScaledPrice,9),0))</f>
        <v> </v>
      </c>
      <c r="R137" s="316" t="str">
        <f aca="false">IF($A137="N/A"," ",IF(Pricetype=2,MAX(I137-$H137,0),IF(Pricetype=1,(xSPRDOPT(I137,$E137,$CI137,0,($CD137+IF(Smile=TRUE(),VLOOKUP(MAX(-5,$H137-I137),Volsmile,2),0)),$CG137,$CH137,($A137-DateToday)+15,1,0)),I137-$H137)))</f>
        <v> </v>
      </c>
      <c r="S137" s="316" t="str">
        <f aca="false">IF($A137="N/A"," ",IF(Pricetype=2,MAX(J137-$H137,0),IF(Pricetype=1,(xSPRDOPT(J137,$E137,$CI137,0,($CD137+IF(Smile=TRUE(),VLOOKUP(MAX(-5,$H137-J137),Volsmile,2),0)),$CG137,$CH137,($A137-DateToday)+15,1,0)),J137-$H137)))</f>
        <v> </v>
      </c>
      <c r="T137" s="317" t="str">
        <f aca="false">IF($A137="N/A"," ",(IF(Pricetype=2,IF((K137-$H137)&lt;=0,0,(K137-$H137)),IF(K137&lt;&gt;0,(K137-$H137),0))))</f>
        <v> </v>
      </c>
      <c r="U137" s="316" t="str">
        <f aca="false">IF($A137="N/A"," ",IF(Pricetype=2,MAX(L137-$H137,0),IF(L137&lt;&gt;0,IF(Pricetype=1,(xSPRDOPT(L137,$E137,$CI137,0,($CD137+IF(Smile=TRUE(),VLOOKUP(MAX(-5,$H137-L137),Volsmile,2),0)),$CG137,$CH137,($A137-DateToday)+15,1,0)),L137-$H137),0)))</f>
        <v> </v>
      </c>
      <c r="V137" s="316" t="str">
        <f aca="false">IF($A137="N/A"," ",IF(Pricetype=2,MAX(M137-$H137,0),IF(M137&lt;&gt;0,IF(Pricetype=1,(xSPRDOPT(M137,$E137,$CI137,0,($CD137+IF(Smile=TRUE(),VLOOKUP(MAX(-5,$H137-M137),Volsmile,2),0)),$CG137,$CH137,($A137-DateToday)+15,1,0)),M137-$H137),0)))</f>
        <v> </v>
      </c>
      <c r="W137" s="317" t="str">
        <f aca="false">IF($A137="N/A"," ",(IF(Pricetype=2,IF((N137-$H137)&lt;=0,0,(N137-$H137)),IF(N137&lt;&gt;0,(N137-$H137),0))))</f>
        <v> </v>
      </c>
      <c r="X137" s="316" t="str">
        <f aca="false">IF($A137="N/A"," ",IF(Pricetype=2,MAX(O137-$H137,0),IF(O137&lt;&gt;0,IF(Pricetype=1,(xSPRDOPT(O137,$E137,$CI137,0,($CD137+IF(Smile=TRUE(),VLOOKUP(MAX(-5,$H137-O137),Volsmile,2),0)),$CG137,$CH137,($A137-DateToday)+15,1,0)),O137-$H137),0)))</f>
        <v> </v>
      </c>
      <c r="Y137" s="316" t="str">
        <f aca="false">IF($A137="N/A"," ",IF(Pricetype=2,MAX(P137-$H137,0),IF(P137&lt;&gt;0,IF(Pricetype=1,(xSPRDOPT(P137,$E137,$CI137,0,($CD137+IF(Smile=TRUE(),VLOOKUP(MAX(-5,$H137-P137),Volsmile,2),0)),$CG137,$CH137,($A137-DateToday)+15,1,0)),P137-$H137),0)))</f>
        <v> </v>
      </c>
      <c r="Z137" s="317" t="str">
        <f aca="false">IF($A137="N/A"," ",(IF(Pricetype=2,IF((Q137-$H137)&lt;=0,0,(Q137-$H137)),IF(Q137&lt;&gt;0,(Q137-$H137),0))))</f>
        <v> </v>
      </c>
      <c r="AA137" s="318" t="str">
        <f aca="false">IF($A137="N/A"," ",IF(VLOOKUP(MONTH(A137),ManualTable,2)=1,(IF(0&lt;&gt;R137,IF(Pricetype=1,(xSPRDOPT(I137,$E137,$CI137,0,($CD137+IF(Smile=TRUE(),VLOOKUP(MAX(-5,$H137-I137),Volsmile,2),0)),$CG137,$CH137,($A137-DateToday)+15,1,1))*(8*$HD137),8*$HD137),0)),0))</f>
        <v> </v>
      </c>
      <c r="AB137" s="318" t="str">
        <f aca="false">IF($A137="N/A"," ",IF(VLOOKUP(MONTH(A137),ManualTable,3)=1,(IF(S137&lt;&gt;0,IF(Pricetype=1,(xSPRDOPT(J137,$E137,$CI137,0,($CD137+IF(Smile=TRUE(),VLOOKUP(MAX(-5,$H137-J137),Volsmile,2),0)),$CG137,$CH137,($A137-DateToday)+15,1,1))*(8*$HD137),8*$HD137),0)),0))</f>
        <v> </v>
      </c>
      <c r="AC137" s="318" t="str">
        <f aca="false">IF($A137="N/A"," ",IF(VLOOKUP(MONTH(A137),ManualTable,4)=1,(IF(T137&lt;&gt;0,(8*$HD137),0)),0))</f>
        <v> </v>
      </c>
      <c r="AD137" s="318" t="str">
        <f aca="false">IF($A137="N/A"," ",IF(VLOOKUP(MONTH(A137),ManualTable,5)=1,(IF(U137&lt;&gt;0,IF(Pricetype=1,(xSPRDOPT(L137,$E137,$CI137,0,($CD137+IF(Smile=TRUE(),VLOOKUP(MAX(-5,$H137-L137),Volsmile,2),0)),$CG137,$CH137,($A137-DateToday)+15,1,1))*(8*$HE137),8*$HE137),0)),0))</f>
        <v> </v>
      </c>
      <c r="AE137" s="318" t="str">
        <f aca="false">IF($A137="N/A"," ",IF(VLOOKUP(MONTH(A137),ManualTable,6)=1,(IF(V137&lt;&gt;0,IF(Pricetype=1,(xSPRDOPT(M137,$E137,$CI137,0,($CD137+IF(Smile=TRUE(),VLOOKUP(MAX(-5,$H137-M137),Volsmile,2),0)),$CG137,$CH137,($A137-DateToday)+15,1,1))*(8*$HE137),8*$HE137),0)),0))</f>
        <v> </v>
      </c>
      <c r="AF137" s="318" t="str">
        <f aca="false">IF($A137="N/A"," ",IF(VLOOKUP(MONTH(A137),ManualTable,7)=1,(IF(W137&lt;&gt;0,(8*$HE137),0)),0))</f>
        <v> </v>
      </c>
      <c r="AG137" s="318" t="str">
        <f aca="false">IF($A137="N/A"," ",IF(VLOOKUP(MONTH(A137),ManualTable,8)=1,(IF(X137&lt;&gt;0,IF(Pricetype=1,(xSPRDOPT(O137,$E137,$CI137,0,($CD137+IF(Smile=TRUE(),VLOOKUP(MAX(-5,$H137-O137),Volsmile,2),0)),$CG137,$CH137,($A137-DateToday)+15,1,1))*(8*$HF137),8*$HF137),0)),0))</f>
        <v> </v>
      </c>
      <c r="AH137" s="318" t="str">
        <f aca="false">IF($A137="N/A"," ",IF(VLOOKUP(MONTH(A137),ManualTable,9)=1,(IF(Y137&lt;&gt;0,IF(Pricetype=1,(xSPRDOPT(P137,$E137,$CI137,0,($CD137+IF(Smile=TRUE(),VLOOKUP(MAX(-5,$H137-P137),Volsmile,2),0)),$CG137,$CH137,($A137-DateToday)+15,1,1))*(8*$HF137),8*$HF137),0)),0))</f>
        <v> </v>
      </c>
      <c r="AI137" s="318" t="str">
        <f aca="false">IF($A137="N/A"," ",IF(VLOOKUP(MONTH(A137),ManualTable,10)=1,(IF(Z137&lt;&gt;0,(8*($HF137)),0)),0))</f>
        <v> </v>
      </c>
      <c r="AJ137" s="344" t="str">
        <f aca="false">IF($A137="N/A"," ",RANK(R137,$R$136:$Z$147))</f>
        <v> </v>
      </c>
      <c r="AK137" s="321" t="str">
        <f aca="false">IF($A137="N/A"," ",RANK(S137,$R$136:$Z$147))</f>
        <v> </v>
      </c>
      <c r="AL137" s="321" t="str">
        <f aca="false">IF($A137="N/A"," ",RANK(T137,$R$136:$Z$147))</f>
        <v> </v>
      </c>
      <c r="AM137" s="321" t="str">
        <f aca="false">IF($A137="N/A"," ",RANK(U137,$R$136:$Z$147))</f>
        <v> </v>
      </c>
      <c r="AN137" s="321" t="str">
        <f aca="false">IF($A137="N/A"," ",RANK(V137,$R$136:$Z$147))</f>
        <v> </v>
      </c>
      <c r="AO137" s="321" t="str">
        <f aca="false">IF($A137="N/A"," ",RANK(W137,$R$136:$Z$147))</f>
        <v> </v>
      </c>
      <c r="AP137" s="321" t="str">
        <f aca="false">IF($A137="N/A"," ",RANK(X137,$R$136:$Z$147))</f>
        <v> </v>
      </c>
      <c r="AQ137" s="321" t="str">
        <f aca="false">IF($A137="N/A"," ",RANK(Y137,$R$136:$Z$147))</f>
        <v> </v>
      </c>
      <c r="AR137" s="345" t="str">
        <f aca="false">IF($A137="N/A"," ",RANK(Z137,$R$136:$Z$147))</f>
        <v> </v>
      </c>
      <c r="AS137" s="323" t="str">
        <f aca="false">IF($A137="N/A"," ",IF(AJ137&lt;=$AR$2,AA137,0))</f>
        <v> </v>
      </c>
      <c r="AT137" s="325" t="str">
        <f aca="false">IF($A137="N/A"," ",IF(AK137&lt;=$AR$2,AB137,0))</f>
        <v> </v>
      </c>
      <c r="AU137" s="325" t="str">
        <f aca="false">IF($A137="N/A"," ",IF(AL137&lt;=$AR$2,AC137,0))</f>
        <v> </v>
      </c>
      <c r="AV137" s="325" t="str">
        <f aca="false">IF($A137="N/A"," ",IF(AM137&lt;=$AR$2,AD137,0))</f>
        <v> </v>
      </c>
      <c r="AW137" s="325" t="str">
        <f aca="false">IF($A137="N/A"," ",IF(AN137&lt;=$AR$2,AE137,0))</f>
        <v> </v>
      </c>
      <c r="AX137" s="325" t="str">
        <f aca="false">IF($A137="N/A"," ",IF(AO137&lt;=$AR$2,AF137,0))</f>
        <v> </v>
      </c>
      <c r="AY137" s="325" t="str">
        <f aca="false">IF($A137="N/A"," ",IF(AP137&lt;=$AR$2,AG137,0))</f>
        <v> </v>
      </c>
      <c r="AZ137" s="325" t="str">
        <f aca="false">IF($A137="N/A"," ",IF(AQ137&lt;=$AR$2,AH137,0))</f>
        <v> </v>
      </c>
      <c r="BA137" s="325" t="str">
        <f aca="false">IF($A137="N/A"," ",IF(AR137&lt;=$AR$2,AI137,0))</f>
        <v> </v>
      </c>
      <c r="BB137" s="345"/>
      <c r="BC137" s="326" t="str">
        <f aca="false">IF($A137="N/A"," ",IF(AND(AJ137=$AR$2+1,AS137=0),MIN($BB$147,AA137),0))</f>
        <v> </v>
      </c>
      <c r="BD137" s="346" t="str">
        <f aca="false">IF($A137="N/A"," ",IF(AND(AK137=$AR$2+1,AT137=0),MIN($BB$147,AB137),0))</f>
        <v> </v>
      </c>
      <c r="BE137" s="346" t="str">
        <f aca="false">IF($A137="N/A"," ",IF(AND(AL137=$AR$2+1,AU137=0),MIN($BB$147,AC137),0))</f>
        <v> </v>
      </c>
      <c r="BF137" s="346" t="str">
        <f aca="false">IF($A137="N/A"," ",IF(AND(AM137=$AR$2+1,AV137=0),MIN($BB$147,AD137),0))</f>
        <v> </v>
      </c>
      <c r="BG137" s="346" t="str">
        <f aca="false">IF($A137="N/A"," ",IF(AND(AN137=$AR$2+1,AW137=0),MIN($BB$147,AE137),0))</f>
        <v> </v>
      </c>
      <c r="BH137" s="346" t="str">
        <f aca="false">IF($A137="N/A"," ",IF(AND(AO137=$AR$2+1,AX137=0),MIN($BB$147,AF137),0))</f>
        <v> </v>
      </c>
      <c r="BI137" s="346" t="str">
        <f aca="false">IF($A137="N/A"," ",IF(AND(AP137=$AR$2+1,AY137=0),MIN($BB$147,AG137),0))</f>
        <v> </v>
      </c>
      <c r="BJ137" s="346" t="str">
        <f aca="false">IF($A137="N/A"," ",IF(AND(AQ137=$AR$2+1,AZ137=0),MIN($BB$147,AH137),0))</f>
        <v> </v>
      </c>
      <c r="BK137" s="346" t="str">
        <f aca="false">IF($A137="N/A"," ",IF(AND(AR137=$AR$2+1,BA137=0),MIN($BB$147,AI137),0))</f>
        <v> </v>
      </c>
      <c r="BL137" s="345"/>
      <c r="BM137" s="329" t="str">
        <f aca="false">IF($A137="N/A"," ",(IF(MONTH(A137)&gt;=4,IF(MONTH(A137)&lt;=10,Inputs!$F$13-Inputs!$G$13,Inputs!$F$14-Inputs!$G$14),Inputs!$F$14-Inputs!$G$14))*$CK137*Availability)</f>
        <v> </v>
      </c>
      <c r="BN137" s="330" t="str">
        <f aca="false">IF($A137="N/A"," ",(IF(AS137&gt;0,($BM137*(8*($HD137))*R137),0)+IF(BC137&gt;0,($BM137*((BC137/AA137)*8*$HD137)*R137),0)))</f>
        <v> </v>
      </c>
      <c r="BO137" s="330" t="str">
        <f aca="false">IF($A137="N/A"," ",(IF(AT137&gt;0,($BM137*(8*($HD137))*S137),0)+IF(BD137&gt;0,($BM137*((BD137/AB137)*8*$HD137)*S137),0)))</f>
        <v> </v>
      </c>
      <c r="BP137" s="330" t="str">
        <f aca="false">IF($A137="N/A"," ",(IF(AU137&gt;0,($BM137*(8*($HD137))*T137),0)+IF(BE137&gt;0,($BM137*((BE137))*T137),0)))</f>
        <v> </v>
      </c>
      <c r="BQ137" s="330" t="str">
        <f aca="false">IF($A137="N/A"," ",(IF(AV137&gt;0,($BM137*(8*($HE137))*U137),0)+IF(BF137&gt;0,($BM137*((BF137/AD137)*8*$HE137)*U137),0)))</f>
        <v> </v>
      </c>
      <c r="BR137" s="330" t="str">
        <f aca="false">IF($A137="N/A"," ",(IF(AW137&gt;0,($BM137*(8*($HE137))*V137),0)+IF(BG137&gt;0,($BM137*((BG137/AE137)*8*$HE137)*V137),0)))</f>
        <v> </v>
      </c>
      <c r="BS137" s="330" t="str">
        <f aca="false">IF($A137="N/A"," ",(IF(AX137&gt;0,($BM137*(8*($HE137))*W137),0)+IF(BH137&gt;0,($BM137*((BH137))*W137),0)))</f>
        <v> </v>
      </c>
      <c r="BT137" s="330" t="str">
        <f aca="false">IF($A137="N/A"," ",(IF(AY137&gt;0,($BM137*(8*($HF137))*X137),0)+IF(BI137&gt;0,($BM137*((BI137/AG137)*8*$HF137)*X137),0)))</f>
        <v> </v>
      </c>
      <c r="BU137" s="330" t="str">
        <f aca="false">IF($A137="N/A"," ",(IF(AZ137&gt;0,($BM137*(8*($HF137))*Y137),0)+IF(BJ137&gt;0,($BM137*((BJ137/AH137)*8*$HF137)*Y137),0)))</f>
        <v> </v>
      </c>
      <c r="BV137" s="330" t="str">
        <f aca="false">IF($A137="N/A"," ",(IF(BA137&gt;0,($BM137*(8*($HF137))*Z137),0)+IF(BK137&gt;0,($BM137*((BK137))*Z137),0)))</f>
        <v> </v>
      </c>
      <c r="BW137" s="330" t="str">
        <f aca="false">IF($A137="N/A"," ",SUM(BN137:BV137))</f>
        <v> </v>
      </c>
      <c r="BX137" s="331" t="str">
        <f aca="false">IF($A137="N/A"," ",(H137*(SUM(AS137:BA137)+SUM(BC137:BK137))*BM137))</f>
        <v> </v>
      </c>
      <c r="BY137" s="332" t="str">
        <f aca="false">IF($A137="N/A"," ",((C137*D137)*(SUM($AS137:$BA137)+SUM($BC137:$BK137))*$BM137))</f>
        <v> </v>
      </c>
      <c r="BZ137" s="332" t="str">
        <f aca="false">IF($A137="N/A"," ",(F137*(SUM($AS137:$BA137)+SUM($BC137:$BK137))*$BM137))</f>
        <v> </v>
      </c>
      <c r="CA137" s="333" t="str">
        <f aca="false">IF($A137="N/A"," ",(G137*(SUM($AS137:$BA137)+SUM($BC137:$BK137))*$BM137))</f>
        <v> </v>
      </c>
      <c r="CB137" s="334" t="str">
        <f aca="false">IF(A137="N/A"," ",(VLOOKUP(A137,PowerVolTable,(IF(BMO=2,7,IF(BMO=1,6,8))),FALSE())))</f>
        <v> </v>
      </c>
      <c r="CC137" s="334" t="str">
        <f aca="false">IF(A137="N/A"," ",(VLOOKUP(A137,IntraPowerVol,(IF(BMO=2,3,IF(BMO=1,2,4))),FALSE())*VLOOKUP(MONTH($A137),Volscale,2)))</f>
        <v> </v>
      </c>
      <c r="CD137" s="335" t="str">
        <f aca="false">IF($A137="N/A"," ",(IF(DateToday&gt;$A137,$CC137,((($CB137^2)*((($A137-1)-DateToday)/((EOMONTH($A137,0)+1)-DateToday-15)))+((($CC137)^2)*((15)/((EOMONTH($A137,0)+1)-DateToday-15))))^0.5)))</f>
        <v> </v>
      </c>
      <c r="CE137" s="334" t="str">
        <f aca="false">IF($A137="N/A"," ",(VLOOKUP($A137,GasVolTable,(IF(BMO=2,6,IF(BMO=1,7,5))),FALSE())))</f>
        <v> </v>
      </c>
      <c r="CF137" s="334" t="str">
        <f aca="false">IF($A137="N/A"," ",(VLOOKUP($A137,OmicronVol,(IF(BMO=2,3,IF(BMO=1,4,2))),FALSE())))</f>
        <v> </v>
      </c>
      <c r="CG137" s="335" t="str">
        <f aca="false">IF($A137="N/A"," ",(IF(DateToday&gt;$A137,$CF137,((($CE137^2)*((($A137-1)-DateToday)/((EOMONTH($A137,0)+1)-DateToday-15)))+((($CF137)^2)*((15)/((EOMONTH($A137,0)+1)-DateToday-15))))^0.5)))</f>
        <v> </v>
      </c>
      <c r="CH137" s="334" t="str">
        <f aca="false">IF($A137="N/A"," ",VLOOKUP($A137,CorrelationTable,2,FALSE()))</f>
        <v> </v>
      </c>
      <c r="CI137" s="336" t="str">
        <f aca="false">IF($A137="N/A"," ",F137+G137+(D137*('Pricing Inputs'!T170)))</f>
        <v> </v>
      </c>
      <c r="CJ137" s="334" t="str">
        <f aca="false">IF($A137="N/A"," ",IF(PV=1,0,'Pricing Inputs'!U170))</f>
        <v> </v>
      </c>
      <c r="CK137" s="337" t="str">
        <f aca="false">IF($A137="N/A"," ",(1+CJ137/2)^(-2*((EOMONTH(A137,0)+20)-DateToday)/365.25))</f>
        <v> </v>
      </c>
      <c r="CL137" s="338" t="str">
        <f aca="false">IF(A137="N/A"," ",IF(CC=2,(VLOOKUP(MONTH($A137),Hrtable,3))/1000,0))</f>
        <v> </v>
      </c>
      <c r="CM137" s="339" t="str">
        <f aca="false">IF(A137="N/A"," ",IF(CC=2,(CL137*C137)+F137,0))</f>
        <v> </v>
      </c>
      <c r="CN137" s="340" t="str">
        <f aca="false">IF($A137="N/A"," ",IF(CC=2,(VLOOKUP(A137,ScaledPrice,(IF(AND(Dayrun&gt;=1,Dayrun&lt;=6),2,4)))-((IF(R137&lt;&gt;0,$D137,$CL137)*$C137)+$F137+$G137)),0))</f>
        <v> </v>
      </c>
      <c r="CO137" s="340" t="str">
        <f aca="false">IF($A137="N/A"," ",IF(CC=2,(IF(AND(Dayrun&gt;=1,Dayrun&lt;=6),I137,(VLOOKUP(A137,ScaledPrice,2))*(2-(VLOOKUP(A137,ScaledPrice,3))))-((IF(S137&lt;&gt;0,$D137,$CL137)*$C137)+$F137+$G137)),0))</f>
        <v> </v>
      </c>
      <c r="CP137" s="340" t="str">
        <f aca="false">IF(A137="N/A"," ",IF(CC=2,(VLOOKUP(A137,ScaledPrice,9)-((IF(T137&lt;&gt;0,$D137,$CL137)*$C137)+$F137+$G137)),0))</f>
        <v> </v>
      </c>
      <c r="CQ137" s="340" t="str">
        <f aca="false">IF(A137="N/A"," ",IF(CC=2,(IF(OR(Dayrun=2,Dayrun=3,Dayrun=5,Dayrun=6,Dayrun=8,Dayrun=9),VLOOKUP(A137,ScaledPrice,IF(AND(Dayrun&gt;=2,Dayrun&lt;=6),5,6)),0)-((IF(U137&lt;&gt;0,$D137,$CL137)*$C137)+$F137+$G137)),0))</f>
        <v> </v>
      </c>
      <c r="CR137" s="340" t="str">
        <f aca="false">IF(A137="N/A"," ",IF(CC=2,(IF(OR(Dayrun=2,Dayrun=3,Dayrun=5,Dayrun=6,Dayrun=8,Dayrun=9),IF(AND(Dayrun&gt;=2,Dayrun&lt;=6),L137,(VLOOKUP(A137,ScaledPrice,5))*(2-(VLOOKUP(A137,ScaledPrice,3)))),0)-((IF(V137&lt;&gt;0,$D137,$CL137)*$C137)+$F137+$G137)),0))</f>
        <v> </v>
      </c>
      <c r="CS137" s="340" t="str">
        <f aca="false">IF(A137="N/A"," ",IF(CC=2,(VLOOKUP(A137,ScaledPrice,9)-((IF(W137&lt;&gt;0,$D137,$CL137)*$C137)+$F137+$G137)),0))</f>
        <v> </v>
      </c>
      <c r="CT137" s="340" t="str">
        <f aca="false">IF(A137="N/A"," ",IF(CC=2,(IF(OR(Dayrun=3,Dayrun=6,Dayrun=9),(VLOOKUP(A137,ScaledPrice,IF(AND(Dayrun&gt;=3,Dayrun&lt;=6),7,8))),0)-((IF(X137&lt;&gt;0,$D137,$CL137)*$C137)+$F137+$G137)),0))</f>
        <v> </v>
      </c>
      <c r="CU137" s="340" t="str">
        <f aca="false">IF(A137="N/A"," ",IF(CC=2,(IF(OR(Dayrun=3,Dayrun=6,Dayrun=9),IF(AND(Dayrun&gt;=3,Dayrun&lt;=6),O137,(VLOOKUP(A137,ScaledPrice,7))*(2-(VLOOKUP(A137,ScaledPrice,3)))),0)-((IF(Y137&lt;&gt;0,$D137,$CL137)*$C137)+$F137+$G137)),0))</f>
        <v> </v>
      </c>
      <c r="CV137" s="340" t="str">
        <f aca="false">IF(A137="N/A"," ",IF(CC=2,(VLOOKUP(A137,ScaledPrice,9)-((IF(Z137&lt;&gt;0,$D137,$CL137)*$C137)+$F137+$G137)),0))</f>
        <v> </v>
      </c>
      <c r="CW137" s="318" t="str">
        <f aca="false">IF($A137="N/A"," ",IF(0&lt;&gt;CN137,IF(CC=2,8*$HD137,0),0))</f>
        <v> </v>
      </c>
      <c r="CX137" s="318" t="str">
        <f aca="false">IF($A137="N/A"," ",IF(0&lt;&gt;CO137,IF(CC=2,8*$HD137,0),0))</f>
        <v> </v>
      </c>
      <c r="CY137" s="318" t="str">
        <f aca="false">IF($A137="N/A"," ",IF(0&lt;&gt;CP137,IF(CC=2,8*$HD137,0),0))</f>
        <v> </v>
      </c>
      <c r="CZ137" s="318" t="str">
        <f aca="false">IF($A137="N/A"," ",IF(0&lt;&gt;CQ137,IF(CC=2,8*$HE137,0),0))</f>
        <v> </v>
      </c>
      <c r="DA137" s="318" t="str">
        <f aca="false">IF($A137="N/A"," ",IF(0&lt;&gt;CR137,IF(CC=2,8*$HE137,0),0))</f>
        <v> </v>
      </c>
      <c r="DB137" s="318" t="str">
        <f aca="false">IF($A137="N/A"," ",IF(0&lt;&gt;CS137,IF(CC=2,8*$HE137,0),0))</f>
        <v> </v>
      </c>
      <c r="DC137" s="318" t="str">
        <f aca="false">IF($A137="N/A"," ",IF(0&lt;&gt;CT137,IF(CC=2,8*$HF137,0),0))</f>
        <v> </v>
      </c>
      <c r="DD137" s="318" t="str">
        <f aca="false">IF($A137="N/A"," ",IF(0&lt;&gt;CU137,IF(CC=2,8*$HF137,0),0))</f>
        <v> </v>
      </c>
      <c r="DE137" s="318" t="str">
        <f aca="false">IF($A137="N/A"," ",IF(0&lt;&gt;CV137,IF(CC=2,8*$HF137,0),0))</f>
        <v> </v>
      </c>
      <c r="DF137" s="341" t="str">
        <f aca="false">IF($A137="N/A"," ",IF(CC=2,(IF(MONTH(A137)&gt;=4,IF(MONTH(A137)&lt;=10,Inputs!$G$13,Inputs!$G$14),Inputs!$G$14))*$CK137,0))</f>
        <v> </v>
      </c>
      <c r="DG137" s="342" t="str">
        <f aca="false">IF($A137="N/A"," ",IF(CC=2,$DF137*CW137*CN137,0))</f>
        <v> </v>
      </c>
      <c r="DH137" s="342" t="str">
        <f aca="false">IF($A137="N/A"," ",IF(CC=2,$DF137*CX137*CO137,0))</f>
        <v> </v>
      </c>
      <c r="DI137" s="342" t="str">
        <f aca="false">IF($A137="N/A"," ",IF(CC=2,$DF137*CY137*CP137,0))</f>
        <v> </v>
      </c>
      <c r="DJ137" s="342" t="str">
        <f aca="false">IF($A137="N/A"," ",IF(CC=2,$DF137*CZ137*CQ137,0))</f>
        <v> </v>
      </c>
      <c r="DK137" s="342" t="str">
        <f aca="false">IF($A137="N/A"," ",IF(CC=2,$DF137*DA137*CR137,0))</f>
        <v> </v>
      </c>
      <c r="DL137" s="342" t="str">
        <f aca="false">IF($A137="N/A"," ",IF(CC=2,$DF137*DB137*CS137,0))</f>
        <v> </v>
      </c>
      <c r="DM137" s="342" t="str">
        <f aca="false">IF($A137="N/A"," ",IF(CC=2,$DF137*DC137*CT137,0))</f>
        <v> </v>
      </c>
      <c r="DN137" s="342" t="str">
        <f aca="false">IF($A137="N/A"," ",IF(CC=2,$DF137*DD137*CU137,0))</f>
        <v> </v>
      </c>
      <c r="DO137" s="342" t="str">
        <f aca="false">IF($A137="N/A"," ",IF(CC=2,$DF137*DE137*CV137,0))</f>
        <v> </v>
      </c>
      <c r="DP137" s="343" t="str">
        <f aca="false">IF($A137="N/A"," ",IF(CC=2,SUM(DG137:DO137),0))</f>
        <v> </v>
      </c>
      <c r="DQ137" s="0" t="str">
        <f aca="false">IF(A137="N/A"," ",Perstart)</f>
        <v> </v>
      </c>
      <c r="HD137" s="0" t="str">
        <f aca="false">IF($A137="N/A"," ",VLOOKUP($A137,NumberofDaysTable,2))</f>
        <v> </v>
      </c>
      <c r="HE137" s="0" t="str">
        <f aca="false">IF($A137="N/A"," ",VLOOKUP($A137,NumberofDaysTable,3))</f>
        <v> </v>
      </c>
      <c r="HF137" s="0" t="str">
        <f aca="false">IF($A137="N/A"," ",VLOOKUP($A137,NumberofDaysTable,4))</f>
        <v> </v>
      </c>
    </row>
    <row r="138" customFormat="false" ht="12.75" hidden="false" customHeight="false" outlineLevel="0" collapsed="false">
      <c r="A138" s="308" t="str">
        <f aca="false">IF(A137="N/A","N/A",IF(EDATE(A137,1)&gt;Inputs!$K$3,"N/A",EDATE(A137,1)))</f>
        <v>N/A</v>
      </c>
      <c r="B138" s="309" t="str">
        <f aca="false">IF(A138="N/A"," ",YEAR(A138))</f>
        <v> </v>
      </c>
      <c r="C138" s="310" t="str">
        <f aca="false">IF(A138="N/A"," ",VLOOKUP(A138,ScaledPrice,10))</f>
        <v> </v>
      </c>
      <c r="D138" s="311" t="str">
        <f aca="false">IF(A138="N/A"," ",(VLOOKUP(MONTH($A138),Hrtable,2))/1000)</f>
        <v> </v>
      </c>
      <c r="E138" s="312" t="str">
        <f aca="false">IF($A138="N/A"," ",(C138-'Pricing Inputs'!T171)*D138)</f>
        <v> </v>
      </c>
      <c r="F138" s="313" t="str">
        <f aca="false">IF(A138="N/A"," ",$F126*(1+VOMesc))</f>
        <v> </v>
      </c>
      <c r="G138" s="313" t="str">
        <f aca="false">IF(A138="N/A"," ",Perstart/IF(AND(Dayrun&gt;=4,Dayrun&lt;=6),16,IF(AND(Dayrun&gt;=7,Dayrun&lt;=9),8,24))/(BM138/CK138))</f>
        <v> </v>
      </c>
      <c r="H138" s="314" t="str">
        <f aca="false">IF(A138="N/A"," ",(C138*D138)+F138+G138)</f>
        <v> </v>
      </c>
      <c r="I138" s="315" t="str">
        <f aca="false">VLOOKUP(A138,ScaledPrice,(IF(AND(Dayrun&gt;=1,Dayrun&lt;=6),2,4)))</f>
        <v> </v>
      </c>
      <c r="J138" s="315" t="str">
        <f aca="false">IF(A138="N/A"," ",IF(AND(Dayrun&gt;=1,Dayrun&lt;=6),I138,(VLOOKUP(A138,ScaledPrice,2))*(2-(VLOOKUP(A138,ScaledPrice,3)))))</f>
        <v> </v>
      </c>
      <c r="K138" s="315" t="str">
        <f aca="false">IF(A138="N/A"," ",IF(AND(Dayrun&gt;=1,Dayrun&lt;=3),VLOOKUP(A138,ScaledPrice,9),0))</f>
        <v> </v>
      </c>
      <c r="L138" s="315" t="str">
        <f aca="false">IF(A138="N/A"," ",IF(OR(Dayrun=2,Dayrun=3,Dayrun=5,Dayrun=6,Dayrun=8,Dayrun=9),VLOOKUP(A138,ScaledPrice,IF(AND(Dayrun&gt;=2,Dayrun&lt;=6),5,6)),0))</f>
        <v> </v>
      </c>
      <c r="M138" s="315" t="str">
        <f aca="false">IF(A138="N/A"," ",IF(OR(Dayrun=2,Dayrun=3,Dayrun=5,Dayrun=6,Dayrun=8,Dayrun=9),IF(AND(Dayrun&gt;=2,Dayrun&lt;=6),L138,(VLOOKUP(A138,ScaledPrice,5))*(2-(VLOOKUP(A138,ScaledPrice,3)))),0))</f>
        <v> </v>
      </c>
      <c r="N138" s="315" t="str">
        <f aca="false">IF(A138="N/A"," ",IF(AND(Dayrun&gt;1,Dayrun&lt;=3),VLOOKUP(A138,ScaledPrice,9),0))</f>
        <v> </v>
      </c>
      <c r="O138" s="315" t="str">
        <f aca="false">IF(A138="N/A"," ",IF(OR(Dayrun=3,Dayrun=6,Dayrun=9),(VLOOKUP(A138,ScaledPrice,IF(AND(Dayrun&gt;=3,Dayrun&lt;=6),7,8))),0))</f>
        <v> </v>
      </c>
      <c r="P138" s="315" t="str">
        <f aca="false">IF(A138="N/A"," ",IF(OR(Dayrun=3,Dayrun=6,Dayrun=9),IF(AND(Dayrun&gt;=3,Dayrun&lt;=6),O138,(VLOOKUP(A138,ScaledPrice,7))*(2-(VLOOKUP(A138,ScaledPrice,3)))),0))</f>
        <v> </v>
      </c>
      <c r="Q138" s="315" t="str">
        <f aca="false">IF(A138="N/A"," ",IF(AND(Dayrun&gt;2,Dayrun&lt;=3),VLOOKUP(A138,ScaledPrice,9),0))</f>
        <v> </v>
      </c>
      <c r="R138" s="316" t="str">
        <f aca="false">IF($A138="N/A"," ",IF(Pricetype=2,MAX(I138-$H138,0),IF(Pricetype=1,(xSPRDOPT(I138,$E138,$CI138,0,($CD138+IF(Smile=TRUE(),VLOOKUP(MAX(-5,$H138-I138),Volsmile,2),0)),$CG138,$CH138,($A138-DateToday)+15,1,0)),I138-$H138)))</f>
        <v> </v>
      </c>
      <c r="S138" s="316" t="str">
        <f aca="false">IF($A138="N/A"," ",IF(Pricetype=2,MAX(J138-$H138,0),IF(Pricetype=1,(xSPRDOPT(J138,$E138,$CI138,0,($CD138+IF(Smile=TRUE(),VLOOKUP(MAX(-5,$H138-J138),Volsmile,2),0)),$CG138,$CH138,($A138-DateToday)+15,1,0)),J138-$H138)))</f>
        <v> </v>
      </c>
      <c r="T138" s="317" t="str">
        <f aca="false">IF($A138="N/A"," ",(IF(Pricetype=2,IF((K138-$H138)&lt;=0,0,(K138-$H138)),IF(K138&lt;&gt;0,(K138-$H138),0))))</f>
        <v> </v>
      </c>
      <c r="U138" s="316" t="str">
        <f aca="false">IF($A138="N/A"," ",IF(Pricetype=2,MAX(L138-$H138,0),IF(L138&lt;&gt;0,IF(Pricetype=1,(xSPRDOPT(L138,$E138,$CI138,0,($CD138+IF(Smile=TRUE(),VLOOKUP(MAX(-5,$H138-L138),Volsmile,2),0)),$CG138,$CH138,($A138-DateToday)+15,1,0)),L138-$H138),0)))</f>
        <v> </v>
      </c>
      <c r="V138" s="316" t="str">
        <f aca="false">IF($A138="N/A"," ",IF(Pricetype=2,MAX(M138-$H138,0),IF(M138&lt;&gt;0,IF(Pricetype=1,(xSPRDOPT(M138,$E138,$CI138,0,($CD138+IF(Smile=TRUE(),VLOOKUP(MAX(-5,$H138-M138),Volsmile,2),0)),$CG138,$CH138,($A138-DateToday)+15,1,0)),M138-$H138),0)))</f>
        <v> </v>
      </c>
      <c r="W138" s="317" t="str">
        <f aca="false">IF($A138="N/A"," ",(IF(Pricetype=2,IF((N138-$H138)&lt;=0,0,(N138-$H138)),IF(N138&lt;&gt;0,(N138-$H138),0))))</f>
        <v> </v>
      </c>
      <c r="X138" s="316" t="str">
        <f aca="false">IF($A138="N/A"," ",IF(Pricetype=2,MAX(O138-$H138,0),IF(O138&lt;&gt;0,IF(Pricetype=1,(xSPRDOPT(O138,$E138,$CI138,0,($CD138+IF(Smile=TRUE(),VLOOKUP(MAX(-5,$H138-O138),Volsmile,2),0)),$CG138,$CH138,($A138-DateToday)+15,1,0)),O138-$H138),0)))</f>
        <v> </v>
      </c>
      <c r="Y138" s="316" t="str">
        <f aca="false">IF($A138="N/A"," ",IF(Pricetype=2,MAX(P138-$H138,0),IF(P138&lt;&gt;0,IF(Pricetype=1,(xSPRDOPT(P138,$E138,$CI138,0,($CD138+IF(Smile=TRUE(),VLOOKUP(MAX(-5,$H138-P138),Volsmile,2),0)),$CG138,$CH138,($A138-DateToday)+15,1,0)),P138-$H138),0)))</f>
        <v> </v>
      </c>
      <c r="Z138" s="317" t="str">
        <f aca="false">IF($A138="N/A"," ",(IF(Pricetype=2,IF((Q138-$H138)&lt;=0,0,(Q138-$H138)),IF(Q138&lt;&gt;0,(Q138-$H138),0))))</f>
        <v> </v>
      </c>
      <c r="AA138" s="318" t="str">
        <f aca="false">IF($A138="N/A"," ",IF(VLOOKUP(MONTH(A138),ManualTable,2)=1,(IF(0&lt;&gt;R138,IF(Pricetype=1,(xSPRDOPT(I138,$E138,$CI138,0,($CD138+IF(Smile=TRUE(),VLOOKUP(MAX(-5,$H138-I138),Volsmile,2),0)),$CG138,$CH138,($A138-DateToday)+15,1,1))*(8*$HD138),8*$HD138),0)),0))</f>
        <v> </v>
      </c>
      <c r="AB138" s="318" t="str">
        <f aca="false">IF($A138="N/A"," ",IF(VLOOKUP(MONTH(A138),ManualTable,3)=1,(IF(S138&lt;&gt;0,IF(Pricetype=1,(xSPRDOPT(J138,$E138,$CI138,0,($CD138+IF(Smile=TRUE(),VLOOKUP(MAX(-5,$H138-J138),Volsmile,2),0)),$CG138,$CH138,($A138-DateToday)+15,1,1))*(8*$HD138),8*$HD138),0)),0))</f>
        <v> </v>
      </c>
      <c r="AC138" s="318" t="str">
        <f aca="false">IF($A138="N/A"," ",IF(VLOOKUP(MONTH(A138),ManualTable,4)=1,(IF(T138&lt;&gt;0,(8*$HD138),0)),0))</f>
        <v> </v>
      </c>
      <c r="AD138" s="318" t="str">
        <f aca="false">IF($A138="N/A"," ",IF(VLOOKUP(MONTH(A138),ManualTable,5)=1,(IF(U138&lt;&gt;0,IF(Pricetype=1,(xSPRDOPT(L138,$E138,$CI138,0,($CD138+IF(Smile=TRUE(),VLOOKUP(MAX(-5,$H138-L138),Volsmile,2),0)),$CG138,$CH138,($A138-DateToday)+15,1,1))*(8*$HE138),8*$HE138),0)),0))</f>
        <v> </v>
      </c>
      <c r="AE138" s="318" t="str">
        <f aca="false">IF($A138="N/A"," ",IF(VLOOKUP(MONTH(A138),ManualTable,6)=1,(IF(V138&lt;&gt;0,IF(Pricetype=1,(xSPRDOPT(M138,$E138,$CI138,0,($CD138+IF(Smile=TRUE(),VLOOKUP(MAX(-5,$H138-M138),Volsmile,2),0)),$CG138,$CH138,($A138-DateToday)+15,1,1))*(8*$HE138),8*$HE138),0)),0))</f>
        <v> </v>
      </c>
      <c r="AF138" s="318" t="str">
        <f aca="false">IF($A138="N/A"," ",IF(VLOOKUP(MONTH(A138),ManualTable,7)=1,(IF(W138&lt;&gt;0,(8*$HE138),0)),0))</f>
        <v> </v>
      </c>
      <c r="AG138" s="318" t="str">
        <f aca="false">IF($A138="N/A"," ",IF(VLOOKUP(MONTH(A138),ManualTable,8)=1,(IF(X138&lt;&gt;0,IF(Pricetype=1,(xSPRDOPT(O138,$E138,$CI138,0,($CD138+IF(Smile=TRUE(),VLOOKUP(MAX(-5,$H138-O138),Volsmile,2),0)),$CG138,$CH138,($A138-DateToday)+15,1,1))*(8*$HF138),8*$HF138),0)),0))</f>
        <v> </v>
      </c>
      <c r="AH138" s="318" t="str">
        <f aca="false">IF($A138="N/A"," ",IF(VLOOKUP(MONTH(A138),ManualTable,9)=1,(IF(Y138&lt;&gt;0,IF(Pricetype=1,(xSPRDOPT(P138,$E138,$CI138,0,($CD138+IF(Smile=TRUE(),VLOOKUP(MAX(-5,$H138-P138),Volsmile,2),0)),$CG138,$CH138,($A138-DateToday)+15,1,1))*(8*$HF138),8*$HF138),0)),0))</f>
        <v> </v>
      </c>
      <c r="AI138" s="318" t="str">
        <f aca="false">IF($A138="N/A"," ",IF(VLOOKUP(MONTH(A138),ManualTable,10)=1,(IF(Z138&lt;&gt;0,(8*($HF138)),0)),0))</f>
        <v> </v>
      </c>
      <c r="AJ138" s="344" t="str">
        <f aca="false">IF($A138="N/A"," ",RANK(R138,$R$136:$Z$147))</f>
        <v> </v>
      </c>
      <c r="AK138" s="321" t="str">
        <f aca="false">IF($A138="N/A"," ",RANK(S138,$R$136:$Z$147))</f>
        <v> </v>
      </c>
      <c r="AL138" s="321" t="str">
        <f aca="false">IF($A138="N/A"," ",RANK(T138,$R$136:$Z$147))</f>
        <v> </v>
      </c>
      <c r="AM138" s="321" t="str">
        <f aca="false">IF($A138="N/A"," ",RANK(U138,$R$136:$Z$147))</f>
        <v> </v>
      </c>
      <c r="AN138" s="321" t="str">
        <f aca="false">IF($A138="N/A"," ",RANK(V138,$R$136:$Z$147))</f>
        <v> </v>
      </c>
      <c r="AO138" s="321" t="str">
        <f aca="false">IF($A138="N/A"," ",RANK(W138,$R$136:$Z$147))</f>
        <v> </v>
      </c>
      <c r="AP138" s="321" t="str">
        <f aca="false">IF($A138="N/A"," ",RANK(X138,$R$136:$Z$147))</f>
        <v> </v>
      </c>
      <c r="AQ138" s="321" t="str">
        <f aca="false">IF($A138="N/A"," ",RANK(Y138,$R$136:$Z$147))</f>
        <v> </v>
      </c>
      <c r="AR138" s="345" t="str">
        <f aca="false">IF($A138="N/A"," ",RANK(Z138,$R$136:$Z$147))</f>
        <v> </v>
      </c>
      <c r="AS138" s="323" t="str">
        <f aca="false">IF($A138="N/A"," ",IF(AJ138&lt;=$AR$2,AA138,0))</f>
        <v> </v>
      </c>
      <c r="AT138" s="325" t="str">
        <f aca="false">IF($A138="N/A"," ",IF(AK138&lt;=$AR$2,AB138,0))</f>
        <v> </v>
      </c>
      <c r="AU138" s="325" t="str">
        <f aca="false">IF($A138="N/A"," ",IF(AL138&lt;=$AR$2,AC138,0))</f>
        <v> </v>
      </c>
      <c r="AV138" s="325" t="str">
        <f aca="false">IF($A138="N/A"," ",IF(AM138&lt;=$AR$2,AD138,0))</f>
        <v> </v>
      </c>
      <c r="AW138" s="325" t="str">
        <f aca="false">IF($A138="N/A"," ",IF(AN138&lt;=$AR$2,AE138,0))</f>
        <v> </v>
      </c>
      <c r="AX138" s="325" t="str">
        <f aca="false">IF($A138="N/A"," ",IF(AO138&lt;=$AR$2,AF138,0))</f>
        <v> </v>
      </c>
      <c r="AY138" s="325" t="str">
        <f aca="false">IF($A138="N/A"," ",IF(AP138&lt;=$AR$2,AG138,0))</f>
        <v> </v>
      </c>
      <c r="AZ138" s="325" t="str">
        <f aca="false">IF($A138="N/A"," ",IF(AQ138&lt;=$AR$2,AH138,0))</f>
        <v> </v>
      </c>
      <c r="BA138" s="325" t="str">
        <f aca="false">IF($A138="N/A"," ",IF(AR138&lt;=$AR$2,AI138,0))</f>
        <v> </v>
      </c>
      <c r="BB138" s="345"/>
      <c r="BC138" s="326" t="str">
        <f aca="false">IF($A138="N/A"," ",IF(AND(AJ138=$AR$2+1,AS138=0),MIN($BB$147,AA138),0))</f>
        <v> </v>
      </c>
      <c r="BD138" s="346" t="str">
        <f aca="false">IF($A138="N/A"," ",IF(AND(AK138=$AR$2+1,AT138=0),MIN($BB$147,AB138),0))</f>
        <v> </v>
      </c>
      <c r="BE138" s="346" t="str">
        <f aca="false">IF($A138="N/A"," ",IF(AND(AL138=$AR$2+1,AU138=0),MIN($BB$147,AC138),0))</f>
        <v> </v>
      </c>
      <c r="BF138" s="346" t="str">
        <f aca="false">IF($A138="N/A"," ",IF(AND(AM138=$AR$2+1,AV138=0),MIN($BB$147,AD138),0))</f>
        <v> </v>
      </c>
      <c r="BG138" s="346" t="str">
        <f aca="false">IF($A138="N/A"," ",IF(AND(AN138=$AR$2+1,AW138=0),MIN($BB$147,AE138),0))</f>
        <v> </v>
      </c>
      <c r="BH138" s="346" t="str">
        <f aca="false">IF($A138="N/A"," ",IF(AND(AO138=$AR$2+1,AX138=0),MIN($BB$147,AF138),0))</f>
        <v> </v>
      </c>
      <c r="BI138" s="346" t="str">
        <f aca="false">IF($A138="N/A"," ",IF(AND(AP138=$AR$2+1,AY138=0),MIN($BB$147,AG138),0))</f>
        <v> </v>
      </c>
      <c r="BJ138" s="346" t="str">
        <f aca="false">IF($A138="N/A"," ",IF(AND(AQ138=$AR$2+1,AZ138=0),MIN($BB$147,AH138),0))</f>
        <v> </v>
      </c>
      <c r="BK138" s="346" t="str">
        <f aca="false">IF($A138="N/A"," ",IF(AND(AR138=$AR$2+1,BA138=0),MIN($BB$147,AI138),0))</f>
        <v> </v>
      </c>
      <c r="BL138" s="345"/>
      <c r="BM138" s="329" t="str">
        <f aca="false">IF($A138="N/A"," ",(IF(MONTH(A138)&gt;=4,IF(MONTH(A138)&lt;=10,Inputs!$F$13-Inputs!$G$13,Inputs!$F$14-Inputs!$G$14),Inputs!$F$14-Inputs!$G$14))*$CK138*Availability)</f>
        <v> </v>
      </c>
      <c r="BN138" s="330" t="str">
        <f aca="false">IF($A138="N/A"," ",(IF(AS138&gt;0,($BM138*(8*($HD138))*R138),0)+IF(BC138&gt;0,($BM138*((BC138/AA138)*8*$HD138)*R138),0)))</f>
        <v> </v>
      </c>
      <c r="BO138" s="330" t="str">
        <f aca="false">IF($A138="N/A"," ",(IF(AT138&gt;0,($BM138*(8*($HD138))*S138),0)+IF(BD138&gt;0,($BM138*((BD138/AB138)*8*$HD138)*S138),0)))</f>
        <v> </v>
      </c>
      <c r="BP138" s="330" t="str">
        <f aca="false">IF($A138="N/A"," ",(IF(AU138&gt;0,($BM138*(8*($HD138))*T138),0)+IF(BE138&gt;0,($BM138*((BE138))*T138),0)))</f>
        <v> </v>
      </c>
      <c r="BQ138" s="330" t="str">
        <f aca="false">IF($A138="N/A"," ",(IF(AV138&gt;0,($BM138*(8*($HE138))*U138),0)+IF(BF138&gt;0,($BM138*((BF138/AD138)*8*$HE138)*U138),0)))</f>
        <v> </v>
      </c>
      <c r="BR138" s="330" t="str">
        <f aca="false">IF($A138="N/A"," ",(IF(AW138&gt;0,($BM138*(8*($HE138))*V138),0)+IF(BG138&gt;0,($BM138*((BG138/AE138)*8*$HE138)*V138),0)))</f>
        <v> </v>
      </c>
      <c r="BS138" s="330" t="str">
        <f aca="false">IF($A138="N/A"," ",(IF(AX138&gt;0,($BM138*(8*($HE138))*W138),0)+IF(BH138&gt;0,($BM138*((BH138))*W138),0)))</f>
        <v> </v>
      </c>
      <c r="BT138" s="330" t="str">
        <f aca="false">IF($A138="N/A"," ",(IF(AY138&gt;0,($BM138*(8*($HF138))*X138),0)+IF(BI138&gt;0,($BM138*((BI138/AG138)*8*$HF138)*X138),0)))</f>
        <v> </v>
      </c>
      <c r="BU138" s="330" t="str">
        <f aca="false">IF($A138="N/A"," ",(IF(AZ138&gt;0,($BM138*(8*($HF138))*Y138),0)+IF(BJ138&gt;0,($BM138*((BJ138/AH138)*8*$HF138)*Y138),0)))</f>
        <v> </v>
      </c>
      <c r="BV138" s="330" t="str">
        <f aca="false">IF($A138="N/A"," ",(IF(BA138&gt;0,($BM138*(8*($HF138))*Z138),0)+IF(BK138&gt;0,($BM138*((BK138))*Z138),0)))</f>
        <v> </v>
      </c>
      <c r="BW138" s="330" t="str">
        <f aca="false">IF($A138="N/A"," ",SUM(BN138:BV138))</f>
        <v> </v>
      </c>
      <c r="BX138" s="331" t="str">
        <f aca="false">IF($A138="N/A"," ",(H138*(SUM(AS138:BA138)+SUM(BC138:BK138))*BM138))</f>
        <v> </v>
      </c>
      <c r="BY138" s="332" t="str">
        <f aca="false">IF($A138="N/A"," ",((C138*D138)*(SUM($AS138:$BA138)+SUM($BC138:$BK138))*$BM138))</f>
        <v> </v>
      </c>
      <c r="BZ138" s="332" t="str">
        <f aca="false">IF($A138="N/A"," ",(F138*(SUM($AS138:$BA138)+SUM($BC138:$BK138))*$BM138))</f>
        <v> </v>
      </c>
      <c r="CA138" s="333" t="str">
        <f aca="false">IF($A138="N/A"," ",(G138*(SUM($AS138:$BA138)+SUM($BC138:$BK138))*$BM138))</f>
        <v> </v>
      </c>
      <c r="CB138" s="334" t="str">
        <f aca="false">IF(A138="N/A"," ",(VLOOKUP(A138,PowerVolTable,(IF(BMO=2,7,IF(BMO=1,6,8))),FALSE())))</f>
        <v> </v>
      </c>
      <c r="CC138" s="334" t="str">
        <f aca="false">IF(A138="N/A"," ",(VLOOKUP(A138,IntraPowerVol,(IF(BMO=2,3,IF(BMO=1,2,4))),FALSE())*VLOOKUP(MONTH($A138),Volscale,2)))</f>
        <v> </v>
      </c>
      <c r="CD138" s="335" t="str">
        <f aca="false">IF($A138="N/A"," ",(IF(DateToday&gt;$A138,$CC138,((($CB138^2)*((($A138-1)-DateToday)/((EOMONTH($A138,0)+1)-DateToday-15)))+((($CC138)^2)*((15)/((EOMONTH($A138,0)+1)-DateToday-15))))^0.5)))</f>
        <v> </v>
      </c>
      <c r="CE138" s="334" t="str">
        <f aca="false">IF($A138="N/A"," ",(VLOOKUP($A138,GasVolTable,(IF(BMO=2,6,IF(BMO=1,7,5))),FALSE())))</f>
        <v> </v>
      </c>
      <c r="CF138" s="334" t="str">
        <f aca="false">IF($A138="N/A"," ",(VLOOKUP($A138,OmicronVol,(IF(BMO=2,3,IF(BMO=1,4,2))),FALSE())))</f>
        <v> </v>
      </c>
      <c r="CG138" s="335" t="str">
        <f aca="false">IF($A138="N/A"," ",(IF(DateToday&gt;$A138,$CF138,((($CE138^2)*((($A138-1)-DateToday)/((EOMONTH($A138,0)+1)-DateToday-15)))+((($CF138)^2)*((15)/((EOMONTH($A138,0)+1)-DateToday-15))))^0.5)))</f>
        <v> </v>
      </c>
      <c r="CH138" s="334" t="str">
        <f aca="false">IF($A138="N/A"," ",VLOOKUP($A138,CorrelationTable,2,FALSE()))</f>
        <v> </v>
      </c>
      <c r="CI138" s="336" t="str">
        <f aca="false">IF($A138="N/A"," ",F138+G138+(D138*('Pricing Inputs'!T171)))</f>
        <v> </v>
      </c>
      <c r="CJ138" s="334" t="str">
        <f aca="false">IF($A138="N/A"," ",IF(PV=1,0,'Pricing Inputs'!U171))</f>
        <v> </v>
      </c>
      <c r="CK138" s="337" t="str">
        <f aca="false">IF($A138="N/A"," ",(1+CJ138/2)^(-2*((EOMONTH(A138,0)+20)-DateToday)/365.25))</f>
        <v> </v>
      </c>
      <c r="CL138" s="338" t="str">
        <f aca="false">IF(A138="N/A"," ",IF(CC=2,(VLOOKUP(MONTH($A138),Hrtable,3))/1000,0))</f>
        <v> </v>
      </c>
      <c r="CM138" s="339" t="str">
        <f aca="false">IF(A138="N/A"," ",IF(CC=2,(CL138*C138)+F138,0))</f>
        <v> </v>
      </c>
      <c r="CN138" s="340" t="str">
        <f aca="false">IF($A138="N/A"," ",IF(CC=2,(VLOOKUP(A138,ScaledPrice,(IF(AND(Dayrun&gt;=1,Dayrun&lt;=6),2,4)))-((IF(R138&lt;&gt;0,$D138,$CL138)*$C138)+$F138+$G138)),0))</f>
        <v> </v>
      </c>
      <c r="CO138" s="340" t="str">
        <f aca="false">IF($A138="N/A"," ",IF(CC=2,(IF(AND(Dayrun&gt;=1,Dayrun&lt;=6),I138,(VLOOKUP(A138,ScaledPrice,2))*(2-(VLOOKUP(A138,ScaledPrice,3))))-((IF(S138&lt;&gt;0,$D138,$CL138)*$C138)+$F138+$G138)),0))</f>
        <v> </v>
      </c>
      <c r="CP138" s="340" t="str">
        <f aca="false">IF(A138="N/A"," ",IF(CC=2,(VLOOKUP(A138,ScaledPrice,9)-((IF(T138&lt;&gt;0,$D138,$CL138)*$C138)+$F138+$G138)),0))</f>
        <v> </v>
      </c>
      <c r="CQ138" s="340" t="str">
        <f aca="false">IF(A138="N/A"," ",IF(CC=2,(IF(OR(Dayrun=2,Dayrun=3,Dayrun=5,Dayrun=6,Dayrun=8,Dayrun=9),VLOOKUP(A138,ScaledPrice,IF(AND(Dayrun&gt;=2,Dayrun&lt;=6),5,6)),0)-((IF(U138&lt;&gt;0,$D138,$CL138)*$C138)+$F138+$G138)),0))</f>
        <v> </v>
      </c>
      <c r="CR138" s="340" t="str">
        <f aca="false">IF(A138="N/A"," ",IF(CC=2,(IF(OR(Dayrun=2,Dayrun=3,Dayrun=5,Dayrun=6,Dayrun=8,Dayrun=9),IF(AND(Dayrun&gt;=2,Dayrun&lt;=6),L138,(VLOOKUP(A138,ScaledPrice,5))*(2-(VLOOKUP(A138,ScaledPrice,3)))),0)-((IF(V138&lt;&gt;0,$D138,$CL138)*$C138)+$F138+$G138)),0))</f>
        <v> </v>
      </c>
      <c r="CS138" s="340" t="str">
        <f aca="false">IF(A138="N/A"," ",IF(CC=2,(VLOOKUP(A138,ScaledPrice,9)-((IF(W138&lt;&gt;0,$D138,$CL138)*$C138)+$F138+$G138)),0))</f>
        <v> </v>
      </c>
      <c r="CT138" s="340" t="str">
        <f aca="false">IF(A138="N/A"," ",IF(CC=2,(IF(OR(Dayrun=3,Dayrun=6,Dayrun=9),(VLOOKUP(A138,ScaledPrice,IF(AND(Dayrun&gt;=3,Dayrun&lt;=6),7,8))),0)-((IF(X138&lt;&gt;0,$D138,$CL138)*$C138)+$F138+$G138)),0))</f>
        <v> </v>
      </c>
      <c r="CU138" s="340" t="str">
        <f aca="false">IF(A138="N/A"," ",IF(CC=2,(IF(OR(Dayrun=3,Dayrun=6,Dayrun=9),IF(AND(Dayrun&gt;=3,Dayrun&lt;=6),O138,(VLOOKUP(A138,ScaledPrice,7))*(2-(VLOOKUP(A138,ScaledPrice,3)))),0)-((IF(Y138&lt;&gt;0,$D138,$CL138)*$C138)+$F138+$G138)),0))</f>
        <v> </v>
      </c>
      <c r="CV138" s="340" t="str">
        <f aca="false">IF(A138="N/A"," ",IF(CC=2,(VLOOKUP(A138,ScaledPrice,9)-((IF(Z138&lt;&gt;0,$D138,$CL138)*$C138)+$F138+$G138)),0))</f>
        <v> </v>
      </c>
      <c r="CW138" s="318" t="str">
        <f aca="false">IF($A138="N/A"," ",IF(0&lt;&gt;CN138,IF(CC=2,8*$HD138,0),0))</f>
        <v> </v>
      </c>
      <c r="CX138" s="318" t="str">
        <f aca="false">IF($A138="N/A"," ",IF(0&lt;&gt;CO138,IF(CC=2,8*$HD138,0),0))</f>
        <v> </v>
      </c>
      <c r="CY138" s="318" t="str">
        <f aca="false">IF($A138="N/A"," ",IF(0&lt;&gt;CP138,IF(CC=2,8*$HD138,0),0))</f>
        <v> </v>
      </c>
      <c r="CZ138" s="318" t="str">
        <f aca="false">IF($A138="N/A"," ",IF(0&lt;&gt;CQ138,IF(CC=2,8*$HE138,0),0))</f>
        <v> </v>
      </c>
      <c r="DA138" s="318" t="str">
        <f aca="false">IF($A138="N/A"," ",IF(0&lt;&gt;CR138,IF(CC=2,8*$HE138,0),0))</f>
        <v> </v>
      </c>
      <c r="DB138" s="318" t="str">
        <f aca="false">IF($A138="N/A"," ",IF(0&lt;&gt;CS138,IF(CC=2,8*$HE138,0),0))</f>
        <v> </v>
      </c>
      <c r="DC138" s="318" t="str">
        <f aca="false">IF($A138="N/A"," ",IF(0&lt;&gt;CT138,IF(CC=2,8*$HF138,0),0))</f>
        <v> </v>
      </c>
      <c r="DD138" s="318" t="str">
        <f aca="false">IF($A138="N/A"," ",IF(0&lt;&gt;CU138,IF(CC=2,8*$HF138,0),0))</f>
        <v> </v>
      </c>
      <c r="DE138" s="318" t="str">
        <f aca="false">IF($A138="N/A"," ",IF(0&lt;&gt;CV138,IF(CC=2,8*$HF138,0),0))</f>
        <v> </v>
      </c>
      <c r="DF138" s="341" t="str">
        <f aca="false">IF($A138="N/A"," ",IF(CC=2,(IF(MONTH(A138)&gt;=4,IF(MONTH(A138)&lt;=10,Inputs!$G$13,Inputs!$G$14),Inputs!$G$14))*$CK138,0))</f>
        <v> </v>
      </c>
      <c r="DG138" s="342" t="str">
        <f aca="false">IF($A138="N/A"," ",IF(CC=2,$DF138*CW138*CN138,0))</f>
        <v> </v>
      </c>
      <c r="DH138" s="342" t="str">
        <f aca="false">IF($A138="N/A"," ",IF(CC=2,$DF138*CX138*CO138,0))</f>
        <v> </v>
      </c>
      <c r="DI138" s="342" t="str">
        <f aca="false">IF($A138="N/A"," ",IF(CC=2,$DF138*CY138*CP138,0))</f>
        <v> </v>
      </c>
      <c r="DJ138" s="342" t="str">
        <f aca="false">IF($A138="N/A"," ",IF(CC=2,$DF138*CZ138*CQ138,0))</f>
        <v> </v>
      </c>
      <c r="DK138" s="342" t="str">
        <f aca="false">IF($A138="N/A"," ",IF(CC=2,$DF138*DA138*CR138,0))</f>
        <v> </v>
      </c>
      <c r="DL138" s="342" t="str">
        <f aca="false">IF($A138="N/A"," ",IF(CC=2,$DF138*DB138*CS138,0))</f>
        <v> </v>
      </c>
      <c r="DM138" s="342" t="str">
        <f aca="false">IF($A138="N/A"," ",IF(CC=2,$DF138*DC138*CT138,0))</f>
        <v> </v>
      </c>
      <c r="DN138" s="342" t="str">
        <f aca="false">IF($A138="N/A"," ",IF(CC=2,$DF138*DD138*CU138,0))</f>
        <v> </v>
      </c>
      <c r="DO138" s="342" t="str">
        <f aca="false">IF($A138="N/A"," ",IF(CC=2,$DF138*DE138*CV138,0))</f>
        <v> </v>
      </c>
      <c r="DP138" s="343" t="str">
        <f aca="false">IF($A138="N/A"," ",IF(CC=2,SUM(DG138:DO138),0))</f>
        <v> </v>
      </c>
      <c r="DQ138" s="0" t="str">
        <f aca="false">IF(A138="N/A"," ",Perstart)</f>
        <v> </v>
      </c>
      <c r="HD138" s="0" t="str">
        <f aca="false">IF($A138="N/A"," ",VLOOKUP($A138,NumberofDaysTable,2))</f>
        <v> </v>
      </c>
      <c r="HE138" s="0" t="str">
        <f aca="false">IF($A138="N/A"," ",VLOOKUP($A138,NumberofDaysTable,3))</f>
        <v> </v>
      </c>
      <c r="HF138" s="0" t="str">
        <f aca="false">IF($A138="N/A"," ",VLOOKUP($A138,NumberofDaysTable,4))</f>
        <v> </v>
      </c>
    </row>
    <row r="139" customFormat="false" ht="12.75" hidden="false" customHeight="false" outlineLevel="0" collapsed="false">
      <c r="A139" s="308" t="str">
        <f aca="false">IF(A138="N/A","N/A",IF(EDATE(A138,1)&gt;Inputs!$K$3,"N/A",EDATE(A138,1)))</f>
        <v>N/A</v>
      </c>
      <c r="B139" s="309" t="str">
        <f aca="false">IF(A139="N/A"," ",YEAR(A139))</f>
        <v> </v>
      </c>
      <c r="C139" s="310" t="str">
        <f aca="false">IF(A139="N/A"," ",VLOOKUP(A139,ScaledPrice,10))</f>
        <v> </v>
      </c>
      <c r="D139" s="311" t="str">
        <f aca="false">IF(A139="N/A"," ",(VLOOKUP(MONTH($A139),Hrtable,2))/1000)</f>
        <v> </v>
      </c>
      <c r="E139" s="312" t="str">
        <f aca="false">IF($A139="N/A"," ",(C139-'Pricing Inputs'!T172)*D139)</f>
        <v> </v>
      </c>
      <c r="F139" s="313" t="str">
        <f aca="false">IF(A139="N/A"," ",$F127*(1+VOMesc))</f>
        <v> </v>
      </c>
      <c r="G139" s="313" t="str">
        <f aca="false">IF(A139="N/A"," ",Perstart/IF(AND(Dayrun&gt;=4,Dayrun&lt;=6),16,IF(AND(Dayrun&gt;=7,Dayrun&lt;=9),8,24))/(BM139/CK139))</f>
        <v> </v>
      </c>
      <c r="H139" s="314" t="str">
        <f aca="false">IF(A139="N/A"," ",(C139*D139)+F139+G139)</f>
        <v> </v>
      </c>
      <c r="I139" s="315" t="str">
        <f aca="false">VLOOKUP(A139,ScaledPrice,(IF(AND(Dayrun&gt;=1,Dayrun&lt;=6),2,4)))</f>
        <v> </v>
      </c>
      <c r="J139" s="315" t="str">
        <f aca="false">IF(A139="N/A"," ",IF(AND(Dayrun&gt;=1,Dayrun&lt;=6),I139,(VLOOKUP(A139,ScaledPrice,2))*(2-(VLOOKUP(A139,ScaledPrice,3)))))</f>
        <v> </v>
      </c>
      <c r="K139" s="315" t="str">
        <f aca="false">IF(A139="N/A"," ",IF(AND(Dayrun&gt;=1,Dayrun&lt;=3),VLOOKUP(A139,ScaledPrice,9),0))</f>
        <v> </v>
      </c>
      <c r="L139" s="315" t="str">
        <f aca="false">IF(A139="N/A"," ",IF(OR(Dayrun=2,Dayrun=3,Dayrun=5,Dayrun=6,Dayrun=8,Dayrun=9),VLOOKUP(A139,ScaledPrice,IF(AND(Dayrun&gt;=2,Dayrun&lt;=6),5,6)),0))</f>
        <v> </v>
      </c>
      <c r="M139" s="315" t="str">
        <f aca="false">IF(A139="N/A"," ",IF(OR(Dayrun=2,Dayrun=3,Dayrun=5,Dayrun=6,Dayrun=8,Dayrun=9),IF(AND(Dayrun&gt;=2,Dayrun&lt;=6),L139,(VLOOKUP(A139,ScaledPrice,5))*(2-(VLOOKUP(A139,ScaledPrice,3)))),0))</f>
        <v> </v>
      </c>
      <c r="N139" s="315" t="str">
        <f aca="false">IF(A139="N/A"," ",IF(AND(Dayrun&gt;1,Dayrun&lt;=3),VLOOKUP(A139,ScaledPrice,9),0))</f>
        <v> </v>
      </c>
      <c r="O139" s="315" t="str">
        <f aca="false">IF(A139="N/A"," ",IF(OR(Dayrun=3,Dayrun=6,Dayrun=9),(VLOOKUP(A139,ScaledPrice,IF(AND(Dayrun&gt;=3,Dayrun&lt;=6),7,8))),0))</f>
        <v> </v>
      </c>
      <c r="P139" s="315" t="str">
        <f aca="false">IF(A139="N/A"," ",IF(OR(Dayrun=3,Dayrun=6,Dayrun=9),IF(AND(Dayrun&gt;=3,Dayrun&lt;=6),O139,(VLOOKUP(A139,ScaledPrice,7))*(2-(VLOOKUP(A139,ScaledPrice,3)))),0))</f>
        <v> </v>
      </c>
      <c r="Q139" s="315" t="str">
        <f aca="false">IF(A139="N/A"," ",IF(AND(Dayrun&gt;2,Dayrun&lt;=3),VLOOKUP(A139,ScaledPrice,9),0))</f>
        <v> </v>
      </c>
      <c r="R139" s="316" t="str">
        <f aca="false">IF($A139="N/A"," ",IF(Pricetype=2,MAX(I139-$H139,0),IF(Pricetype=1,(xSPRDOPT(I139,$E139,$CI139,0,($CD139+IF(Smile=TRUE(),VLOOKUP(MAX(-5,$H139-I139),Volsmile,2),0)),$CG139,$CH139,($A139-DateToday)+15,1,0)),I139-$H139)))</f>
        <v> </v>
      </c>
      <c r="S139" s="316" t="str">
        <f aca="false">IF($A139="N/A"," ",IF(Pricetype=2,MAX(J139-$H139,0),IF(Pricetype=1,(xSPRDOPT(J139,$E139,$CI139,0,($CD139+IF(Smile=TRUE(),VLOOKUP(MAX(-5,$H139-J139),Volsmile,2),0)),$CG139,$CH139,($A139-DateToday)+15,1,0)),J139-$H139)))</f>
        <v> </v>
      </c>
      <c r="T139" s="317" t="str">
        <f aca="false">IF($A139="N/A"," ",(IF(Pricetype=2,IF((K139-$H139)&lt;=0,0,(K139-$H139)),IF(K139&lt;&gt;0,(K139-$H139),0))))</f>
        <v> </v>
      </c>
      <c r="U139" s="316" t="str">
        <f aca="false">IF($A139="N/A"," ",IF(Pricetype=2,MAX(L139-$H139,0),IF(L139&lt;&gt;0,IF(Pricetype=1,(xSPRDOPT(L139,$E139,$CI139,0,($CD139+IF(Smile=TRUE(),VLOOKUP(MAX(-5,$H139-L139),Volsmile,2),0)),$CG139,$CH139,($A139-DateToday)+15,1,0)),L139-$H139),0)))</f>
        <v> </v>
      </c>
      <c r="V139" s="316" t="str">
        <f aca="false">IF($A139="N/A"," ",IF(Pricetype=2,MAX(M139-$H139,0),IF(M139&lt;&gt;0,IF(Pricetype=1,(xSPRDOPT(M139,$E139,$CI139,0,($CD139+IF(Smile=TRUE(),VLOOKUP(MAX(-5,$H139-M139),Volsmile,2),0)),$CG139,$CH139,($A139-DateToday)+15,1,0)),M139-$H139),0)))</f>
        <v> </v>
      </c>
      <c r="W139" s="317" t="str">
        <f aca="false">IF($A139="N/A"," ",(IF(Pricetype=2,IF((N139-$H139)&lt;=0,0,(N139-$H139)),IF(N139&lt;&gt;0,(N139-$H139),0))))</f>
        <v> </v>
      </c>
      <c r="X139" s="316" t="str">
        <f aca="false">IF($A139="N/A"," ",IF(Pricetype=2,MAX(O139-$H139,0),IF(O139&lt;&gt;0,IF(Pricetype=1,(xSPRDOPT(O139,$E139,$CI139,0,($CD139+IF(Smile=TRUE(),VLOOKUP(MAX(-5,$H139-O139),Volsmile,2),0)),$CG139,$CH139,($A139-DateToday)+15,1,0)),O139-$H139),0)))</f>
        <v> </v>
      </c>
      <c r="Y139" s="316" t="str">
        <f aca="false">IF($A139="N/A"," ",IF(Pricetype=2,MAX(P139-$H139,0),IF(P139&lt;&gt;0,IF(Pricetype=1,(xSPRDOPT(P139,$E139,$CI139,0,($CD139+IF(Smile=TRUE(),VLOOKUP(MAX(-5,$H139-P139),Volsmile,2),0)),$CG139,$CH139,($A139-DateToday)+15,1,0)),P139-$H139),0)))</f>
        <v> </v>
      </c>
      <c r="Z139" s="317" t="str">
        <f aca="false">IF($A139="N/A"," ",(IF(Pricetype=2,IF((Q139-$H139)&lt;=0,0,(Q139-$H139)),IF(Q139&lt;&gt;0,(Q139-$H139),0))))</f>
        <v> </v>
      </c>
      <c r="AA139" s="318" t="str">
        <f aca="false">IF($A139="N/A"," ",IF(VLOOKUP(MONTH(A139),ManualTable,2)=1,(IF(0&lt;&gt;R139,IF(Pricetype=1,(xSPRDOPT(I139,$E139,$CI139,0,($CD139+IF(Smile=TRUE(),VLOOKUP(MAX(-5,$H139-I139),Volsmile,2),0)),$CG139,$CH139,($A139-DateToday)+15,1,1))*(8*$HD139),8*$HD139),0)),0))</f>
        <v> </v>
      </c>
      <c r="AB139" s="318" t="str">
        <f aca="false">IF($A139="N/A"," ",IF(VLOOKUP(MONTH(A139),ManualTable,3)=1,(IF(S139&lt;&gt;0,IF(Pricetype=1,(xSPRDOPT(J139,$E139,$CI139,0,($CD139+IF(Smile=TRUE(),VLOOKUP(MAX(-5,$H139-J139),Volsmile,2),0)),$CG139,$CH139,($A139-DateToday)+15,1,1))*(8*$HD139),8*$HD139),0)),0))</f>
        <v> </v>
      </c>
      <c r="AC139" s="318" t="str">
        <f aca="false">IF($A139="N/A"," ",IF(VLOOKUP(MONTH(A139),ManualTable,4)=1,(IF(T139&lt;&gt;0,(8*$HD139),0)),0))</f>
        <v> </v>
      </c>
      <c r="AD139" s="318" t="str">
        <f aca="false">IF($A139="N/A"," ",IF(VLOOKUP(MONTH(A139),ManualTable,5)=1,(IF(U139&lt;&gt;0,IF(Pricetype=1,(xSPRDOPT(L139,$E139,$CI139,0,($CD139+IF(Smile=TRUE(),VLOOKUP(MAX(-5,$H139-L139),Volsmile,2),0)),$CG139,$CH139,($A139-DateToday)+15,1,1))*(8*$HE139),8*$HE139),0)),0))</f>
        <v> </v>
      </c>
      <c r="AE139" s="318" t="str">
        <f aca="false">IF($A139="N/A"," ",IF(VLOOKUP(MONTH(A139),ManualTable,6)=1,(IF(V139&lt;&gt;0,IF(Pricetype=1,(xSPRDOPT(M139,$E139,$CI139,0,($CD139+IF(Smile=TRUE(),VLOOKUP(MAX(-5,$H139-M139),Volsmile,2),0)),$CG139,$CH139,($A139-DateToday)+15,1,1))*(8*$HE139),8*$HE139),0)),0))</f>
        <v> </v>
      </c>
      <c r="AF139" s="318" t="str">
        <f aca="false">IF($A139="N/A"," ",IF(VLOOKUP(MONTH(A139),ManualTable,7)=1,(IF(W139&lt;&gt;0,(8*$HE139),0)),0))</f>
        <v> </v>
      </c>
      <c r="AG139" s="318" t="str">
        <f aca="false">IF($A139="N/A"," ",IF(VLOOKUP(MONTH(A139),ManualTable,8)=1,(IF(X139&lt;&gt;0,IF(Pricetype=1,(xSPRDOPT(O139,$E139,$CI139,0,($CD139+IF(Smile=TRUE(),VLOOKUP(MAX(-5,$H139-O139),Volsmile,2),0)),$CG139,$CH139,($A139-DateToday)+15,1,1))*(8*$HF139),8*$HF139),0)),0))</f>
        <v> </v>
      </c>
      <c r="AH139" s="318" t="str">
        <f aca="false">IF($A139="N/A"," ",IF(VLOOKUP(MONTH(A139),ManualTable,9)=1,(IF(Y139&lt;&gt;0,IF(Pricetype=1,(xSPRDOPT(P139,$E139,$CI139,0,($CD139+IF(Smile=TRUE(),VLOOKUP(MAX(-5,$H139-P139),Volsmile,2),0)),$CG139,$CH139,($A139-DateToday)+15,1,1))*(8*$HF139),8*$HF139),0)),0))</f>
        <v> </v>
      </c>
      <c r="AI139" s="318" t="str">
        <f aca="false">IF($A139="N/A"," ",IF(VLOOKUP(MONTH(A139),ManualTable,10)=1,(IF(Z139&lt;&gt;0,(8*($HF139)),0)),0))</f>
        <v> </v>
      </c>
      <c r="AJ139" s="344" t="str">
        <f aca="false">IF($A139="N/A"," ",RANK(R139,$R$136:$Z$147))</f>
        <v> </v>
      </c>
      <c r="AK139" s="321" t="str">
        <f aca="false">IF($A139="N/A"," ",RANK(S139,$R$136:$Z$147))</f>
        <v> </v>
      </c>
      <c r="AL139" s="321" t="str">
        <f aca="false">IF($A139="N/A"," ",RANK(T139,$R$136:$Z$147))</f>
        <v> </v>
      </c>
      <c r="AM139" s="321" t="str">
        <f aca="false">IF($A139="N/A"," ",RANK(U139,$R$136:$Z$147))</f>
        <v> </v>
      </c>
      <c r="AN139" s="321" t="str">
        <f aca="false">IF($A139="N/A"," ",RANK(V139,$R$136:$Z$147))</f>
        <v> </v>
      </c>
      <c r="AO139" s="321" t="str">
        <f aca="false">IF($A139="N/A"," ",RANK(W139,$R$136:$Z$147))</f>
        <v> </v>
      </c>
      <c r="AP139" s="321" t="str">
        <f aca="false">IF($A139="N/A"," ",RANK(X139,$R$136:$Z$147))</f>
        <v> </v>
      </c>
      <c r="AQ139" s="321" t="str">
        <f aca="false">IF($A139="N/A"," ",RANK(Y139,$R$136:$Z$147))</f>
        <v> </v>
      </c>
      <c r="AR139" s="345" t="str">
        <f aca="false">IF($A139="N/A"," ",RANK(Z139,$R$136:$Z$147))</f>
        <v> </v>
      </c>
      <c r="AS139" s="323" t="str">
        <f aca="false">IF($A139="N/A"," ",IF(AJ139&lt;=$AR$2,AA139,0))</f>
        <v> </v>
      </c>
      <c r="AT139" s="325" t="str">
        <f aca="false">IF($A139="N/A"," ",IF(AK139&lt;=$AR$2,AB139,0))</f>
        <v> </v>
      </c>
      <c r="AU139" s="325" t="str">
        <f aca="false">IF($A139="N/A"," ",IF(AL139&lt;=$AR$2,AC139,0))</f>
        <v> </v>
      </c>
      <c r="AV139" s="325" t="str">
        <f aca="false">IF($A139="N/A"," ",IF(AM139&lt;=$AR$2,AD139,0))</f>
        <v> </v>
      </c>
      <c r="AW139" s="325" t="str">
        <f aca="false">IF($A139="N/A"," ",IF(AN139&lt;=$AR$2,AE139,0))</f>
        <v> </v>
      </c>
      <c r="AX139" s="325" t="str">
        <f aca="false">IF($A139="N/A"," ",IF(AO139&lt;=$AR$2,AF139,0))</f>
        <v> </v>
      </c>
      <c r="AY139" s="325" t="str">
        <f aca="false">IF($A139="N/A"," ",IF(AP139&lt;=$AR$2,AG139,0))</f>
        <v> </v>
      </c>
      <c r="AZ139" s="325" t="str">
        <f aca="false">IF($A139="N/A"," ",IF(AQ139&lt;=$AR$2,AH139,0))</f>
        <v> </v>
      </c>
      <c r="BA139" s="325" t="str">
        <f aca="false">IF($A139="N/A"," ",IF(AR139&lt;=$AR$2,AI139,0))</f>
        <v> </v>
      </c>
      <c r="BB139" s="345"/>
      <c r="BC139" s="326" t="str">
        <f aca="false">IF($A139="N/A"," ",IF(AND(AJ139=$AR$2+1,AS139=0),MIN($BB$147,AA139),0))</f>
        <v> </v>
      </c>
      <c r="BD139" s="346" t="str">
        <f aca="false">IF($A139="N/A"," ",IF(AND(AK139=$AR$2+1,AT139=0),MIN($BB$147,AB139),0))</f>
        <v> </v>
      </c>
      <c r="BE139" s="346" t="str">
        <f aca="false">IF($A139="N/A"," ",IF(AND(AL139=$AR$2+1,AU139=0),MIN($BB$147,AC139),0))</f>
        <v> </v>
      </c>
      <c r="BF139" s="346" t="str">
        <f aca="false">IF($A139="N/A"," ",IF(AND(AM139=$AR$2+1,AV139=0),MIN($BB$147,AD139),0))</f>
        <v> </v>
      </c>
      <c r="BG139" s="346" t="str">
        <f aca="false">IF($A139="N/A"," ",IF(AND(AN139=$AR$2+1,AW139=0),MIN($BB$147,AE139),0))</f>
        <v> </v>
      </c>
      <c r="BH139" s="346" t="str">
        <f aca="false">IF($A139="N/A"," ",IF(AND(AO139=$AR$2+1,AX139=0),MIN($BB$147,AF139),0))</f>
        <v> </v>
      </c>
      <c r="BI139" s="346" t="str">
        <f aca="false">IF($A139="N/A"," ",IF(AND(AP139=$AR$2+1,AY139=0),MIN($BB$147,AG139),0))</f>
        <v> </v>
      </c>
      <c r="BJ139" s="346" t="str">
        <f aca="false">IF($A139="N/A"," ",IF(AND(AQ139=$AR$2+1,AZ139=0),MIN($BB$147,AH139),0))</f>
        <v> </v>
      </c>
      <c r="BK139" s="346" t="str">
        <f aca="false">IF($A139="N/A"," ",IF(AND(AR139=$AR$2+1,BA139=0),MIN($BB$147,AI139),0))</f>
        <v> </v>
      </c>
      <c r="BL139" s="345"/>
      <c r="BM139" s="329" t="str">
        <f aca="false">IF($A139="N/A"," ",(IF(MONTH(A139)&gt;=4,IF(MONTH(A139)&lt;=10,Inputs!$F$13-Inputs!$G$13,Inputs!$F$14-Inputs!$G$14),Inputs!$F$14-Inputs!$G$14))*$CK139*Availability)</f>
        <v> </v>
      </c>
      <c r="BN139" s="330" t="str">
        <f aca="false">IF($A139="N/A"," ",(IF(AS139&gt;0,($BM139*(8*($HD139))*R139),0)+IF(BC139&gt;0,($BM139*((BC139/AA139)*8*$HD139)*R139),0)))</f>
        <v> </v>
      </c>
      <c r="BO139" s="330" t="str">
        <f aca="false">IF($A139="N/A"," ",(IF(AT139&gt;0,($BM139*(8*($HD139))*S139),0)+IF(BD139&gt;0,($BM139*((BD139/AB139)*8*$HD139)*S139),0)))</f>
        <v> </v>
      </c>
      <c r="BP139" s="330" t="str">
        <f aca="false">IF($A139="N/A"," ",(IF(AU139&gt;0,($BM139*(8*($HD139))*T139),0)+IF(BE139&gt;0,($BM139*((BE139))*T139),0)))</f>
        <v> </v>
      </c>
      <c r="BQ139" s="330" t="str">
        <f aca="false">IF($A139="N/A"," ",(IF(AV139&gt;0,($BM139*(8*($HE139))*U139),0)+IF(BF139&gt;0,($BM139*((BF139/AD139)*8*$HE139)*U139),0)))</f>
        <v> </v>
      </c>
      <c r="BR139" s="330" t="str">
        <f aca="false">IF($A139="N/A"," ",(IF(AW139&gt;0,($BM139*(8*($HE139))*V139),0)+IF(BG139&gt;0,($BM139*((BG139/AE139)*8*$HE139)*V139),0)))</f>
        <v> </v>
      </c>
      <c r="BS139" s="330" t="str">
        <f aca="false">IF($A139="N/A"," ",(IF(AX139&gt;0,($BM139*(8*($HE139))*W139),0)+IF(BH139&gt;0,($BM139*((BH139))*W139),0)))</f>
        <v> </v>
      </c>
      <c r="BT139" s="330" t="str">
        <f aca="false">IF($A139="N/A"," ",(IF(AY139&gt;0,($BM139*(8*($HF139))*X139),0)+IF(BI139&gt;0,($BM139*((BI139/AG139)*8*$HF139)*X139),0)))</f>
        <v> </v>
      </c>
      <c r="BU139" s="330" t="str">
        <f aca="false">IF($A139="N/A"," ",(IF(AZ139&gt;0,($BM139*(8*($HF139))*Y139),0)+IF(BJ139&gt;0,($BM139*((BJ139/AH139)*8*$HF139)*Y139),0)))</f>
        <v> </v>
      </c>
      <c r="BV139" s="330" t="str">
        <f aca="false">IF($A139="N/A"," ",(IF(BA139&gt;0,($BM139*(8*($HF139))*Z139),0)+IF(BK139&gt;0,($BM139*((BK139))*Z139),0)))</f>
        <v> </v>
      </c>
      <c r="BW139" s="330" t="str">
        <f aca="false">IF($A139="N/A"," ",SUM(BN139:BV139))</f>
        <v> </v>
      </c>
      <c r="BX139" s="331" t="str">
        <f aca="false">IF($A139="N/A"," ",(H139*(SUM(AS139:BA139)+SUM(BC139:BK139))*BM139))</f>
        <v> </v>
      </c>
      <c r="BY139" s="332" t="str">
        <f aca="false">IF($A139="N/A"," ",((C139*D139)*(SUM($AS139:$BA139)+SUM($BC139:$BK139))*$BM139))</f>
        <v> </v>
      </c>
      <c r="BZ139" s="332" t="str">
        <f aca="false">IF($A139="N/A"," ",(F139*(SUM($AS139:$BA139)+SUM($BC139:$BK139))*$BM139))</f>
        <v> </v>
      </c>
      <c r="CA139" s="333" t="str">
        <f aca="false">IF($A139="N/A"," ",(G139*(SUM($AS139:$BA139)+SUM($BC139:$BK139))*$BM139))</f>
        <v> </v>
      </c>
      <c r="CB139" s="334" t="str">
        <f aca="false">IF(A139="N/A"," ",(VLOOKUP(A139,PowerVolTable,(IF(BMO=2,7,IF(BMO=1,6,8))),FALSE())))</f>
        <v> </v>
      </c>
      <c r="CC139" s="334" t="str">
        <f aca="false">IF(A139="N/A"," ",(VLOOKUP(A139,IntraPowerVol,(IF(BMO=2,3,IF(BMO=1,2,4))),FALSE())*VLOOKUP(MONTH($A139),Volscale,2)))</f>
        <v> </v>
      </c>
      <c r="CD139" s="335" t="str">
        <f aca="false">IF($A139="N/A"," ",(IF(DateToday&gt;$A139,$CC139,((($CB139^2)*((($A139-1)-DateToday)/((EOMONTH($A139,0)+1)-DateToday-15)))+((($CC139)^2)*((15)/((EOMONTH($A139,0)+1)-DateToday-15))))^0.5)))</f>
        <v> </v>
      </c>
      <c r="CE139" s="334" t="str">
        <f aca="false">IF($A139="N/A"," ",(VLOOKUP($A139,GasVolTable,(IF(BMO=2,6,IF(BMO=1,7,5))),FALSE())))</f>
        <v> </v>
      </c>
      <c r="CF139" s="334" t="str">
        <f aca="false">IF($A139="N/A"," ",(VLOOKUP($A139,OmicronVol,(IF(BMO=2,3,IF(BMO=1,4,2))),FALSE())))</f>
        <v> </v>
      </c>
      <c r="CG139" s="335" t="str">
        <f aca="false">IF($A139="N/A"," ",(IF(DateToday&gt;$A139,$CF139,((($CE139^2)*((($A139-1)-DateToday)/((EOMONTH($A139,0)+1)-DateToday-15)))+((($CF139)^2)*((15)/((EOMONTH($A139,0)+1)-DateToday-15))))^0.5)))</f>
        <v> </v>
      </c>
      <c r="CH139" s="334" t="str">
        <f aca="false">IF($A139="N/A"," ",VLOOKUP($A139,CorrelationTable,2,FALSE()))</f>
        <v> </v>
      </c>
      <c r="CI139" s="336" t="str">
        <f aca="false">IF($A139="N/A"," ",F139+G139+(D139*('Pricing Inputs'!T172)))</f>
        <v> </v>
      </c>
      <c r="CJ139" s="334" t="str">
        <f aca="false">IF($A139="N/A"," ",IF(PV=1,0,'Pricing Inputs'!U172))</f>
        <v> </v>
      </c>
      <c r="CK139" s="337" t="str">
        <f aca="false">IF($A139="N/A"," ",(1+CJ139/2)^(-2*((EOMONTH(A139,0)+20)-DateToday)/365.25))</f>
        <v> </v>
      </c>
      <c r="CL139" s="338" t="str">
        <f aca="false">IF(A139="N/A"," ",IF(CC=2,(VLOOKUP(MONTH($A139),Hrtable,3))/1000,0))</f>
        <v> </v>
      </c>
      <c r="CM139" s="339" t="str">
        <f aca="false">IF(A139="N/A"," ",IF(CC=2,(CL139*C139)+F139,0))</f>
        <v> </v>
      </c>
      <c r="CN139" s="340" t="str">
        <f aca="false">IF($A139="N/A"," ",IF(CC=2,(VLOOKUP(A139,ScaledPrice,(IF(AND(Dayrun&gt;=1,Dayrun&lt;=6),2,4)))-((IF(R139&lt;&gt;0,$D139,$CL139)*$C139)+$F139+$G139)),0))</f>
        <v> </v>
      </c>
      <c r="CO139" s="340" t="str">
        <f aca="false">IF($A139="N/A"," ",IF(CC=2,(IF(AND(Dayrun&gt;=1,Dayrun&lt;=6),I139,(VLOOKUP(A139,ScaledPrice,2))*(2-(VLOOKUP(A139,ScaledPrice,3))))-((IF(S139&lt;&gt;0,$D139,$CL139)*$C139)+$F139+$G139)),0))</f>
        <v> </v>
      </c>
      <c r="CP139" s="340" t="str">
        <f aca="false">IF(A139="N/A"," ",IF(CC=2,(VLOOKUP(A139,ScaledPrice,9)-((IF(T139&lt;&gt;0,$D139,$CL139)*$C139)+$F139+$G139)),0))</f>
        <v> </v>
      </c>
      <c r="CQ139" s="340" t="str">
        <f aca="false">IF(A139="N/A"," ",IF(CC=2,(IF(OR(Dayrun=2,Dayrun=3,Dayrun=5,Dayrun=6,Dayrun=8,Dayrun=9),VLOOKUP(A139,ScaledPrice,IF(AND(Dayrun&gt;=2,Dayrun&lt;=6),5,6)),0)-((IF(U139&lt;&gt;0,$D139,$CL139)*$C139)+$F139+$G139)),0))</f>
        <v> </v>
      </c>
      <c r="CR139" s="340" t="str">
        <f aca="false">IF(A139="N/A"," ",IF(CC=2,(IF(OR(Dayrun=2,Dayrun=3,Dayrun=5,Dayrun=6,Dayrun=8,Dayrun=9),IF(AND(Dayrun&gt;=2,Dayrun&lt;=6),L139,(VLOOKUP(A139,ScaledPrice,5))*(2-(VLOOKUP(A139,ScaledPrice,3)))),0)-((IF(V139&lt;&gt;0,$D139,$CL139)*$C139)+$F139+$G139)),0))</f>
        <v> </v>
      </c>
      <c r="CS139" s="340" t="str">
        <f aca="false">IF(A139="N/A"," ",IF(CC=2,(VLOOKUP(A139,ScaledPrice,9)-((IF(W139&lt;&gt;0,$D139,$CL139)*$C139)+$F139+$G139)),0))</f>
        <v> </v>
      </c>
      <c r="CT139" s="340" t="str">
        <f aca="false">IF(A139="N/A"," ",IF(CC=2,(IF(OR(Dayrun=3,Dayrun=6,Dayrun=9),(VLOOKUP(A139,ScaledPrice,IF(AND(Dayrun&gt;=3,Dayrun&lt;=6),7,8))),0)-((IF(X139&lt;&gt;0,$D139,$CL139)*$C139)+$F139+$G139)),0))</f>
        <v> </v>
      </c>
      <c r="CU139" s="340" t="str">
        <f aca="false">IF(A139="N/A"," ",IF(CC=2,(IF(OR(Dayrun=3,Dayrun=6,Dayrun=9),IF(AND(Dayrun&gt;=3,Dayrun&lt;=6),O139,(VLOOKUP(A139,ScaledPrice,7))*(2-(VLOOKUP(A139,ScaledPrice,3)))),0)-((IF(Y139&lt;&gt;0,$D139,$CL139)*$C139)+$F139+$G139)),0))</f>
        <v> </v>
      </c>
      <c r="CV139" s="340" t="str">
        <f aca="false">IF(A139="N/A"," ",IF(CC=2,(VLOOKUP(A139,ScaledPrice,9)-((IF(Z139&lt;&gt;0,$D139,$CL139)*$C139)+$F139+$G139)),0))</f>
        <v> </v>
      </c>
      <c r="CW139" s="318" t="str">
        <f aca="false">IF($A139="N/A"," ",IF(0&lt;&gt;CN139,IF(CC=2,8*$HD139,0),0))</f>
        <v> </v>
      </c>
      <c r="CX139" s="318" t="str">
        <f aca="false">IF($A139="N/A"," ",IF(0&lt;&gt;CO139,IF(CC=2,8*$HD139,0),0))</f>
        <v> </v>
      </c>
      <c r="CY139" s="318" t="str">
        <f aca="false">IF($A139="N/A"," ",IF(0&lt;&gt;CP139,IF(CC=2,8*$HD139,0),0))</f>
        <v> </v>
      </c>
      <c r="CZ139" s="318" t="str">
        <f aca="false">IF($A139="N/A"," ",IF(0&lt;&gt;CQ139,IF(CC=2,8*$HE139,0),0))</f>
        <v> </v>
      </c>
      <c r="DA139" s="318" t="str">
        <f aca="false">IF($A139="N/A"," ",IF(0&lt;&gt;CR139,IF(CC=2,8*$HE139,0),0))</f>
        <v> </v>
      </c>
      <c r="DB139" s="318" t="str">
        <f aca="false">IF($A139="N/A"," ",IF(0&lt;&gt;CS139,IF(CC=2,8*$HE139,0),0))</f>
        <v> </v>
      </c>
      <c r="DC139" s="318" t="str">
        <f aca="false">IF($A139="N/A"," ",IF(0&lt;&gt;CT139,IF(CC=2,8*$HF139,0),0))</f>
        <v> </v>
      </c>
      <c r="DD139" s="318" t="str">
        <f aca="false">IF($A139="N/A"," ",IF(0&lt;&gt;CU139,IF(CC=2,8*$HF139,0),0))</f>
        <v> </v>
      </c>
      <c r="DE139" s="318" t="str">
        <f aca="false">IF($A139="N/A"," ",IF(0&lt;&gt;CV139,IF(CC=2,8*$HF139,0),0))</f>
        <v> </v>
      </c>
      <c r="DF139" s="341" t="str">
        <f aca="false">IF($A139="N/A"," ",IF(CC=2,(IF(MONTH(A139)&gt;=4,IF(MONTH(A139)&lt;=10,Inputs!$G$13,Inputs!$G$14),Inputs!$G$14))*$CK139,0))</f>
        <v> </v>
      </c>
      <c r="DG139" s="342" t="str">
        <f aca="false">IF($A139="N/A"," ",IF(CC=2,$DF139*CW139*CN139,0))</f>
        <v> </v>
      </c>
      <c r="DH139" s="342" t="str">
        <f aca="false">IF($A139="N/A"," ",IF(CC=2,$DF139*CX139*CO139,0))</f>
        <v> </v>
      </c>
      <c r="DI139" s="342" t="str">
        <f aca="false">IF($A139="N/A"," ",IF(CC=2,$DF139*CY139*CP139,0))</f>
        <v> </v>
      </c>
      <c r="DJ139" s="342" t="str">
        <f aca="false">IF($A139="N/A"," ",IF(CC=2,$DF139*CZ139*CQ139,0))</f>
        <v> </v>
      </c>
      <c r="DK139" s="342" t="str">
        <f aca="false">IF($A139="N/A"," ",IF(CC=2,$DF139*DA139*CR139,0))</f>
        <v> </v>
      </c>
      <c r="DL139" s="342" t="str">
        <f aca="false">IF($A139="N/A"," ",IF(CC=2,$DF139*DB139*CS139,0))</f>
        <v> </v>
      </c>
      <c r="DM139" s="342" t="str">
        <f aca="false">IF($A139="N/A"," ",IF(CC=2,$DF139*DC139*CT139,0))</f>
        <v> </v>
      </c>
      <c r="DN139" s="342" t="str">
        <f aca="false">IF($A139="N/A"," ",IF(CC=2,$DF139*DD139*CU139,0))</f>
        <v> </v>
      </c>
      <c r="DO139" s="342" t="str">
        <f aca="false">IF($A139="N/A"," ",IF(CC=2,$DF139*DE139*CV139,0))</f>
        <v> </v>
      </c>
      <c r="DP139" s="343" t="str">
        <f aca="false">IF($A139="N/A"," ",IF(CC=2,SUM(DG139:DO139),0))</f>
        <v> </v>
      </c>
      <c r="DQ139" s="0" t="str">
        <f aca="false">IF(A139="N/A"," ",Perstart)</f>
        <v> </v>
      </c>
      <c r="HD139" s="0" t="str">
        <f aca="false">IF($A139="N/A"," ",VLOOKUP($A139,NumberofDaysTable,2))</f>
        <v> </v>
      </c>
      <c r="HE139" s="0" t="str">
        <f aca="false">IF($A139="N/A"," ",VLOOKUP($A139,NumberofDaysTable,3))</f>
        <v> </v>
      </c>
      <c r="HF139" s="0" t="str">
        <f aca="false">IF($A139="N/A"," ",VLOOKUP($A139,NumberofDaysTable,4))</f>
        <v> </v>
      </c>
    </row>
    <row r="140" customFormat="false" ht="12.75" hidden="false" customHeight="false" outlineLevel="0" collapsed="false">
      <c r="A140" s="308" t="str">
        <f aca="false">IF(A139="N/A","N/A",IF(EDATE(A139,1)&gt;Inputs!$K$3,"N/A",EDATE(A139,1)))</f>
        <v>N/A</v>
      </c>
      <c r="B140" s="309" t="str">
        <f aca="false">IF(A140="N/A"," ",YEAR(A140))</f>
        <v> </v>
      </c>
      <c r="C140" s="310" t="str">
        <f aca="false">IF(A140="N/A"," ",VLOOKUP(A140,ScaledPrice,10))</f>
        <v> </v>
      </c>
      <c r="D140" s="311" t="str">
        <f aca="false">IF(A140="N/A"," ",(VLOOKUP(MONTH($A140),Hrtable,2))/1000)</f>
        <v> </v>
      </c>
      <c r="E140" s="312" t="str">
        <f aca="false">IF($A140="N/A"," ",(C140-'Pricing Inputs'!T173)*D140)</f>
        <v> </v>
      </c>
      <c r="F140" s="313" t="str">
        <f aca="false">IF(A140="N/A"," ",$F128*(1+VOMesc))</f>
        <v> </v>
      </c>
      <c r="G140" s="313" t="str">
        <f aca="false">IF(A140="N/A"," ",Perstart/IF(AND(Dayrun&gt;=4,Dayrun&lt;=6),16,IF(AND(Dayrun&gt;=7,Dayrun&lt;=9),8,24))/(BM140/CK140))</f>
        <v> </v>
      </c>
      <c r="H140" s="314" t="str">
        <f aca="false">IF(A140="N/A"," ",(C140*D140)+F140+G140)</f>
        <v> </v>
      </c>
      <c r="I140" s="315" t="str">
        <f aca="false">VLOOKUP(A140,ScaledPrice,(IF(AND(Dayrun&gt;=1,Dayrun&lt;=6),2,4)))</f>
        <v> </v>
      </c>
      <c r="J140" s="315" t="str">
        <f aca="false">IF(A140="N/A"," ",IF(AND(Dayrun&gt;=1,Dayrun&lt;=6),I140,(VLOOKUP(A140,ScaledPrice,2))*(2-(VLOOKUP(A140,ScaledPrice,3)))))</f>
        <v> </v>
      </c>
      <c r="K140" s="315" t="str">
        <f aca="false">IF(A140="N/A"," ",IF(AND(Dayrun&gt;=1,Dayrun&lt;=3),VLOOKUP(A140,ScaledPrice,9),0))</f>
        <v> </v>
      </c>
      <c r="L140" s="315" t="str">
        <f aca="false">IF(A140="N/A"," ",IF(OR(Dayrun=2,Dayrun=3,Dayrun=5,Dayrun=6,Dayrun=8,Dayrun=9),VLOOKUP(A140,ScaledPrice,IF(AND(Dayrun&gt;=2,Dayrun&lt;=6),5,6)),0))</f>
        <v> </v>
      </c>
      <c r="M140" s="315" t="str">
        <f aca="false">IF(A140="N/A"," ",IF(OR(Dayrun=2,Dayrun=3,Dayrun=5,Dayrun=6,Dayrun=8,Dayrun=9),IF(AND(Dayrun&gt;=2,Dayrun&lt;=6),L140,(VLOOKUP(A140,ScaledPrice,5))*(2-(VLOOKUP(A140,ScaledPrice,3)))),0))</f>
        <v> </v>
      </c>
      <c r="N140" s="315" t="str">
        <f aca="false">IF(A140="N/A"," ",IF(AND(Dayrun&gt;1,Dayrun&lt;=3),VLOOKUP(A140,ScaledPrice,9),0))</f>
        <v> </v>
      </c>
      <c r="O140" s="315" t="str">
        <f aca="false">IF(A140="N/A"," ",IF(OR(Dayrun=3,Dayrun=6,Dayrun=9),(VLOOKUP(A140,ScaledPrice,IF(AND(Dayrun&gt;=3,Dayrun&lt;=6),7,8))),0))</f>
        <v> </v>
      </c>
      <c r="P140" s="315" t="str">
        <f aca="false">IF(A140="N/A"," ",IF(OR(Dayrun=3,Dayrun=6,Dayrun=9),IF(AND(Dayrun&gt;=3,Dayrun&lt;=6),O140,(VLOOKUP(A140,ScaledPrice,7))*(2-(VLOOKUP(A140,ScaledPrice,3)))),0))</f>
        <v> </v>
      </c>
      <c r="Q140" s="315" t="str">
        <f aca="false">IF(A140="N/A"," ",IF(AND(Dayrun&gt;2,Dayrun&lt;=3),VLOOKUP(A140,ScaledPrice,9),0))</f>
        <v> </v>
      </c>
      <c r="R140" s="316" t="str">
        <f aca="false">IF($A140="N/A"," ",IF(Pricetype=2,MAX(I140-$H140,0),IF(Pricetype=1,(xSPRDOPT(I140,$E140,$CI140,0,($CD140+IF(Smile=TRUE(),VLOOKUP(MAX(-5,$H140-I140),Volsmile,2),0)),$CG140,$CH140,($A140-DateToday)+15,1,0)),I140-$H140)))</f>
        <v> </v>
      </c>
      <c r="S140" s="316" t="str">
        <f aca="false">IF($A140="N/A"," ",IF(Pricetype=2,MAX(J140-$H140,0),IF(Pricetype=1,(xSPRDOPT(J140,$E140,$CI140,0,($CD140+IF(Smile=TRUE(),VLOOKUP(MAX(-5,$H140-J140),Volsmile,2),0)),$CG140,$CH140,($A140-DateToday)+15,1,0)),J140-$H140)))</f>
        <v> </v>
      </c>
      <c r="T140" s="317" t="str">
        <f aca="false">IF($A140="N/A"," ",(IF(Pricetype=2,IF((K140-$H140)&lt;=0,0,(K140-$H140)),IF(K140&lt;&gt;0,(K140-$H140),0))))</f>
        <v> </v>
      </c>
      <c r="U140" s="316" t="str">
        <f aca="false">IF($A140="N/A"," ",IF(Pricetype=2,MAX(L140-$H140,0),IF(L140&lt;&gt;0,IF(Pricetype=1,(xSPRDOPT(L140,$E140,$CI140,0,($CD140+IF(Smile=TRUE(),VLOOKUP(MAX(-5,$H140-L140),Volsmile,2),0)),$CG140,$CH140,($A140-DateToday)+15,1,0)),L140-$H140),0)))</f>
        <v> </v>
      </c>
      <c r="V140" s="316" t="str">
        <f aca="false">IF($A140="N/A"," ",IF(Pricetype=2,MAX(M140-$H140,0),IF(M140&lt;&gt;0,IF(Pricetype=1,(xSPRDOPT(M140,$E140,$CI140,0,($CD140+IF(Smile=TRUE(),VLOOKUP(MAX(-5,$H140-M140),Volsmile,2),0)),$CG140,$CH140,($A140-DateToday)+15,1,0)),M140-$H140),0)))</f>
        <v> </v>
      </c>
      <c r="W140" s="317" t="str">
        <f aca="false">IF($A140="N/A"," ",(IF(Pricetype=2,IF((N140-$H140)&lt;=0,0,(N140-$H140)),IF(N140&lt;&gt;0,(N140-$H140),0))))</f>
        <v> </v>
      </c>
      <c r="X140" s="316" t="str">
        <f aca="false">IF($A140="N/A"," ",IF(Pricetype=2,MAX(O140-$H140,0),IF(O140&lt;&gt;0,IF(Pricetype=1,(xSPRDOPT(O140,$E140,$CI140,0,($CD140+IF(Smile=TRUE(),VLOOKUP(MAX(-5,$H140-O140),Volsmile,2),0)),$CG140,$CH140,($A140-DateToday)+15,1,0)),O140-$H140),0)))</f>
        <v> </v>
      </c>
      <c r="Y140" s="316" t="str">
        <f aca="false">IF($A140="N/A"," ",IF(Pricetype=2,MAX(P140-$H140,0),IF(P140&lt;&gt;0,IF(Pricetype=1,(xSPRDOPT(P140,$E140,$CI140,0,($CD140+IF(Smile=TRUE(),VLOOKUP(MAX(-5,$H140-P140),Volsmile,2),0)),$CG140,$CH140,($A140-DateToday)+15,1,0)),P140-$H140),0)))</f>
        <v> </v>
      </c>
      <c r="Z140" s="317" t="str">
        <f aca="false">IF($A140="N/A"," ",(IF(Pricetype=2,IF((Q140-$H140)&lt;=0,0,(Q140-$H140)),IF(Q140&lt;&gt;0,(Q140-$H140),0))))</f>
        <v> </v>
      </c>
      <c r="AA140" s="318" t="str">
        <f aca="false">IF($A140="N/A"," ",IF(VLOOKUP(MONTH(A140),ManualTable,2)=1,(IF(0&lt;&gt;R140,IF(Pricetype=1,(xSPRDOPT(I140,$E140,$CI140,0,($CD140+IF(Smile=TRUE(),VLOOKUP(MAX(-5,$H140-I140),Volsmile,2),0)),$CG140,$CH140,($A140-DateToday)+15,1,1))*(8*$HD140),8*$HD140),0)),0))</f>
        <v> </v>
      </c>
      <c r="AB140" s="318" t="str">
        <f aca="false">IF($A140="N/A"," ",IF(VLOOKUP(MONTH(A140),ManualTable,3)=1,(IF(S140&lt;&gt;0,IF(Pricetype=1,(xSPRDOPT(J140,$E140,$CI140,0,($CD140+IF(Smile=TRUE(),VLOOKUP(MAX(-5,$H140-J140),Volsmile,2),0)),$CG140,$CH140,($A140-DateToday)+15,1,1))*(8*$HD140),8*$HD140),0)),0))</f>
        <v> </v>
      </c>
      <c r="AC140" s="318" t="str">
        <f aca="false">IF($A140="N/A"," ",IF(VLOOKUP(MONTH(A140),ManualTable,4)=1,(IF(T140&lt;&gt;0,(8*$HD140),0)),0))</f>
        <v> </v>
      </c>
      <c r="AD140" s="318" t="str">
        <f aca="false">IF($A140="N/A"," ",IF(VLOOKUP(MONTH(A140),ManualTable,5)=1,(IF(U140&lt;&gt;0,IF(Pricetype=1,(xSPRDOPT(L140,$E140,$CI140,0,($CD140+IF(Smile=TRUE(),VLOOKUP(MAX(-5,$H140-L140),Volsmile,2),0)),$CG140,$CH140,($A140-DateToday)+15,1,1))*(8*$HE140),8*$HE140),0)),0))</f>
        <v> </v>
      </c>
      <c r="AE140" s="318" t="str">
        <f aca="false">IF($A140="N/A"," ",IF(VLOOKUP(MONTH(A140),ManualTable,6)=1,(IF(V140&lt;&gt;0,IF(Pricetype=1,(xSPRDOPT(M140,$E140,$CI140,0,($CD140+IF(Smile=TRUE(),VLOOKUP(MAX(-5,$H140-M140),Volsmile,2),0)),$CG140,$CH140,($A140-DateToday)+15,1,1))*(8*$HE140),8*$HE140),0)),0))</f>
        <v> </v>
      </c>
      <c r="AF140" s="318" t="str">
        <f aca="false">IF($A140="N/A"," ",IF(VLOOKUP(MONTH(A140),ManualTable,7)=1,(IF(W140&lt;&gt;0,(8*$HE140),0)),0))</f>
        <v> </v>
      </c>
      <c r="AG140" s="318" t="str">
        <f aca="false">IF($A140="N/A"," ",IF(VLOOKUP(MONTH(A140),ManualTable,8)=1,(IF(X140&lt;&gt;0,IF(Pricetype=1,(xSPRDOPT(O140,$E140,$CI140,0,($CD140+IF(Smile=TRUE(),VLOOKUP(MAX(-5,$H140-O140),Volsmile,2),0)),$CG140,$CH140,($A140-DateToday)+15,1,1))*(8*$HF140),8*$HF140),0)),0))</f>
        <v> </v>
      </c>
      <c r="AH140" s="318" t="str">
        <f aca="false">IF($A140="N/A"," ",IF(VLOOKUP(MONTH(A140),ManualTable,9)=1,(IF(Y140&lt;&gt;0,IF(Pricetype=1,(xSPRDOPT(P140,$E140,$CI140,0,($CD140+IF(Smile=TRUE(),VLOOKUP(MAX(-5,$H140-P140),Volsmile,2),0)),$CG140,$CH140,($A140-DateToday)+15,1,1))*(8*$HF140),8*$HF140),0)),0))</f>
        <v> </v>
      </c>
      <c r="AI140" s="318" t="str">
        <f aca="false">IF($A140="N/A"," ",IF(VLOOKUP(MONTH(A140),ManualTable,10)=1,(IF(Z140&lt;&gt;0,(8*($HF140)),0)),0))</f>
        <v> </v>
      </c>
      <c r="AJ140" s="344" t="str">
        <f aca="false">IF($A140="N/A"," ",RANK(R140,$R$136:$Z$147))</f>
        <v> </v>
      </c>
      <c r="AK140" s="321" t="str">
        <f aca="false">IF($A140="N/A"," ",RANK(S140,$R$136:$Z$147))</f>
        <v> </v>
      </c>
      <c r="AL140" s="321" t="str">
        <f aca="false">IF($A140="N/A"," ",RANK(T140,$R$136:$Z$147))</f>
        <v> </v>
      </c>
      <c r="AM140" s="321" t="str">
        <f aca="false">IF($A140="N/A"," ",RANK(U140,$R$136:$Z$147))</f>
        <v> </v>
      </c>
      <c r="AN140" s="321" t="str">
        <f aca="false">IF($A140="N/A"," ",RANK(V140,$R$136:$Z$147))</f>
        <v> </v>
      </c>
      <c r="AO140" s="321" t="str">
        <f aca="false">IF($A140="N/A"," ",RANK(W140,$R$136:$Z$147))</f>
        <v> </v>
      </c>
      <c r="AP140" s="321" t="str">
        <f aca="false">IF($A140="N/A"," ",RANK(X140,$R$136:$Z$147))</f>
        <v> </v>
      </c>
      <c r="AQ140" s="321" t="str">
        <f aca="false">IF($A140="N/A"," ",RANK(Y140,$R$136:$Z$147))</f>
        <v> </v>
      </c>
      <c r="AR140" s="345" t="str">
        <f aca="false">IF($A140="N/A"," ",RANK(Z140,$R$136:$Z$147))</f>
        <v> </v>
      </c>
      <c r="AS140" s="323" t="str">
        <f aca="false">IF($A140="N/A"," ",IF(AJ140&lt;=$AR$2,AA140,0))</f>
        <v> </v>
      </c>
      <c r="AT140" s="325" t="str">
        <f aca="false">IF($A140="N/A"," ",IF(AK140&lt;=$AR$2,AB140,0))</f>
        <v> </v>
      </c>
      <c r="AU140" s="325" t="str">
        <f aca="false">IF($A140="N/A"," ",IF(AL140&lt;=$AR$2,AC140,0))</f>
        <v> </v>
      </c>
      <c r="AV140" s="325" t="str">
        <f aca="false">IF($A140="N/A"," ",IF(AM140&lt;=$AR$2,AD140,0))</f>
        <v> </v>
      </c>
      <c r="AW140" s="325" t="str">
        <f aca="false">IF($A140="N/A"," ",IF(AN140&lt;=$AR$2,AE140,0))</f>
        <v> </v>
      </c>
      <c r="AX140" s="325" t="str">
        <f aca="false">IF($A140="N/A"," ",IF(AO140&lt;=$AR$2,AF140,0))</f>
        <v> </v>
      </c>
      <c r="AY140" s="325" t="str">
        <f aca="false">IF($A140="N/A"," ",IF(AP140&lt;=$AR$2,AG140,0))</f>
        <v> </v>
      </c>
      <c r="AZ140" s="325" t="str">
        <f aca="false">IF($A140="N/A"," ",IF(AQ140&lt;=$AR$2,AH140,0))</f>
        <v> </v>
      </c>
      <c r="BA140" s="325" t="str">
        <f aca="false">IF($A140="N/A"," ",IF(AR140&lt;=$AR$2,AI140,0))</f>
        <v> </v>
      </c>
      <c r="BB140" s="345"/>
      <c r="BC140" s="326" t="str">
        <f aca="false">IF($A140="N/A"," ",IF(AND(AJ140=$AR$2+1,AS140=0),MIN($BB$147,AA140),0))</f>
        <v> </v>
      </c>
      <c r="BD140" s="346" t="str">
        <f aca="false">IF($A140="N/A"," ",IF(AND(AK140=$AR$2+1,AT140=0),MIN($BB$147,AB140),0))</f>
        <v> </v>
      </c>
      <c r="BE140" s="346" t="str">
        <f aca="false">IF($A140="N/A"," ",IF(AND(AL140=$AR$2+1,AU140=0),MIN($BB$147,AC140),0))</f>
        <v> </v>
      </c>
      <c r="BF140" s="346" t="str">
        <f aca="false">IF($A140="N/A"," ",IF(AND(AM140=$AR$2+1,AV140=0),MIN($BB$147,AD140),0))</f>
        <v> </v>
      </c>
      <c r="BG140" s="346" t="str">
        <f aca="false">IF($A140="N/A"," ",IF(AND(AN140=$AR$2+1,AW140=0),MIN($BB$147,AE140),0))</f>
        <v> </v>
      </c>
      <c r="BH140" s="346" t="str">
        <f aca="false">IF($A140="N/A"," ",IF(AND(AO140=$AR$2+1,AX140=0),MIN($BB$147,AF140),0))</f>
        <v> </v>
      </c>
      <c r="BI140" s="346" t="str">
        <f aca="false">IF($A140="N/A"," ",IF(AND(AP140=$AR$2+1,AY140=0),MIN($BB$147,AG140),0))</f>
        <v> </v>
      </c>
      <c r="BJ140" s="346" t="str">
        <f aca="false">IF($A140="N/A"," ",IF(AND(AQ140=$AR$2+1,AZ140=0),MIN($BB$147,AH140),0))</f>
        <v> </v>
      </c>
      <c r="BK140" s="346" t="str">
        <f aca="false">IF($A140="N/A"," ",IF(AND(AR140=$AR$2+1,BA140=0),MIN($BB$147,AI140),0))</f>
        <v> </v>
      </c>
      <c r="BL140" s="345"/>
      <c r="BM140" s="329" t="str">
        <f aca="false">IF($A140="N/A"," ",(IF(MONTH(A140)&gt;=4,IF(MONTH(A140)&lt;=10,Inputs!$F$13-Inputs!$G$13,Inputs!$F$14-Inputs!$G$14),Inputs!$F$14-Inputs!$G$14))*$CK140*Availability)</f>
        <v> </v>
      </c>
      <c r="BN140" s="330" t="str">
        <f aca="false">IF($A140="N/A"," ",(IF(AS140&gt;0,($BM140*(8*($HD140))*R140),0)+IF(BC140&gt;0,($BM140*((BC140/AA140)*8*$HD140)*R140),0)))</f>
        <v> </v>
      </c>
      <c r="BO140" s="330" t="str">
        <f aca="false">IF($A140="N/A"," ",(IF(AT140&gt;0,($BM140*(8*($HD140))*S140),0)+IF(BD140&gt;0,($BM140*((BD140/AB140)*8*$HD140)*S140),0)))</f>
        <v> </v>
      </c>
      <c r="BP140" s="330" t="str">
        <f aca="false">IF($A140="N/A"," ",(IF(AU140&gt;0,($BM140*(8*($HD140))*T140),0)+IF(BE140&gt;0,($BM140*((BE140))*T140),0)))</f>
        <v> </v>
      </c>
      <c r="BQ140" s="330" t="str">
        <f aca="false">IF($A140="N/A"," ",(IF(AV140&gt;0,($BM140*(8*($HE140))*U140),0)+IF(BF140&gt;0,($BM140*((BF140/AD140)*8*$HE140)*U140),0)))</f>
        <v> </v>
      </c>
      <c r="BR140" s="330" t="str">
        <f aca="false">IF($A140="N/A"," ",(IF(AW140&gt;0,($BM140*(8*($HE140))*V140),0)+IF(BG140&gt;0,($BM140*((BG140/AE140)*8*$HE140)*V140),0)))</f>
        <v> </v>
      </c>
      <c r="BS140" s="330" t="str">
        <f aca="false">IF($A140="N/A"," ",(IF(AX140&gt;0,($BM140*(8*($HE140))*W140),0)+IF(BH140&gt;0,($BM140*((BH140))*W140),0)))</f>
        <v> </v>
      </c>
      <c r="BT140" s="330" t="str">
        <f aca="false">IF($A140="N/A"," ",(IF(AY140&gt;0,($BM140*(8*($HF140))*X140),0)+IF(BI140&gt;0,($BM140*((BI140/AG140)*8*$HF140)*X140),0)))</f>
        <v> </v>
      </c>
      <c r="BU140" s="330" t="str">
        <f aca="false">IF($A140="N/A"," ",(IF(AZ140&gt;0,($BM140*(8*($HF140))*Y140),0)+IF(BJ140&gt;0,($BM140*((BJ140/AH140)*8*$HF140)*Y140),0)))</f>
        <v> </v>
      </c>
      <c r="BV140" s="330" t="str">
        <f aca="false">IF($A140="N/A"," ",(IF(BA140&gt;0,($BM140*(8*($HF140))*Z140),0)+IF(BK140&gt;0,($BM140*((BK140))*Z140),0)))</f>
        <v> </v>
      </c>
      <c r="BW140" s="330" t="str">
        <f aca="false">IF($A140="N/A"," ",SUM(BN140:BV140))</f>
        <v> </v>
      </c>
      <c r="BX140" s="331" t="str">
        <f aca="false">IF($A140="N/A"," ",(H140*(SUM(AS140:BA140)+SUM(BC140:BK140))*BM140))</f>
        <v> </v>
      </c>
      <c r="BY140" s="332" t="str">
        <f aca="false">IF($A140="N/A"," ",((C140*D140)*(SUM($AS140:$BA140)+SUM($BC140:$BK140))*$BM140))</f>
        <v> </v>
      </c>
      <c r="BZ140" s="332" t="str">
        <f aca="false">IF($A140="N/A"," ",(F140*(SUM($AS140:$BA140)+SUM($BC140:$BK140))*$BM140))</f>
        <v> </v>
      </c>
      <c r="CA140" s="333" t="str">
        <f aca="false">IF($A140="N/A"," ",(G140*(SUM($AS140:$BA140)+SUM($BC140:$BK140))*$BM140))</f>
        <v> </v>
      </c>
      <c r="CB140" s="334" t="str">
        <f aca="false">IF(A140="N/A"," ",(VLOOKUP(A140,PowerVolTable,(IF(BMO=2,7,IF(BMO=1,6,8))),FALSE())))</f>
        <v> </v>
      </c>
      <c r="CC140" s="334" t="str">
        <f aca="false">IF(A140="N/A"," ",(VLOOKUP(A140,IntraPowerVol,(IF(BMO=2,3,IF(BMO=1,2,4))),FALSE())*VLOOKUP(MONTH($A140),Volscale,2)))</f>
        <v> </v>
      </c>
      <c r="CD140" s="335" t="str">
        <f aca="false">IF($A140="N/A"," ",(IF(DateToday&gt;$A140,$CC140,((($CB140^2)*((($A140-1)-DateToday)/((EOMONTH($A140,0)+1)-DateToday-15)))+((($CC140)^2)*((15)/((EOMONTH($A140,0)+1)-DateToday-15))))^0.5)))</f>
        <v> </v>
      </c>
      <c r="CE140" s="334" t="str">
        <f aca="false">IF($A140="N/A"," ",(VLOOKUP($A140,GasVolTable,(IF(BMO=2,6,IF(BMO=1,7,5))),FALSE())))</f>
        <v> </v>
      </c>
      <c r="CF140" s="334" t="str">
        <f aca="false">IF($A140="N/A"," ",(VLOOKUP($A140,OmicronVol,(IF(BMO=2,3,IF(BMO=1,4,2))),FALSE())))</f>
        <v> </v>
      </c>
      <c r="CG140" s="335" t="str">
        <f aca="false">IF($A140="N/A"," ",(IF(DateToday&gt;$A140,$CF140,((($CE140^2)*((($A140-1)-DateToday)/((EOMONTH($A140,0)+1)-DateToday-15)))+((($CF140)^2)*((15)/((EOMONTH($A140,0)+1)-DateToday-15))))^0.5)))</f>
        <v> </v>
      </c>
      <c r="CH140" s="334" t="str">
        <f aca="false">IF($A140="N/A"," ",VLOOKUP($A140,CorrelationTable,2,FALSE()))</f>
        <v> </v>
      </c>
      <c r="CI140" s="336" t="str">
        <f aca="false">IF($A140="N/A"," ",F140+G140+(D140*('Pricing Inputs'!T173)))</f>
        <v> </v>
      </c>
      <c r="CJ140" s="334" t="str">
        <f aca="false">IF($A140="N/A"," ",IF(PV=1,0,'Pricing Inputs'!U173))</f>
        <v> </v>
      </c>
      <c r="CK140" s="337" t="str">
        <f aca="false">IF($A140="N/A"," ",(1+CJ140/2)^(-2*((EOMONTH(A140,0)+20)-DateToday)/365.25))</f>
        <v> </v>
      </c>
      <c r="CL140" s="338" t="str">
        <f aca="false">IF(A140="N/A"," ",IF(CC=2,(VLOOKUP(MONTH($A140),Hrtable,3))/1000,0))</f>
        <v> </v>
      </c>
      <c r="CM140" s="339" t="str">
        <f aca="false">IF(A140="N/A"," ",IF(CC=2,(CL140*C140)+F140,0))</f>
        <v> </v>
      </c>
      <c r="CN140" s="340" t="str">
        <f aca="false">IF($A140="N/A"," ",IF(CC=2,(VLOOKUP(A140,ScaledPrice,(IF(AND(Dayrun&gt;=1,Dayrun&lt;=6),2,4)))-((IF(R140&lt;&gt;0,$D140,$CL140)*$C140)+$F140+$G140)),0))</f>
        <v> </v>
      </c>
      <c r="CO140" s="340" t="str">
        <f aca="false">IF($A140="N/A"," ",IF(CC=2,(IF(AND(Dayrun&gt;=1,Dayrun&lt;=6),I140,(VLOOKUP(A140,ScaledPrice,2))*(2-(VLOOKUP(A140,ScaledPrice,3))))-((IF(S140&lt;&gt;0,$D140,$CL140)*$C140)+$F140+$G140)),0))</f>
        <v> </v>
      </c>
      <c r="CP140" s="340" t="str">
        <f aca="false">IF(A140="N/A"," ",IF(CC=2,(VLOOKUP(A140,ScaledPrice,9)-((IF(T140&lt;&gt;0,$D140,$CL140)*$C140)+$F140+$G140)),0))</f>
        <v> </v>
      </c>
      <c r="CQ140" s="340" t="str">
        <f aca="false">IF(A140="N/A"," ",IF(CC=2,(IF(OR(Dayrun=2,Dayrun=3,Dayrun=5,Dayrun=6,Dayrun=8,Dayrun=9),VLOOKUP(A140,ScaledPrice,IF(AND(Dayrun&gt;=2,Dayrun&lt;=6),5,6)),0)-((IF(U140&lt;&gt;0,$D140,$CL140)*$C140)+$F140+$G140)),0))</f>
        <v> </v>
      </c>
      <c r="CR140" s="340" t="str">
        <f aca="false">IF(A140="N/A"," ",IF(CC=2,(IF(OR(Dayrun=2,Dayrun=3,Dayrun=5,Dayrun=6,Dayrun=8,Dayrun=9),IF(AND(Dayrun&gt;=2,Dayrun&lt;=6),L140,(VLOOKUP(A140,ScaledPrice,5))*(2-(VLOOKUP(A140,ScaledPrice,3)))),0)-((IF(V140&lt;&gt;0,$D140,$CL140)*$C140)+$F140+$G140)),0))</f>
        <v> </v>
      </c>
      <c r="CS140" s="340" t="str">
        <f aca="false">IF(A140="N/A"," ",IF(CC=2,(VLOOKUP(A140,ScaledPrice,9)-((IF(W140&lt;&gt;0,$D140,$CL140)*$C140)+$F140+$G140)),0))</f>
        <v> </v>
      </c>
      <c r="CT140" s="340" t="str">
        <f aca="false">IF(A140="N/A"," ",IF(CC=2,(IF(OR(Dayrun=3,Dayrun=6,Dayrun=9),(VLOOKUP(A140,ScaledPrice,IF(AND(Dayrun&gt;=3,Dayrun&lt;=6),7,8))),0)-((IF(X140&lt;&gt;0,$D140,$CL140)*$C140)+$F140+$G140)),0))</f>
        <v> </v>
      </c>
      <c r="CU140" s="340" t="str">
        <f aca="false">IF(A140="N/A"," ",IF(CC=2,(IF(OR(Dayrun=3,Dayrun=6,Dayrun=9),IF(AND(Dayrun&gt;=3,Dayrun&lt;=6),O140,(VLOOKUP(A140,ScaledPrice,7))*(2-(VLOOKUP(A140,ScaledPrice,3)))),0)-((IF(Y140&lt;&gt;0,$D140,$CL140)*$C140)+$F140+$G140)),0))</f>
        <v> </v>
      </c>
      <c r="CV140" s="340" t="str">
        <f aca="false">IF(A140="N/A"," ",IF(CC=2,(VLOOKUP(A140,ScaledPrice,9)-((IF(Z140&lt;&gt;0,$D140,$CL140)*$C140)+$F140+$G140)),0))</f>
        <v> </v>
      </c>
      <c r="CW140" s="318" t="str">
        <f aca="false">IF($A140="N/A"," ",IF(0&lt;&gt;CN140,IF(CC=2,8*$HD140,0),0))</f>
        <v> </v>
      </c>
      <c r="CX140" s="318" t="str">
        <f aca="false">IF($A140="N/A"," ",IF(0&lt;&gt;CO140,IF(CC=2,8*$HD140,0),0))</f>
        <v> </v>
      </c>
      <c r="CY140" s="318" t="str">
        <f aca="false">IF($A140="N/A"," ",IF(0&lt;&gt;CP140,IF(CC=2,8*$HD140,0),0))</f>
        <v> </v>
      </c>
      <c r="CZ140" s="318" t="str">
        <f aca="false">IF($A140="N/A"," ",IF(0&lt;&gt;CQ140,IF(CC=2,8*$HE140,0),0))</f>
        <v> </v>
      </c>
      <c r="DA140" s="318" t="str">
        <f aca="false">IF($A140="N/A"," ",IF(0&lt;&gt;CR140,IF(CC=2,8*$HE140,0),0))</f>
        <v> </v>
      </c>
      <c r="DB140" s="318" t="str">
        <f aca="false">IF($A140="N/A"," ",IF(0&lt;&gt;CS140,IF(CC=2,8*$HE140,0),0))</f>
        <v> </v>
      </c>
      <c r="DC140" s="318" t="str">
        <f aca="false">IF($A140="N/A"," ",IF(0&lt;&gt;CT140,IF(CC=2,8*$HF140,0),0))</f>
        <v> </v>
      </c>
      <c r="DD140" s="318" t="str">
        <f aca="false">IF($A140="N/A"," ",IF(0&lt;&gt;CU140,IF(CC=2,8*$HF140,0),0))</f>
        <v> </v>
      </c>
      <c r="DE140" s="318" t="str">
        <f aca="false">IF($A140="N/A"," ",IF(0&lt;&gt;CV140,IF(CC=2,8*$HF140,0),0))</f>
        <v> </v>
      </c>
      <c r="DF140" s="341" t="str">
        <f aca="false">IF($A140="N/A"," ",IF(CC=2,(IF(MONTH(A140)&gt;=4,IF(MONTH(A140)&lt;=10,Inputs!$G$13,Inputs!$G$14),Inputs!$G$14))*$CK140,0))</f>
        <v> </v>
      </c>
      <c r="DG140" s="342" t="str">
        <f aca="false">IF($A140="N/A"," ",IF(CC=2,$DF140*CW140*CN140,0))</f>
        <v> </v>
      </c>
      <c r="DH140" s="342" t="str">
        <f aca="false">IF($A140="N/A"," ",IF(CC=2,$DF140*CX140*CO140,0))</f>
        <v> </v>
      </c>
      <c r="DI140" s="342" t="str">
        <f aca="false">IF($A140="N/A"," ",IF(CC=2,$DF140*CY140*CP140,0))</f>
        <v> </v>
      </c>
      <c r="DJ140" s="342" t="str">
        <f aca="false">IF($A140="N/A"," ",IF(CC=2,$DF140*CZ140*CQ140,0))</f>
        <v> </v>
      </c>
      <c r="DK140" s="342" t="str">
        <f aca="false">IF($A140="N/A"," ",IF(CC=2,$DF140*DA140*CR140,0))</f>
        <v> </v>
      </c>
      <c r="DL140" s="342" t="str">
        <f aca="false">IF($A140="N/A"," ",IF(CC=2,$DF140*DB140*CS140,0))</f>
        <v> </v>
      </c>
      <c r="DM140" s="342" t="str">
        <f aca="false">IF($A140="N/A"," ",IF(CC=2,$DF140*DC140*CT140,0))</f>
        <v> </v>
      </c>
      <c r="DN140" s="342" t="str">
        <f aca="false">IF($A140="N/A"," ",IF(CC=2,$DF140*DD140*CU140,0))</f>
        <v> </v>
      </c>
      <c r="DO140" s="342" t="str">
        <f aca="false">IF($A140="N/A"," ",IF(CC=2,$DF140*DE140*CV140,0))</f>
        <v> </v>
      </c>
      <c r="DP140" s="343" t="str">
        <f aca="false">IF($A140="N/A"," ",IF(CC=2,SUM(DG140:DO140),0))</f>
        <v> </v>
      </c>
      <c r="DQ140" s="0" t="str">
        <f aca="false">IF(A140="N/A"," ",Perstart)</f>
        <v> </v>
      </c>
      <c r="HD140" s="0" t="str">
        <f aca="false">IF($A140="N/A"," ",VLOOKUP($A140,NumberofDaysTable,2))</f>
        <v> </v>
      </c>
      <c r="HE140" s="0" t="str">
        <f aca="false">IF($A140="N/A"," ",VLOOKUP($A140,NumberofDaysTable,3))</f>
        <v> </v>
      </c>
      <c r="HF140" s="0" t="str">
        <f aca="false">IF($A140="N/A"," ",VLOOKUP($A140,NumberofDaysTable,4))</f>
        <v> </v>
      </c>
    </row>
    <row r="141" customFormat="false" ht="12.75" hidden="false" customHeight="false" outlineLevel="0" collapsed="false">
      <c r="A141" s="308" t="str">
        <f aca="false">IF(A140="N/A","N/A",IF(EDATE(A140,1)&gt;Inputs!$K$3,"N/A",EDATE(A140,1)))</f>
        <v>N/A</v>
      </c>
      <c r="B141" s="309" t="str">
        <f aca="false">IF(A141="N/A"," ",YEAR(A141))</f>
        <v> </v>
      </c>
      <c r="C141" s="310" t="str">
        <f aca="false">IF(A141="N/A"," ",VLOOKUP(A141,ScaledPrice,10))</f>
        <v> </v>
      </c>
      <c r="D141" s="311" t="str">
        <f aca="false">IF(A141="N/A"," ",(VLOOKUP(MONTH($A141),Hrtable,2))/1000)</f>
        <v> </v>
      </c>
      <c r="E141" s="312" t="str">
        <f aca="false">IF($A141="N/A"," ",(C141-'Pricing Inputs'!T174)*D141)</f>
        <v> </v>
      </c>
      <c r="F141" s="313" t="str">
        <f aca="false">IF(A141="N/A"," ",$F129*(1+VOMesc))</f>
        <v> </v>
      </c>
      <c r="G141" s="313" t="str">
        <f aca="false">IF(A141="N/A"," ",Perstart/IF(AND(Dayrun&gt;=4,Dayrun&lt;=6),16,IF(AND(Dayrun&gt;=7,Dayrun&lt;=9),8,24))/(BM141/CK141))</f>
        <v> </v>
      </c>
      <c r="H141" s="314" t="str">
        <f aca="false">IF(A141="N/A"," ",(C141*D141)+F141+G141)</f>
        <v> </v>
      </c>
      <c r="I141" s="315" t="str">
        <f aca="false">VLOOKUP(A141,ScaledPrice,(IF(AND(Dayrun&gt;=1,Dayrun&lt;=6),2,4)))</f>
        <v> </v>
      </c>
      <c r="J141" s="315" t="str">
        <f aca="false">IF(A141="N/A"," ",IF(AND(Dayrun&gt;=1,Dayrun&lt;=6),I141,(VLOOKUP(A141,ScaledPrice,2))*(2-(VLOOKUP(A141,ScaledPrice,3)))))</f>
        <v> </v>
      </c>
      <c r="K141" s="315" t="str">
        <f aca="false">IF(A141="N/A"," ",IF(AND(Dayrun&gt;=1,Dayrun&lt;=3),VLOOKUP(A141,ScaledPrice,9),0))</f>
        <v> </v>
      </c>
      <c r="L141" s="315" t="str">
        <f aca="false">IF(A141="N/A"," ",IF(OR(Dayrun=2,Dayrun=3,Dayrun=5,Dayrun=6,Dayrun=8,Dayrun=9),VLOOKUP(A141,ScaledPrice,IF(AND(Dayrun&gt;=2,Dayrun&lt;=6),5,6)),0))</f>
        <v> </v>
      </c>
      <c r="M141" s="315" t="str">
        <f aca="false">IF(A141="N/A"," ",IF(OR(Dayrun=2,Dayrun=3,Dayrun=5,Dayrun=6,Dayrun=8,Dayrun=9),IF(AND(Dayrun&gt;=2,Dayrun&lt;=6),L141,(VLOOKUP(A141,ScaledPrice,5))*(2-(VLOOKUP(A141,ScaledPrice,3)))),0))</f>
        <v> </v>
      </c>
      <c r="N141" s="315" t="str">
        <f aca="false">IF(A141="N/A"," ",IF(AND(Dayrun&gt;1,Dayrun&lt;=3),VLOOKUP(A141,ScaledPrice,9),0))</f>
        <v> </v>
      </c>
      <c r="O141" s="315" t="str">
        <f aca="false">IF(A141="N/A"," ",IF(OR(Dayrun=3,Dayrun=6,Dayrun=9),(VLOOKUP(A141,ScaledPrice,IF(AND(Dayrun&gt;=3,Dayrun&lt;=6),7,8))),0))</f>
        <v> </v>
      </c>
      <c r="P141" s="315" t="str">
        <f aca="false">IF(A141="N/A"," ",IF(OR(Dayrun=3,Dayrun=6,Dayrun=9),IF(AND(Dayrun&gt;=3,Dayrun&lt;=6),O141,(VLOOKUP(A141,ScaledPrice,7))*(2-(VLOOKUP(A141,ScaledPrice,3)))),0))</f>
        <v> </v>
      </c>
      <c r="Q141" s="315" t="str">
        <f aca="false">IF(A141="N/A"," ",IF(AND(Dayrun&gt;2,Dayrun&lt;=3),VLOOKUP(A141,ScaledPrice,9),0))</f>
        <v> </v>
      </c>
      <c r="R141" s="316" t="str">
        <f aca="false">IF($A141="N/A"," ",IF(Pricetype=2,MAX(I141-$H141,0),IF(Pricetype=1,(xSPRDOPT(I141,$E141,$CI141,0,($CD141+IF(Smile=TRUE(),VLOOKUP(MAX(-5,$H141-I141),Volsmile,2),0)),$CG141,$CH141,($A141-DateToday)+15,1,0)),I141-$H141)))</f>
        <v> </v>
      </c>
      <c r="S141" s="316" t="str">
        <f aca="false">IF($A141="N/A"," ",IF(Pricetype=2,MAX(J141-$H141,0),IF(Pricetype=1,(xSPRDOPT(J141,$E141,$CI141,0,($CD141+IF(Smile=TRUE(),VLOOKUP(MAX(-5,$H141-J141),Volsmile,2),0)),$CG141,$CH141,($A141-DateToday)+15,1,0)),J141-$H141)))</f>
        <v> </v>
      </c>
      <c r="T141" s="317" t="str">
        <f aca="false">IF($A141="N/A"," ",(IF(Pricetype=2,IF((K141-$H141)&lt;=0,0,(K141-$H141)),IF(K141&lt;&gt;0,(K141-$H141),0))))</f>
        <v> </v>
      </c>
      <c r="U141" s="316" t="str">
        <f aca="false">IF($A141="N/A"," ",IF(Pricetype=2,MAX(L141-$H141,0),IF(L141&lt;&gt;0,IF(Pricetype=1,(xSPRDOPT(L141,$E141,$CI141,0,($CD141+IF(Smile=TRUE(),VLOOKUP(MAX(-5,$H141-L141),Volsmile,2),0)),$CG141,$CH141,($A141-DateToday)+15,1,0)),L141-$H141),0)))</f>
        <v> </v>
      </c>
      <c r="V141" s="316" t="str">
        <f aca="false">IF($A141="N/A"," ",IF(Pricetype=2,MAX(M141-$H141,0),IF(M141&lt;&gt;0,IF(Pricetype=1,(xSPRDOPT(M141,$E141,$CI141,0,($CD141+IF(Smile=TRUE(),VLOOKUP(MAX(-5,$H141-M141),Volsmile,2),0)),$CG141,$CH141,($A141-DateToday)+15,1,0)),M141-$H141),0)))</f>
        <v> </v>
      </c>
      <c r="W141" s="317" t="str">
        <f aca="false">IF($A141="N/A"," ",(IF(Pricetype=2,IF((N141-$H141)&lt;=0,0,(N141-$H141)),IF(N141&lt;&gt;0,(N141-$H141),0))))</f>
        <v> </v>
      </c>
      <c r="X141" s="316" t="str">
        <f aca="false">IF($A141="N/A"," ",IF(Pricetype=2,MAX(O141-$H141,0),IF(O141&lt;&gt;0,IF(Pricetype=1,(xSPRDOPT(O141,$E141,$CI141,0,($CD141+IF(Smile=TRUE(),VLOOKUP(MAX(-5,$H141-O141),Volsmile,2),0)),$CG141,$CH141,($A141-DateToday)+15,1,0)),O141-$H141),0)))</f>
        <v> </v>
      </c>
      <c r="Y141" s="316" t="str">
        <f aca="false">IF($A141="N/A"," ",IF(Pricetype=2,MAX(P141-$H141,0),IF(P141&lt;&gt;0,IF(Pricetype=1,(xSPRDOPT(P141,$E141,$CI141,0,($CD141+IF(Smile=TRUE(),VLOOKUP(MAX(-5,$H141-P141),Volsmile,2),0)),$CG141,$CH141,($A141-DateToday)+15,1,0)),P141-$H141),0)))</f>
        <v> </v>
      </c>
      <c r="Z141" s="317" t="str">
        <f aca="false">IF($A141="N/A"," ",(IF(Pricetype=2,IF((Q141-$H141)&lt;=0,0,(Q141-$H141)),IF(Q141&lt;&gt;0,(Q141-$H141),0))))</f>
        <v> </v>
      </c>
      <c r="AA141" s="318" t="str">
        <f aca="false">IF($A141="N/A"," ",IF(VLOOKUP(MONTH(A141),ManualTable,2)=1,(IF(0&lt;&gt;R141,IF(Pricetype=1,(xSPRDOPT(I141,$E141,$CI141,0,($CD141+IF(Smile=TRUE(),VLOOKUP(MAX(-5,$H141-I141),Volsmile,2),0)),$CG141,$CH141,($A141-DateToday)+15,1,1))*(8*$HD141),8*$HD141),0)),0))</f>
        <v> </v>
      </c>
      <c r="AB141" s="318" t="str">
        <f aca="false">IF($A141="N/A"," ",IF(VLOOKUP(MONTH(A141),ManualTable,3)=1,(IF(S141&lt;&gt;0,IF(Pricetype=1,(xSPRDOPT(J141,$E141,$CI141,0,($CD141+IF(Smile=TRUE(),VLOOKUP(MAX(-5,$H141-J141),Volsmile,2),0)),$CG141,$CH141,($A141-DateToday)+15,1,1))*(8*$HD141),8*$HD141),0)),0))</f>
        <v> </v>
      </c>
      <c r="AC141" s="318" t="str">
        <f aca="false">IF($A141="N/A"," ",IF(VLOOKUP(MONTH(A141),ManualTable,4)=1,(IF(T141&lt;&gt;0,(8*$HD141),0)),0))</f>
        <v> </v>
      </c>
      <c r="AD141" s="318" t="str">
        <f aca="false">IF($A141="N/A"," ",IF(VLOOKUP(MONTH(A141),ManualTable,5)=1,(IF(U141&lt;&gt;0,IF(Pricetype=1,(xSPRDOPT(L141,$E141,$CI141,0,($CD141+IF(Smile=TRUE(),VLOOKUP(MAX(-5,$H141-L141),Volsmile,2),0)),$CG141,$CH141,($A141-DateToday)+15,1,1))*(8*$HE141),8*$HE141),0)),0))</f>
        <v> </v>
      </c>
      <c r="AE141" s="318" t="str">
        <f aca="false">IF($A141="N/A"," ",IF(VLOOKUP(MONTH(A141),ManualTable,6)=1,(IF(V141&lt;&gt;0,IF(Pricetype=1,(xSPRDOPT(M141,$E141,$CI141,0,($CD141+IF(Smile=TRUE(),VLOOKUP(MAX(-5,$H141-M141),Volsmile,2),0)),$CG141,$CH141,($A141-DateToday)+15,1,1))*(8*$HE141),8*$HE141),0)),0))</f>
        <v> </v>
      </c>
      <c r="AF141" s="318" t="str">
        <f aca="false">IF($A141="N/A"," ",IF(VLOOKUP(MONTH(A141),ManualTable,7)=1,(IF(W141&lt;&gt;0,(8*$HE141),0)),0))</f>
        <v> </v>
      </c>
      <c r="AG141" s="318" t="str">
        <f aca="false">IF($A141="N/A"," ",IF(VLOOKUP(MONTH(A141),ManualTable,8)=1,(IF(X141&lt;&gt;0,IF(Pricetype=1,(xSPRDOPT(O141,$E141,$CI141,0,($CD141+IF(Smile=TRUE(),VLOOKUP(MAX(-5,$H141-O141),Volsmile,2),0)),$CG141,$CH141,($A141-DateToday)+15,1,1))*(8*$HF141),8*$HF141),0)),0))</f>
        <v> </v>
      </c>
      <c r="AH141" s="318" t="str">
        <f aca="false">IF($A141="N/A"," ",IF(VLOOKUP(MONTH(A141),ManualTable,9)=1,(IF(Y141&lt;&gt;0,IF(Pricetype=1,(xSPRDOPT(P141,$E141,$CI141,0,($CD141+IF(Smile=TRUE(),VLOOKUP(MAX(-5,$H141-P141),Volsmile,2),0)),$CG141,$CH141,($A141-DateToday)+15,1,1))*(8*$HF141),8*$HF141),0)),0))</f>
        <v> </v>
      </c>
      <c r="AI141" s="318" t="str">
        <f aca="false">IF($A141="N/A"," ",IF(VLOOKUP(MONTH(A141),ManualTable,10)=1,(IF(Z141&lt;&gt;0,(8*($HF141)),0)),0))</f>
        <v> </v>
      </c>
      <c r="AJ141" s="344" t="str">
        <f aca="false">IF($A141="N/A"," ",RANK(R141,$R$136:$Z$147))</f>
        <v> </v>
      </c>
      <c r="AK141" s="321" t="str">
        <f aca="false">IF($A141="N/A"," ",RANK(S141,$R$136:$Z$147))</f>
        <v> </v>
      </c>
      <c r="AL141" s="321" t="str">
        <f aca="false">IF($A141="N/A"," ",RANK(T141,$R$136:$Z$147))</f>
        <v> </v>
      </c>
      <c r="AM141" s="321" t="str">
        <f aca="false">IF($A141="N/A"," ",RANK(U141,$R$136:$Z$147))</f>
        <v> </v>
      </c>
      <c r="AN141" s="321" t="str">
        <f aca="false">IF($A141="N/A"," ",RANK(V141,$R$136:$Z$147))</f>
        <v> </v>
      </c>
      <c r="AO141" s="321" t="str">
        <f aca="false">IF($A141="N/A"," ",RANK(W141,$R$136:$Z$147))</f>
        <v> </v>
      </c>
      <c r="AP141" s="321" t="str">
        <f aca="false">IF($A141="N/A"," ",RANK(X141,$R$136:$Z$147))</f>
        <v> </v>
      </c>
      <c r="AQ141" s="321" t="str">
        <f aca="false">IF($A141="N/A"," ",RANK(Y141,$R$136:$Z$147))</f>
        <v> </v>
      </c>
      <c r="AR141" s="345" t="str">
        <f aca="false">IF($A141="N/A"," ",RANK(Z141,$R$136:$Z$147))</f>
        <v> </v>
      </c>
      <c r="AS141" s="323" t="str">
        <f aca="false">IF($A141="N/A"," ",IF(AJ141&lt;=$AR$2,AA141,0))</f>
        <v> </v>
      </c>
      <c r="AT141" s="325" t="str">
        <f aca="false">IF($A141="N/A"," ",IF(AK141&lt;=$AR$2,AB141,0))</f>
        <v> </v>
      </c>
      <c r="AU141" s="325" t="str">
        <f aca="false">IF($A141="N/A"," ",IF(AL141&lt;=$AR$2,AC141,0))</f>
        <v> </v>
      </c>
      <c r="AV141" s="325" t="str">
        <f aca="false">IF($A141="N/A"," ",IF(AM141&lt;=$AR$2,AD141,0))</f>
        <v> </v>
      </c>
      <c r="AW141" s="325" t="str">
        <f aca="false">IF($A141="N/A"," ",IF(AN141&lt;=$AR$2,AE141,0))</f>
        <v> </v>
      </c>
      <c r="AX141" s="325" t="str">
        <f aca="false">IF($A141="N/A"," ",IF(AO141&lt;=$AR$2,AF141,0))</f>
        <v> </v>
      </c>
      <c r="AY141" s="325" t="str">
        <f aca="false">IF($A141="N/A"," ",IF(AP141&lt;=$AR$2,AG141,0))</f>
        <v> </v>
      </c>
      <c r="AZ141" s="325" t="str">
        <f aca="false">IF($A141="N/A"," ",IF(AQ141&lt;=$AR$2,AH141,0))</f>
        <v> </v>
      </c>
      <c r="BA141" s="325" t="str">
        <f aca="false">IF($A141="N/A"," ",IF(AR141&lt;=$AR$2,AI141,0))</f>
        <v> </v>
      </c>
      <c r="BB141" s="345"/>
      <c r="BC141" s="326" t="str">
        <f aca="false">IF($A141="N/A"," ",IF(AND(AJ141=$AR$2+1,AS141=0),MIN($BB$147,AA141),0))</f>
        <v> </v>
      </c>
      <c r="BD141" s="346" t="str">
        <f aca="false">IF($A141="N/A"," ",IF(AND(AK141=$AR$2+1,AT141=0),MIN($BB$147,AB141),0))</f>
        <v> </v>
      </c>
      <c r="BE141" s="346" t="str">
        <f aca="false">IF($A141="N/A"," ",IF(AND(AL141=$AR$2+1,AU141=0),MIN($BB$147,AC141),0))</f>
        <v> </v>
      </c>
      <c r="BF141" s="346" t="str">
        <f aca="false">IF($A141="N/A"," ",IF(AND(AM141=$AR$2+1,AV141=0),MIN($BB$147,AD141),0))</f>
        <v> </v>
      </c>
      <c r="BG141" s="346" t="str">
        <f aca="false">IF($A141="N/A"," ",IF(AND(AN141=$AR$2+1,AW141=0),MIN($BB$147,AE141),0))</f>
        <v> </v>
      </c>
      <c r="BH141" s="346" t="str">
        <f aca="false">IF($A141="N/A"," ",IF(AND(AO141=$AR$2+1,AX141=0),MIN($BB$147,AF141),0))</f>
        <v> </v>
      </c>
      <c r="BI141" s="346" t="str">
        <f aca="false">IF($A141="N/A"," ",IF(AND(AP141=$AR$2+1,AY141=0),MIN($BB$147,AG141),0))</f>
        <v> </v>
      </c>
      <c r="BJ141" s="346" t="str">
        <f aca="false">IF($A141="N/A"," ",IF(AND(AQ141=$AR$2+1,AZ141=0),MIN($BB$147,AH141),0))</f>
        <v> </v>
      </c>
      <c r="BK141" s="346" t="str">
        <f aca="false">IF($A141="N/A"," ",IF(AND(AR141=$AR$2+1,BA141=0),MIN($BB$147,AI141),0))</f>
        <v> </v>
      </c>
      <c r="BL141" s="345"/>
      <c r="BM141" s="329" t="str">
        <f aca="false">IF($A141="N/A"," ",(IF(MONTH(A141)&gt;=4,IF(MONTH(A141)&lt;=10,Inputs!$F$13-Inputs!$G$13,Inputs!$F$14-Inputs!$G$14),Inputs!$F$14-Inputs!$G$14))*$CK141*Availability)</f>
        <v> </v>
      </c>
      <c r="BN141" s="330" t="str">
        <f aca="false">IF($A141="N/A"," ",(IF(AS141&gt;0,($BM141*(8*($HD141))*R141),0)+IF(BC141&gt;0,($BM141*((BC141/AA141)*8*$HD141)*R141),0)))</f>
        <v> </v>
      </c>
      <c r="BO141" s="330" t="str">
        <f aca="false">IF($A141="N/A"," ",(IF(AT141&gt;0,($BM141*(8*($HD141))*S141),0)+IF(BD141&gt;0,($BM141*((BD141/AB141)*8*$HD141)*S141),0)))</f>
        <v> </v>
      </c>
      <c r="BP141" s="330" t="str">
        <f aca="false">IF($A141="N/A"," ",(IF(AU141&gt;0,($BM141*(8*($HD141))*T141),0)+IF(BE141&gt;0,($BM141*((BE141))*T141),0)))</f>
        <v> </v>
      </c>
      <c r="BQ141" s="330" t="str">
        <f aca="false">IF($A141="N/A"," ",(IF(AV141&gt;0,($BM141*(8*($HE141))*U141),0)+IF(BF141&gt;0,($BM141*((BF141/AD141)*8*$HE141)*U141),0)))</f>
        <v> </v>
      </c>
      <c r="BR141" s="330" t="str">
        <f aca="false">IF($A141="N/A"," ",(IF(AW141&gt;0,($BM141*(8*($HE141))*V141),0)+IF(BG141&gt;0,($BM141*((BG141/AE141)*8*$HE141)*V141),0)))</f>
        <v> </v>
      </c>
      <c r="BS141" s="330" t="str">
        <f aca="false">IF($A141="N/A"," ",(IF(AX141&gt;0,($BM141*(8*($HE141))*W141),0)+IF(BH141&gt;0,($BM141*((BH141))*W141),0)))</f>
        <v> </v>
      </c>
      <c r="BT141" s="330" t="str">
        <f aca="false">IF($A141="N/A"," ",(IF(AY141&gt;0,($BM141*(8*($HF141))*X141),0)+IF(BI141&gt;0,($BM141*((BI141/AG141)*8*$HF141)*X141),0)))</f>
        <v> </v>
      </c>
      <c r="BU141" s="330" t="str">
        <f aca="false">IF($A141="N/A"," ",(IF(AZ141&gt;0,($BM141*(8*($HF141))*Y141),0)+IF(BJ141&gt;0,($BM141*((BJ141/AH141)*8*$HF141)*Y141),0)))</f>
        <v> </v>
      </c>
      <c r="BV141" s="330" t="str">
        <f aca="false">IF($A141="N/A"," ",(IF(BA141&gt;0,($BM141*(8*($HF141))*Z141),0)+IF(BK141&gt;0,($BM141*((BK141))*Z141),0)))</f>
        <v> </v>
      </c>
      <c r="BW141" s="330" t="str">
        <f aca="false">IF($A141="N/A"," ",SUM(BN141:BV141))</f>
        <v> </v>
      </c>
      <c r="BX141" s="331" t="str">
        <f aca="false">IF($A141="N/A"," ",(H141*(SUM(AS141:BA141)+SUM(BC141:BK141))*BM141))</f>
        <v> </v>
      </c>
      <c r="BY141" s="332" t="str">
        <f aca="false">IF($A141="N/A"," ",((C141*D141)*(SUM($AS141:$BA141)+SUM($BC141:$BK141))*$BM141))</f>
        <v> </v>
      </c>
      <c r="BZ141" s="332" t="str">
        <f aca="false">IF($A141="N/A"," ",(F141*(SUM($AS141:$BA141)+SUM($BC141:$BK141))*$BM141))</f>
        <v> </v>
      </c>
      <c r="CA141" s="333" t="str">
        <f aca="false">IF($A141="N/A"," ",(G141*(SUM($AS141:$BA141)+SUM($BC141:$BK141))*$BM141))</f>
        <v> </v>
      </c>
      <c r="CB141" s="334" t="str">
        <f aca="false">IF(A141="N/A"," ",(VLOOKUP(A141,PowerVolTable,(IF(BMO=2,7,IF(BMO=1,6,8))),FALSE())))</f>
        <v> </v>
      </c>
      <c r="CC141" s="334" t="str">
        <f aca="false">IF(A141="N/A"," ",(VLOOKUP(A141,IntraPowerVol,(IF(BMO=2,3,IF(BMO=1,2,4))),FALSE())*VLOOKUP(MONTH($A141),Volscale,2)))</f>
        <v> </v>
      </c>
      <c r="CD141" s="335" t="str">
        <f aca="false">IF($A141="N/A"," ",(IF(DateToday&gt;$A141,$CC141,((($CB141^2)*((($A141-1)-DateToday)/((EOMONTH($A141,0)+1)-DateToday-15)))+((($CC141)^2)*((15)/((EOMONTH($A141,0)+1)-DateToday-15))))^0.5)))</f>
        <v> </v>
      </c>
      <c r="CE141" s="334" t="str">
        <f aca="false">IF($A141="N/A"," ",(VLOOKUP($A141,GasVolTable,(IF(BMO=2,6,IF(BMO=1,7,5))),FALSE())))</f>
        <v> </v>
      </c>
      <c r="CF141" s="334" t="str">
        <f aca="false">IF($A141="N/A"," ",(VLOOKUP($A141,OmicronVol,(IF(BMO=2,3,IF(BMO=1,4,2))),FALSE())))</f>
        <v> </v>
      </c>
      <c r="CG141" s="335" t="str">
        <f aca="false">IF($A141="N/A"," ",(IF(DateToday&gt;$A141,$CF141,((($CE141^2)*((($A141-1)-DateToday)/((EOMONTH($A141,0)+1)-DateToday-15)))+((($CF141)^2)*((15)/((EOMONTH($A141,0)+1)-DateToday-15))))^0.5)))</f>
        <v> </v>
      </c>
      <c r="CH141" s="334" t="str">
        <f aca="false">IF($A141="N/A"," ",VLOOKUP($A141,CorrelationTable,2,FALSE()))</f>
        <v> </v>
      </c>
      <c r="CI141" s="336" t="str">
        <f aca="false">IF($A141="N/A"," ",F141+G141+(D141*('Pricing Inputs'!T174)))</f>
        <v> </v>
      </c>
      <c r="CJ141" s="334" t="str">
        <f aca="false">IF($A141="N/A"," ",IF(PV=1,0,'Pricing Inputs'!U174))</f>
        <v> </v>
      </c>
      <c r="CK141" s="337" t="str">
        <f aca="false">IF($A141="N/A"," ",(1+CJ141/2)^(-2*((EOMONTH(A141,0)+20)-DateToday)/365.25))</f>
        <v> </v>
      </c>
      <c r="CL141" s="338" t="str">
        <f aca="false">IF(A141="N/A"," ",IF(CC=2,(VLOOKUP(MONTH($A141),Hrtable,3))/1000,0))</f>
        <v> </v>
      </c>
      <c r="CM141" s="339" t="str">
        <f aca="false">IF(A141="N/A"," ",IF(CC=2,(CL141*C141)+F141,0))</f>
        <v> </v>
      </c>
      <c r="CN141" s="340" t="str">
        <f aca="false">IF($A141="N/A"," ",IF(CC=2,(VLOOKUP(A141,ScaledPrice,(IF(AND(Dayrun&gt;=1,Dayrun&lt;=6),2,4)))-((IF(R141&lt;&gt;0,$D141,$CL141)*$C141)+$F141+$G141)),0))</f>
        <v> </v>
      </c>
      <c r="CO141" s="340" t="str">
        <f aca="false">IF($A141="N/A"," ",IF(CC=2,(IF(AND(Dayrun&gt;=1,Dayrun&lt;=6),I141,(VLOOKUP(A141,ScaledPrice,2))*(2-(VLOOKUP(A141,ScaledPrice,3))))-((IF(S141&lt;&gt;0,$D141,$CL141)*$C141)+$F141+$G141)),0))</f>
        <v> </v>
      </c>
      <c r="CP141" s="340" t="str">
        <f aca="false">IF(A141="N/A"," ",IF(CC=2,(VLOOKUP(A141,ScaledPrice,9)-((IF(T141&lt;&gt;0,$D141,$CL141)*$C141)+$F141+$G141)),0))</f>
        <v> </v>
      </c>
      <c r="CQ141" s="340" t="str">
        <f aca="false">IF(A141="N/A"," ",IF(CC=2,(IF(OR(Dayrun=2,Dayrun=3,Dayrun=5,Dayrun=6,Dayrun=8,Dayrun=9),VLOOKUP(A141,ScaledPrice,IF(AND(Dayrun&gt;=2,Dayrun&lt;=6),5,6)),0)-((IF(U141&lt;&gt;0,$D141,$CL141)*$C141)+$F141+$G141)),0))</f>
        <v> </v>
      </c>
      <c r="CR141" s="340" t="str">
        <f aca="false">IF(A141="N/A"," ",IF(CC=2,(IF(OR(Dayrun=2,Dayrun=3,Dayrun=5,Dayrun=6,Dayrun=8,Dayrun=9),IF(AND(Dayrun&gt;=2,Dayrun&lt;=6),L141,(VLOOKUP(A141,ScaledPrice,5))*(2-(VLOOKUP(A141,ScaledPrice,3)))),0)-((IF(V141&lt;&gt;0,$D141,$CL141)*$C141)+$F141+$G141)),0))</f>
        <v> </v>
      </c>
      <c r="CS141" s="340" t="str">
        <f aca="false">IF(A141="N/A"," ",IF(CC=2,(VLOOKUP(A141,ScaledPrice,9)-((IF(W141&lt;&gt;0,$D141,$CL141)*$C141)+$F141+$G141)),0))</f>
        <v> </v>
      </c>
      <c r="CT141" s="340" t="str">
        <f aca="false">IF(A141="N/A"," ",IF(CC=2,(IF(OR(Dayrun=3,Dayrun=6,Dayrun=9),(VLOOKUP(A141,ScaledPrice,IF(AND(Dayrun&gt;=3,Dayrun&lt;=6),7,8))),0)-((IF(X141&lt;&gt;0,$D141,$CL141)*$C141)+$F141+$G141)),0))</f>
        <v> </v>
      </c>
      <c r="CU141" s="340" t="str">
        <f aca="false">IF(A141="N/A"," ",IF(CC=2,(IF(OR(Dayrun=3,Dayrun=6,Dayrun=9),IF(AND(Dayrun&gt;=3,Dayrun&lt;=6),O141,(VLOOKUP(A141,ScaledPrice,7))*(2-(VLOOKUP(A141,ScaledPrice,3)))),0)-((IF(Y141&lt;&gt;0,$D141,$CL141)*$C141)+$F141+$G141)),0))</f>
        <v> </v>
      </c>
      <c r="CV141" s="340" t="str">
        <f aca="false">IF(A141="N/A"," ",IF(CC=2,(VLOOKUP(A141,ScaledPrice,9)-((IF(Z141&lt;&gt;0,$D141,$CL141)*$C141)+$F141+$G141)),0))</f>
        <v> </v>
      </c>
      <c r="CW141" s="318" t="str">
        <f aca="false">IF($A141="N/A"," ",IF(0&lt;&gt;CN141,IF(CC=2,8*$HD141,0),0))</f>
        <v> </v>
      </c>
      <c r="CX141" s="318" t="str">
        <f aca="false">IF($A141="N/A"," ",IF(0&lt;&gt;CO141,IF(CC=2,8*$HD141,0),0))</f>
        <v> </v>
      </c>
      <c r="CY141" s="318" t="str">
        <f aca="false">IF($A141="N/A"," ",IF(0&lt;&gt;CP141,IF(CC=2,8*$HD141,0),0))</f>
        <v> </v>
      </c>
      <c r="CZ141" s="318" t="str">
        <f aca="false">IF($A141="N/A"," ",IF(0&lt;&gt;CQ141,IF(CC=2,8*$HE141,0),0))</f>
        <v> </v>
      </c>
      <c r="DA141" s="318" t="str">
        <f aca="false">IF($A141="N/A"," ",IF(0&lt;&gt;CR141,IF(CC=2,8*$HE141,0),0))</f>
        <v> </v>
      </c>
      <c r="DB141" s="318" t="str">
        <f aca="false">IF($A141="N/A"," ",IF(0&lt;&gt;CS141,IF(CC=2,8*$HE141,0),0))</f>
        <v> </v>
      </c>
      <c r="DC141" s="318" t="str">
        <f aca="false">IF($A141="N/A"," ",IF(0&lt;&gt;CT141,IF(CC=2,8*$HF141,0),0))</f>
        <v> </v>
      </c>
      <c r="DD141" s="318" t="str">
        <f aca="false">IF($A141="N/A"," ",IF(0&lt;&gt;CU141,IF(CC=2,8*$HF141,0),0))</f>
        <v> </v>
      </c>
      <c r="DE141" s="318" t="str">
        <f aca="false">IF($A141="N/A"," ",IF(0&lt;&gt;CV141,IF(CC=2,8*$HF141,0),0))</f>
        <v> </v>
      </c>
      <c r="DF141" s="341" t="str">
        <f aca="false">IF($A141="N/A"," ",IF(CC=2,(IF(MONTH(A141)&gt;=4,IF(MONTH(A141)&lt;=10,Inputs!$G$13,Inputs!$G$14),Inputs!$G$14))*$CK141,0))</f>
        <v> </v>
      </c>
      <c r="DG141" s="342" t="str">
        <f aca="false">IF($A141="N/A"," ",IF(CC=2,$DF141*CW141*CN141,0))</f>
        <v> </v>
      </c>
      <c r="DH141" s="342" t="str">
        <f aca="false">IF($A141="N/A"," ",IF(CC=2,$DF141*CX141*CO141,0))</f>
        <v> </v>
      </c>
      <c r="DI141" s="342" t="str">
        <f aca="false">IF($A141="N/A"," ",IF(CC=2,$DF141*CY141*CP141,0))</f>
        <v> </v>
      </c>
      <c r="DJ141" s="342" t="str">
        <f aca="false">IF($A141="N/A"," ",IF(CC=2,$DF141*CZ141*CQ141,0))</f>
        <v> </v>
      </c>
      <c r="DK141" s="342" t="str">
        <f aca="false">IF($A141="N/A"," ",IF(CC=2,$DF141*DA141*CR141,0))</f>
        <v> </v>
      </c>
      <c r="DL141" s="342" t="str">
        <f aca="false">IF($A141="N/A"," ",IF(CC=2,$DF141*DB141*CS141,0))</f>
        <v> </v>
      </c>
      <c r="DM141" s="342" t="str">
        <f aca="false">IF($A141="N/A"," ",IF(CC=2,$DF141*DC141*CT141,0))</f>
        <v> </v>
      </c>
      <c r="DN141" s="342" t="str">
        <f aca="false">IF($A141="N/A"," ",IF(CC=2,$DF141*DD141*CU141,0))</f>
        <v> </v>
      </c>
      <c r="DO141" s="342" t="str">
        <f aca="false">IF($A141="N/A"," ",IF(CC=2,$DF141*DE141*CV141,0))</f>
        <v> </v>
      </c>
      <c r="DP141" s="343" t="str">
        <f aca="false">IF($A141="N/A"," ",IF(CC=2,SUM(DG141:DO141),0))</f>
        <v> </v>
      </c>
      <c r="DQ141" s="0" t="str">
        <f aca="false">IF(A141="N/A"," ",Perstart)</f>
        <v> </v>
      </c>
      <c r="HD141" s="0" t="str">
        <f aca="false">IF($A141="N/A"," ",VLOOKUP($A141,NumberofDaysTable,2))</f>
        <v> </v>
      </c>
      <c r="HE141" s="0" t="str">
        <f aca="false">IF($A141="N/A"," ",VLOOKUP($A141,NumberofDaysTable,3))</f>
        <v> </v>
      </c>
      <c r="HF141" s="0" t="str">
        <f aca="false">IF($A141="N/A"," ",VLOOKUP($A141,NumberofDaysTable,4))</f>
        <v> </v>
      </c>
    </row>
    <row r="142" customFormat="false" ht="12.75" hidden="false" customHeight="false" outlineLevel="0" collapsed="false">
      <c r="A142" s="308" t="str">
        <f aca="false">IF(A141="N/A","N/A",IF(EDATE(A141,1)&gt;Inputs!$K$3,"N/A",EDATE(A141,1)))</f>
        <v>N/A</v>
      </c>
      <c r="B142" s="309" t="str">
        <f aca="false">IF(A142="N/A"," ",YEAR(A142))</f>
        <v> </v>
      </c>
      <c r="C142" s="310" t="str">
        <f aca="false">IF(A142="N/A"," ",VLOOKUP(A142,ScaledPrice,10))</f>
        <v> </v>
      </c>
      <c r="D142" s="311" t="str">
        <f aca="false">IF(A142="N/A"," ",(VLOOKUP(MONTH($A142),Hrtable,2))/1000)</f>
        <v> </v>
      </c>
      <c r="E142" s="312" t="str">
        <f aca="false">IF($A142="N/A"," ",(C142-'Pricing Inputs'!T175)*D142)</f>
        <v> </v>
      </c>
      <c r="F142" s="313" t="str">
        <f aca="false">IF(A142="N/A"," ",$F130*(1+VOMesc))</f>
        <v> </v>
      </c>
      <c r="G142" s="313" t="str">
        <f aca="false">IF(A142="N/A"," ",Perstart/IF(AND(Dayrun&gt;=4,Dayrun&lt;=6),16,IF(AND(Dayrun&gt;=7,Dayrun&lt;=9),8,24))/(BM142/CK142))</f>
        <v> </v>
      </c>
      <c r="H142" s="314" t="str">
        <f aca="false">IF(A142="N/A"," ",(C142*D142)+F142+G142)</f>
        <v> </v>
      </c>
      <c r="I142" s="315" t="str">
        <f aca="false">VLOOKUP(A142,ScaledPrice,(IF(AND(Dayrun&gt;=1,Dayrun&lt;=6),2,4)))</f>
        <v> </v>
      </c>
      <c r="J142" s="315" t="str">
        <f aca="false">IF(A142="N/A"," ",IF(AND(Dayrun&gt;=1,Dayrun&lt;=6),I142,(VLOOKUP(A142,ScaledPrice,2))*(2-(VLOOKUP(A142,ScaledPrice,3)))))</f>
        <v> </v>
      </c>
      <c r="K142" s="315" t="str">
        <f aca="false">IF(A142="N/A"," ",IF(AND(Dayrun&gt;=1,Dayrun&lt;=3),VLOOKUP(A142,ScaledPrice,9),0))</f>
        <v> </v>
      </c>
      <c r="L142" s="315" t="str">
        <f aca="false">IF(A142="N/A"," ",IF(OR(Dayrun=2,Dayrun=3,Dayrun=5,Dayrun=6,Dayrun=8,Dayrun=9),VLOOKUP(A142,ScaledPrice,IF(AND(Dayrun&gt;=2,Dayrun&lt;=6),5,6)),0))</f>
        <v> </v>
      </c>
      <c r="M142" s="315" t="str">
        <f aca="false">IF(A142="N/A"," ",IF(OR(Dayrun=2,Dayrun=3,Dayrun=5,Dayrun=6,Dayrun=8,Dayrun=9),IF(AND(Dayrun&gt;=2,Dayrun&lt;=6),L142,(VLOOKUP(A142,ScaledPrice,5))*(2-(VLOOKUP(A142,ScaledPrice,3)))),0))</f>
        <v> </v>
      </c>
      <c r="N142" s="315" t="str">
        <f aca="false">IF(A142="N/A"," ",IF(AND(Dayrun&gt;1,Dayrun&lt;=3),VLOOKUP(A142,ScaledPrice,9),0))</f>
        <v> </v>
      </c>
      <c r="O142" s="315" t="str">
        <f aca="false">IF(A142="N/A"," ",IF(OR(Dayrun=3,Dayrun=6,Dayrun=9),(VLOOKUP(A142,ScaledPrice,IF(AND(Dayrun&gt;=3,Dayrun&lt;=6),7,8))),0))</f>
        <v> </v>
      </c>
      <c r="P142" s="315" t="str">
        <f aca="false">IF(A142="N/A"," ",IF(OR(Dayrun=3,Dayrun=6,Dayrun=9),IF(AND(Dayrun&gt;=3,Dayrun&lt;=6),O142,(VLOOKUP(A142,ScaledPrice,7))*(2-(VLOOKUP(A142,ScaledPrice,3)))),0))</f>
        <v> </v>
      </c>
      <c r="Q142" s="315" t="str">
        <f aca="false">IF(A142="N/A"," ",IF(AND(Dayrun&gt;2,Dayrun&lt;=3),VLOOKUP(A142,ScaledPrice,9),0))</f>
        <v> </v>
      </c>
      <c r="R142" s="316" t="str">
        <f aca="false">IF($A142="N/A"," ",IF(Pricetype=2,MAX(I142-$H142,0),IF(Pricetype=1,(xSPRDOPT(I142,$E142,$CI142,0,($CD142+IF(Smile=TRUE(),VLOOKUP(MAX(-5,$H142-I142),Volsmile,2),0)),$CG142,$CH142,($A142-DateToday)+15,1,0)),I142-$H142)))</f>
        <v> </v>
      </c>
      <c r="S142" s="316" t="str">
        <f aca="false">IF($A142="N/A"," ",IF(Pricetype=2,MAX(J142-$H142,0),IF(Pricetype=1,(xSPRDOPT(J142,$E142,$CI142,0,($CD142+IF(Smile=TRUE(),VLOOKUP(MAX(-5,$H142-J142),Volsmile,2),0)),$CG142,$CH142,($A142-DateToday)+15,1,0)),J142-$H142)))</f>
        <v> </v>
      </c>
      <c r="T142" s="317" t="str">
        <f aca="false">IF($A142="N/A"," ",(IF(Pricetype=2,IF((K142-$H142)&lt;=0,0,(K142-$H142)),IF(K142&lt;&gt;0,(K142-$H142),0))))</f>
        <v> </v>
      </c>
      <c r="U142" s="316" t="str">
        <f aca="false">IF($A142="N/A"," ",IF(Pricetype=2,MAX(L142-$H142,0),IF(L142&lt;&gt;0,IF(Pricetype=1,(xSPRDOPT(L142,$E142,$CI142,0,($CD142+IF(Smile=TRUE(),VLOOKUP(MAX(-5,$H142-L142),Volsmile,2),0)),$CG142,$CH142,($A142-DateToday)+15,1,0)),L142-$H142),0)))</f>
        <v> </v>
      </c>
      <c r="V142" s="316" t="str">
        <f aca="false">IF($A142="N/A"," ",IF(Pricetype=2,MAX(M142-$H142,0),IF(M142&lt;&gt;0,IF(Pricetype=1,(xSPRDOPT(M142,$E142,$CI142,0,($CD142+IF(Smile=TRUE(),VLOOKUP(MAX(-5,$H142-M142),Volsmile,2),0)),$CG142,$CH142,($A142-DateToday)+15,1,0)),M142-$H142),0)))</f>
        <v> </v>
      </c>
      <c r="W142" s="317" t="str">
        <f aca="false">IF($A142="N/A"," ",(IF(Pricetype=2,IF((N142-$H142)&lt;=0,0,(N142-$H142)),IF(N142&lt;&gt;0,(N142-$H142),0))))</f>
        <v> </v>
      </c>
      <c r="X142" s="316" t="str">
        <f aca="false">IF($A142="N/A"," ",IF(Pricetype=2,MAX(O142-$H142,0),IF(O142&lt;&gt;0,IF(Pricetype=1,(xSPRDOPT(O142,$E142,$CI142,0,($CD142+IF(Smile=TRUE(),VLOOKUP(MAX(-5,$H142-O142),Volsmile,2),0)),$CG142,$CH142,($A142-DateToday)+15,1,0)),O142-$H142),0)))</f>
        <v> </v>
      </c>
      <c r="Y142" s="316" t="str">
        <f aca="false">IF($A142="N/A"," ",IF(Pricetype=2,MAX(P142-$H142,0),IF(P142&lt;&gt;0,IF(Pricetype=1,(xSPRDOPT(P142,$E142,$CI142,0,($CD142+IF(Smile=TRUE(),VLOOKUP(MAX(-5,$H142-P142),Volsmile,2),0)),$CG142,$CH142,($A142-DateToday)+15,1,0)),P142-$H142),0)))</f>
        <v> </v>
      </c>
      <c r="Z142" s="317" t="str">
        <f aca="false">IF($A142="N/A"," ",(IF(Pricetype=2,IF((Q142-$H142)&lt;=0,0,(Q142-$H142)),IF(Q142&lt;&gt;0,(Q142-$H142),0))))</f>
        <v> </v>
      </c>
      <c r="AA142" s="318" t="str">
        <f aca="false">IF($A142="N/A"," ",IF(VLOOKUP(MONTH(A142),ManualTable,2)=1,(IF(0&lt;&gt;R142,IF(Pricetype=1,(xSPRDOPT(I142,$E142,$CI142,0,($CD142+IF(Smile=TRUE(),VLOOKUP(MAX(-5,$H142-I142),Volsmile,2),0)),$CG142,$CH142,($A142-DateToday)+15,1,1))*(8*$HD142),8*$HD142),0)),0))</f>
        <v> </v>
      </c>
      <c r="AB142" s="318" t="str">
        <f aca="false">IF($A142="N/A"," ",IF(VLOOKUP(MONTH(A142),ManualTable,3)=1,(IF(S142&lt;&gt;0,IF(Pricetype=1,(xSPRDOPT(J142,$E142,$CI142,0,($CD142+IF(Smile=TRUE(),VLOOKUP(MAX(-5,$H142-J142),Volsmile,2),0)),$CG142,$CH142,($A142-DateToday)+15,1,1))*(8*$HD142),8*$HD142),0)),0))</f>
        <v> </v>
      </c>
      <c r="AC142" s="318" t="str">
        <f aca="false">IF($A142="N/A"," ",IF(VLOOKUP(MONTH(A142),ManualTable,4)=1,(IF(T142&lt;&gt;0,(8*$HD142),0)),0))</f>
        <v> </v>
      </c>
      <c r="AD142" s="318" t="str">
        <f aca="false">IF($A142="N/A"," ",IF(VLOOKUP(MONTH(A142),ManualTable,5)=1,(IF(U142&lt;&gt;0,IF(Pricetype=1,(xSPRDOPT(L142,$E142,$CI142,0,($CD142+IF(Smile=TRUE(),VLOOKUP(MAX(-5,$H142-L142),Volsmile,2),0)),$CG142,$CH142,($A142-DateToday)+15,1,1))*(8*$HE142),8*$HE142),0)),0))</f>
        <v> </v>
      </c>
      <c r="AE142" s="318" t="str">
        <f aca="false">IF($A142="N/A"," ",IF(VLOOKUP(MONTH(A142),ManualTable,6)=1,(IF(V142&lt;&gt;0,IF(Pricetype=1,(xSPRDOPT(M142,$E142,$CI142,0,($CD142+IF(Smile=TRUE(),VLOOKUP(MAX(-5,$H142-M142),Volsmile,2),0)),$CG142,$CH142,($A142-DateToday)+15,1,1))*(8*$HE142),8*$HE142),0)),0))</f>
        <v> </v>
      </c>
      <c r="AF142" s="318" t="str">
        <f aca="false">IF($A142="N/A"," ",IF(VLOOKUP(MONTH(A142),ManualTable,7)=1,(IF(W142&lt;&gt;0,(8*$HE142),0)),0))</f>
        <v> </v>
      </c>
      <c r="AG142" s="318" t="str">
        <f aca="false">IF($A142="N/A"," ",IF(VLOOKUP(MONTH(A142),ManualTable,8)=1,(IF(X142&lt;&gt;0,IF(Pricetype=1,(xSPRDOPT(O142,$E142,$CI142,0,($CD142+IF(Smile=TRUE(),VLOOKUP(MAX(-5,$H142-O142),Volsmile,2),0)),$CG142,$CH142,($A142-DateToday)+15,1,1))*(8*$HF142),8*$HF142),0)),0))</f>
        <v> </v>
      </c>
      <c r="AH142" s="318" t="str">
        <f aca="false">IF($A142="N/A"," ",IF(VLOOKUP(MONTH(A142),ManualTable,9)=1,(IF(Y142&lt;&gt;0,IF(Pricetype=1,(xSPRDOPT(P142,$E142,$CI142,0,($CD142+IF(Smile=TRUE(),VLOOKUP(MAX(-5,$H142-P142),Volsmile,2),0)),$CG142,$CH142,($A142-DateToday)+15,1,1))*(8*$HF142),8*$HF142),0)),0))</f>
        <v> </v>
      </c>
      <c r="AI142" s="318" t="str">
        <f aca="false">IF($A142="N/A"," ",IF(VLOOKUP(MONTH(A142),ManualTable,10)=1,(IF(Z142&lt;&gt;0,(8*($HF142)),0)),0))</f>
        <v> </v>
      </c>
      <c r="AJ142" s="344" t="str">
        <f aca="false">IF($A142="N/A"," ",RANK(R142,$R$136:$Z$147))</f>
        <v> </v>
      </c>
      <c r="AK142" s="321" t="str">
        <f aca="false">IF($A142="N/A"," ",RANK(S142,$R$136:$Z$147))</f>
        <v> </v>
      </c>
      <c r="AL142" s="321" t="str">
        <f aca="false">IF($A142="N/A"," ",RANK(T142,$R$136:$Z$147))</f>
        <v> </v>
      </c>
      <c r="AM142" s="321" t="str">
        <f aca="false">IF($A142="N/A"," ",RANK(U142,$R$136:$Z$147))</f>
        <v> </v>
      </c>
      <c r="AN142" s="321" t="str">
        <f aca="false">IF($A142="N/A"," ",RANK(V142,$R$136:$Z$147))</f>
        <v> </v>
      </c>
      <c r="AO142" s="321" t="str">
        <f aca="false">IF($A142="N/A"," ",RANK(W142,$R$136:$Z$147))</f>
        <v> </v>
      </c>
      <c r="AP142" s="321" t="str">
        <f aca="false">IF($A142="N/A"," ",RANK(X142,$R$136:$Z$147))</f>
        <v> </v>
      </c>
      <c r="AQ142" s="321" t="str">
        <f aca="false">IF($A142="N/A"," ",RANK(Y142,$R$136:$Z$147))</f>
        <v> </v>
      </c>
      <c r="AR142" s="345" t="str">
        <f aca="false">IF($A142="N/A"," ",RANK(Z142,$R$136:$Z$147))</f>
        <v> </v>
      </c>
      <c r="AS142" s="323" t="str">
        <f aca="false">IF($A142="N/A"," ",IF(AJ142&lt;=$AR$2,AA142,0))</f>
        <v> </v>
      </c>
      <c r="AT142" s="325" t="str">
        <f aca="false">IF($A142="N/A"," ",IF(AK142&lt;=$AR$2,AB142,0))</f>
        <v> </v>
      </c>
      <c r="AU142" s="325" t="str">
        <f aca="false">IF($A142="N/A"," ",IF(AL142&lt;=$AR$2,AC142,0))</f>
        <v> </v>
      </c>
      <c r="AV142" s="325" t="str">
        <f aca="false">IF($A142="N/A"," ",IF(AM142&lt;=$AR$2,AD142,0))</f>
        <v> </v>
      </c>
      <c r="AW142" s="325" t="str">
        <f aca="false">IF($A142="N/A"," ",IF(AN142&lt;=$AR$2,AE142,0))</f>
        <v> </v>
      </c>
      <c r="AX142" s="325" t="str">
        <f aca="false">IF($A142="N/A"," ",IF(AO142&lt;=$AR$2,AF142,0))</f>
        <v> </v>
      </c>
      <c r="AY142" s="325" t="str">
        <f aca="false">IF($A142="N/A"," ",IF(AP142&lt;=$AR$2,AG142,0))</f>
        <v> </v>
      </c>
      <c r="AZ142" s="325" t="str">
        <f aca="false">IF($A142="N/A"," ",IF(AQ142&lt;=$AR$2,AH142,0))</f>
        <v> </v>
      </c>
      <c r="BA142" s="325" t="str">
        <f aca="false">IF($A142="N/A"," ",IF(AR142&lt;=$AR$2,AI142,0))</f>
        <v> </v>
      </c>
      <c r="BB142" s="345"/>
      <c r="BC142" s="326" t="str">
        <f aca="false">IF($A142="N/A"," ",IF(AND(AJ142=$AR$2+1,AS142=0),MIN($BB$147,AA142),0))</f>
        <v> </v>
      </c>
      <c r="BD142" s="346" t="str">
        <f aca="false">IF($A142="N/A"," ",IF(AND(AK142=$AR$2+1,AT142=0),MIN($BB$147,AB142),0))</f>
        <v> </v>
      </c>
      <c r="BE142" s="346" t="str">
        <f aca="false">IF($A142="N/A"," ",IF(AND(AL142=$AR$2+1,AU142=0),MIN($BB$147,AC142),0))</f>
        <v> </v>
      </c>
      <c r="BF142" s="346" t="str">
        <f aca="false">IF($A142="N/A"," ",IF(AND(AM142=$AR$2+1,AV142=0),MIN($BB$147,AD142),0))</f>
        <v> </v>
      </c>
      <c r="BG142" s="346" t="str">
        <f aca="false">IF($A142="N/A"," ",IF(AND(AN142=$AR$2+1,AW142=0),MIN($BB$147,AE142),0))</f>
        <v> </v>
      </c>
      <c r="BH142" s="346" t="str">
        <f aca="false">IF($A142="N/A"," ",IF(AND(AO142=$AR$2+1,AX142=0),MIN($BB$147,AF142),0))</f>
        <v> </v>
      </c>
      <c r="BI142" s="346" t="str">
        <f aca="false">IF($A142="N/A"," ",IF(AND(AP142=$AR$2+1,AY142=0),MIN($BB$147,AG142),0))</f>
        <v> </v>
      </c>
      <c r="BJ142" s="346" t="str">
        <f aca="false">IF($A142="N/A"," ",IF(AND(AQ142=$AR$2+1,AZ142=0),MIN($BB$147,AH142),0))</f>
        <v> </v>
      </c>
      <c r="BK142" s="346" t="str">
        <f aca="false">IF($A142="N/A"," ",IF(AND(AR142=$AR$2+1,BA142=0),MIN($BB$147,AI142),0))</f>
        <v> </v>
      </c>
      <c r="BL142" s="345"/>
      <c r="BM142" s="329" t="str">
        <f aca="false">IF($A142="N/A"," ",(IF(MONTH(A142)&gt;=4,IF(MONTH(A142)&lt;=10,Inputs!$F$13-Inputs!$G$13,Inputs!$F$14-Inputs!$G$14),Inputs!$F$14-Inputs!$G$14))*$CK142*Availability)</f>
        <v> </v>
      </c>
      <c r="BN142" s="330" t="str">
        <f aca="false">IF($A142="N/A"," ",(IF(AS142&gt;0,($BM142*(8*($HD142))*R142),0)+IF(BC142&gt;0,($BM142*((BC142/AA142)*8*$HD142)*R142),0)))</f>
        <v> </v>
      </c>
      <c r="BO142" s="330" t="str">
        <f aca="false">IF($A142="N/A"," ",(IF(AT142&gt;0,($BM142*(8*($HD142))*S142),0)+IF(BD142&gt;0,($BM142*((BD142/AB142)*8*$HD142)*S142),0)))</f>
        <v> </v>
      </c>
      <c r="BP142" s="330" t="str">
        <f aca="false">IF($A142="N/A"," ",(IF(AU142&gt;0,($BM142*(8*($HD142))*T142),0)+IF(BE142&gt;0,($BM142*((BE142))*T142),0)))</f>
        <v> </v>
      </c>
      <c r="BQ142" s="330" t="str">
        <f aca="false">IF($A142="N/A"," ",(IF(AV142&gt;0,($BM142*(8*($HE142))*U142),0)+IF(BF142&gt;0,($BM142*((BF142/AD142)*8*$HE142)*U142),0)))</f>
        <v> </v>
      </c>
      <c r="BR142" s="330" t="str">
        <f aca="false">IF($A142="N/A"," ",(IF(AW142&gt;0,($BM142*(8*($HE142))*V142),0)+IF(BG142&gt;0,($BM142*((BG142/AE142)*8*$HE142)*V142),0)))</f>
        <v> </v>
      </c>
      <c r="BS142" s="330" t="str">
        <f aca="false">IF($A142="N/A"," ",(IF(AX142&gt;0,($BM142*(8*($HE142))*W142),0)+IF(BH142&gt;0,($BM142*((BH142))*W142),0)))</f>
        <v> </v>
      </c>
      <c r="BT142" s="330" t="str">
        <f aca="false">IF($A142="N/A"," ",(IF(AY142&gt;0,($BM142*(8*($HF142))*X142),0)+IF(BI142&gt;0,($BM142*((BI142/AG142)*8*$HF142)*X142),0)))</f>
        <v> </v>
      </c>
      <c r="BU142" s="330" t="str">
        <f aca="false">IF($A142="N/A"," ",(IF(AZ142&gt;0,($BM142*(8*($HF142))*Y142),0)+IF(BJ142&gt;0,($BM142*((BJ142/AH142)*8*$HF142)*Y142),0)))</f>
        <v> </v>
      </c>
      <c r="BV142" s="330" t="str">
        <f aca="false">IF($A142="N/A"," ",(IF(BA142&gt;0,($BM142*(8*($HF142))*Z142),0)+IF(BK142&gt;0,($BM142*((BK142))*Z142),0)))</f>
        <v> </v>
      </c>
      <c r="BW142" s="330" t="str">
        <f aca="false">IF($A142="N/A"," ",SUM(BN142:BV142))</f>
        <v> </v>
      </c>
      <c r="BX142" s="331" t="str">
        <f aca="false">IF($A142="N/A"," ",(H142*(SUM(AS142:BA142)+SUM(BC142:BK142))*BM142))</f>
        <v> </v>
      </c>
      <c r="BY142" s="332" t="str">
        <f aca="false">IF($A142="N/A"," ",((C142*D142)*(SUM($AS142:$BA142)+SUM($BC142:$BK142))*$BM142))</f>
        <v> </v>
      </c>
      <c r="BZ142" s="332" t="str">
        <f aca="false">IF($A142="N/A"," ",(F142*(SUM($AS142:$BA142)+SUM($BC142:$BK142))*$BM142))</f>
        <v> </v>
      </c>
      <c r="CA142" s="333" t="str">
        <f aca="false">IF($A142="N/A"," ",(G142*(SUM($AS142:$BA142)+SUM($BC142:$BK142))*$BM142))</f>
        <v> </v>
      </c>
      <c r="CB142" s="334" t="str">
        <f aca="false">IF(A142="N/A"," ",(VLOOKUP(A142,PowerVolTable,(IF(BMO=2,7,IF(BMO=1,6,8))),FALSE())))</f>
        <v> </v>
      </c>
      <c r="CC142" s="334" t="str">
        <f aca="false">IF(A142="N/A"," ",(VLOOKUP(A142,IntraPowerVol,(IF(BMO=2,3,IF(BMO=1,2,4))),FALSE())*VLOOKUP(MONTH($A142),Volscale,2)))</f>
        <v> </v>
      </c>
      <c r="CD142" s="335" t="str">
        <f aca="false">IF($A142="N/A"," ",(IF(DateToday&gt;$A142,$CC142,((($CB142^2)*((($A142-1)-DateToday)/((EOMONTH($A142,0)+1)-DateToday-15)))+((($CC142)^2)*((15)/((EOMONTH($A142,0)+1)-DateToday-15))))^0.5)))</f>
        <v> </v>
      </c>
      <c r="CE142" s="334" t="str">
        <f aca="false">IF($A142="N/A"," ",(VLOOKUP($A142,GasVolTable,(IF(BMO=2,6,IF(BMO=1,7,5))),FALSE())))</f>
        <v> </v>
      </c>
      <c r="CF142" s="334" t="str">
        <f aca="false">IF($A142="N/A"," ",(VLOOKUP($A142,OmicronVol,(IF(BMO=2,3,IF(BMO=1,4,2))),FALSE())))</f>
        <v> </v>
      </c>
      <c r="CG142" s="335" t="str">
        <f aca="false">IF($A142="N/A"," ",(IF(DateToday&gt;$A142,$CF142,((($CE142^2)*((($A142-1)-DateToday)/((EOMONTH($A142,0)+1)-DateToday-15)))+((($CF142)^2)*((15)/((EOMONTH($A142,0)+1)-DateToday-15))))^0.5)))</f>
        <v> </v>
      </c>
      <c r="CH142" s="334" t="str">
        <f aca="false">IF($A142="N/A"," ",VLOOKUP($A142,CorrelationTable,2,FALSE()))</f>
        <v> </v>
      </c>
      <c r="CI142" s="336" t="str">
        <f aca="false">IF($A142="N/A"," ",F142+G142+(D142*('Pricing Inputs'!T175)))</f>
        <v> </v>
      </c>
      <c r="CJ142" s="334" t="str">
        <f aca="false">IF($A142="N/A"," ",IF(PV=1,0,'Pricing Inputs'!U175))</f>
        <v> </v>
      </c>
      <c r="CK142" s="337" t="str">
        <f aca="false">IF($A142="N/A"," ",(1+CJ142/2)^(-2*((EOMONTH(A142,0)+20)-DateToday)/365.25))</f>
        <v> </v>
      </c>
      <c r="CL142" s="338" t="str">
        <f aca="false">IF(A142="N/A"," ",IF(CC=2,(VLOOKUP(MONTH($A142),Hrtable,3))/1000,0))</f>
        <v> </v>
      </c>
      <c r="CM142" s="339" t="str">
        <f aca="false">IF(A142="N/A"," ",IF(CC=2,(CL142*C142)+F142,0))</f>
        <v> </v>
      </c>
      <c r="CN142" s="340" t="str">
        <f aca="false">IF($A142="N/A"," ",IF(CC=2,(VLOOKUP(A142,ScaledPrice,(IF(AND(Dayrun&gt;=1,Dayrun&lt;=6),2,4)))-((IF(R142&lt;&gt;0,$D142,$CL142)*$C142)+$F142+$G142)),0))</f>
        <v> </v>
      </c>
      <c r="CO142" s="340" t="str">
        <f aca="false">IF($A142="N/A"," ",IF(CC=2,(IF(AND(Dayrun&gt;=1,Dayrun&lt;=6),I142,(VLOOKUP(A142,ScaledPrice,2))*(2-(VLOOKUP(A142,ScaledPrice,3))))-((IF(S142&lt;&gt;0,$D142,$CL142)*$C142)+$F142+$G142)),0))</f>
        <v> </v>
      </c>
      <c r="CP142" s="340" t="str">
        <f aca="false">IF(A142="N/A"," ",IF(CC=2,(VLOOKUP(A142,ScaledPrice,9)-((IF(T142&lt;&gt;0,$D142,$CL142)*$C142)+$F142+$G142)),0))</f>
        <v> </v>
      </c>
      <c r="CQ142" s="340" t="str">
        <f aca="false">IF(A142="N/A"," ",IF(CC=2,(IF(OR(Dayrun=2,Dayrun=3,Dayrun=5,Dayrun=6,Dayrun=8,Dayrun=9),VLOOKUP(A142,ScaledPrice,IF(AND(Dayrun&gt;=2,Dayrun&lt;=6),5,6)),0)-((IF(U142&lt;&gt;0,$D142,$CL142)*$C142)+$F142+$G142)),0))</f>
        <v> </v>
      </c>
      <c r="CR142" s="340" t="str">
        <f aca="false">IF(A142="N/A"," ",IF(CC=2,(IF(OR(Dayrun=2,Dayrun=3,Dayrun=5,Dayrun=6,Dayrun=8,Dayrun=9),IF(AND(Dayrun&gt;=2,Dayrun&lt;=6),L142,(VLOOKUP(A142,ScaledPrice,5))*(2-(VLOOKUP(A142,ScaledPrice,3)))),0)-((IF(V142&lt;&gt;0,$D142,$CL142)*$C142)+$F142+$G142)),0))</f>
        <v> </v>
      </c>
      <c r="CS142" s="340" t="str">
        <f aca="false">IF(A142="N/A"," ",IF(CC=2,(VLOOKUP(A142,ScaledPrice,9)-((IF(W142&lt;&gt;0,$D142,$CL142)*$C142)+$F142+$G142)),0))</f>
        <v> </v>
      </c>
      <c r="CT142" s="340" t="str">
        <f aca="false">IF(A142="N/A"," ",IF(CC=2,(IF(OR(Dayrun=3,Dayrun=6,Dayrun=9),(VLOOKUP(A142,ScaledPrice,IF(AND(Dayrun&gt;=3,Dayrun&lt;=6),7,8))),0)-((IF(X142&lt;&gt;0,$D142,$CL142)*$C142)+$F142+$G142)),0))</f>
        <v> </v>
      </c>
      <c r="CU142" s="340" t="str">
        <f aca="false">IF(A142="N/A"," ",IF(CC=2,(IF(OR(Dayrun=3,Dayrun=6,Dayrun=9),IF(AND(Dayrun&gt;=3,Dayrun&lt;=6),O142,(VLOOKUP(A142,ScaledPrice,7))*(2-(VLOOKUP(A142,ScaledPrice,3)))),0)-((IF(Y142&lt;&gt;0,$D142,$CL142)*$C142)+$F142+$G142)),0))</f>
        <v> </v>
      </c>
      <c r="CV142" s="340" t="str">
        <f aca="false">IF(A142="N/A"," ",IF(CC=2,(VLOOKUP(A142,ScaledPrice,9)-((IF(Z142&lt;&gt;0,$D142,$CL142)*$C142)+$F142+$G142)),0))</f>
        <v> </v>
      </c>
      <c r="CW142" s="318" t="str">
        <f aca="false">IF($A142="N/A"," ",IF(0&lt;&gt;CN142,IF(CC=2,8*$HD142,0),0))</f>
        <v> </v>
      </c>
      <c r="CX142" s="318" t="str">
        <f aca="false">IF($A142="N/A"," ",IF(0&lt;&gt;CO142,IF(CC=2,8*$HD142,0),0))</f>
        <v> </v>
      </c>
      <c r="CY142" s="318" t="str">
        <f aca="false">IF($A142="N/A"," ",IF(0&lt;&gt;CP142,IF(CC=2,8*$HD142,0),0))</f>
        <v> </v>
      </c>
      <c r="CZ142" s="318" t="str">
        <f aca="false">IF($A142="N/A"," ",IF(0&lt;&gt;CQ142,IF(CC=2,8*$HE142,0),0))</f>
        <v> </v>
      </c>
      <c r="DA142" s="318" t="str">
        <f aca="false">IF($A142="N/A"," ",IF(0&lt;&gt;CR142,IF(CC=2,8*$HE142,0),0))</f>
        <v> </v>
      </c>
      <c r="DB142" s="318" t="str">
        <f aca="false">IF($A142="N/A"," ",IF(0&lt;&gt;CS142,IF(CC=2,8*$HE142,0),0))</f>
        <v> </v>
      </c>
      <c r="DC142" s="318" t="str">
        <f aca="false">IF($A142="N/A"," ",IF(0&lt;&gt;CT142,IF(CC=2,8*$HF142,0),0))</f>
        <v> </v>
      </c>
      <c r="DD142" s="318" t="str">
        <f aca="false">IF($A142="N/A"," ",IF(0&lt;&gt;CU142,IF(CC=2,8*$HF142,0),0))</f>
        <v> </v>
      </c>
      <c r="DE142" s="318" t="str">
        <f aca="false">IF($A142="N/A"," ",IF(0&lt;&gt;CV142,IF(CC=2,8*$HF142,0),0))</f>
        <v> </v>
      </c>
      <c r="DF142" s="341" t="str">
        <f aca="false">IF($A142="N/A"," ",IF(CC=2,(IF(MONTH(A142)&gt;=4,IF(MONTH(A142)&lt;=10,Inputs!$G$13,Inputs!$G$14),Inputs!$G$14))*$CK142,0))</f>
        <v> </v>
      </c>
      <c r="DG142" s="342" t="str">
        <f aca="false">IF($A142="N/A"," ",IF(CC=2,$DF142*CW142*CN142,0))</f>
        <v> </v>
      </c>
      <c r="DH142" s="342" t="str">
        <f aca="false">IF($A142="N/A"," ",IF(CC=2,$DF142*CX142*CO142,0))</f>
        <v> </v>
      </c>
      <c r="DI142" s="342" t="str">
        <f aca="false">IF($A142="N/A"," ",IF(CC=2,$DF142*CY142*CP142,0))</f>
        <v> </v>
      </c>
      <c r="DJ142" s="342" t="str">
        <f aca="false">IF($A142="N/A"," ",IF(CC=2,$DF142*CZ142*CQ142,0))</f>
        <v> </v>
      </c>
      <c r="DK142" s="342" t="str">
        <f aca="false">IF($A142="N/A"," ",IF(CC=2,$DF142*DA142*CR142,0))</f>
        <v> </v>
      </c>
      <c r="DL142" s="342" t="str">
        <f aca="false">IF($A142="N/A"," ",IF(CC=2,$DF142*DB142*CS142,0))</f>
        <v> </v>
      </c>
      <c r="DM142" s="342" t="str">
        <f aca="false">IF($A142="N/A"," ",IF(CC=2,$DF142*DC142*CT142,0))</f>
        <v> </v>
      </c>
      <c r="DN142" s="342" t="str">
        <f aca="false">IF($A142="N/A"," ",IF(CC=2,$DF142*DD142*CU142,0))</f>
        <v> </v>
      </c>
      <c r="DO142" s="342" t="str">
        <f aca="false">IF($A142="N/A"," ",IF(CC=2,$DF142*DE142*CV142,0))</f>
        <v> </v>
      </c>
      <c r="DP142" s="343" t="str">
        <f aca="false">IF($A142="N/A"," ",IF(CC=2,SUM(DG142:DO142),0))</f>
        <v> </v>
      </c>
      <c r="DQ142" s="0" t="str">
        <f aca="false">IF(A142="N/A"," ",Perstart)</f>
        <v> </v>
      </c>
      <c r="HD142" s="0" t="str">
        <f aca="false">IF($A142="N/A"," ",VLOOKUP($A142,NumberofDaysTable,2))</f>
        <v> </v>
      </c>
      <c r="HE142" s="0" t="str">
        <f aca="false">IF($A142="N/A"," ",VLOOKUP($A142,NumberofDaysTable,3))</f>
        <v> </v>
      </c>
      <c r="HF142" s="0" t="str">
        <f aca="false">IF($A142="N/A"," ",VLOOKUP($A142,NumberofDaysTable,4))</f>
        <v> </v>
      </c>
    </row>
    <row r="143" customFormat="false" ht="12.75" hidden="false" customHeight="false" outlineLevel="0" collapsed="false">
      <c r="A143" s="308" t="str">
        <f aca="false">IF(A142="N/A","N/A",IF(EDATE(A142,1)&gt;Inputs!$K$3,"N/A",EDATE(A142,1)))</f>
        <v>N/A</v>
      </c>
      <c r="B143" s="309" t="str">
        <f aca="false">IF(A143="N/A"," ",YEAR(A143))</f>
        <v> </v>
      </c>
      <c r="C143" s="310" t="str">
        <f aca="false">IF(A143="N/A"," ",VLOOKUP(A143,ScaledPrice,10))</f>
        <v> </v>
      </c>
      <c r="D143" s="311" t="str">
        <f aca="false">IF(A143="N/A"," ",(VLOOKUP(MONTH($A143),Hrtable,2))/1000)</f>
        <v> </v>
      </c>
      <c r="E143" s="312" t="str">
        <f aca="false">IF($A143="N/A"," ",(C143-'Pricing Inputs'!T176)*D143)</f>
        <v> </v>
      </c>
      <c r="F143" s="313" t="str">
        <f aca="false">IF(A143="N/A"," ",$F131*(1+VOMesc))</f>
        <v> </v>
      </c>
      <c r="G143" s="313" t="str">
        <f aca="false">IF(A143="N/A"," ",Perstart/IF(AND(Dayrun&gt;=4,Dayrun&lt;=6),16,IF(AND(Dayrun&gt;=7,Dayrun&lt;=9),8,24))/(BM143/CK143))</f>
        <v> </v>
      </c>
      <c r="H143" s="314" t="str">
        <f aca="false">IF(A143="N/A"," ",(C143*D143)+F143+G143)</f>
        <v> </v>
      </c>
      <c r="I143" s="315" t="str">
        <f aca="false">VLOOKUP(A143,ScaledPrice,(IF(AND(Dayrun&gt;=1,Dayrun&lt;=6),2,4)))</f>
        <v> </v>
      </c>
      <c r="J143" s="315" t="str">
        <f aca="false">IF(A143="N/A"," ",IF(AND(Dayrun&gt;=1,Dayrun&lt;=6),I143,(VLOOKUP(A143,ScaledPrice,2))*(2-(VLOOKUP(A143,ScaledPrice,3)))))</f>
        <v> </v>
      </c>
      <c r="K143" s="315" t="str">
        <f aca="false">IF(A143="N/A"," ",IF(AND(Dayrun&gt;=1,Dayrun&lt;=3),VLOOKUP(A143,ScaledPrice,9),0))</f>
        <v> </v>
      </c>
      <c r="L143" s="315" t="str">
        <f aca="false">IF(A143="N/A"," ",IF(OR(Dayrun=2,Dayrun=3,Dayrun=5,Dayrun=6,Dayrun=8,Dayrun=9),VLOOKUP(A143,ScaledPrice,IF(AND(Dayrun&gt;=2,Dayrun&lt;=6),5,6)),0))</f>
        <v> </v>
      </c>
      <c r="M143" s="315" t="str">
        <f aca="false">IF(A143="N/A"," ",IF(OR(Dayrun=2,Dayrun=3,Dayrun=5,Dayrun=6,Dayrun=8,Dayrun=9),IF(AND(Dayrun&gt;=2,Dayrun&lt;=6),L143,(VLOOKUP(A143,ScaledPrice,5))*(2-(VLOOKUP(A143,ScaledPrice,3)))),0))</f>
        <v> </v>
      </c>
      <c r="N143" s="315" t="str">
        <f aca="false">IF(A143="N/A"," ",IF(AND(Dayrun&gt;1,Dayrun&lt;=3),VLOOKUP(A143,ScaledPrice,9),0))</f>
        <v> </v>
      </c>
      <c r="O143" s="315" t="str">
        <f aca="false">IF(A143="N/A"," ",IF(OR(Dayrun=3,Dayrun=6,Dayrun=9),(VLOOKUP(A143,ScaledPrice,IF(AND(Dayrun&gt;=3,Dayrun&lt;=6),7,8))),0))</f>
        <v> </v>
      </c>
      <c r="P143" s="315" t="str">
        <f aca="false">IF(A143="N/A"," ",IF(OR(Dayrun=3,Dayrun=6,Dayrun=9),IF(AND(Dayrun&gt;=3,Dayrun&lt;=6),O143,(VLOOKUP(A143,ScaledPrice,7))*(2-(VLOOKUP(A143,ScaledPrice,3)))),0))</f>
        <v> </v>
      </c>
      <c r="Q143" s="315" t="str">
        <f aca="false">IF(A143="N/A"," ",IF(AND(Dayrun&gt;2,Dayrun&lt;=3),VLOOKUP(A143,ScaledPrice,9),0))</f>
        <v> </v>
      </c>
      <c r="R143" s="316" t="str">
        <f aca="false">IF($A143="N/A"," ",IF(Pricetype=2,MAX(I143-$H143,0),IF(Pricetype=1,(xSPRDOPT(I143,$E143,$CI143,0,($CD143+IF(Smile=TRUE(),VLOOKUP(MAX(-5,$H143-I143),Volsmile,2),0)),$CG143,$CH143,($A143-DateToday)+15,1,0)),I143-$H143)))</f>
        <v> </v>
      </c>
      <c r="S143" s="316" t="str">
        <f aca="false">IF($A143="N/A"," ",IF(Pricetype=2,MAX(J143-$H143,0),IF(Pricetype=1,(xSPRDOPT(J143,$E143,$CI143,0,($CD143+IF(Smile=TRUE(),VLOOKUP(MAX(-5,$H143-J143),Volsmile,2),0)),$CG143,$CH143,($A143-DateToday)+15,1,0)),J143-$H143)))</f>
        <v> </v>
      </c>
      <c r="T143" s="317" t="str">
        <f aca="false">IF($A143="N/A"," ",(IF(Pricetype=2,IF((K143-$H143)&lt;=0,0,(K143-$H143)),IF(K143&lt;&gt;0,(K143-$H143),0))))</f>
        <v> </v>
      </c>
      <c r="U143" s="316" t="str">
        <f aca="false">IF($A143="N/A"," ",IF(Pricetype=2,MAX(L143-$H143,0),IF(L143&lt;&gt;0,IF(Pricetype=1,(xSPRDOPT(L143,$E143,$CI143,0,($CD143+IF(Smile=TRUE(),VLOOKUP(MAX(-5,$H143-L143),Volsmile,2),0)),$CG143,$CH143,($A143-DateToday)+15,1,0)),L143-$H143),0)))</f>
        <v> </v>
      </c>
      <c r="V143" s="316" t="str">
        <f aca="false">IF($A143="N/A"," ",IF(Pricetype=2,MAX(M143-$H143,0),IF(M143&lt;&gt;0,IF(Pricetype=1,(xSPRDOPT(M143,$E143,$CI143,0,($CD143+IF(Smile=TRUE(),VLOOKUP(MAX(-5,$H143-M143),Volsmile,2),0)),$CG143,$CH143,($A143-DateToday)+15,1,0)),M143-$H143),0)))</f>
        <v> </v>
      </c>
      <c r="W143" s="317" t="str">
        <f aca="false">IF($A143="N/A"," ",(IF(Pricetype=2,IF((N143-$H143)&lt;=0,0,(N143-$H143)),IF(N143&lt;&gt;0,(N143-$H143),0))))</f>
        <v> </v>
      </c>
      <c r="X143" s="316" t="str">
        <f aca="false">IF($A143="N/A"," ",IF(Pricetype=2,MAX(O143-$H143,0),IF(O143&lt;&gt;0,IF(Pricetype=1,(xSPRDOPT(O143,$E143,$CI143,0,($CD143+IF(Smile=TRUE(),VLOOKUP(MAX(-5,$H143-O143),Volsmile,2),0)),$CG143,$CH143,($A143-DateToday)+15,1,0)),O143-$H143),0)))</f>
        <v> </v>
      </c>
      <c r="Y143" s="316" t="str">
        <f aca="false">IF($A143="N/A"," ",IF(Pricetype=2,MAX(P143-$H143,0),IF(P143&lt;&gt;0,IF(Pricetype=1,(xSPRDOPT(P143,$E143,$CI143,0,($CD143+IF(Smile=TRUE(),VLOOKUP(MAX(-5,$H143-P143),Volsmile,2),0)),$CG143,$CH143,($A143-DateToday)+15,1,0)),P143-$H143),0)))</f>
        <v> </v>
      </c>
      <c r="Z143" s="317" t="str">
        <f aca="false">IF($A143="N/A"," ",(IF(Pricetype=2,IF((Q143-$H143)&lt;=0,0,(Q143-$H143)),IF(Q143&lt;&gt;0,(Q143-$H143),0))))</f>
        <v> </v>
      </c>
      <c r="AA143" s="318" t="str">
        <f aca="false">IF($A143="N/A"," ",IF(VLOOKUP(MONTH(A143),ManualTable,2)=1,(IF(0&lt;&gt;R143,IF(Pricetype=1,(xSPRDOPT(I143,$E143,$CI143,0,($CD143+IF(Smile=TRUE(),VLOOKUP(MAX(-5,$H143-I143),Volsmile,2),0)),$CG143,$CH143,($A143-DateToday)+15,1,1))*(8*$HD143),8*$HD143),0)),0))</f>
        <v> </v>
      </c>
      <c r="AB143" s="318" t="str">
        <f aca="false">IF($A143="N/A"," ",IF(VLOOKUP(MONTH(A143),ManualTable,3)=1,(IF(S143&lt;&gt;0,IF(Pricetype=1,(xSPRDOPT(J143,$E143,$CI143,0,($CD143+IF(Smile=TRUE(),VLOOKUP(MAX(-5,$H143-J143),Volsmile,2),0)),$CG143,$CH143,($A143-DateToday)+15,1,1))*(8*$HD143),8*$HD143),0)),0))</f>
        <v> </v>
      </c>
      <c r="AC143" s="318" t="str">
        <f aca="false">IF($A143="N/A"," ",IF(VLOOKUP(MONTH(A143),ManualTable,4)=1,(IF(T143&lt;&gt;0,(8*$HD143),0)),0))</f>
        <v> </v>
      </c>
      <c r="AD143" s="318" t="str">
        <f aca="false">IF($A143="N/A"," ",IF(VLOOKUP(MONTH(A143),ManualTable,5)=1,(IF(U143&lt;&gt;0,IF(Pricetype=1,(xSPRDOPT(L143,$E143,$CI143,0,($CD143+IF(Smile=TRUE(),VLOOKUP(MAX(-5,$H143-L143),Volsmile,2),0)),$CG143,$CH143,($A143-DateToday)+15,1,1))*(8*$HE143),8*$HE143),0)),0))</f>
        <v> </v>
      </c>
      <c r="AE143" s="318" t="str">
        <f aca="false">IF($A143="N/A"," ",IF(VLOOKUP(MONTH(A143),ManualTable,6)=1,(IF(V143&lt;&gt;0,IF(Pricetype=1,(xSPRDOPT(M143,$E143,$CI143,0,($CD143+IF(Smile=TRUE(),VLOOKUP(MAX(-5,$H143-M143),Volsmile,2),0)),$CG143,$CH143,($A143-DateToday)+15,1,1))*(8*$HE143),8*$HE143),0)),0))</f>
        <v> </v>
      </c>
      <c r="AF143" s="318" t="str">
        <f aca="false">IF($A143="N/A"," ",IF(VLOOKUP(MONTH(A143),ManualTable,7)=1,(IF(W143&lt;&gt;0,(8*$HE143),0)),0))</f>
        <v> </v>
      </c>
      <c r="AG143" s="318" t="str">
        <f aca="false">IF($A143="N/A"," ",IF(VLOOKUP(MONTH(A143),ManualTable,8)=1,(IF(X143&lt;&gt;0,IF(Pricetype=1,(xSPRDOPT(O143,$E143,$CI143,0,($CD143+IF(Smile=TRUE(),VLOOKUP(MAX(-5,$H143-O143),Volsmile,2),0)),$CG143,$CH143,($A143-DateToday)+15,1,1))*(8*$HF143),8*$HF143),0)),0))</f>
        <v> </v>
      </c>
      <c r="AH143" s="318" t="str">
        <f aca="false">IF($A143="N/A"," ",IF(VLOOKUP(MONTH(A143),ManualTable,9)=1,(IF(Y143&lt;&gt;0,IF(Pricetype=1,(xSPRDOPT(P143,$E143,$CI143,0,($CD143+IF(Smile=TRUE(),VLOOKUP(MAX(-5,$H143-P143),Volsmile,2),0)),$CG143,$CH143,($A143-DateToday)+15,1,1))*(8*$HF143),8*$HF143),0)),0))</f>
        <v> </v>
      </c>
      <c r="AI143" s="318" t="str">
        <f aca="false">IF($A143="N/A"," ",IF(VLOOKUP(MONTH(A143),ManualTable,10)=1,(IF(Z143&lt;&gt;0,(8*($HF143)),0)),0))</f>
        <v> </v>
      </c>
      <c r="AJ143" s="344" t="str">
        <f aca="false">IF($A143="N/A"," ",RANK(R143,$R$136:$Z$147))</f>
        <v> </v>
      </c>
      <c r="AK143" s="321" t="str">
        <f aca="false">IF($A143="N/A"," ",RANK(S143,$R$136:$Z$147))</f>
        <v> </v>
      </c>
      <c r="AL143" s="321" t="str">
        <f aca="false">IF($A143="N/A"," ",RANK(T143,$R$136:$Z$147))</f>
        <v> </v>
      </c>
      <c r="AM143" s="321" t="str">
        <f aca="false">IF($A143="N/A"," ",RANK(U143,$R$136:$Z$147))</f>
        <v> </v>
      </c>
      <c r="AN143" s="321" t="str">
        <f aca="false">IF($A143="N/A"," ",RANK(V143,$R$136:$Z$147))</f>
        <v> </v>
      </c>
      <c r="AO143" s="321" t="str">
        <f aca="false">IF($A143="N/A"," ",RANK(W143,$R$136:$Z$147))</f>
        <v> </v>
      </c>
      <c r="AP143" s="321" t="str">
        <f aca="false">IF($A143="N/A"," ",RANK(X143,$R$136:$Z$147))</f>
        <v> </v>
      </c>
      <c r="AQ143" s="321" t="str">
        <f aca="false">IF($A143="N/A"," ",RANK(Y143,$R$136:$Z$147))</f>
        <v> </v>
      </c>
      <c r="AR143" s="345" t="str">
        <f aca="false">IF($A143="N/A"," ",RANK(Z143,$R$136:$Z$147))</f>
        <v> </v>
      </c>
      <c r="AS143" s="323" t="str">
        <f aca="false">IF($A143="N/A"," ",IF(AJ143&lt;=$AR$2,AA143,0))</f>
        <v> </v>
      </c>
      <c r="AT143" s="325" t="str">
        <f aca="false">IF($A143="N/A"," ",IF(AK143&lt;=$AR$2,AB143,0))</f>
        <v> </v>
      </c>
      <c r="AU143" s="325" t="str">
        <f aca="false">IF($A143="N/A"," ",IF(AL143&lt;=$AR$2,AC143,0))</f>
        <v> </v>
      </c>
      <c r="AV143" s="325" t="str">
        <f aca="false">IF($A143="N/A"," ",IF(AM143&lt;=$AR$2,AD143,0))</f>
        <v> </v>
      </c>
      <c r="AW143" s="325" t="str">
        <f aca="false">IF($A143="N/A"," ",IF(AN143&lt;=$AR$2,AE143,0))</f>
        <v> </v>
      </c>
      <c r="AX143" s="325" t="str">
        <f aca="false">IF($A143="N/A"," ",IF(AO143&lt;=$AR$2,AF143,0))</f>
        <v> </v>
      </c>
      <c r="AY143" s="325" t="str">
        <f aca="false">IF($A143="N/A"," ",IF(AP143&lt;=$AR$2,AG143,0))</f>
        <v> </v>
      </c>
      <c r="AZ143" s="325" t="str">
        <f aca="false">IF($A143="N/A"," ",IF(AQ143&lt;=$AR$2,AH143,0))</f>
        <v> </v>
      </c>
      <c r="BA143" s="325" t="str">
        <f aca="false">IF($A143="N/A"," ",IF(AR143&lt;=$AR$2,AI143,0))</f>
        <v> </v>
      </c>
      <c r="BB143" s="345"/>
      <c r="BC143" s="326" t="str">
        <f aca="false">IF($A143="N/A"," ",IF(AND(AJ143=$AR$2+1,AS143=0),MIN($BB$147,AA143),0))</f>
        <v> </v>
      </c>
      <c r="BD143" s="346" t="str">
        <f aca="false">IF($A143="N/A"," ",IF(AND(AK143=$AR$2+1,AT143=0),MIN($BB$147,AB143),0))</f>
        <v> </v>
      </c>
      <c r="BE143" s="346" t="str">
        <f aca="false">IF($A143="N/A"," ",IF(AND(AL143=$AR$2+1,AU143=0),MIN($BB$147,AC143),0))</f>
        <v> </v>
      </c>
      <c r="BF143" s="346" t="str">
        <f aca="false">IF($A143="N/A"," ",IF(AND(AM143=$AR$2+1,AV143=0),MIN($BB$147,AD143),0))</f>
        <v> </v>
      </c>
      <c r="BG143" s="346" t="str">
        <f aca="false">IF($A143="N/A"," ",IF(AND(AN143=$AR$2+1,AW143=0),MIN($BB$147,AE143),0))</f>
        <v> </v>
      </c>
      <c r="BH143" s="346" t="str">
        <f aca="false">IF($A143="N/A"," ",IF(AND(AO143=$AR$2+1,AX143=0),MIN($BB$147,AF143),0))</f>
        <v> </v>
      </c>
      <c r="BI143" s="346" t="str">
        <f aca="false">IF($A143="N/A"," ",IF(AND(AP143=$AR$2+1,AY143=0),MIN($BB$147,AG143),0))</f>
        <v> </v>
      </c>
      <c r="BJ143" s="346" t="str">
        <f aca="false">IF($A143="N/A"," ",IF(AND(AQ143=$AR$2+1,AZ143=0),MIN($BB$147,AH143),0))</f>
        <v> </v>
      </c>
      <c r="BK143" s="346" t="str">
        <f aca="false">IF($A143="N/A"," ",IF(AND(AR143=$AR$2+1,BA143=0),MIN($BB$147,AI143),0))</f>
        <v> </v>
      </c>
      <c r="BL143" s="345"/>
      <c r="BM143" s="329" t="str">
        <f aca="false">IF($A143="N/A"," ",(IF(MONTH(A143)&gt;=4,IF(MONTH(A143)&lt;=10,Inputs!$F$13-Inputs!$G$13,Inputs!$F$14-Inputs!$G$14),Inputs!$F$14-Inputs!$G$14))*$CK143*Availability)</f>
        <v> </v>
      </c>
      <c r="BN143" s="330" t="str">
        <f aca="false">IF($A143="N/A"," ",(IF(AS143&gt;0,($BM143*(8*($HD143))*R143),0)+IF(BC143&gt;0,($BM143*((BC143/AA143)*8*$HD143)*R143),0)))</f>
        <v> </v>
      </c>
      <c r="BO143" s="330" t="str">
        <f aca="false">IF($A143="N/A"," ",(IF(AT143&gt;0,($BM143*(8*($HD143))*S143),0)+IF(BD143&gt;0,($BM143*((BD143/AB143)*8*$HD143)*S143),0)))</f>
        <v> </v>
      </c>
      <c r="BP143" s="330" t="str">
        <f aca="false">IF($A143="N/A"," ",(IF(AU143&gt;0,($BM143*(8*($HD143))*T143),0)+IF(BE143&gt;0,($BM143*((BE143))*T143),0)))</f>
        <v> </v>
      </c>
      <c r="BQ143" s="330" t="str">
        <f aca="false">IF($A143="N/A"," ",(IF(AV143&gt;0,($BM143*(8*($HE143))*U143),0)+IF(BF143&gt;0,($BM143*((BF143/AD143)*8*$HE143)*U143),0)))</f>
        <v> </v>
      </c>
      <c r="BR143" s="330" t="str">
        <f aca="false">IF($A143="N/A"," ",(IF(AW143&gt;0,($BM143*(8*($HE143))*V143),0)+IF(BG143&gt;0,($BM143*((BG143/AE143)*8*$HE143)*V143),0)))</f>
        <v> </v>
      </c>
      <c r="BS143" s="330" t="str">
        <f aca="false">IF($A143="N/A"," ",(IF(AX143&gt;0,($BM143*(8*($HE143))*W143),0)+IF(BH143&gt;0,($BM143*((BH143))*W143),0)))</f>
        <v> </v>
      </c>
      <c r="BT143" s="330" t="str">
        <f aca="false">IF($A143="N/A"," ",(IF(AY143&gt;0,($BM143*(8*($HF143))*X143),0)+IF(BI143&gt;0,($BM143*((BI143/AG143)*8*$HF143)*X143),0)))</f>
        <v> </v>
      </c>
      <c r="BU143" s="330" t="str">
        <f aca="false">IF($A143="N/A"," ",(IF(AZ143&gt;0,($BM143*(8*($HF143))*Y143),0)+IF(BJ143&gt;0,($BM143*((BJ143/AH143)*8*$HF143)*Y143),0)))</f>
        <v> </v>
      </c>
      <c r="BV143" s="330" t="str">
        <f aca="false">IF($A143="N/A"," ",(IF(BA143&gt;0,($BM143*(8*($HF143))*Z143),0)+IF(BK143&gt;0,($BM143*((BK143))*Z143),0)))</f>
        <v> </v>
      </c>
      <c r="BW143" s="330" t="str">
        <f aca="false">IF($A143="N/A"," ",SUM(BN143:BV143))</f>
        <v> </v>
      </c>
      <c r="BX143" s="331" t="str">
        <f aca="false">IF($A143="N/A"," ",(H143*(SUM(AS143:BA143)+SUM(BC143:BK143))*BM143))</f>
        <v> </v>
      </c>
      <c r="BY143" s="332" t="str">
        <f aca="false">IF($A143="N/A"," ",((C143*D143)*(SUM($AS143:$BA143)+SUM($BC143:$BK143))*$BM143))</f>
        <v> </v>
      </c>
      <c r="BZ143" s="332" t="str">
        <f aca="false">IF($A143="N/A"," ",(F143*(SUM($AS143:$BA143)+SUM($BC143:$BK143))*$BM143))</f>
        <v> </v>
      </c>
      <c r="CA143" s="333" t="str">
        <f aca="false">IF($A143="N/A"," ",(G143*(SUM($AS143:$BA143)+SUM($BC143:$BK143))*$BM143))</f>
        <v> </v>
      </c>
      <c r="CB143" s="334" t="str">
        <f aca="false">IF(A143="N/A"," ",(VLOOKUP(A143,PowerVolTable,(IF(BMO=2,7,IF(BMO=1,6,8))),FALSE())))</f>
        <v> </v>
      </c>
      <c r="CC143" s="334" t="str">
        <f aca="false">IF(A143="N/A"," ",(VLOOKUP(A143,IntraPowerVol,(IF(BMO=2,3,IF(BMO=1,2,4))),FALSE())*VLOOKUP(MONTH($A143),Volscale,2)))</f>
        <v> </v>
      </c>
      <c r="CD143" s="335" t="str">
        <f aca="false">IF($A143="N/A"," ",(IF(DateToday&gt;$A143,$CC143,((($CB143^2)*((($A143-1)-DateToday)/((EOMONTH($A143,0)+1)-DateToday-15)))+((($CC143)^2)*((15)/((EOMONTH($A143,0)+1)-DateToday-15))))^0.5)))</f>
        <v> </v>
      </c>
      <c r="CE143" s="334" t="str">
        <f aca="false">IF($A143="N/A"," ",(VLOOKUP($A143,GasVolTable,(IF(BMO=2,6,IF(BMO=1,7,5))),FALSE())))</f>
        <v> </v>
      </c>
      <c r="CF143" s="334" t="str">
        <f aca="false">IF($A143="N/A"," ",(VLOOKUP($A143,OmicronVol,(IF(BMO=2,3,IF(BMO=1,4,2))),FALSE())))</f>
        <v> </v>
      </c>
      <c r="CG143" s="335" t="str">
        <f aca="false">IF($A143="N/A"," ",(IF(DateToday&gt;$A143,$CF143,((($CE143^2)*((($A143-1)-DateToday)/((EOMONTH($A143,0)+1)-DateToday-15)))+((($CF143)^2)*((15)/((EOMONTH($A143,0)+1)-DateToday-15))))^0.5)))</f>
        <v> </v>
      </c>
      <c r="CH143" s="334" t="str">
        <f aca="false">IF($A143="N/A"," ",VLOOKUP($A143,CorrelationTable,2,FALSE()))</f>
        <v> </v>
      </c>
      <c r="CI143" s="336" t="str">
        <f aca="false">IF($A143="N/A"," ",F143+G143+(D143*('Pricing Inputs'!T176)))</f>
        <v> </v>
      </c>
      <c r="CJ143" s="334" t="str">
        <f aca="false">IF($A143="N/A"," ",IF(PV=1,0,'Pricing Inputs'!U176))</f>
        <v> </v>
      </c>
      <c r="CK143" s="337" t="str">
        <f aca="false">IF($A143="N/A"," ",(1+CJ143/2)^(-2*((EOMONTH(A143,0)+20)-DateToday)/365.25))</f>
        <v> </v>
      </c>
      <c r="CL143" s="338" t="str">
        <f aca="false">IF(A143="N/A"," ",IF(CC=2,(VLOOKUP(MONTH($A143),Hrtable,3))/1000,0))</f>
        <v> </v>
      </c>
      <c r="CM143" s="339" t="str">
        <f aca="false">IF(A143="N/A"," ",IF(CC=2,(CL143*C143)+F143,0))</f>
        <v> </v>
      </c>
      <c r="CN143" s="340" t="str">
        <f aca="false">IF($A143="N/A"," ",IF(CC=2,(VLOOKUP(A143,ScaledPrice,(IF(AND(Dayrun&gt;=1,Dayrun&lt;=6),2,4)))-((IF(R143&lt;&gt;0,$D143,$CL143)*$C143)+$F143+$G143)),0))</f>
        <v> </v>
      </c>
      <c r="CO143" s="340" t="str">
        <f aca="false">IF($A143="N/A"," ",IF(CC=2,(IF(AND(Dayrun&gt;=1,Dayrun&lt;=6),I143,(VLOOKUP(A143,ScaledPrice,2))*(2-(VLOOKUP(A143,ScaledPrice,3))))-((IF(S143&lt;&gt;0,$D143,$CL143)*$C143)+$F143+$G143)),0))</f>
        <v> </v>
      </c>
      <c r="CP143" s="340" t="str">
        <f aca="false">IF(A143="N/A"," ",IF(CC=2,(VLOOKUP(A143,ScaledPrice,9)-((IF(T143&lt;&gt;0,$D143,$CL143)*$C143)+$F143+$G143)),0))</f>
        <v> </v>
      </c>
      <c r="CQ143" s="340" t="str">
        <f aca="false">IF(A143="N/A"," ",IF(CC=2,(IF(OR(Dayrun=2,Dayrun=3,Dayrun=5,Dayrun=6,Dayrun=8,Dayrun=9),VLOOKUP(A143,ScaledPrice,IF(AND(Dayrun&gt;=2,Dayrun&lt;=6),5,6)),0)-((IF(U143&lt;&gt;0,$D143,$CL143)*$C143)+$F143+$G143)),0))</f>
        <v> </v>
      </c>
      <c r="CR143" s="340" t="str">
        <f aca="false">IF(A143="N/A"," ",IF(CC=2,(IF(OR(Dayrun=2,Dayrun=3,Dayrun=5,Dayrun=6,Dayrun=8,Dayrun=9),IF(AND(Dayrun&gt;=2,Dayrun&lt;=6),L143,(VLOOKUP(A143,ScaledPrice,5))*(2-(VLOOKUP(A143,ScaledPrice,3)))),0)-((IF(V143&lt;&gt;0,$D143,$CL143)*$C143)+$F143+$G143)),0))</f>
        <v> </v>
      </c>
      <c r="CS143" s="340" t="str">
        <f aca="false">IF(A143="N/A"," ",IF(CC=2,(VLOOKUP(A143,ScaledPrice,9)-((IF(W143&lt;&gt;0,$D143,$CL143)*$C143)+$F143+$G143)),0))</f>
        <v> </v>
      </c>
      <c r="CT143" s="340" t="str">
        <f aca="false">IF(A143="N/A"," ",IF(CC=2,(IF(OR(Dayrun=3,Dayrun=6,Dayrun=9),(VLOOKUP(A143,ScaledPrice,IF(AND(Dayrun&gt;=3,Dayrun&lt;=6),7,8))),0)-((IF(X143&lt;&gt;0,$D143,$CL143)*$C143)+$F143+$G143)),0))</f>
        <v> </v>
      </c>
      <c r="CU143" s="340" t="str">
        <f aca="false">IF(A143="N/A"," ",IF(CC=2,(IF(OR(Dayrun=3,Dayrun=6,Dayrun=9),IF(AND(Dayrun&gt;=3,Dayrun&lt;=6),O143,(VLOOKUP(A143,ScaledPrice,7))*(2-(VLOOKUP(A143,ScaledPrice,3)))),0)-((IF(Y143&lt;&gt;0,$D143,$CL143)*$C143)+$F143+$G143)),0))</f>
        <v> </v>
      </c>
      <c r="CV143" s="340" t="str">
        <f aca="false">IF(A143="N/A"," ",IF(CC=2,(VLOOKUP(A143,ScaledPrice,9)-((IF(Z143&lt;&gt;0,$D143,$CL143)*$C143)+$F143+$G143)),0))</f>
        <v> </v>
      </c>
      <c r="CW143" s="318" t="str">
        <f aca="false">IF($A143="N/A"," ",IF(0&lt;&gt;CN143,IF(CC=2,8*$HD143,0),0))</f>
        <v> </v>
      </c>
      <c r="CX143" s="318" t="str">
        <f aca="false">IF($A143="N/A"," ",IF(0&lt;&gt;CO143,IF(CC=2,8*$HD143,0),0))</f>
        <v> </v>
      </c>
      <c r="CY143" s="318" t="str">
        <f aca="false">IF($A143="N/A"," ",IF(0&lt;&gt;CP143,IF(CC=2,8*$HD143,0),0))</f>
        <v> </v>
      </c>
      <c r="CZ143" s="318" t="str">
        <f aca="false">IF($A143="N/A"," ",IF(0&lt;&gt;CQ143,IF(CC=2,8*$HE143,0),0))</f>
        <v> </v>
      </c>
      <c r="DA143" s="318" t="str">
        <f aca="false">IF($A143="N/A"," ",IF(0&lt;&gt;CR143,IF(CC=2,8*$HE143,0),0))</f>
        <v> </v>
      </c>
      <c r="DB143" s="318" t="str">
        <f aca="false">IF($A143="N/A"," ",IF(0&lt;&gt;CS143,IF(CC=2,8*$HE143,0),0))</f>
        <v> </v>
      </c>
      <c r="DC143" s="318" t="str">
        <f aca="false">IF($A143="N/A"," ",IF(0&lt;&gt;CT143,IF(CC=2,8*$HF143,0),0))</f>
        <v> </v>
      </c>
      <c r="DD143" s="318" t="str">
        <f aca="false">IF($A143="N/A"," ",IF(0&lt;&gt;CU143,IF(CC=2,8*$HF143,0),0))</f>
        <v> </v>
      </c>
      <c r="DE143" s="318" t="str">
        <f aca="false">IF($A143="N/A"," ",IF(0&lt;&gt;CV143,IF(CC=2,8*$HF143,0),0))</f>
        <v> </v>
      </c>
      <c r="DF143" s="341" t="str">
        <f aca="false">IF($A143="N/A"," ",IF(CC=2,(IF(MONTH(A143)&gt;=4,IF(MONTH(A143)&lt;=10,Inputs!$G$13,Inputs!$G$14),Inputs!$G$14))*$CK143,0))</f>
        <v> </v>
      </c>
      <c r="DG143" s="342" t="str">
        <f aca="false">IF($A143="N/A"," ",IF(CC=2,$DF143*CW143*CN143,0))</f>
        <v> </v>
      </c>
      <c r="DH143" s="342" t="str">
        <f aca="false">IF($A143="N/A"," ",IF(CC=2,$DF143*CX143*CO143,0))</f>
        <v> </v>
      </c>
      <c r="DI143" s="342" t="str">
        <f aca="false">IF($A143="N/A"," ",IF(CC=2,$DF143*CY143*CP143,0))</f>
        <v> </v>
      </c>
      <c r="DJ143" s="342" t="str">
        <f aca="false">IF($A143="N/A"," ",IF(CC=2,$DF143*CZ143*CQ143,0))</f>
        <v> </v>
      </c>
      <c r="DK143" s="342" t="str">
        <f aca="false">IF($A143="N/A"," ",IF(CC=2,$DF143*DA143*CR143,0))</f>
        <v> </v>
      </c>
      <c r="DL143" s="342" t="str">
        <f aca="false">IF($A143="N/A"," ",IF(CC=2,$DF143*DB143*CS143,0))</f>
        <v> </v>
      </c>
      <c r="DM143" s="342" t="str">
        <f aca="false">IF($A143="N/A"," ",IF(CC=2,$DF143*DC143*CT143,0))</f>
        <v> </v>
      </c>
      <c r="DN143" s="342" t="str">
        <f aca="false">IF($A143="N/A"," ",IF(CC=2,$DF143*DD143*CU143,0))</f>
        <v> </v>
      </c>
      <c r="DO143" s="342" t="str">
        <f aca="false">IF($A143="N/A"," ",IF(CC=2,$DF143*DE143*CV143,0))</f>
        <v> </v>
      </c>
      <c r="DP143" s="343" t="str">
        <f aca="false">IF($A143="N/A"," ",IF(CC=2,SUM(DG143:DO143),0))</f>
        <v> </v>
      </c>
      <c r="DQ143" s="0" t="str">
        <f aca="false">IF(A143="N/A"," ",Perstart)</f>
        <v> </v>
      </c>
      <c r="HD143" s="0" t="str">
        <f aca="false">IF($A143="N/A"," ",VLOOKUP($A143,NumberofDaysTable,2))</f>
        <v> </v>
      </c>
      <c r="HE143" s="0" t="str">
        <f aca="false">IF($A143="N/A"," ",VLOOKUP($A143,NumberofDaysTable,3))</f>
        <v> </v>
      </c>
      <c r="HF143" s="0" t="str">
        <f aca="false">IF($A143="N/A"," ",VLOOKUP($A143,NumberofDaysTable,4))</f>
        <v> </v>
      </c>
    </row>
    <row r="144" customFormat="false" ht="12.75" hidden="false" customHeight="false" outlineLevel="0" collapsed="false">
      <c r="A144" s="308" t="str">
        <f aca="false">IF(A143="N/A","N/A",IF(EDATE(A143,1)&gt;Inputs!$K$3,"N/A",EDATE(A143,1)))</f>
        <v>N/A</v>
      </c>
      <c r="B144" s="309" t="str">
        <f aca="false">IF(A144="N/A"," ",YEAR(A144))</f>
        <v> </v>
      </c>
      <c r="C144" s="310" t="str">
        <f aca="false">IF(A144="N/A"," ",VLOOKUP(A144,ScaledPrice,10))</f>
        <v> </v>
      </c>
      <c r="D144" s="311" t="str">
        <f aca="false">IF(A144="N/A"," ",(VLOOKUP(MONTH($A144),Hrtable,2))/1000)</f>
        <v> </v>
      </c>
      <c r="E144" s="312" t="str">
        <f aca="false">IF($A144="N/A"," ",(C144-'Pricing Inputs'!T177)*D144)</f>
        <v> </v>
      </c>
      <c r="F144" s="313" t="str">
        <f aca="false">IF(A144="N/A"," ",$F132*(1+VOMesc))</f>
        <v> </v>
      </c>
      <c r="G144" s="313" t="str">
        <f aca="false">IF(A144="N/A"," ",Perstart/IF(AND(Dayrun&gt;=4,Dayrun&lt;=6),16,IF(AND(Dayrun&gt;=7,Dayrun&lt;=9),8,24))/(BM144/CK144))</f>
        <v> </v>
      </c>
      <c r="H144" s="314" t="str">
        <f aca="false">IF(A144="N/A"," ",(C144*D144)+F144+G144)</f>
        <v> </v>
      </c>
      <c r="I144" s="315" t="str">
        <f aca="false">VLOOKUP(A144,ScaledPrice,(IF(AND(Dayrun&gt;=1,Dayrun&lt;=6),2,4)))</f>
        <v> </v>
      </c>
      <c r="J144" s="315" t="str">
        <f aca="false">IF(A144="N/A"," ",IF(AND(Dayrun&gt;=1,Dayrun&lt;=6),I144,(VLOOKUP(A144,ScaledPrice,2))*(2-(VLOOKUP(A144,ScaledPrice,3)))))</f>
        <v> </v>
      </c>
      <c r="K144" s="315" t="str">
        <f aca="false">IF(A144="N/A"," ",IF(AND(Dayrun&gt;=1,Dayrun&lt;=3),VLOOKUP(A144,ScaledPrice,9),0))</f>
        <v> </v>
      </c>
      <c r="L144" s="315" t="str">
        <f aca="false">IF(A144="N/A"," ",IF(OR(Dayrun=2,Dayrun=3,Dayrun=5,Dayrun=6,Dayrun=8,Dayrun=9),VLOOKUP(A144,ScaledPrice,IF(AND(Dayrun&gt;=2,Dayrun&lt;=6),5,6)),0))</f>
        <v> </v>
      </c>
      <c r="M144" s="315" t="str">
        <f aca="false">IF(A144="N/A"," ",IF(OR(Dayrun=2,Dayrun=3,Dayrun=5,Dayrun=6,Dayrun=8,Dayrun=9),IF(AND(Dayrun&gt;=2,Dayrun&lt;=6),L144,(VLOOKUP(A144,ScaledPrice,5))*(2-(VLOOKUP(A144,ScaledPrice,3)))),0))</f>
        <v> </v>
      </c>
      <c r="N144" s="315" t="str">
        <f aca="false">IF(A144="N/A"," ",IF(AND(Dayrun&gt;1,Dayrun&lt;=3),VLOOKUP(A144,ScaledPrice,9),0))</f>
        <v> </v>
      </c>
      <c r="O144" s="315" t="str">
        <f aca="false">IF(A144="N/A"," ",IF(OR(Dayrun=3,Dayrun=6,Dayrun=9),(VLOOKUP(A144,ScaledPrice,IF(AND(Dayrun&gt;=3,Dayrun&lt;=6),7,8))),0))</f>
        <v> </v>
      </c>
      <c r="P144" s="315" t="str">
        <f aca="false">IF(A144="N/A"," ",IF(OR(Dayrun=3,Dayrun=6,Dayrun=9),IF(AND(Dayrun&gt;=3,Dayrun&lt;=6),O144,(VLOOKUP(A144,ScaledPrice,7))*(2-(VLOOKUP(A144,ScaledPrice,3)))),0))</f>
        <v> </v>
      </c>
      <c r="Q144" s="315" t="str">
        <f aca="false">IF(A144="N/A"," ",IF(AND(Dayrun&gt;2,Dayrun&lt;=3),VLOOKUP(A144,ScaledPrice,9),0))</f>
        <v> </v>
      </c>
      <c r="R144" s="316" t="str">
        <f aca="false">IF($A144="N/A"," ",IF(Pricetype=2,MAX(I144-$H144,0),IF(Pricetype=1,(xSPRDOPT(I144,$E144,$CI144,0,($CD144+IF(Smile=TRUE(),VLOOKUP(MAX(-5,$H144-I144),Volsmile,2),0)),$CG144,$CH144,($A144-DateToday)+15,1,0)),I144-$H144)))</f>
        <v> </v>
      </c>
      <c r="S144" s="316" t="str">
        <f aca="false">IF($A144="N/A"," ",IF(Pricetype=2,MAX(J144-$H144,0),IF(Pricetype=1,(xSPRDOPT(J144,$E144,$CI144,0,($CD144+IF(Smile=TRUE(),VLOOKUP(MAX(-5,$H144-J144),Volsmile,2),0)),$CG144,$CH144,($A144-DateToday)+15,1,0)),J144-$H144)))</f>
        <v> </v>
      </c>
      <c r="T144" s="317" t="str">
        <f aca="false">IF($A144="N/A"," ",(IF(Pricetype=2,IF((K144-$H144)&lt;=0,0,(K144-$H144)),IF(K144&lt;&gt;0,(K144-$H144),0))))</f>
        <v> </v>
      </c>
      <c r="U144" s="316" t="str">
        <f aca="false">IF($A144="N/A"," ",IF(Pricetype=2,MAX(L144-$H144,0),IF(L144&lt;&gt;0,IF(Pricetype=1,(xSPRDOPT(L144,$E144,$CI144,0,($CD144+IF(Smile=TRUE(),VLOOKUP(MAX(-5,$H144-L144),Volsmile,2),0)),$CG144,$CH144,($A144-DateToday)+15,1,0)),L144-$H144),0)))</f>
        <v> </v>
      </c>
      <c r="V144" s="316" t="str">
        <f aca="false">IF($A144="N/A"," ",IF(Pricetype=2,MAX(M144-$H144,0),IF(M144&lt;&gt;0,IF(Pricetype=1,(xSPRDOPT(M144,$E144,$CI144,0,($CD144+IF(Smile=TRUE(),VLOOKUP(MAX(-5,$H144-M144),Volsmile,2),0)),$CG144,$CH144,($A144-DateToday)+15,1,0)),M144-$H144),0)))</f>
        <v> </v>
      </c>
      <c r="W144" s="317" t="str">
        <f aca="false">IF($A144="N/A"," ",(IF(Pricetype=2,IF((N144-$H144)&lt;=0,0,(N144-$H144)),IF(N144&lt;&gt;0,(N144-$H144),0))))</f>
        <v> </v>
      </c>
      <c r="X144" s="316" t="str">
        <f aca="false">IF($A144="N/A"," ",IF(Pricetype=2,MAX(O144-$H144,0),IF(O144&lt;&gt;0,IF(Pricetype=1,(xSPRDOPT(O144,$E144,$CI144,0,($CD144+IF(Smile=TRUE(),VLOOKUP(MAX(-5,$H144-O144),Volsmile,2),0)),$CG144,$CH144,($A144-DateToday)+15,1,0)),O144-$H144),0)))</f>
        <v> </v>
      </c>
      <c r="Y144" s="316" t="str">
        <f aca="false">IF($A144="N/A"," ",IF(Pricetype=2,MAX(P144-$H144,0),IF(P144&lt;&gt;0,IF(Pricetype=1,(xSPRDOPT(P144,$E144,$CI144,0,($CD144+IF(Smile=TRUE(),VLOOKUP(MAX(-5,$H144-P144),Volsmile,2),0)),$CG144,$CH144,($A144-DateToday)+15,1,0)),P144-$H144),0)))</f>
        <v> </v>
      </c>
      <c r="Z144" s="317" t="str">
        <f aca="false">IF($A144="N/A"," ",(IF(Pricetype=2,IF((Q144-$H144)&lt;=0,0,(Q144-$H144)),IF(Q144&lt;&gt;0,(Q144-$H144),0))))</f>
        <v> </v>
      </c>
      <c r="AA144" s="318" t="str">
        <f aca="false">IF($A144="N/A"," ",IF(VLOOKUP(MONTH(A144),ManualTable,2)=1,(IF(0&lt;&gt;R144,IF(Pricetype=1,(xSPRDOPT(I144,$E144,$CI144,0,($CD144+IF(Smile=TRUE(),VLOOKUP(MAX(-5,$H144-I144),Volsmile,2),0)),$CG144,$CH144,($A144-DateToday)+15,1,1))*(8*$HD144),8*$HD144),0)),0))</f>
        <v> </v>
      </c>
      <c r="AB144" s="318" t="str">
        <f aca="false">IF($A144="N/A"," ",IF(VLOOKUP(MONTH(A144),ManualTable,3)=1,(IF(S144&lt;&gt;0,IF(Pricetype=1,(xSPRDOPT(J144,$E144,$CI144,0,($CD144+IF(Smile=TRUE(),VLOOKUP(MAX(-5,$H144-J144),Volsmile,2),0)),$CG144,$CH144,($A144-DateToday)+15,1,1))*(8*$HD144),8*$HD144),0)),0))</f>
        <v> </v>
      </c>
      <c r="AC144" s="318" t="str">
        <f aca="false">IF($A144="N/A"," ",IF(VLOOKUP(MONTH(A144),ManualTable,4)=1,(IF(T144&lt;&gt;0,(8*$HD144),0)),0))</f>
        <v> </v>
      </c>
      <c r="AD144" s="318" t="str">
        <f aca="false">IF($A144="N/A"," ",IF(VLOOKUP(MONTH(A144),ManualTable,5)=1,(IF(U144&lt;&gt;0,IF(Pricetype=1,(xSPRDOPT(L144,$E144,$CI144,0,($CD144+IF(Smile=TRUE(),VLOOKUP(MAX(-5,$H144-L144),Volsmile,2),0)),$CG144,$CH144,($A144-DateToday)+15,1,1))*(8*$HE144),8*$HE144),0)),0))</f>
        <v> </v>
      </c>
      <c r="AE144" s="318" t="str">
        <f aca="false">IF($A144="N/A"," ",IF(VLOOKUP(MONTH(A144),ManualTable,6)=1,(IF(V144&lt;&gt;0,IF(Pricetype=1,(xSPRDOPT(M144,$E144,$CI144,0,($CD144+IF(Smile=TRUE(),VLOOKUP(MAX(-5,$H144-M144),Volsmile,2),0)),$CG144,$CH144,($A144-DateToday)+15,1,1))*(8*$HE144),8*$HE144),0)),0))</f>
        <v> </v>
      </c>
      <c r="AF144" s="318" t="str">
        <f aca="false">IF($A144="N/A"," ",IF(VLOOKUP(MONTH(A144),ManualTable,7)=1,(IF(W144&lt;&gt;0,(8*$HE144),0)),0))</f>
        <v> </v>
      </c>
      <c r="AG144" s="318" t="str">
        <f aca="false">IF($A144="N/A"," ",IF(VLOOKUP(MONTH(A144),ManualTable,8)=1,(IF(X144&lt;&gt;0,IF(Pricetype=1,(xSPRDOPT(O144,$E144,$CI144,0,($CD144+IF(Smile=TRUE(),VLOOKUP(MAX(-5,$H144-O144),Volsmile,2),0)),$CG144,$CH144,($A144-DateToday)+15,1,1))*(8*$HF144),8*$HF144),0)),0))</f>
        <v> </v>
      </c>
      <c r="AH144" s="318" t="str">
        <f aca="false">IF($A144="N/A"," ",IF(VLOOKUP(MONTH(A144),ManualTable,9)=1,(IF(Y144&lt;&gt;0,IF(Pricetype=1,(xSPRDOPT(P144,$E144,$CI144,0,($CD144+IF(Smile=TRUE(),VLOOKUP(MAX(-5,$H144-P144),Volsmile,2),0)),$CG144,$CH144,($A144-DateToday)+15,1,1))*(8*$HF144),8*$HF144),0)),0))</f>
        <v> </v>
      </c>
      <c r="AI144" s="318" t="str">
        <f aca="false">IF($A144="N/A"," ",IF(VLOOKUP(MONTH(A144),ManualTable,10)=1,(IF(Z144&lt;&gt;0,(8*($HF144)),0)),0))</f>
        <v> </v>
      </c>
      <c r="AJ144" s="344" t="str">
        <f aca="false">IF($A144="N/A"," ",RANK(R144,$R$136:$Z$147))</f>
        <v> </v>
      </c>
      <c r="AK144" s="321" t="str">
        <f aca="false">IF($A144="N/A"," ",RANK(S144,$R$136:$Z$147))</f>
        <v> </v>
      </c>
      <c r="AL144" s="321" t="str">
        <f aca="false">IF($A144="N/A"," ",RANK(T144,$R$136:$Z$147))</f>
        <v> </v>
      </c>
      <c r="AM144" s="321" t="str">
        <f aca="false">IF($A144="N/A"," ",RANK(U144,$R$136:$Z$147))</f>
        <v> </v>
      </c>
      <c r="AN144" s="321" t="str">
        <f aca="false">IF($A144="N/A"," ",RANK(V144,$R$136:$Z$147))</f>
        <v> </v>
      </c>
      <c r="AO144" s="321" t="str">
        <f aca="false">IF($A144="N/A"," ",RANK(W144,$R$136:$Z$147))</f>
        <v> </v>
      </c>
      <c r="AP144" s="321" t="str">
        <f aca="false">IF($A144="N/A"," ",RANK(X144,$R$136:$Z$147))</f>
        <v> </v>
      </c>
      <c r="AQ144" s="321" t="str">
        <f aca="false">IF($A144="N/A"," ",RANK(Y144,$R$136:$Z$147))</f>
        <v> </v>
      </c>
      <c r="AR144" s="345" t="str">
        <f aca="false">IF($A144="N/A"," ",RANK(Z144,$R$136:$Z$147))</f>
        <v> </v>
      </c>
      <c r="AS144" s="323" t="str">
        <f aca="false">IF($A144="N/A"," ",IF(AJ144&lt;=$AR$2,AA144,0))</f>
        <v> </v>
      </c>
      <c r="AT144" s="325" t="str">
        <f aca="false">IF($A144="N/A"," ",IF(AK144&lt;=$AR$2,AB144,0))</f>
        <v> </v>
      </c>
      <c r="AU144" s="325" t="str">
        <f aca="false">IF($A144="N/A"," ",IF(AL144&lt;=$AR$2,AC144,0))</f>
        <v> </v>
      </c>
      <c r="AV144" s="325" t="str">
        <f aca="false">IF($A144="N/A"," ",IF(AM144&lt;=$AR$2,AD144,0))</f>
        <v> </v>
      </c>
      <c r="AW144" s="325" t="str">
        <f aca="false">IF($A144="N/A"," ",IF(AN144&lt;=$AR$2,AE144,0))</f>
        <v> </v>
      </c>
      <c r="AX144" s="325" t="str">
        <f aca="false">IF($A144="N/A"," ",IF(AO144&lt;=$AR$2,AF144,0))</f>
        <v> </v>
      </c>
      <c r="AY144" s="325" t="str">
        <f aca="false">IF($A144="N/A"," ",IF(AP144&lt;=$AR$2,AG144,0))</f>
        <v> </v>
      </c>
      <c r="AZ144" s="325" t="str">
        <f aca="false">IF($A144="N/A"," ",IF(AQ144&lt;=$AR$2,AH144,0))</f>
        <v> </v>
      </c>
      <c r="BA144" s="325" t="str">
        <f aca="false">IF($A144="N/A"," ",IF(AR144&lt;=$AR$2,AI144,0))</f>
        <v> </v>
      </c>
      <c r="BB144" s="345"/>
      <c r="BC144" s="326" t="str">
        <f aca="false">IF($A144="N/A"," ",IF(AND(AJ144=$AR$2+1,AS144=0),MIN($BB$147,AA144),0))</f>
        <v> </v>
      </c>
      <c r="BD144" s="346" t="str">
        <f aca="false">IF($A144="N/A"," ",IF(AND(AK144=$AR$2+1,AT144=0),MIN($BB$147,AB144),0))</f>
        <v> </v>
      </c>
      <c r="BE144" s="346" t="str">
        <f aca="false">IF($A144="N/A"," ",IF(AND(AL144=$AR$2+1,AU144=0),MIN($BB$147,AC144),0))</f>
        <v> </v>
      </c>
      <c r="BF144" s="346" t="str">
        <f aca="false">IF($A144="N/A"," ",IF(AND(AM144=$AR$2+1,AV144=0),MIN($BB$147,AD144),0))</f>
        <v> </v>
      </c>
      <c r="BG144" s="346" t="str">
        <f aca="false">IF($A144="N/A"," ",IF(AND(AN144=$AR$2+1,AW144=0),MIN($BB$147,AE144),0))</f>
        <v> </v>
      </c>
      <c r="BH144" s="346" t="str">
        <f aca="false">IF($A144="N/A"," ",IF(AND(AO144=$AR$2+1,AX144=0),MIN($BB$147,AF144),0))</f>
        <v> </v>
      </c>
      <c r="BI144" s="346" t="str">
        <f aca="false">IF($A144="N/A"," ",IF(AND(AP144=$AR$2+1,AY144=0),MIN($BB$147,AG144),0))</f>
        <v> </v>
      </c>
      <c r="BJ144" s="346" t="str">
        <f aca="false">IF($A144="N/A"," ",IF(AND(AQ144=$AR$2+1,AZ144=0),MIN($BB$147,AH144),0))</f>
        <v> </v>
      </c>
      <c r="BK144" s="346" t="str">
        <f aca="false">IF($A144="N/A"," ",IF(AND(AR144=$AR$2+1,BA144=0),MIN($BB$147,AI144),0))</f>
        <v> </v>
      </c>
      <c r="BL144" s="345"/>
      <c r="BM144" s="329" t="str">
        <f aca="false">IF($A144="N/A"," ",(IF(MONTH(A144)&gt;=4,IF(MONTH(A144)&lt;=10,Inputs!$F$13-Inputs!$G$13,Inputs!$F$14-Inputs!$G$14),Inputs!$F$14-Inputs!$G$14))*$CK144*Availability)</f>
        <v> </v>
      </c>
      <c r="BN144" s="330" t="str">
        <f aca="false">IF($A144="N/A"," ",(IF(AS144&gt;0,($BM144*(8*($HD144))*R144),0)+IF(BC144&gt;0,($BM144*((BC144/AA144)*8*$HD144)*R144),0)))</f>
        <v> </v>
      </c>
      <c r="BO144" s="330" t="str">
        <f aca="false">IF($A144="N/A"," ",(IF(AT144&gt;0,($BM144*(8*($HD144))*S144),0)+IF(BD144&gt;0,($BM144*((BD144/AB144)*8*$HD144)*S144),0)))</f>
        <v> </v>
      </c>
      <c r="BP144" s="330" t="str">
        <f aca="false">IF($A144="N/A"," ",(IF(AU144&gt;0,($BM144*(8*($HD144))*T144),0)+IF(BE144&gt;0,($BM144*((BE144))*T144),0)))</f>
        <v> </v>
      </c>
      <c r="BQ144" s="330" t="str">
        <f aca="false">IF($A144="N/A"," ",(IF(AV144&gt;0,($BM144*(8*($HE144))*U144),0)+IF(BF144&gt;0,($BM144*((BF144/AD144)*8*$HE144)*U144),0)))</f>
        <v> </v>
      </c>
      <c r="BR144" s="330" t="str">
        <f aca="false">IF($A144="N/A"," ",(IF(AW144&gt;0,($BM144*(8*($HE144))*V144),0)+IF(BG144&gt;0,($BM144*((BG144/AE144)*8*$HE144)*V144),0)))</f>
        <v> </v>
      </c>
      <c r="BS144" s="330" t="str">
        <f aca="false">IF($A144="N/A"," ",(IF(AX144&gt;0,($BM144*(8*($HE144))*W144),0)+IF(BH144&gt;0,($BM144*((BH144))*W144),0)))</f>
        <v> </v>
      </c>
      <c r="BT144" s="330" t="str">
        <f aca="false">IF($A144="N/A"," ",(IF(AY144&gt;0,($BM144*(8*($HF144))*X144),0)+IF(BI144&gt;0,($BM144*((BI144/AG144)*8*$HF144)*X144),0)))</f>
        <v> </v>
      </c>
      <c r="BU144" s="330" t="str">
        <f aca="false">IF($A144="N/A"," ",(IF(AZ144&gt;0,($BM144*(8*($HF144))*Y144),0)+IF(BJ144&gt;0,($BM144*((BJ144/AH144)*8*$HF144)*Y144),0)))</f>
        <v> </v>
      </c>
      <c r="BV144" s="330" t="str">
        <f aca="false">IF($A144="N/A"," ",(IF(BA144&gt;0,($BM144*(8*($HF144))*Z144),0)+IF(BK144&gt;0,($BM144*((BK144))*Z144),0)))</f>
        <v> </v>
      </c>
      <c r="BW144" s="330" t="str">
        <f aca="false">IF($A144="N/A"," ",SUM(BN144:BV144))</f>
        <v> </v>
      </c>
      <c r="BX144" s="331" t="str">
        <f aca="false">IF($A144="N/A"," ",(H144*(SUM(AS144:BA144)+SUM(BC144:BK144))*BM144))</f>
        <v> </v>
      </c>
      <c r="BY144" s="332" t="str">
        <f aca="false">IF($A144="N/A"," ",((C144*D144)*(SUM($AS144:$BA144)+SUM($BC144:$BK144))*$BM144))</f>
        <v> </v>
      </c>
      <c r="BZ144" s="332" t="str">
        <f aca="false">IF($A144="N/A"," ",(F144*(SUM($AS144:$BA144)+SUM($BC144:$BK144))*$BM144))</f>
        <v> </v>
      </c>
      <c r="CA144" s="333" t="str">
        <f aca="false">IF($A144="N/A"," ",(G144*(SUM($AS144:$BA144)+SUM($BC144:$BK144))*$BM144))</f>
        <v> </v>
      </c>
      <c r="CB144" s="334" t="str">
        <f aca="false">IF(A144="N/A"," ",(VLOOKUP(A144,PowerVolTable,(IF(BMO=2,7,IF(BMO=1,6,8))),FALSE())))</f>
        <v> </v>
      </c>
      <c r="CC144" s="334" t="str">
        <f aca="false">IF(A144="N/A"," ",(VLOOKUP(A144,IntraPowerVol,(IF(BMO=2,3,IF(BMO=1,2,4))),FALSE())*VLOOKUP(MONTH($A144),Volscale,2)))</f>
        <v> </v>
      </c>
      <c r="CD144" s="335" t="str">
        <f aca="false">IF($A144="N/A"," ",(IF(DateToday&gt;$A144,$CC144,((($CB144^2)*((($A144-1)-DateToday)/((EOMONTH($A144,0)+1)-DateToday-15)))+((($CC144)^2)*((15)/((EOMONTH($A144,0)+1)-DateToday-15))))^0.5)))</f>
        <v> </v>
      </c>
      <c r="CE144" s="334" t="str">
        <f aca="false">IF($A144="N/A"," ",(VLOOKUP($A144,GasVolTable,(IF(BMO=2,6,IF(BMO=1,7,5))),FALSE())))</f>
        <v> </v>
      </c>
      <c r="CF144" s="334" t="str">
        <f aca="false">IF($A144="N/A"," ",(VLOOKUP($A144,OmicronVol,(IF(BMO=2,3,IF(BMO=1,4,2))),FALSE())))</f>
        <v> </v>
      </c>
      <c r="CG144" s="335" t="str">
        <f aca="false">IF($A144="N/A"," ",(IF(DateToday&gt;$A144,$CF144,((($CE144^2)*((($A144-1)-DateToday)/((EOMONTH($A144,0)+1)-DateToday-15)))+((($CF144)^2)*((15)/((EOMONTH($A144,0)+1)-DateToday-15))))^0.5)))</f>
        <v> </v>
      </c>
      <c r="CH144" s="334" t="str">
        <f aca="false">IF($A144="N/A"," ",VLOOKUP($A144,CorrelationTable,2,FALSE()))</f>
        <v> </v>
      </c>
      <c r="CI144" s="336" t="str">
        <f aca="false">IF($A144="N/A"," ",F144+G144+(D144*('Pricing Inputs'!T177)))</f>
        <v> </v>
      </c>
      <c r="CJ144" s="334" t="str">
        <f aca="false">IF($A144="N/A"," ",IF(PV=1,0,'Pricing Inputs'!U177))</f>
        <v> </v>
      </c>
      <c r="CK144" s="337" t="str">
        <f aca="false">IF($A144="N/A"," ",(1+CJ144/2)^(-2*((EOMONTH(A144,0)+20)-DateToday)/365.25))</f>
        <v> </v>
      </c>
      <c r="CL144" s="338" t="str">
        <f aca="false">IF(A144="N/A"," ",IF(CC=2,(VLOOKUP(MONTH($A144),Hrtable,3))/1000,0))</f>
        <v> </v>
      </c>
      <c r="CM144" s="339" t="str">
        <f aca="false">IF(A144="N/A"," ",IF(CC=2,(CL144*C144)+F144,0))</f>
        <v> </v>
      </c>
      <c r="CN144" s="340" t="str">
        <f aca="false">IF($A144="N/A"," ",IF(CC=2,(VLOOKUP(A144,ScaledPrice,(IF(AND(Dayrun&gt;=1,Dayrun&lt;=6),2,4)))-((IF(R144&lt;&gt;0,$D144,$CL144)*$C144)+$F144+$G144)),0))</f>
        <v> </v>
      </c>
      <c r="CO144" s="340" t="str">
        <f aca="false">IF($A144="N/A"," ",IF(CC=2,(IF(AND(Dayrun&gt;=1,Dayrun&lt;=6),I144,(VLOOKUP(A144,ScaledPrice,2))*(2-(VLOOKUP(A144,ScaledPrice,3))))-((IF(S144&lt;&gt;0,$D144,$CL144)*$C144)+$F144+$G144)),0))</f>
        <v> </v>
      </c>
      <c r="CP144" s="340" t="str">
        <f aca="false">IF(A144="N/A"," ",IF(CC=2,(VLOOKUP(A144,ScaledPrice,9)-((IF(T144&lt;&gt;0,$D144,$CL144)*$C144)+$F144+$G144)),0))</f>
        <v> </v>
      </c>
      <c r="CQ144" s="340" t="str">
        <f aca="false">IF(A144="N/A"," ",IF(CC=2,(IF(OR(Dayrun=2,Dayrun=3,Dayrun=5,Dayrun=6,Dayrun=8,Dayrun=9),VLOOKUP(A144,ScaledPrice,IF(AND(Dayrun&gt;=2,Dayrun&lt;=6),5,6)),0)-((IF(U144&lt;&gt;0,$D144,$CL144)*$C144)+$F144+$G144)),0))</f>
        <v> </v>
      </c>
      <c r="CR144" s="340" t="str">
        <f aca="false">IF(A144="N/A"," ",IF(CC=2,(IF(OR(Dayrun=2,Dayrun=3,Dayrun=5,Dayrun=6,Dayrun=8,Dayrun=9),IF(AND(Dayrun&gt;=2,Dayrun&lt;=6),L144,(VLOOKUP(A144,ScaledPrice,5))*(2-(VLOOKUP(A144,ScaledPrice,3)))),0)-((IF(V144&lt;&gt;0,$D144,$CL144)*$C144)+$F144+$G144)),0))</f>
        <v> </v>
      </c>
      <c r="CS144" s="340" t="str">
        <f aca="false">IF(A144="N/A"," ",IF(CC=2,(VLOOKUP(A144,ScaledPrice,9)-((IF(W144&lt;&gt;0,$D144,$CL144)*$C144)+$F144+$G144)),0))</f>
        <v> </v>
      </c>
      <c r="CT144" s="340" t="str">
        <f aca="false">IF(A144="N/A"," ",IF(CC=2,(IF(OR(Dayrun=3,Dayrun=6,Dayrun=9),(VLOOKUP(A144,ScaledPrice,IF(AND(Dayrun&gt;=3,Dayrun&lt;=6),7,8))),0)-((IF(X144&lt;&gt;0,$D144,$CL144)*$C144)+$F144+$G144)),0))</f>
        <v> </v>
      </c>
      <c r="CU144" s="340" t="str">
        <f aca="false">IF(A144="N/A"," ",IF(CC=2,(IF(OR(Dayrun=3,Dayrun=6,Dayrun=9),IF(AND(Dayrun&gt;=3,Dayrun&lt;=6),O144,(VLOOKUP(A144,ScaledPrice,7))*(2-(VLOOKUP(A144,ScaledPrice,3)))),0)-((IF(Y144&lt;&gt;0,$D144,$CL144)*$C144)+$F144+$G144)),0))</f>
        <v> </v>
      </c>
      <c r="CV144" s="340" t="str">
        <f aca="false">IF(A144="N/A"," ",IF(CC=2,(VLOOKUP(A144,ScaledPrice,9)-((IF(Z144&lt;&gt;0,$D144,$CL144)*$C144)+$F144+$G144)),0))</f>
        <v> </v>
      </c>
      <c r="CW144" s="318" t="str">
        <f aca="false">IF($A144="N/A"," ",IF(0&lt;&gt;CN144,IF(CC=2,8*$HD144,0),0))</f>
        <v> </v>
      </c>
      <c r="CX144" s="318" t="str">
        <f aca="false">IF($A144="N/A"," ",IF(0&lt;&gt;CO144,IF(CC=2,8*$HD144,0),0))</f>
        <v> </v>
      </c>
      <c r="CY144" s="318" t="str">
        <f aca="false">IF($A144="N/A"," ",IF(0&lt;&gt;CP144,IF(CC=2,8*$HD144,0),0))</f>
        <v> </v>
      </c>
      <c r="CZ144" s="318" t="str">
        <f aca="false">IF($A144="N/A"," ",IF(0&lt;&gt;CQ144,IF(CC=2,8*$HE144,0),0))</f>
        <v> </v>
      </c>
      <c r="DA144" s="318" t="str">
        <f aca="false">IF($A144="N/A"," ",IF(0&lt;&gt;CR144,IF(CC=2,8*$HE144,0),0))</f>
        <v> </v>
      </c>
      <c r="DB144" s="318" t="str">
        <f aca="false">IF($A144="N/A"," ",IF(0&lt;&gt;CS144,IF(CC=2,8*$HE144,0),0))</f>
        <v> </v>
      </c>
      <c r="DC144" s="318" t="str">
        <f aca="false">IF($A144="N/A"," ",IF(0&lt;&gt;CT144,IF(CC=2,8*$HF144,0),0))</f>
        <v> </v>
      </c>
      <c r="DD144" s="318" t="str">
        <f aca="false">IF($A144="N/A"," ",IF(0&lt;&gt;CU144,IF(CC=2,8*$HF144,0),0))</f>
        <v> </v>
      </c>
      <c r="DE144" s="318" t="str">
        <f aca="false">IF($A144="N/A"," ",IF(0&lt;&gt;CV144,IF(CC=2,8*$HF144,0),0))</f>
        <v> </v>
      </c>
      <c r="DF144" s="341" t="str">
        <f aca="false">IF($A144="N/A"," ",IF(CC=2,(IF(MONTH(A144)&gt;=4,IF(MONTH(A144)&lt;=10,Inputs!$G$13,Inputs!$G$14),Inputs!$G$14))*$CK144,0))</f>
        <v> </v>
      </c>
      <c r="DG144" s="342" t="str">
        <f aca="false">IF($A144="N/A"," ",IF(CC=2,$DF144*CW144*CN144,0))</f>
        <v> </v>
      </c>
      <c r="DH144" s="342" t="str">
        <f aca="false">IF($A144="N/A"," ",IF(CC=2,$DF144*CX144*CO144,0))</f>
        <v> </v>
      </c>
      <c r="DI144" s="342" t="str">
        <f aca="false">IF($A144="N/A"," ",IF(CC=2,$DF144*CY144*CP144,0))</f>
        <v> </v>
      </c>
      <c r="DJ144" s="342" t="str">
        <f aca="false">IF($A144="N/A"," ",IF(CC=2,$DF144*CZ144*CQ144,0))</f>
        <v> </v>
      </c>
      <c r="DK144" s="342" t="str">
        <f aca="false">IF($A144="N/A"," ",IF(CC=2,$DF144*DA144*CR144,0))</f>
        <v> </v>
      </c>
      <c r="DL144" s="342" t="str">
        <f aca="false">IF($A144="N/A"," ",IF(CC=2,$DF144*DB144*CS144,0))</f>
        <v> </v>
      </c>
      <c r="DM144" s="342" t="str">
        <f aca="false">IF($A144="N/A"," ",IF(CC=2,$DF144*DC144*CT144,0))</f>
        <v> </v>
      </c>
      <c r="DN144" s="342" t="str">
        <f aca="false">IF($A144="N/A"," ",IF(CC=2,$DF144*DD144*CU144,0))</f>
        <v> </v>
      </c>
      <c r="DO144" s="342" t="str">
        <f aca="false">IF($A144="N/A"," ",IF(CC=2,$DF144*DE144*CV144,0))</f>
        <v> </v>
      </c>
      <c r="DP144" s="343" t="str">
        <f aca="false">IF($A144="N/A"," ",IF(CC=2,SUM(DG144:DO144),0))</f>
        <v> </v>
      </c>
      <c r="DQ144" s="0" t="str">
        <f aca="false">IF(A144="N/A"," ",Perstart)</f>
        <v> </v>
      </c>
      <c r="HD144" s="0" t="str">
        <f aca="false">IF($A144="N/A"," ",VLOOKUP($A144,NumberofDaysTable,2))</f>
        <v> </v>
      </c>
      <c r="HE144" s="0" t="str">
        <f aca="false">IF($A144="N/A"," ",VLOOKUP($A144,NumberofDaysTable,3))</f>
        <v> </v>
      </c>
      <c r="HF144" s="0" t="str">
        <f aca="false">IF($A144="N/A"," ",VLOOKUP($A144,NumberofDaysTable,4))</f>
        <v> </v>
      </c>
    </row>
    <row r="145" customFormat="false" ht="12.75" hidden="false" customHeight="false" outlineLevel="0" collapsed="false">
      <c r="A145" s="308" t="str">
        <f aca="false">IF(A144="N/A","N/A",IF(EDATE(A144,1)&gt;Inputs!$K$3,"N/A",EDATE(A144,1)))</f>
        <v>N/A</v>
      </c>
      <c r="B145" s="309" t="str">
        <f aca="false">IF(A145="N/A"," ",YEAR(A145))</f>
        <v> </v>
      </c>
      <c r="C145" s="310" t="str">
        <f aca="false">IF(A145="N/A"," ",VLOOKUP(A145,ScaledPrice,10))</f>
        <v> </v>
      </c>
      <c r="D145" s="311" t="str">
        <f aca="false">IF(A145="N/A"," ",(VLOOKUP(MONTH($A145),Hrtable,2))/1000)</f>
        <v> </v>
      </c>
      <c r="E145" s="312" t="str">
        <f aca="false">IF($A145="N/A"," ",(C145-'Pricing Inputs'!T178)*D145)</f>
        <v> </v>
      </c>
      <c r="F145" s="313" t="str">
        <f aca="false">IF(A145="N/A"," ",$F133*(1+VOMesc))</f>
        <v> </v>
      </c>
      <c r="G145" s="313" t="str">
        <f aca="false">IF(A145="N/A"," ",Perstart/IF(AND(Dayrun&gt;=4,Dayrun&lt;=6),16,IF(AND(Dayrun&gt;=7,Dayrun&lt;=9),8,24))/(BM145/CK145))</f>
        <v> </v>
      </c>
      <c r="H145" s="314" t="str">
        <f aca="false">IF(A145="N/A"," ",(C145*D145)+F145+G145)</f>
        <v> </v>
      </c>
      <c r="I145" s="315" t="str">
        <f aca="false">VLOOKUP(A145,ScaledPrice,(IF(AND(Dayrun&gt;=1,Dayrun&lt;=6),2,4)))</f>
        <v> </v>
      </c>
      <c r="J145" s="315" t="str">
        <f aca="false">IF(A145="N/A"," ",IF(AND(Dayrun&gt;=1,Dayrun&lt;=6),I145,(VLOOKUP(A145,ScaledPrice,2))*(2-(VLOOKUP(A145,ScaledPrice,3)))))</f>
        <v> </v>
      </c>
      <c r="K145" s="315" t="str">
        <f aca="false">IF(A145="N/A"," ",IF(AND(Dayrun&gt;=1,Dayrun&lt;=3),VLOOKUP(A145,ScaledPrice,9),0))</f>
        <v> </v>
      </c>
      <c r="L145" s="315" t="str">
        <f aca="false">IF(A145="N/A"," ",IF(OR(Dayrun=2,Dayrun=3,Dayrun=5,Dayrun=6,Dayrun=8,Dayrun=9),VLOOKUP(A145,ScaledPrice,IF(AND(Dayrun&gt;=2,Dayrun&lt;=6),5,6)),0))</f>
        <v> </v>
      </c>
      <c r="M145" s="315" t="str">
        <f aca="false">IF(A145="N/A"," ",IF(OR(Dayrun=2,Dayrun=3,Dayrun=5,Dayrun=6,Dayrun=8,Dayrun=9),IF(AND(Dayrun&gt;=2,Dayrun&lt;=6),L145,(VLOOKUP(A145,ScaledPrice,5))*(2-(VLOOKUP(A145,ScaledPrice,3)))),0))</f>
        <v> </v>
      </c>
      <c r="N145" s="315" t="str">
        <f aca="false">IF(A145="N/A"," ",IF(AND(Dayrun&gt;1,Dayrun&lt;=3),VLOOKUP(A145,ScaledPrice,9),0))</f>
        <v> </v>
      </c>
      <c r="O145" s="315" t="str">
        <f aca="false">IF(A145="N/A"," ",IF(OR(Dayrun=3,Dayrun=6,Dayrun=9),(VLOOKUP(A145,ScaledPrice,IF(AND(Dayrun&gt;=3,Dayrun&lt;=6),7,8))),0))</f>
        <v> </v>
      </c>
      <c r="P145" s="315" t="str">
        <f aca="false">IF(A145="N/A"," ",IF(OR(Dayrun=3,Dayrun=6,Dayrun=9),IF(AND(Dayrun&gt;=3,Dayrun&lt;=6),O145,(VLOOKUP(A145,ScaledPrice,7))*(2-(VLOOKUP(A145,ScaledPrice,3)))),0))</f>
        <v> </v>
      </c>
      <c r="Q145" s="315" t="str">
        <f aca="false">IF(A145="N/A"," ",IF(AND(Dayrun&gt;2,Dayrun&lt;=3),VLOOKUP(A145,ScaledPrice,9),0))</f>
        <v> </v>
      </c>
      <c r="R145" s="316" t="str">
        <f aca="false">IF($A145="N/A"," ",IF(Pricetype=2,MAX(I145-$H145,0),IF(Pricetype=1,(xSPRDOPT(I145,$E145,$CI145,0,($CD145+IF(Smile=TRUE(),VLOOKUP(MAX(-5,$H145-I145),Volsmile,2),0)),$CG145,$CH145,($A145-DateToday)+15,1,0)),I145-$H145)))</f>
        <v> </v>
      </c>
      <c r="S145" s="316" t="str">
        <f aca="false">IF($A145="N/A"," ",IF(Pricetype=2,MAX(J145-$H145,0),IF(Pricetype=1,(xSPRDOPT(J145,$E145,$CI145,0,($CD145+IF(Smile=TRUE(),VLOOKUP(MAX(-5,$H145-J145),Volsmile,2),0)),$CG145,$CH145,($A145-DateToday)+15,1,0)),J145-$H145)))</f>
        <v> </v>
      </c>
      <c r="T145" s="317" t="str">
        <f aca="false">IF($A145="N/A"," ",(IF(Pricetype=2,IF((K145-$H145)&lt;=0,0,(K145-$H145)),IF(K145&lt;&gt;0,(K145-$H145),0))))</f>
        <v> </v>
      </c>
      <c r="U145" s="316" t="str">
        <f aca="false">IF($A145="N/A"," ",IF(Pricetype=2,MAX(L145-$H145,0),IF(L145&lt;&gt;0,IF(Pricetype=1,(xSPRDOPT(L145,$E145,$CI145,0,($CD145+IF(Smile=TRUE(),VLOOKUP(MAX(-5,$H145-L145),Volsmile,2),0)),$CG145,$CH145,($A145-DateToday)+15,1,0)),L145-$H145),0)))</f>
        <v> </v>
      </c>
      <c r="V145" s="316" t="str">
        <f aca="false">IF($A145="N/A"," ",IF(Pricetype=2,MAX(M145-$H145,0),IF(M145&lt;&gt;0,IF(Pricetype=1,(xSPRDOPT(M145,$E145,$CI145,0,($CD145+IF(Smile=TRUE(),VLOOKUP(MAX(-5,$H145-M145),Volsmile,2),0)),$CG145,$CH145,($A145-DateToday)+15,1,0)),M145-$H145),0)))</f>
        <v> </v>
      </c>
      <c r="W145" s="317" t="str">
        <f aca="false">IF($A145="N/A"," ",(IF(Pricetype=2,IF((N145-$H145)&lt;=0,0,(N145-$H145)),IF(N145&lt;&gt;0,(N145-$H145),0))))</f>
        <v> </v>
      </c>
      <c r="X145" s="316" t="str">
        <f aca="false">IF($A145="N/A"," ",IF(Pricetype=2,MAX(O145-$H145,0),IF(O145&lt;&gt;0,IF(Pricetype=1,(xSPRDOPT(O145,$E145,$CI145,0,($CD145+IF(Smile=TRUE(),VLOOKUP(MAX(-5,$H145-O145),Volsmile,2),0)),$CG145,$CH145,($A145-DateToday)+15,1,0)),O145-$H145),0)))</f>
        <v> </v>
      </c>
      <c r="Y145" s="316" t="str">
        <f aca="false">IF($A145="N/A"," ",IF(Pricetype=2,MAX(P145-$H145,0),IF(P145&lt;&gt;0,IF(Pricetype=1,(xSPRDOPT(P145,$E145,$CI145,0,($CD145+IF(Smile=TRUE(),VLOOKUP(MAX(-5,$H145-P145),Volsmile,2),0)),$CG145,$CH145,($A145-DateToday)+15,1,0)),P145-$H145),0)))</f>
        <v> </v>
      </c>
      <c r="Z145" s="317" t="str">
        <f aca="false">IF($A145="N/A"," ",(IF(Pricetype=2,IF((Q145-$H145)&lt;=0,0,(Q145-$H145)),IF(Q145&lt;&gt;0,(Q145-$H145),0))))</f>
        <v> </v>
      </c>
      <c r="AA145" s="318" t="str">
        <f aca="false">IF($A145="N/A"," ",IF(VLOOKUP(MONTH(A145),ManualTable,2)=1,(IF(0&lt;&gt;R145,IF(Pricetype=1,(xSPRDOPT(I145,$E145,$CI145,0,($CD145+IF(Smile=TRUE(),VLOOKUP(MAX(-5,$H145-I145),Volsmile,2),0)),$CG145,$CH145,($A145-DateToday)+15,1,1))*(8*$HD145),8*$HD145),0)),0))</f>
        <v> </v>
      </c>
      <c r="AB145" s="318" t="str">
        <f aca="false">IF($A145="N/A"," ",IF(VLOOKUP(MONTH(A145),ManualTable,3)=1,(IF(S145&lt;&gt;0,IF(Pricetype=1,(xSPRDOPT(J145,$E145,$CI145,0,($CD145+IF(Smile=TRUE(),VLOOKUP(MAX(-5,$H145-J145),Volsmile,2),0)),$CG145,$CH145,($A145-DateToday)+15,1,1))*(8*$HD145),8*$HD145),0)),0))</f>
        <v> </v>
      </c>
      <c r="AC145" s="318" t="str">
        <f aca="false">IF($A145="N/A"," ",IF(VLOOKUP(MONTH(A145),ManualTable,4)=1,(IF(T145&lt;&gt;0,(8*$HD145),0)),0))</f>
        <v> </v>
      </c>
      <c r="AD145" s="318" t="str">
        <f aca="false">IF($A145="N/A"," ",IF(VLOOKUP(MONTH(A145),ManualTable,5)=1,(IF(U145&lt;&gt;0,IF(Pricetype=1,(xSPRDOPT(L145,$E145,$CI145,0,($CD145+IF(Smile=TRUE(),VLOOKUP(MAX(-5,$H145-L145),Volsmile,2),0)),$CG145,$CH145,($A145-DateToday)+15,1,1))*(8*$HE145),8*$HE145),0)),0))</f>
        <v> </v>
      </c>
      <c r="AE145" s="318" t="str">
        <f aca="false">IF($A145="N/A"," ",IF(VLOOKUP(MONTH(A145),ManualTable,6)=1,(IF(V145&lt;&gt;0,IF(Pricetype=1,(xSPRDOPT(M145,$E145,$CI145,0,($CD145+IF(Smile=TRUE(),VLOOKUP(MAX(-5,$H145-M145),Volsmile,2),0)),$CG145,$CH145,($A145-DateToday)+15,1,1))*(8*$HE145),8*$HE145),0)),0))</f>
        <v> </v>
      </c>
      <c r="AF145" s="318" t="str">
        <f aca="false">IF($A145="N/A"," ",IF(VLOOKUP(MONTH(A145),ManualTable,7)=1,(IF(W145&lt;&gt;0,(8*$HE145),0)),0))</f>
        <v> </v>
      </c>
      <c r="AG145" s="318" t="str">
        <f aca="false">IF($A145="N/A"," ",IF(VLOOKUP(MONTH(A145),ManualTable,8)=1,(IF(X145&lt;&gt;0,IF(Pricetype=1,(xSPRDOPT(O145,$E145,$CI145,0,($CD145+IF(Smile=TRUE(),VLOOKUP(MAX(-5,$H145-O145),Volsmile,2),0)),$CG145,$CH145,($A145-DateToday)+15,1,1))*(8*$HF145),8*$HF145),0)),0))</f>
        <v> </v>
      </c>
      <c r="AH145" s="318" t="str">
        <f aca="false">IF($A145="N/A"," ",IF(VLOOKUP(MONTH(A145),ManualTable,9)=1,(IF(Y145&lt;&gt;0,IF(Pricetype=1,(xSPRDOPT(P145,$E145,$CI145,0,($CD145+IF(Smile=TRUE(),VLOOKUP(MAX(-5,$H145-P145),Volsmile,2),0)),$CG145,$CH145,($A145-DateToday)+15,1,1))*(8*$HF145),8*$HF145),0)),0))</f>
        <v> </v>
      </c>
      <c r="AI145" s="318" t="str">
        <f aca="false">IF($A145="N/A"," ",IF(VLOOKUP(MONTH(A145),ManualTable,10)=1,(IF(Z145&lt;&gt;0,(8*($HF145)),0)),0))</f>
        <v> </v>
      </c>
      <c r="AJ145" s="344" t="str">
        <f aca="false">IF($A145="N/A"," ",RANK(R145,$R$136:$Z$147))</f>
        <v> </v>
      </c>
      <c r="AK145" s="321" t="str">
        <f aca="false">IF($A145="N/A"," ",RANK(S145,$R$136:$Z$147))</f>
        <v> </v>
      </c>
      <c r="AL145" s="321" t="str">
        <f aca="false">IF($A145="N/A"," ",RANK(T145,$R$136:$Z$147))</f>
        <v> </v>
      </c>
      <c r="AM145" s="321" t="str">
        <f aca="false">IF($A145="N/A"," ",RANK(U145,$R$136:$Z$147))</f>
        <v> </v>
      </c>
      <c r="AN145" s="321" t="str">
        <f aca="false">IF($A145="N/A"," ",RANK(V145,$R$136:$Z$147))</f>
        <v> </v>
      </c>
      <c r="AO145" s="321" t="str">
        <f aca="false">IF($A145="N/A"," ",RANK(W145,$R$136:$Z$147))</f>
        <v> </v>
      </c>
      <c r="AP145" s="321" t="str">
        <f aca="false">IF($A145="N/A"," ",RANK(X145,$R$136:$Z$147))</f>
        <v> </v>
      </c>
      <c r="AQ145" s="321" t="str">
        <f aca="false">IF($A145="N/A"," ",RANK(Y145,$R$136:$Z$147))</f>
        <v> </v>
      </c>
      <c r="AR145" s="345" t="str">
        <f aca="false">IF($A145="N/A"," ",RANK(Z145,$R$136:$Z$147))</f>
        <v> </v>
      </c>
      <c r="AS145" s="323" t="str">
        <f aca="false">IF($A145="N/A"," ",IF(AJ145&lt;=$AR$2,AA145,0))</f>
        <v> </v>
      </c>
      <c r="AT145" s="325" t="str">
        <f aca="false">IF($A145="N/A"," ",IF(AK145&lt;=$AR$2,AB145,0))</f>
        <v> </v>
      </c>
      <c r="AU145" s="325" t="str">
        <f aca="false">IF($A145="N/A"," ",IF(AL145&lt;=$AR$2,AC145,0))</f>
        <v> </v>
      </c>
      <c r="AV145" s="325" t="str">
        <f aca="false">IF($A145="N/A"," ",IF(AM145&lt;=$AR$2,AD145,0))</f>
        <v> </v>
      </c>
      <c r="AW145" s="325" t="str">
        <f aca="false">IF($A145="N/A"," ",IF(AN145&lt;=$AR$2,AE145,0))</f>
        <v> </v>
      </c>
      <c r="AX145" s="325" t="str">
        <f aca="false">IF($A145="N/A"," ",IF(AO145&lt;=$AR$2,AF145,0))</f>
        <v> </v>
      </c>
      <c r="AY145" s="325" t="str">
        <f aca="false">IF($A145="N/A"," ",IF(AP145&lt;=$AR$2,AG145,0))</f>
        <v> </v>
      </c>
      <c r="AZ145" s="325" t="str">
        <f aca="false">IF($A145="N/A"," ",IF(AQ145&lt;=$AR$2,AH145,0))</f>
        <v> </v>
      </c>
      <c r="BA145" s="325" t="str">
        <f aca="false">IF($A145="N/A"," ",IF(AR145&lt;=$AR$2,AI145,0))</f>
        <v> </v>
      </c>
      <c r="BB145" s="348" t="s">
        <v>1319</v>
      </c>
      <c r="BC145" s="326" t="str">
        <f aca="false">IF($A145="N/A"," ",IF(AND(AJ145=$AR$2+1,AS145=0),MIN($BB$147,AA145),0))</f>
        <v> </v>
      </c>
      <c r="BD145" s="346" t="str">
        <f aca="false">IF($A145="N/A"," ",IF(AND(AK145=$AR$2+1,AT145=0),MIN($BB$147,AB145),0))</f>
        <v> </v>
      </c>
      <c r="BE145" s="346" t="str">
        <f aca="false">IF($A145="N/A"," ",IF(AND(AL145=$AR$2+1,AU145=0),MIN($BB$147,AC145),0))</f>
        <v> </v>
      </c>
      <c r="BF145" s="346" t="str">
        <f aca="false">IF($A145="N/A"," ",IF(AND(AM145=$AR$2+1,AV145=0),MIN($BB$147,AD145),0))</f>
        <v> </v>
      </c>
      <c r="BG145" s="346" t="str">
        <f aca="false">IF($A145="N/A"," ",IF(AND(AN145=$AR$2+1,AW145=0),MIN($BB$147,AE145),0))</f>
        <v> </v>
      </c>
      <c r="BH145" s="346" t="str">
        <f aca="false">IF($A145="N/A"," ",IF(AND(AO145=$AR$2+1,AX145=0),MIN($BB$147,AF145),0))</f>
        <v> </v>
      </c>
      <c r="BI145" s="346" t="str">
        <f aca="false">IF($A145="N/A"," ",IF(AND(AP145=$AR$2+1,AY145=0),MIN($BB$147,AG145),0))</f>
        <v> </v>
      </c>
      <c r="BJ145" s="346" t="str">
        <f aca="false">IF($A145="N/A"," ",IF(AND(AQ145=$AR$2+1,AZ145=0),MIN($BB$147,AH145),0))</f>
        <v> </v>
      </c>
      <c r="BK145" s="346" t="str">
        <f aca="false">IF($A145="N/A"," ",IF(AND(AR145=$AR$2+1,BA145=0),MIN($BB$147,AI145),0))</f>
        <v> </v>
      </c>
      <c r="BL145" s="347" t="s">
        <v>1359</v>
      </c>
      <c r="BM145" s="329" t="str">
        <f aca="false">IF($A145="N/A"," ",(IF(MONTH(A145)&gt;=4,IF(MONTH(A145)&lt;=10,Inputs!$F$13-Inputs!$G$13,Inputs!$F$14-Inputs!$G$14),Inputs!$F$14-Inputs!$G$14))*$CK145*Availability)</f>
        <v> </v>
      </c>
      <c r="BN145" s="330" t="str">
        <f aca="false">IF($A145="N/A"," ",(IF(AS145&gt;0,($BM145*(8*($HD145))*R145),0)+IF(BC145&gt;0,($BM145*((BC145/AA145)*8*$HD145)*R145),0)))</f>
        <v> </v>
      </c>
      <c r="BO145" s="330" t="str">
        <f aca="false">IF($A145="N/A"," ",(IF(AT145&gt;0,($BM145*(8*($HD145))*S145),0)+IF(BD145&gt;0,($BM145*((BD145/AB145)*8*$HD145)*S145),0)))</f>
        <v> </v>
      </c>
      <c r="BP145" s="330" t="str">
        <f aca="false">IF($A145="N/A"," ",(IF(AU145&gt;0,($BM145*(8*($HD145))*T145),0)+IF(BE145&gt;0,($BM145*((BE145))*T145),0)))</f>
        <v> </v>
      </c>
      <c r="BQ145" s="330" t="str">
        <f aca="false">IF($A145="N/A"," ",(IF(AV145&gt;0,($BM145*(8*($HE145))*U145),0)+IF(BF145&gt;0,($BM145*((BF145/AD145)*8*$HE145)*U145),0)))</f>
        <v> </v>
      </c>
      <c r="BR145" s="330" t="str">
        <f aca="false">IF($A145="N/A"," ",(IF(AW145&gt;0,($BM145*(8*($HE145))*V145),0)+IF(BG145&gt;0,($BM145*((BG145/AE145)*8*$HE145)*V145),0)))</f>
        <v> </v>
      </c>
      <c r="BS145" s="330" t="str">
        <f aca="false">IF($A145="N/A"," ",(IF(AX145&gt;0,($BM145*(8*($HE145))*W145),0)+IF(BH145&gt;0,($BM145*((BH145))*W145),0)))</f>
        <v> </v>
      </c>
      <c r="BT145" s="330" t="str">
        <f aca="false">IF($A145="N/A"," ",(IF(AY145&gt;0,($BM145*(8*($HF145))*X145),0)+IF(BI145&gt;0,($BM145*((BI145/AG145)*8*$HF145)*X145),0)))</f>
        <v> </v>
      </c>
      <c r="BU145" s="330" t="str">
        <f aca="false">IF($A145="N/A"," ",(IF(AZ145&gt;0,($BM145*(8*($HF145))*Y145),0)+IF(BJ145&gt;0,($BM145*((BJ145/AH145)*8*$HF145)*Y145),0)))</f>
        <v> </v>
      </c>
      <c r="BV145" s="330" t="str">
        <f aca="false">IF($A145="N/A"," ",(IF(BA145&gt;0,($BM145*(8*($HF145))*Z145),0)+IF(BK145&gt;0,($BM145*((BK145))*Z145),0)))</f>
        <v> </v>
      </c>
      <c r="BW145" s="330" t="str">
        <f aca="false">IF($A145="N/A"," ",SUM(BN145:BV145))</f>
        <v> </v>
      </c>
      <c r="BX145" s="331" t="str">
        <f aca="false">IF($A145="N/A"," ",(H145*(SUM(AS145:BA145)+SUM(BC145:BK145))*BM145))</f>
        <v> </v>
      </c>
      <c r="BY145" s="332" t="str">
        <f aca="false">IF($A145="N/A"," ",((C145*D145)*(SUM($AS145:$BA145)+SUM($BC145:$BK145))*$BM145))</f>
        <v> </v>
      </c>
      <c r="BZ145" s="332" t="str">
        <f aca="false">IF($A145="N/A"," ",(F145*(SUM($AS145:$BA145)+SUM($BC145:$BK145))*$BM145))</f>
        <v> </v>
      </c>
      <c r="CA145" s="333" t="str">
        <f aca="false">IF($A145="N/A"," ",(G145*(SUM($AS145:$BA145)+SUM($BC145:$BK145))*$BM145))</f>
        <v> </v>
      </c>
      <c r="CB145" s="334" t="str">
        <f aca="false">IF(A145="N/A"," ",(VLOOKUP(A145,PowerVolTable,(IF(BMO=2,7,IF(BMO=1,6,8))),FALSE())))</f>
        <v> </v>
      </c>
      <c r="CC145" s="334" t="str">
        <f aca="false">IF(A145="N/A"," ",(VLOOKUP(A145,IntraPowerVol,(IF(BMO=2,3,IF(BMO=1,2,4))),FALSE())*VLOOKUP(MONTH($A145),Volscale,2)))</f>
        <v> </v>
      </c>
      <c r="CD145" s="335" t="str">
        <f aca="false">IF($A145="N/A"," ",(IF(DateToday&gt;$A145,$CC145,((($CB145^2)*((($A145-1)-DateToday)/((EOMONTH($A145,0)+1)-DateToday-15)))+((($CC145)^2)*((15)/((EOMONTH($A145,0)+1)-DateToday-15))))^0.5)))</f>
        <v> </v>
      </c>
      <c r="CE145" s="334" t="str">
        <f aca="false">IF($A145="N/A"," ",(VLOOKUP($A145,GasVolTable,(IF(BMO=2,6,IF(BMO=1,7,5))),FALSE())))</f>
        <v> </v>
      </c>
      <c r="CF145" s="334" t="str">
        <f aca="false">IF($A145="N/A"," ",(VLOOKUP($A145,OmicronVol,(IF(BMO=2,3,IF(BMO=1,4,2))),FALSE())))</f>
        <v> </v>
      </c>
      <c r="CG145" s="335" t="str">
        <f aca="false">IF($A145="N/A"," ",(IF(DateToday&gt;$A145,$CF145,((($CE145^2)*((($A145-1)-DateToday)/((EOMONTH($A145,0)+1)-DateToday-15)))+((($CF145)^2)*((15)/((EOMONTH($A145,0)+1)-DateToday-15))))^0.5)))</f>
        <v> </v>
      </c>
      <c r="CH145" s="334" t="str">
        <f aca="false">IF($A145="N/A"," ",VLOOKUP($A145,CorrelationTable,2,FALSE()))</f>
        <v> </v>
      </c>
      <c r="CI145" s="336" t="str">
        <f aca="false">IF($A145="N/A"," ",F145+G145+(D145*('Pricing Inputs'!T178)))</f>
        <v> </v>
      </c>
      <c r="CJ145" s="334" t="str">
        <f aca="false">IF($A145="N/A"," ",IF(PV=1,0,'Pricing Inputs'!U178))</f>
        <v> </v>
      </c>
      <c r="CK145" s="337" t="str">
        <f aca="false">IF($A145="N/A"," ",(1+CJ145/2)^(-2*((EOMONTH(A145,0)+20)-DateToday)/365.25))</f>
        <v> </v>
      </c>
      <c r="CL145" s="338" t="str">
        <f aca="false">IF(A145="N/A"," ",IF(CC=2,(VLOOKUP(MONTH($A145),Hrtable,3))/1000,0))</f>
        <v> </v>
      </c>
      <c r="CM145" s="339" t="str">
        <f aca="false">IF(A145="N/A"," ",IF(CC=2,(CL145*C145)+F145,0))</f>
        <v> </v>
      </c>
      <c r="CN145" s="340" t="str">
        <f aca="false">IF($A145="N/A"," ",IF(CC=2,(VLOOKUP(A145,ScaledPrice,(IF(AND(Dayrun&gt;=1,Dayrun&lt;=6),2,4)))-((IF(R145&lt;&gt;0,$D145,$CL145)*$C145)+$F145+$G145)),0))</f>
        <v> </v>
      </c>
      <c r="CO145" s="340" t="str">
        <f aca="false">IF($A145="N/A"," ",IF(CC=2,(IF(AND(Dayrun&gt;=1,Dayrun&lt;=6),I145,(VLOOKUP(A145,ScaledPrice,2))*(2-(VLOOKUP(A145,ScaledPrice,3))))-((IF(S145&lt;&gt;0,$D145,$CL145)*$C145)+$F145+$G145)),0))</f>
        <v> </v>
      </c>
      <c r="CP145" s="340" t="str">
        <f aca="false">IF(A145="N/A"," ",IF(CC=2,(VLOOKUP(A145,ScaledPrice,9)-((IF(T145&lt;&gt;0,$D145,$CL145)*$C145)+$F145+$G145)),0))</f>
        <v> </v>
      </c>
      <c r="CQ145" s="340" t="str">
        <f aca="false">IF(A145="N/A"," ",IF(CC=2,(IF(OR(Dayrun=2,Dayrun=3,Dayrun=5,Dayrun=6,Dayrun=8,Dayrun=9),VLOOKUP(A145,ScaledPrice,IF(AND(Dayrun&gt;=2,Dayrun&lt;=6),5,6)),0)-((IF(U145&lt;&gt;0,$D145,$CL145)*$C145)+$F145+$G145)),0))</f>
        <v> </v>
      </c>
      <c r="CR145" s="340" t="str">
        <f aca="false">IF(A145="N/A"," ",IF(CC=2,(IF(OR(Dayrun=2,Dayrun=3,Dayrun=5,Dayrun=6,Dayrun=8,Dayrun=9),IF(AND(Dayrun&gt;=2,Dayrun&lt;=6),L145,(VLOOKUP(A145,ScaledPrice,5))*(2-(VLOOKUP(A145,ScaledPrice,3)))),0)-((IF(V145&lt;&gt;0,$D145,$CL145)*$C145)+$F145+$G145)),0))</f>
        <v> </v>
      </c>
      <c r="CS145" s="340" t="str">
        <f aca="false">IF(A145="N/A"," ",IF(CC=2,(VLOOKUP(A145,ScaledPrice,9)-((IF(W145&lt;&gt;0,$D145,$CL145)*$C145)+$F145+$G145)),0))</f>
        <v> </v>
      </c>
      <c r="CT145" s="340" t="str">
        <f aca="false">IF(A145="N/A"," ",IF(CC=2,(IF(OR(Dayrun=3,Dayrun=6,Dayrun=9),(VLOOKUP(A145,ScaledPrice,IF(AND(Dayrun&gt;=3,Dayrun&lt;=6),7,8))),0)-((IF(X145&lt;&gt;0,$D145,$CL145)*$C145)+$F145+$G145)),0))</f>
        <v> </v>
      </c>
      <c r="CU145" s="340" t="str">
        <f aca="false">IF(A145="N/A"," ",IF(CC=2,(IF(OR(Dayrun=3,Dayrun=6,Dayrun=9),IF(AND(Dayrun&gt;=3,Dayrun&lt;=6),O145,(VLOOKUP(A145,ScaledPrice,7))*(2-(VLOOKUP(A145,ScaledPrice,3)))),0)-((IF(Y145&lt;&gt;0,$D145,$CL145)*$C145)+$F145+$G145)),0))</f>
        <v> </v>
      </c>
      <c r="CV145" s="340" t="str">
        <f aca="false">IF(A145="N/A"," ",IF(CC=2,(VLOOKUP(A145,ScaledPrice,9)-((IF(Z145&lt;&gt;0,$D145,$CL145)*$C145)+$F145+$G145)),0))</f>
        <v> </v>
      </c>
      <c r="CW145" s="318" t="str">
        <f aca="false">IF($A145="N/A"," ",IF(0&lt;&gt;CN145,IF(CC=2,8*$HD145,0),0))</f>
        <v> </v>
      </c>
      <c r="CX145" s="318" t="str">
        <f aca="false">IF($A145="N/A"," ",IF(0&lt;&gt;CO145,IF(CC=2,8*$HD145,0),0))</f>
        <v> </v>
      </c>
      <c r="CY145" s="318" t="str">
        <f aca="false">IF($A145="N/A"," ",IF(0&lt;&gt;CP145,IF(CC=2,8*$HD145,0),0))</f>
        <v> </v>
      </c>
      <c r="CZ145" s="318" t="str">
        <f aca="false">IF($A145="N/A"," ",IF(0&lt;&gt;CQ145,IF(CC=2,8*$HE145,0),0))</f>
        <v> </v>
      </c>
      <c r="DA145" s="318" t="str">
        <f aca="false">IF($A145="N/A"," ",IF(0&lt;&gt;CR145,IF(CC=2,8*$HE145,0),0))</f>
        <v> </v>
      </c>
      <c r="DB145" s="318" t="str">
        <f aca="false">IF($A145="N/A"," ",IF(0&lt;&gt;CS145,IF(CC=2,8*$HE145,0),0))</f>
        <v> </v>
      </c>
      <c r="DC145" s="318" t="str">
        <f aca="false">IF($A145="N/A"," ",IF(0&lt;&gt;CT145,IF(CC=2,8*$HF145,0),0))</f>
        <v> </v>
      </c>
      <c r="DD145" s="318" t="str">
        <f aca="false">IF($A145="N/A"," ",IF(0&lt;&gt;CU145,IF(CC=2,8*$HF145,0),0))</f>
        <v> </v>
      </c>
      <c r="DE145" s="318" t="str">
        <f aca="false">IF($A145="N/A"," ",IF(0&lt;&gt;CV145,IF(CC=2,8*$HF145,0),0))</f>
        <v> </v>
      </c>
      <c r="DF145" s="341" t="str">
        <f aca="false">IF($A145="N/A"," ",IF(CC=2,(IF(MONTH(A145)&gt;=4,IF(MONTH(A145)&lt;=10,Inputs!$G$13,Inputs!$G$14),Inputs!$G$14))*$CK145,0))</f>
        <v> </v>
      </c>
      <c r="DG145" s="342" t="str">
        <f aca="false">IF($A145="N/A"," ",IF(CC=2,$DF145*CW145*CN145,0))</f>
        <v> </v>
      </c>
      <c r="DH145" s="342" t="str">
        <f aca="false">IF($A145="N/A"," ",IF(CC=2,$DF145*CX145*CO145,0))</f>
        <v> </v>
      </c>
      <c r="DI145" s="342" t="str">
        <f aca="false">IF($A145="N/A"," ",IF(CC=2,$DF145*CY145*CP145,0))</f>
        <v> </v>
      </c>
      <c r="DJ145" s="342" t="str">
        <f aca="false">IF($A145="N/A"," ",IF(CC=2,$DF145*CZ145*CQ145,0))</f>
        <v> </v>
      </c>
      <c r="DK145" s="342" t="str">
        <f aca="false">IF($A145="N/A"," ",IF(CC=2,$DF145*DA145*CR145,0))</f>
        <v> </v>
      </c>
      <c r="DL145" s="342" t="str">
        <f aca="false">IF($A145="N/A"," ",IF(CC=2,$DF145*DB145*CS145,0))</f>
        <v> </v>
      </c>
      <c r="DM145" s="342" t="str">
        <f aca="false">IF($A145="N/A"," ",IF(CC=2,$DF145*DC145*CT145,0))</f>
        <v> </v>
      </c>
      <c r="DN145" s="342" t="str">
        <f aca="false">IF($A145="N/A"," ",IF(CC=2,$DF145*DD145*CU145,0))</f>
        <v> </v>
      </c>
      <c r="DO145" s="342" t="str">
        <f aca="false">IF($A145="N/A"," ",IF(CC=2,$DF145*DE145*CV145,0))</f>
        <v> </v>
      </c>
      <c r="DP145" s="343" t="str">
        <f aca="false">IF($A145="N/A"," ",IF(CC=2,SUM(DG145:DO145),0))</f>
        <v> </v>
      </c>
      <c r="DQ145" s="0" t="str">
        <f aca="false">IF(A145="N/A"," ",Perstart)</f>
        <v> </v>
      </c>
      <c r="HD145" s="0" t="str">
        <f aca="false">IF($A145="N/A"," ",VLOOKUP($A145,NumberofDaysTable,2))</f>
        <v> </v>
      </c>
      <c r="HE145" s="0" t="str">
        <f aca="false">IF($A145="N/A"," ",VLOOKUP($A145,NumberofDaysTable,3))</f>
        <v> </v>
      </c>
      <c r="HF145" s="0" t="str">
        <f aca="false">IF($A145="N/A"," ",VLOOKUP($A145,NumberofDaysTable,4))</f>
        <v> </v>
      </c>
    </row>
    <row r="146" customFormat="false" ht="12.75" hidden="false" customHeight="false" outlineLevel="0" collapsed="false">
      <c r="A146" s="308" t="str">
        <f aca="false">IF(A145="N/A","N/A",IF(EDATE(A145,1)&gt;Inputs!$K$3,"N/A",EDATE(A145,1)))</f>
        <v>N/A</v>
      </c>
      <c r="B146" s="309" t="str">
        <f aca="false">IF(A146="N/A"," ",YEAR(A146))</f>
        <v> </v>
      </c>
      <c r="C146" s="310" t="str">
        <f aca="false">IF(A146="N/A"," ",VLOOKUP(A146,ScaledPrice,10))</f>
        <v> </v>
      </c>
      <c r="D146" s="311" t="str">
        <f aca="false">IF(A146="N/A"," ",(VLOOKUP(MONTH($A146),Hrtable,2))/1000)</f>
        <v> </v>
      </c>
      <c r="E146" s="312" t="str">
        <f aca="false">IF($A146="N/A"," ",(C146-'Pricing Inputs'!T179)*D146)</f>
        <v> </v>
      </c>
      <c r="F146" s="313" t="str">
        <f aca="false">IF(A146="N/A"," ",$F134*(1+VOMesc))</f>
        <v> </v>
      </c>
      <c r="G146" s="313" t="str">
        <f aca="false">IF(A146="N/A"," ",Perstart/IF(AND(Dayrun&gt;=4,Dayrun&lt;=6),16,IF(AND(Dayrun&gt;=7,Dayrun&lt;=9),8,24))/(BM146/CK146))</f>
        <v> </v>
      </c>
      <c r="H146" s="314" t="str">
        <f aca="false">IF(A146="N/A"," ",(C146*D146)+F146+G146)</f>
        <v> </v>
      </c>
      <c r="I146" s="315" t="str">
        <f aca="false">VLOOKUP(A146,ScaledPrice,(IF(AND(Dayrun&gt;=1,Dayrun&lt;=6),2,4)))</f>
        <v> </v>
      </c>
      <c r="J146" s="315" t="str">
        <f aca="false">IF(A146="N/A"," ",IF(AND(Dayrun&gt;=1,Dayrun&lt;=6),I146,(VLOOKUP(A146,ScaledPrice,2))*(2-(VLOOKUP(A146,ScaledPrice,3)))))</f>
        <v> </v>
      </c>
      <c r="K146" s="315" t="str">
        <f aca="false">IF(A146="N/A"," ",IF(AND(Dayrun&gt;=1,Dayrun&lt;=3),VLOOKUP(A146,ScaledPrice,9),0))</f>
        <v> </v>
      </c>
      <c r="L146" s="315" t="str">
        <f aca="false">IF(A146="N/A"," ",IF(OR(Dayrun=2,Dayrun=3,Dayrun=5,Dayrun=6,Dayrun=8,Dayrun=9),VLOOKUP(A146,ScaledPrice,IF(AND(Dayrun&gt;=2,Dayrun&lt;=6),5,6)),0))</f>
        <v> </v>
      </c>
      <c r="M146" s="315" t="str">
        <f aca="false">IF(A146="N/A"," ",IF(OR(Dayrun=2,Dayrun=3,Dayrun=5,Dayrun=6,Dayrun=8,Dayrun=9),IF(AND(Dayrun&gt;=2,Dayrun&lt;=6),L146,(VLOOKUP(A146,ScaledPrice,5))*(2-(VLOOKUP(A146,ScaledPrice,3)))),0))</f>
        <v> </v>
      </c>
      <c r="N146" s="315" t="str">
        <f aca="false">IF(A146="N/A"," ",IF(AND(Dayrun&gt;1,Dayrun&lt;=3),VLOOKUP(A146,ScaledPrice,9),0))</f>
        <v> </v>
      </c>
      <c r="O146" s="315" t="str">
        <f aca="false">IF(A146="N/A"," ",IF(OR(Dayrun=3,Dayrun=6,Dayrun=9),(VLOOKUP(A146,ScaledPrice,IF(AND(Dayrun&gt;=3,Dayrun&lt;=6),7,8))),0))</f>
        <v> </v>
      </c>
      <c r="P146" s="315" t="str">
        <f aca="false">IF(A146="N/A"," ",IF(OR(Dayrun=3,Dayrun=6,Dayrun=9),IF(AND(Dayrun&gt;=3,Dayrun&lt;=6),O146,(VLOOKUP(A146,ScaledPrice,7))*(2-(VLOOKUP(A146,ScaledPrice,3)))),0))</f>
        <v> </v>
      </c>
      <c r="Q146" s="315" t="str">
        <f aca="false">IF(A146="N/A"," ",IF(AND(Dayrun&gt;2,Dayrun&lt;=3),VLOOKUP(A146,ScaledPrice,9),0))</f>
        <v> </v>
      </c>
      <c r="R146" s="316" t="str">
        <f aca="false">IF($A146="N/A"," ",IF(Pricetype=2,MAX(I146-$H146,0),IF(Pricetype=1,(xSPRDOPT(I146,$E146,$CI146,0,($CD146+IF(Smile=TRUE(),VLOOKUP(MAX(-5,$H146-I146),Volsmile,2),0)),$CG146,$CH146,($A146-DateToday)+15,1,0)),I146-$H146)))</f>
        <v> </v>
      </c>
      <c r="S146" s="316" t="str">
        <f aca="false">IF($A146="N/A"," ",IF(Pricetype=2,MAX(J146-$H146,0),IF(Pricetype=1,(xSPRDOPT(J146,$E146,$CI146,0,($CD146+IF(Smile=TRUE(),VLOOKUP(MAX(-5,$H146-J146),Volsmile,2),0)),$CG146,$CH146,($A146-DateToday)+15,1,0)),J146-$H146)))</f>
        <v> </v>
      </c>
      <c r="T146" s="317" t="str">
        <f aca="false">IF($A146="N/A"," ",(IF(Pricetype=2,IF((K146-$H146)&lt;=0,0,(K146-$H146)),IF(K146&lt;&gt;0,(K146-$H146),0))))</f>
        <v> </v>
      </c>
      <c r="U146" s="316" t="str">
        <f aca="false">IF($A146="N/A"," ",IF(Pricetype=2,MAX(L146-$H146,0),IF(L146&lt;&gt;0,IF(Pricetype=1,(xSPRDOPT(L146,$E146,$CI146,0,($CD146+IF(Smile=TRUE(),VLOOKUP(MAX(-5,$H146-L146),Volsmile,2),0)),$CG146,$CH146,($A146-DateToday)+15,1,0)),L146-$H146),0)))</f>
        <v> </v>
      </c>
      <c r="V146" s="316" t="str">
        <f aca="false">IF($A146="N/A"," ",IF(Pricetype=2,MAX(M146-$H146,0),IF(M146&lt;&gt;0,IF(Pricetype=1,(xSPRDOPT(M146,$E146,$CI146,0,($CD146+IF(Smile=TRUE(),VLOOKUP(MAX(-5,$H146-M146),Volsmile,2),0)),$CG146,$CH146,($A146-DateToday)+15,1,0)),M146-$H146),0)))</f>
        <v> </v>
      </c>
      <c r="W146" s="317" t="str">
        <f aca="false">IF($A146="N/A"," ",(IF(Pricetype=2,IF((N146-$H146)&lt;=0,0,(N146-$H146)),IF(N146&lt;&gt;0,(N146-$H146),0))))</f>
        <v> </v>
      </c>
      <c r="X146" s="316" t="str">
        <f aca="false">IF($A146="N/A"," ",IF(Pricetype=2,MAX(O146-$H146,0),IF(O146&lt;&gt;0,IF(Pricetype=1,(xSPRDOPT(O146,$E146,$CI146,0,($CD146+IF(Smile=TRUE(),VLOOKUP(MAX(-5,$H146-O146),Volsmile,2),0)),$CG146,$CH146,($A146-DateToday)+15,1,0)),O146-$H146),0)))</f>
        <v> </v>
      </c>
      <c r="Y146" s="316" t="str">
        <f aca="false">IF($A146="N/A"," ",IF(Pricetype=2,MAX(P146-$H146,0),IF(P146&lt;&gt;0,IF(Pricetype=1,(xSPRDOPT(P146,$E146,$CI146,0,($CD146+IF(Smile=TRUE(),VLOOKUP(MAX(-5,$H146-P146),Volsmile,2),0)),$CG146,$CH146,($A146-DateToday)+15,1,0)),P146-$H146),0)))</f>
        <v> </v>
      </c>
      <c r="Z146" s="317" t="str">
        <f aca="false">IF($A146="N/A"," ",(IF(Pricetype=2,IF((Q146-$H146)&lt;=0,0,(Q146-$H146)),IF(Q146&lt;&gt;0,(Q146-$H146),0))))</f>
        <v> </v>
      </c>
      <c r="AA146" s="318" t="str">
        <f aca="false">IF($A146="N/A"," ",IF(VLOOKUP(MONTH(A146),ManualTable,2)=1,(IF(0&lt;&gt;R146,IF(Pricetype=1,(xSPRDOPT(I146,$E146,$CI146,0,($CD146+IF(Smile=TRUE(),VLOOKUP(MAX(-5,$H146-I146),Volsmile,2),0)),$CG146,$CH146,($A146-DateToday)+15,1,1))*(8*$HD146),8*$HD146),0)),0))</f>
        <v> </v>
      </c>
      <c r="AB146" s="318" t="str">
        <f aca="false">IF($A146="N/A"," ",IF(VLOOKUP(MONTH(A146),ManualTable,3)=1,(IF(S146&lt;&gt;0,IF(Pricetype=1,(xSPRDOPT(J146,$E146,$CI146,0,($CD146+IF(Smile=TRUE(),VLOOKUP(MAX(-5,$H146-J146),Volsmile,2),0)),$CG146,$CH146,($A146-DateToday)+15,1,1))*(8*$HD146),8*$HD146),0)),0))</f>
        <v> </v>
      </c>
      <c r="AC146" s="318" t="str">
        <f aca="false">IF($A146="N/A"," ",IF(VLOOKUP(MONTH(A146),ManualTable,4)=1,(IF(T146&lt;&gt;0,(8*$HD146),0)),0))</f>
        <v> </v>
      </c>
      <c r="AD146" s="318" t="str">
        <f aca="false">IF($A146="N/A"," ",IF(VLOOKUP(MONTH(A146),ManualTable,5)=1,(IF(U146&lt;&gt;0,IF(Pricetype=1,(xSPRDOPT(L146,$E146,$CI146,0,($CD146+IF(Smile=TRUE(),VLOOKUP(MAX(-5,$H146-L146),Volsmile,2),0)),$CG146,$CH146,($A146-DateToday)+15,1,1))*(8*$HE146),8*$HE146),0)),0))</f>
        <v> </v>
      </c>
      <c r="AE146" s="318" t="str">
        <f aca="false">IF($A146="N/A"," ",IF(VLOOKUP(MONTH(A146),ManualTable,6)=1,(IF(V146&lt;&gt;0,IF(Pricetype=1,(xSPRDOPT(M146,$E146,$CI146,0,($CD146+IF(Smile=TRUE(),VLOOKUP(MAX(-5,$H146-M146),Volsmile,2),0)),$CG146,$CH146,($A146-DateToday)+15,1,1))*(8*$HE146),8*$HE146),0)),0))</f>
        <v> </v>
      </c>
      <c r="AF146" s="318" t="str">
        <f aca="false">IF($A146="N/A"," ",IF(VLOOKUP(MONTH(A146),ManualTable,7)=1,(IF(W146&lt;&gt;0,(8*$HE146),0)),0))</f>
        <v> </v>
      </c>
      <c r="AG146" s="318" t="str">
        <f aca="false">IF($A146="N/A"," ",IF(VLOOKUP(MONTH(A146),ManualTable,8)=1,(IF(X146&lt;&gt;0,IF(Pricetype=1,(xSPRDOPT(O146,$E146,$CI146,0,($CD146+IF(Smile=TRUE(),VLOOKUP(MAX(-5,$H146-O146),Volsmile,2),0)),$CG146,$CH146,($A146-DateToday)+15,1,1))*(8*$HF146),8*$HF146),0)),0))</f>
        <v> </v>
      </c>
      <c r="AH146" s="318" t="str">
        <f aca="false">IF($A146="N/A"," ",IF(VLOOKUP(MONTH(A146),ManualTable,9)=1,(IF(Y146&lt;&gt;0,IF(Pricetype=1,(xSPRDOPT(P146,$E146,$CI146,0,($CD146+IF(Smile=TRUE(),VLOOKUP(MAX(-5,$H146-P146),Volsmile,2),0)),$CG146,$CH146,($A146-DateToday)+15,1,1))*(8*$HF146),8*$HF146),0)),0))</f>
        <v> </v>
      </c>
      <c r="AI146" s="318" t="str">
        <f aca="false">IF($A146="N/A"," ",IF(VLOOKUP(MONTH(A146),ManualTable,10)=1,(IF(Z146&lt;&gt;0,(8*($HF146)),0)),0))</f>
        <v> </v>
      </c>
      <c r="AJ146" s="344" t="str">
        <f aca="false">IF($A146="N/A"," ",RANK(R146,$R$136:$Z$147))</f>
        <v> </v>
      </c>
      <c r="AK146" s="321" t="str">
        <f aca="false">IF($A146="N/A"," ",RANK(S146,$R$136:$Z$147))</f>
        <v> </v>
      </c>
      <c r="AL146" s="321" t="str">
        <f aca="false">IF($A146="N/A"," ",RANK(T146,$R$136:$Z$147))</f>
        <v> </v>
      </c>
      <c r="AM146" s="321" t="str">
        <f aca="false">IF($A146="N/A"," ",RANK(U146,$R$136:$Z$147))</f>
        <v> </v>
      </c>
      <c r="AN146" s="321" t="str">
        <f aca="false">IF($A146="N/A"," ",RANK(V146,$R$136:$Z$147))</f>
        <v> </v>
      </c>
      <c r="AO146" s="321" t="str">
        <f aca="false">IF($A146="N/A"," ",RANK(W146,$R$136:$Z$147))</f>
        <v> </v>
      </c>
      <c r="AP146" s="321" t="str">
        <f aca="false">IF($A146="N/A"," ",RANK(X146,$R$136:$Z$147))</f>
        <v> </v>
      </c>
      <c r="AQ146" s="321" t="str">
        <f aca="false">IF($A146="N/A"," ",RANK(Y146,$R$136:$Z$147))</f>
        <v> </v>
      </c>
      <c r="AR146" s="345" t="str">
        <f aca="false">IF($A146="N/A"," ",RANK(Z146,$R$136:$Z$147))</f>
        <v> </v>
      </c>
      <c r="AS146" s="323" t="str">
        <f aca="false">IF($A146="N/A"," ",IF(AJ146&lt;=$AR$2,AA146,0))</f>
        <v> </v>
      </c>
      <c r="AT146" s="325" t="str">
        <f aca="false">IF($A146="N/A"," ",IF(AK146&lt;=$AR$2,AB146,0))</f>
        <v> </v>
      </c>
      <c r="AU146" s="325" t="str">
        <f aca="false">IF($A146="N/A"," ",IF(AL146&lt;=$AR$2,AC146,0))</f>
        <v> </v>
      </c>
      <c r="AV146" s="325" t="str">
        <f aca="false">IF($A146="N/A"," ",IF(AM146&lt;=$AR$2,AD146,0))</f>
        <v> </v>
      </c>
      <c r="AW146" s="325" t="str">
        <f aca="false">IF($A146="N/A"," ",IF(AN146&lt;=$AR$2,AE146,0))</f>
        <v> </v>
      </c>
      <c r="AX146" s="325" t="str">
        <f aca="false">IF($A146="N/A"," ",IF(AO146&lt;=$AR$2,AF146,0))</f>
        <v> </v>
      </c>
      <c r="AY146" s="325" t="str">
        <f aca="false">IF($A146="N/A"," ",IF(AP146&lt;=$AR$2,AG146,0))</f>
        <v> </v>
      </c>
      <c r="AZ146" s="325" t="str">
        <f aca="false">IF($A146="N/A"," ",IF(AQ146&lt;=$AR$2,AH146,0))</f>
        <v> </v>
      </c>
      <c r="BA146" s="325" t="str">
        <f aca="false">IF($A146="N/A"," ",IF(AR146&lt;=$AR$2,AI146,0))</f>
        <v> </v>
      </c>
      <c r="BB146" s="345" t="n">
        <f aca="false">SUM(AS136:BA147)</f>
        <v>0</v>
      </c>
      <c r="BC146" s="326" t="str">
        <f aca="false">IF($A146="N/A"," ",IF(AND(AJ146=$AR$2+1,AS146=0),MIN($BB$147,AA146),0))</f>
        <v> </v>
      </c>
      <c r="BD146" s="346" t="str">
        <f aca="false">IF($A146="N/A"," ",IF(AND(AK146=$AR$2+1,AT146=0),MIN($BB$147,AB146),0))</f>
        <v> </v>
      </c>
      <c r="BE146" s="346" t="str">
        <f aca="false">IF($A146="N/A"," ",IF(AND(AL146=$AR$2+1,AU146=0),MIN($BB$147,AC146),0))</f>
        <v> </v>
      </c>
      <c r="BF146" s="346" t="str">
        <f aca="false">IF($A146="N/A"," ",IF(AND(AM146=$AR$2+1,AV146=0),MIN($BB$147,AD146),0))</f>
        <v> </v>
      </c>
      <c r="BG146" s="346" t="str">
        <f aca="false">IF($A146="N/A"," ",IF(AND(AN146=$AR$2+1,AW146=0),MIN($BB$147,AE146),0))</f>
        <v> </v>
      </c>
      <c r="BH146" s="346" t="str">
        <f aca="false">IF($A146="N/A"," ",IF(AND(AO146=$AR$2+1,AX146=0),MIN($BB$147,AF146),0))</f>
        <v> </v>
      </c>
      <c r="BI146" s="346" t="str">
        <f aca="false">IF($A146="N/A"," ",IF(AND(AP146=$AR$2+1,AY146=0),MIN($BB$147,AG146),0))</f>
        <v> </v>
      </c>
      <c r="BJ146" s="346" t="str">
        <f aca="false">IF($A146="N/A"," ",IF(AND(AQ146=$AR$2+1,AZ146=0),MIN($BB$147,AH146),0))</f>
        <v> </v>
      </c>
      <c r="BK146" s="346" t="str">
        <f aca="false">IF($A146="N/A"," ",IF(AND(AR146=$AR$2+1,BA146=0),MIN($BB$147,AI146),0))</f>
        <v> </v>
      </c>
      <c r="BL146" s="345" t="n">
        <f aca="false">SUM(BC136:BK147)</f>
        <v>0</v>
      </c>
      <c r="BM146" s="329" t="str">
        <f aca="false">IF($A146="N/A"," ",(IF(MONTH(A146)&gt;=4,IF(MONTH(A146)&lt;=10,Inputs!$F$13-Inputs!$G$13,Inputs!$F$14-Inputs!$G$14),Inputs!$F$14-Inputs!$G$14))*$CK146*Availability)</f>
        <v> </v>
      </c>
      <c r="BN146" s="330" t="str">
        <f aca="false">IF($A146="N/A"," ",(IF(AS146&gt;0,($BM146*(8*($HD146))*R146),0)+IF(BC146&gt;0,($BM146*((BC146/AA146)*8*$HD146)*R146),0)))</f>
        <v> </v>
      </c>
      <c r="BO146" s="330" t="str">
        <f aca="false">IF($A146="N/A"," ",(IF(AT146&gt;0,($BM146*(8*($HD146))*S146),0)+IF(BD146&gt;0,($BM146*((BD146/AB146)*8*$HD146)*S146),0)))</f>
        <v> </v>
      </c>
      <c r="BP146" s="330" t="str">
        <f aca="false">IF($A146="N/A"," ",(IF(AU146&gt;0,($BM146*(8*($HD146))*T146),0)+IF(BE146&gt;0,($BM146*((BE146))*T146),0)))</f>
        <v> </v>
      </c>
      <c r="BQ146" s="330" t="str">
        <f aca="false">IF($A146="N/A"," ",(IF(AV146&gt;0,($BM146*(8*($HE146))*U146),0)+IF(BF146&gt;0,($BM146*((BF146/AD146)*8*$HE146)*U146),0)))</f>
        <v> </v>
      </c>
      <c r="BR146" s="330" t="str">
        <f aca="false">IF($A146="N/A"," ",(IF(AW146&gt;0,($BM146*(8*($HE146))*V146),0)+IF(BG146&gt;0,($BM146*((BG146/AE146)*8*$HE146)*V146),0)))</f>
        <v> </v>
      </c>
      <c r="BS146" s="330" t="str">
        <f aca="false">IF($A146="N/A"," ",(IF(AX146&gt;0,($BM146*(8*($HE146))*W146),0)+IF(BH146&gt;0,($BM146*((BH146))*W146),0)))</f>
        <v> </v>
      </c>
      <c r="BT146" s="330" t="str">
        <f aca="false">IF($A146="N/A"," ",(IF(AY146&gt;0,($BM146*(8*($HF146))*X146),0)+IF(BI146&gt;0,($BM146*((BI146/AG146)*8*$HF146)*X146),0)))</f>
        <v> </v>
      </c>
      <c r="BU146" s="330" t="str">
        <f aca="false">IF($A146="N/A"," ",(IF(AZ146&gt;0,($BM146*(8*($HF146))*Y146),0)+IF(BJ146&gt;0,($BM146*((BJ146/AH146)*8*$HF146)*Y146),0)))</f>
        <v> </v>
      </c>
      <c r="BV146" s="330" t="str">
        <f aca="false">IF($A146="N/A"," ",(IF(BA146&gt;0,($BM146*(8*($HF146))*Z146),0)+IF(BK146&gt;0,($BM146*((BK146))*Z146),0)))</f>
        <v> </v>
      </c>
      <c r="BW146" s="330" t="str">
        <f aca="false">IF($A146="N/A"," ",SUM(BN146:BV146))</f>
        <v> </v>
      </c>
      <c r="BX146" s="331" t="str">
        <f aca="false">IF($A146="N/A"," ",(H146*(SUM(AS146:BA146)+SUM(BC146:BK146))*BM146))</f>
        <v> </v>
      </c>
      <c r="BY146" s="332" t="str">
        <f aca="false">IF($A146="N/A"," ",((C146*D146)*(SUM($AS146:$BA146)+SUM($BC146:$BK146))*$BM146))</f>
        <v> </v>
      </c>
      <c r="BZ146" s="332" t="str">
        <f aca="false">IF($A146="N/A"," ",(F146*(SUM($AS146:$BA146)+SUM($BC146:$BK146))*$BM146))</f>
        <v> </v>
      </c>
      <c r="CA146" s="333" t="str">
        <f aca="false">IF($A146="N/A"," ",(G146*(SUM($AS146:$BA146)+SUM($BC146:$BK146))*$BM146))</f>
        <v> </v>
      </c>
      <c r="CB146" s="334" t="str">
        <f aca="false">IF(A146="N/A"," ",(VLOOKUP(A146,PowerVolTable,(IF(BMO=2,7,IF(BMO=1,6,8))),FALSE())))</f>
        <v> </v>
      </c>
      <c r="CC146" s="334" t="str">
        <f aca="false">IF(A146="N/A"," ",(VLOOKUP(A146,IntraPowerVol,(IF(BMO=2,3,IF(BMO=1,2,4))),FALSE())*VLOOKUP(MONTH($A146),Volscale,2)))</f>
        <v> </v>
      </c>
      <c r="CD146" s="335" t="str">
        <f aca="false">IF($A146="N/A"," ",(IF(DateToday&gt;$A146,$CC146,((($CB146^2)*((($A146-1)-DateToday)/((EOMONTH($A146,0)+1)-DateToday-15)))+((($CC146)^2)*((15)/((EOMONTH($A146,0)+1)-DateToday-15))))^0.5)))</f>
        <v> </v>
      </c>
      <c r="CE146" s="334" t="str">
        <f aca="false">IF($A146="N/A"," ",(VLOOKUP($A146,GasVolTable,(IF(BMO=2,6,IF(BMO=1,7,5))),FALSE())))</f>
        <v> </v>
      </c>
      <c r="CF146" s="334" t="str">
        <f aca="false">IF($A146="N/A"," ",(VLOOKUP($A146,OmicronVol,(IF(BMO=2,3,IF(BMO=1,4,2))),FALSE())))</f>
        <v> </v>
      </c>
      <c r="CG146" s="335" t="str">
        <f aca="false">IF($A146="N/A"," ",(IF(DateToday&gt;$A146,$CF146,((($CE146^2)*((($A146-1)-DateToday)/((EOMONTH($A146,0)+1)-DateToday-15)))+((($CF146)^2)*((15)/((EOMONTH($A146,0)+1)-DateToday-15))))^0.5)))</f>
        <v> </v>
      </c>
      <c r="CH146" s="334" t="str">
        <f aca="false">IF($A146="N/A"," ",VLOOKUP($A146,CorrelationTable,2,FALSE()))</f>
        <v> </v>
      </c>
      <c r="CI146" s="336" t="str">
        <f aca="false">IF($A146="N/A"," ",F146+G146+(D146*('Pricing Inputs'!T179)))</f>
        <v> </v>
      </c>
      <c r="CJ146" s="334" t="str">
        <f aca="false">IF($A146="N/A"," ",IF(PV=1,0,'Pricing Inputs'!U179))</f>
        <v> </v>
      </c>
      <c r="CK146" s="337" t="str">
        <f aca="false">IF($A146="N/A"," ",(1+CJ146/2)^(-2*((EOMONTH(A146,0)+20)-DateToday)/365.25))</f>
        <v> </v>
      </c>
      <c r="CL146" s="338" t="str">
        <f aca="false">IF(A146="N/A"," ",IF(CC=2,(VLOOKUP(MONTH($A146),Hrtable,3))/1000,0))</f>
        <v> </v>
      </c>
      <c r="CM146" s="339" t="str">
        <f aca="false">IF(A146="N/A"," ",IF(CC=2,(CL146*C146)+F146,0))</f>
        <v> </v>
      </c>
      <c r="CN146" s="340" t="str">
        <f aca="false">IF($A146="N/A"," ",IF(CC=2,(VLOOKUP(A146,ScaledPrice,(IF(AND(Dayrun&gt;=1,Dayrun&lt;=6),2,4)))-((IF(R146&lt;&gt;0,$D146,$CL146)*$C146)+$F146+$G146)),0))</f>
        <v> </v>
      </c>
      <c r="CO146" s="340" t="str">
        <f aca="false">IF($A146="N/A"," ",IF(CC=2,(IF(AND(Dayrun&gt;=1,Dayrun&lt;=6),I146,(VLOOKUP(A146,ScaledPrice,2))*(2-(VLOOKUP(A146,ScaledPrice,3))))-((IF(S146&lt;&gt;0,$D146,$CL146)*$C146)+$F146+$G146)),0))</f>
        <v> </v>
      </c>
      <c r="CP146" s="340" t="str">
        <f aca="false">IF(A146="N/A"," ",IF(CC=2,(VLOOKUP(A146,ScaledPrice,9)-((IF(T146&lt;&gt;0,$D146,$CL146)*$C146)+$F146+$G146)),0))</f>
        <v> </v>
      </c>
      <c r="CQ146" s="340" t="str">
        <f aca="false">IF(A146="N/A"," ",IF(CC=2,(IF(OR(Dayrun=2,Dayrun=3,Dayrun=5,Dayrun=6,Dayrun=8,Dayrun=9),VLOOKUP(A146,ScaledPrice,IF(AND(Dayrun&gt;=2,Dayrun&lt;=6),5,6)),0)-((IF(U146&lt;&gt;0,$D146,$CL146)*$C146)+$F146+$G146)),0))</f>
        <v> </v>
      </c>
      <c r="CR146" s="340" t="str">
        <f aca="false">IF(A146="N/A"," ",IF(CC=2,(IF(OR(Dayrun=2,Dayrun=3,Dayrun=5,Dayrun=6,Dayrun=8,Dayrun=9),IF(AND(Dayrun&gt;=2,Dayrun&lt;=6),L146,(VLOOKUP(A146,ScaledPrice,5))*(2-(VLOOKUP(A146,ScaledPrice,3)))),0)-((IF(V146&lt;&gt;0,$D146,$CL146)*$C146)+$F146+$G146)),0))</f>
        <v> </v>
      </c>
      <c r="CS146" s="340" t="str">
        <f aca="false">IF(A146="N/A"," ",IF(CC=2,(VLOOKUP(A146,ScaledPrice,9)-((IF(W146&lt;&gt;0,$D146,$CL146)*$C146)+$F146+$G146)),0))</f>
        <v> </v>
      </c>
      <c r="CT146" s="340" t="str">
        <f aca="false">IF(A146="N/A"," ",IF(CC=2,(IF(OR(Dayrun=3,Dayrun=6,Dayrun=9),(VLOOKUP(A146,ScaledPrice,IF(AND(Dayrun&gt;=3,Dayrun&lt;=6),7,8))),0)-((IF(X146&lt;&gt;0,$D146,$CL146)*$C146)+$F146+$G146)),0))</f>
        <v> </v>
      </c>
      <c r="CU146" s="340" t="str">
        <f aca="false">IF(A146="N/A"," ",IF(CC=2,(IF(OR(Dayrun=3,Dayrun=6,Dayrun=9),IF(AND(Dayrun&gt;=3,Dayrun&lt;=6),O146,(VLOOKUP(A146,ScaledPrice,7))*(2-(VLOOKUP(A146,ScaledPrice,3)))),0)-((IF(Y146&lt;&gt;0,$D146,$CL146)*$C146)+$F146+$G146)),0))</f>
        <v> </v>
      </c>
      <c r="CV146" s="340" t="str">
        <f aca="false">IF(A146="N/A"," ",IF(CC=2,(VLOOKUP(A146,ScaledPrice,9)-((IF(Z146&lt;&gt;0,$D146,$CL146)*$C146)+$F146+$G146)),0))</f>
        <v> </v>
      </c>
      <c r="CW146" s="318" t="str">
        <f aca="false">IF($A146="N/A"," ",IF(0&lt;&gt;CN146,IF(CC=2,8*$HD146,0),0))</f>
        <v> </v>
      </c>
      <c r="CX146" s="318" t="str">
        <f aca="false">IF($A146="N/A"," ",IF(0&lt;&gt;CO146,IF(CC=2,8*$HD146,0),0))</f>
        <v> </v>
      </c>
      <c r="CY146" s="318" t="str">
        <f aca="false">IF($A146="N/A"," ",IF(0&lt;&gt;CP146,IF(CC=2,8*$HD146,0),0))</f>
        <v> </v>
      </c>
      <c r="CZ146" s="318" t="str">
        <f aca="false">IF($A146="N/A"," ",IF(0&lt;&gt;CQ146,IF(CC=2,8*$HE146,0),0))</f>
        <v> </v>
      </c>
      <c r="DA146" s="318" t="str">
        <f aca="false">IF($A146="N/A"," ",IF(0&lt;&gt;CR146,IF(CC=2,8*$HE146,0),0))</f>
        <v> </v>
      </c>
      <c r="DB146" s="318" t="str">
        <f aca="false">IF($A146="N/A"," ",IF(0&lt;&gt;CS146,IF(CC=2,8*$HE146,0),0))</f>
        <v> </v>
      </c>
      <c r="DC146" s="318" t="str">
        <f aca="false">IF($A146="N/A"," ",IF(0&lt;&gt;CT146,IF(CC=2,8*$HF146,0),0))</f>
        <v> </v>
      </c>
      <c r="DD146" s="318" t="str">
        <f aca="false">IF($A146="N/A"," ",IF(0&lt;&gt;CU146,IF(CC=2,8*$HF146,0),0))</f>
        <v> </v>
      </c>
      <c r="DE146" s="318" t="str">
        <f aca="false">IF($A146="N/A"," ",IF(0&lt;&gt;CV146,IF(CC=2,8*$HF146,0),0))</f>
        <v> </v>
      </c>
      <c r="DF146" s="341" t="str">
        <f aca="false">IF($A146="N/A"," ",IF(CC=2,(IF(MONTH(A146)&gt;=4,IF(MONTH(A146)&lt;=10,Inputs!$G$13,Inputs!$G$14),Inputs!$G$14))*$CK146,0))</f>
        <v> </v>
      </c>
      <c r="DG146" s="342" t="str">
        <f aca="false">IF($A146="N/A"," ",IF(CC=2,$DF146*CW146*CN146,0))</f>
        <v> </v>
      </c>
      <c r="DH146" s="342" t="str">
        <f aca="false">IF($A146="N/A"," ",IF(CC=2,$DF146*CX146*CO146,0))</f>
        <v> </v>
      </c>
      <c r="DI146" s="342" t="str">
        <f aca="false">IF($A146="N/A"," ",IF(CC=2,$DF146*CY146*CP146,0))</f>
        <v> </v>
      </c>
      <c r="DJ146" s="342" t="str">
        <f aca="false">IF($A146="N/A"," ",IF(CC=2,$DF146*CZ146*CQ146,0))</f>
        <v> </v>
      </c>
      <c r="DK146" s="342" t="str">
        <f aca="false">IF($A146="N/A"," ",IF(CC=2,$DF146*DA146*CR146,0))</f>
        <v> </v>
      </c>
      <c r="DL146" s="342" t="str">
        <f aca="false">IF($A146="N/A"," ",IF(CC=2,$DF146*DB146*CS146,0))</f>
        <v> </v>
      </c>
      <c r="DM146" s="342" t="str">
        <f aca="false">IF($A146="N/A"," ",IF(CC=2,$DF146*DC146*CT146,0))</f>
        <v> </v>
      </c>
      <c r="DN146" s="342" t="str">
        <f aca="false">IF($A146="N/A"," ",IF(CC=2,$DF146*DD146*CU146,0))</f>
        <v> </v>
      </c>
      <c r="DO146" s="342" t="str">
        <f aca="false">IF($A146="N/A"," ",IF(CC=2,$DF146*DE146*CV146,0))</f>
        <v> </v>
      </c>
      <c r="DP146" s="343" t="str">
        <f aca="false">IF($A146="N/A"," ",IF(CC=2,SUM(DG146:DO146),0))</f>
        <v> </v>
      </c>
      <c r="DQ146" s="0" t="str">
        <f aca="false">IF(A146="N/A"," ",Perstart)</f>
        <v> </v>
      </c>
      <c r="HD146" s="0" t="str">
        <f aca="false">IF($A146="N/A"," ",VLOOKUP($A146,NumberofDaysTable,2))</f>
        <v> </v>
      </c>
      <c r="HE146" s="0" t="str">
        <f aca="false">IF($A146="N/A"," ",VLOOKUP($A146,NumberofDaysTable,3))</f>
        <v> </v>
      </c>
      <c r="HF146" s="0" t="str">
        <f aca="false">IF($A146="N/A"," ",VLOOKUP($A146,NumberofDaysTable,4))</f>
        <v> </v>
      </c>
    </row>
    <row r="147" customFormat="false" ht="12.75" hidden="false" customHeight="false" outlineLevel="0" collapsed="false">
      <c r="A147" s="308" t="str">
        <f aca="false">IF(A146="N/A","N/A",IF(EDATE(A146,1)&gt;Inputs!$K$3,"N/A",EDATE(A146,1)))</f>
        <v>N/A</v>
      </c>
      <c r="B147" s="309" t="str">
        <f aca="false">IF(A147="N/A"," ",YEAR(A147))</f>
        <v> </v>
      </c>
      <c r="C147" s="310" t="str">
        <f aca="false">IF(A147="N/A"," ",VLOOKUP(A147,ScaledPrice,10))</f>
        <v> </v>
      </c>
      <c r="D147" s="311" t="str">
        <f aca="false">IF(A147="N/A"," ",(VLOOKUP(MONTH($A147),Hrtable,2))/1000)</f>
        <v> </v>
      </c>
      <c r="E147" s="312" t="str">
        <f aca="false">IF($A147="N/A"," ",(C147-'Pricing Inputs'!T180)*D147)</f>
        <v> </v>
      </c>
      <c r="F147" s="313" t="str">
        <f aca="false">IF(A147="N/A"," ",$F135*(1+VOMesc))</f>
        <v> </v>
      </c>
      <c r="G147" s="313" t="str">
        <f aca="false">IF(A147="N/A"," ",Perstart/IF(AND(Dayrun&gt;=4,Dayrun&lt;=6),16,IF(AND(Dayrun&gt;=7,Dayrun&lt;=9),8,24))/(BM147/CK147))</f>
        <v> </v>
      </c>
      <c r="H147" s="314" t="str">
        <f aca="false">IF(A147="N/A"," ",(C147*D147)+F147+G147)</f>
        <v> </v>
      </c>
      <c r="I147" s="315" t="str">
        <f aca="false">VLOOKUP(A147,ScaledPrice,(IF(AND(Dayrun&gt;=1,Dayrun&lt;=6),2,4)))</f>
        <v> </v>
      </c>
      <c r="J147" s="315" t="str">
        <f aca="false">IF(A147="N/A"," ",IF(AND(Dayrun&gt;=1,Dayrun&lt;=6),I147,(VLOOKUP(A147,ScaledPrice,2))*(2-(VLOOKUP(A147,ScaledPrice,3)))))</f>
        <v> </v>
      </c>
      <c r="K147" s="315" t="str">
        <f aca="false">IF(A147="N/A"," ",IF(AND(Dayrun&gt;=1,Dayrun&lt;=3),VLOOKUP(A147,ScaledPrice,9),0))</f>
        <v> </v>
      </c>
      <c r="L147" s="315" t="str">
        <f aca="false">IF(A147="N/A"," ",IF(OR(Dayrun=2,Dayrun=3,Dayrun=5,Dayrun=6,Dayrun=8,Dayrun=9),VLOOKUP(A147,ScaledPrice,IF(AND(Dayrun&gt;=2,Dayrun&lt;=6),5,6)),0))</f>
        <v> </v>
      </c>
      <c r="M147" s="315" t="str">
        <f aca="false">IF(A147="N/A"," ",IF(OR(Dayrun=2,Dayrun=3,Dayrun=5,Dayrun=6,Dayrun=8,Dayrun=9),IF(AND(Dayrun&gt;=2,Dayrun&lt;=6),L147,(VLOOKUP(A147,ScaledPrice,5))*(2-(VLOOKUP(A147,ScaledPrice,3)))),0))</f>
        <v> </v>
      </c>
      <c r="N147" s="315" t="str">
        <f aca="false">IF(A147="N/A"," ",IF(AND(Dayrun&gt;1,Dayrun&lt;=3),VLOOKUP(A147,ScaledPrice,9),0))</f>
        <v> </v>
      </c>
      <c r="O147" s="315" t="str">
        <f aca="false">IF(A147="N/A"," ",IF(OR(Dayrun=3,Dayrun=6,Dayrun=9),(VLOOKUP(A147,ScaledPrice,IF(AND(Dayrun&gt;=3,Dayrun&lt;=6),7,8))),0))</f>
        <v> </v>
      </c>
      <c r="P147" s="315" t="str">
        <f aca="false">IF(A147="N/A"," ",IF(OR(Dayrun=3,Dayrun=6,Dayrun=9),IF(AND(Dayrun&gt;=3,Dayrun&lt;=6),O147,(VLOOKUP(A147,ScaledPrice,7))*(2-(VLOOKUP(A147,ScaledPrice,3)))),0))</f>
        <v> </v>
      </c>
      <c r="Q147" s="315" t="str">
        <f aca="false">IF(A147="N/A"," ",IF(AND(Dayrun&gt;2,Dayrun&lt;=3),VLOOKUP(A147,ScaledPrice,9),0))</f>
        <v> </v>
      </c>
      <c r="R147" s="316" t="str">
        <f aca="false">IF($A147="N/A"," ",IF(Pricetype=2,MAX(I147-$H147,0),IF(Pricetype=1,(xSPRDOPT(I147,$E147,$CI147,0,($CD147+IF(Smile=TRUE(),VLOOKUP(MAX(-5,$H147-I147),Volsmile,2),0)),$CG147,$CH147,($A147-DateToday)+15,1,0)),I147-$H147)))</f>
        <v> </v>
      </c>
      <c r="S147" s="316" t="str">
        <f aca="false">IF($A147="N/A"," ",IF(Pricetype=2,MAX(J147-$H147,0),IF(Pricetype=1,(xSPRDOPT(J147,$E147,$CI147,0,($CD147+IF(Smile=TRUE(),VLOOKUP(MAX(-5,$H147-J147),Volsmile,2),0)),$CG147,$CH147,($A147-DateToday)+15,1,0)),J147-$H147)))</f>
        <v> </v>
      </c>
      <c r="T147" s="317" t="str">
        <f aca="false">IF($A147="N/A"," ",(IF(Pricetype=2,IF((K147-$H147)&lt;=0,0,(K147-$H147)),IF(K147&lt;&gt;0,(K147-$H147),0))))</f>
        <v> </v>
      </c>
      <c r="U147" s="316" t="str">
        <f aca="false">IF($A147="N/A"," ",IF(Pricetype=2,MAX(L147-$H147,0),IF(L147&lt;&gt;0,IF(Pricetype=1,(xSPRDOPT(L147,$E147,$CI147,0,($CD147+IF(Smile=TRUE(),VLOOKUP(MAX(-5,$H147-L147),Volsmile,2),0)),$CG147,$CH147,($A147-DateToday)+15,1,0)),L147-$H147),0)))</f>
        <v> </v>
      </c>
      <c r="V147" s="316" t="str">
        <f aca="false">IF($A147="N/A"," ",IF(Pricetype=2,MAX(M147-$H147,0),IF(M147&lt;&gt;0,IF(Pricetype=1,(xSPRDOPT(M147,$E147,$CI147,0,($CD147+IF(Smile=TRUE(),VLOOKUP(MAX(-5,$H147-M147),Volsmile,2),0)),$CG147,$CH147,($A147-DateToday)+15,1,0)),M147-$H147),0)))</f>
        <v> </v>
      </c>
      <c r="W147" s="317" t="str">
        <f aca="false">IF($A147="N/A"," ",(IF(Pricetype=2,IF((N147-$H147)&lt;=0,0,(N147-$H147)),IF(N147&lt;&gt;0,(N147-$H147),0))))</f>
        <v> </v>
      </c>
      <c r="X147" s="316" t="str">
        <f aca="false">IF($A147="N/A"," ",IF(Pricetype=2,MAX(O147-$H147,0),IF(O147&lt;&gt;0,IF(Pricetype=1,(xSPRDOPT(O147,$E147,$CI147,0,($CD147+IF(Smile=TRUE(),VLOOKUP(MAX(-5,$H147-O147),Volsmile,2),0)),$CG147,$CH147,($A147-DateToday)+15,1,0)),O147-$H147),0)))</f>
        <v> </v>
      </c>
      <c r="Y147" s="316" t="str">
        <f aca="false">IF($A147="N/A"," ",IF(Pricetype=2,MAX(P147-$H147,0),IF(P147&lt;&gt;0,IF(Pricetype=1,(xSPRDOPT(P147,$E147,$CI147,0,($CD147+IF(Smile=TRUE(),VLOOKUP(MAX(-5,$H147-P147),Volsmile,2),0)),$CG147,$CH147,($A147-DateToday)+15,1,0)),P147-$H147),0)))</f>
        <v> </v>
      </c>
      <c r="Z147" s="317" t="str">
        <f aca="false">IF($A147="N/A"," ",(IF(Pricetype=2,IF((Q147-$H147)&lt;=0,0,(Q147-$H147)),IF(Q147&lt;&gt;0,(Q147-$H147),0))))</f>
        <v> </v>
      </c>
      <c r="AA147" s="318" t="str">
        <f aca="false">IF($A147="N/A"," ",IF(VLOOKUP(MONTH(A147),ManualTable,2)=1,(IF(0&lt;&gt;R147,IF(Pricetype=1,(xSPRDOPT(I147,$E147,$CI147,0,($CD147+IF(Smile=TRUE(),VLOOKUP(MAX(-5,$H147-I147),Volsmile,2),0)),$CG147,$CH147,($A147-DateToday)+15,1,1))*(8*$HD147),8*$HD147),0)),0))</f>
        <v> </v>
      </c>
      <c r="AB147" s="318" t="str">
        <f aca="false">IF($A147="N/A"," ",IF(VLOOKUP(MONTH(A147),ManualTable,3)=1,(IF(S147&lt;&gt;0,IF(Pricetype=1,(xSPRDOPT(J147,$E147,$CI147,0,($CD147+IF(Smile=TRUE(),VLOOKUP(MAX(-5,$H147-J147),Volsmile,2),0)),$CG147,$CH147,($A147-DateToday)+15,1,1))*(8*$HD147),8*$HD147),0)),0))</f>
        <v> </v>
      </c>
      <c r="AC147" s="318" t="str">
        <f aca="false">IF($A147="N/A"," ",IF(VLOOKUP(MONTH(A147),ManualTable,4)=1,(IF(T147&lt;&gt;0,(8*$HD147),0)),0))</f>
        <v> </v>
      </c>
      <c r="AD147" s="318" t="str">
        <f aca="false">IF($A147="N/A"," ",IF(VLOOKUP(MONTH(A147),ManualTable,5)=1,(IF(U147&lt;&gt;0,IF(Pricetype=1,(xSPRDOPT(L147,$E147,$CI147,0,($CD147+IF(Smile=TRUE(),VLOOKUP(MAX(-5,$H147-L147),Volsmile,2),0)),$CG147,$CH147,($A147-DateToday)+15,1,1))*(8*$HE147),8*$HE147),0)),0))</f>
        <v> </v>
      </c>
      <c r="AE147" s="318" t="str">
        <f aca="false">IF($A147="N/A"," ",IF(VLOOKUP(MONTH(A147),ManualTable,6)=1,(IF(V147&lt;&gt;0,IF(Pricetype=1,(xSPRDOPT(M147,$E147,$CI147,0,($CD147+IF(Smile=TRUE(),VLOOKUP(MAX(-5,$H147-M147),Volsmile,2),0)),$CG147,$CH147,($A147-DateToday)+15,1,1))*(8*$HE147),8*$HE147),0)),0))</f>
        <v> </v>
      </c>
      <c r="AF147" s="318" t="str">
        <f aca="false">IF($A147="N/A"," ",IF(VLOOKUP(MONTH(A147),ManualTable,7)=1,(IF(W147&lt;&gt;0,(8*$HE147),0)),0))</f>
        <v> </v>
      </c>
      <c r="AG147" s="318" t="str">
        <f aca="false">IF($A147="N/A"," ",IF(VLOOKUP(MONTH(A147),ManualTable,8)=1,(IF(X147&lt;&gt;0,IF(Pricetype=1,(xSPRDOPT(O147,$E147,$CI147,0,($CD147+IF(Smile=TRUE(),VLOOKUP(MAX(-5,$H147-O147),Volsmile,2),0)),$CG147,$CH147,($A147-DateToday)+15,1,1))*(8*$HF147),8*$HF147),0)),0))</f>
        <v> </v>
      </c>
      <c r="AH147" s="318" t="str">
        <f aca="false">IF($A147="N/A"," ",IF(VLOOKUP(MONTH(A147),ManualTable,9)=1,(IF(Y147&lt;&gt;0,IF(Pricetype=1,(xSPRDOPT(P147,$E147,$CI147,0,($CD147+IF(Smile=TRUE(),VLOOKUP(MAX(-5,$H147-P147),Volsmile,2),0)),$CG147,$CH147,($A147-DateToday)+15,1,1))*(8*$HF147),8*$HF147),0)),0))</f>
        <v> </v>
      </c>
      <c r="AI147" s="318" t="str">
        <f aca="false">IF($A147="N/A"," ",IF(VLOOKUP(MONTH(A147),ManualTable,10)=1,(IF(Z147&lt;&gt;0,(8*($HF147)),0)),0))</f>
        <v> </v>
      </c>
      <c r="AJ147" s="349" t="str">
        <f aca="false">IF($A147="N/A"," ",RANK(R147,$R$136:$Z$147))</f>
        <v> </v>
      </c>
      <c r="AK147" s="350" t="str">
        <f aca="false">IF($A147="N/A"," ",RANK(S147,$R$136:$Z$147))</f>
        <v> </v>
      </c>
      <c r="AL147" s="350" t="str">
        <f aca="false">IF($A147="N/A"," ",RANK(T147,$R$136:$Z$147))</f>
        <v> </v>
      </c>
      <c r="AM147" s="350" t="str">
        <f aca="false">IF($A147="N/A"," ",RANK(U147,$R$136:$Z$147))</f>
        <v> </v>
      </c>
      <c r="AN147" s="350" t="str">
        <f aca="false">IF($A147="N/A"," ",RANK(V147,$R$136:$Z$147))</f>
        <v> </v>
      </c>
      <c r="AO147" s="350" t="str">
        <f aca="false">IF($A147="N/A"," ",RANK(W147,$R$136:$Z$147))</f>
        <v> </v>
      </c>
      <c r="AP147" s="350" t="str">
        <f aca="false">IF($A147="N/A"," ",RANK(X147,$R$136:$Z$147))</f>
        <v> </v>
      </c>
      <c r="AQ147" s="350" t="str">
        <f aca="false">IF($A147="N/A"," ",RANK(Y147,$R$136:$Z$147))</f>
        <v> </v>
      </c>
      <c r="AR147" s="351" t="str">
        <f aca="false">IF($A147="N/A"," ",RANK(Z147,$R$136:$Z$147))</f>
        <v> </v>
      </c>
      <c r="AS147" s="352" t="str">
        <f aca="false">IF($A147="N/A"," ",IF(AJ147&lt;=$AR$2,AA147,0))</f>
        <v> </v>
      </c>
      <c r="AT147" s="353" t="str">
        <f aca="false">IF($A147="N/A"," ",IF(AK147&lt;=$AR$2,AB147,0))</f>
        <v> </v>
      </c>
      <c r="AU147" s="353" t="str">
        <f aca="false">IF($A147="N/A"," ",IF(AL147&lt;=$AR$2,AC147,0))</f>
        <v> </v>
      </c>
      <c r="AV147" s="353" t="str">
        <f aca="false">IF($A147="N/A"," ",IF(AM147&lt;=$AR$2,AD147,0))</f>
        <v> </v>
      </c>
      <c r="AW147" s="353" t="str">
        <f aca="false">IF($A147="N/A"," ",IF(AN147&lt;=$AR$2,AE147,0))</f>
        <v> </v>
      </c>
      <c r="AX147" s="353" t="str">
        <f aca="false">IF($A147="N/A"," ",IF(AO147&lt;=$AR$2,AF147,0))</f>
        <v> </v>
      </c>
      <c r="AY147" s="353" t="str">
        <f aca="false">IF($A147="N/A"," ",IF(AP147&lt;=$AR$2,AG147,0))</f>
        <v> </v>
      </c>
      <c r="AZ147" s="353" t="str">
        <f aca="false">IF($A147="N/A"," ",IF(AQ147&lt;=$AR$2,AH147,0))</f>
        <v> </v>
      </c>
      <c r="BA147" s="353" t="str">
        <f aca="false">IF($A147="N/A"," ",IF(AR147&lt;=$AR$2,AI147,0))</f>
        <v> </v>
      </c>
      <c r="BB147" s="351" t="n">
        <f aca="false">IF(($AZ$2-BB146)&gt;=0,$AZ$2-BB146,0)</f>
        <v>980</v>
      </c>
      <c r="BC147" s="354" t="str">
        <f aca="false">IF($A147="N/A"," ",IF(AND(AJ147=$AR$2+1,AS147=0),MIN($BB$147,AA147),0))</f>
        <v> </v>
      </c>
      <c r="BD147" s="355" t="str">
        <f aca="false">IF($A147="N/A"," ",IF(AND(AK147=$AR$2+1,AT147=0),MIN($BB$147,AB147),0))</f>
        <v> </v>
      </c>
      <c r="BE147" s="346" t="str">
        <f aca="false">IF($A147="N/A"," ",IF(AND(AL147=$AR$2+1,AU147=0),MIN($BB$147,AC147),0))</f>
        <v> </v>
      </c>
      <c r="BF147" s="355" t="str">
        <f aca="false">IF($A147="N/A"," ",IF(AND(AM147=$AR$2+1,AV147=0),MIN($BB$147,AD147),0))</f>
        <v> </v>
      </c>
      <c r="BG147" s="355" t="str">
        <f aca="false">IF($A147="N/A"," ",IF(AND(AN147=$AR$2+1,AW147=0),MIN($BB$147,AE147),0))</f>
        <v> </v>
      </c>
      <c r="BH147" s="346" t="str">
        <f aca="false">IF($A147="N/A"," ",IF(AND(AO147=$AR$2+1,AX147=0),MIN($BB$147,AF147),0))</f>
        <v> </v>
      </c>
      <c r="BI147" s="355" t="str">
        <f aca="false">IF($A147="N/A"," ",IF(AND(AP147=$AR$2+1,AY147=0),MIN($BB$147,AG147),0))</f>
        <v> </v>
      </c>
      <c r="BJ147" s="355" t="str">
        <f aca="false">IF($A147="N/A"," ",IF(AND(AQ147=$AR$2+1,AZ147=0),MIN($BB$147,AH147),0))</f>
        <v> </v>
      </c>
      <c r="BK147" s="355" t="str">
        <f aca="false">IF($A147="N/A"," ",IF(AND(AR147=$AR$2+1,BA147=0),MIN($BB$147,AI147),0))</f>
        <v> </v>
      </c>
      <c r="BL147" s="356" t="n">
        <f aca="false">BB146+BL146</f>
        <v>0</v>
      </c>
      <c r="BM147" s="329" t="str">
        <f aca="false">IF($A147="N/A"," ",(IF(MONTH(A147)&gt;=4,IF(MONTH(A147)&lt;=10,Inputs!$F$13-Inputs!$G$13,Inputs!$F$14-Inputs!$G$14),Inputs!$F$14-Inputs!$G$14))*$CK147*Availability)</f>
        <v> </v>
      </c>
      <c r="BN147" s="330" t="str">
        <f aca="false">IF($A147="N/A"," ",(IF(AS147&gt;0,($BM147*(8*($HD147))*R147),0)+IF(BC147&gt;0,($BM147*((BC147/AA147)*8*$HD147)*R147),0)))</f>
        <v> </v>
      </c>
      <c r="BO147" s="330" t="str">
        <f aca="false">IF($A147="N/A"," ",(IF(AT147&gt;0,($BM147*(8*($HD147))*S147),0)+IF(BD147&gt;0,($BM147*((BD147/AB147)*8*$HD147)*S147),0)))</f>
        <v> </v>
      </c>
      <c r="BP147" s="330" t="str">
        <f aca="false">IF($A147="N/A"," ",(IF(AU147&gt;0,($BM147*(8*($HD147))*T147),0)+IF(BE147&gt;0,($BM147*((BE147))*T147),0)))</f>
        <v> </v>
      </c>
      <c r="BQ147" s="330" t="str">
        <f aca="false">IF($A147="N/A"," ",(IF(AV147&gt;0,($BM147*(8*($HE147))*U147),0)+IF(BF147&gt;0,($BM147*((BF147/AD147)*8*$HE147)*U147),0)))</f>
        <v> </v>
      </c>
      <c r="BR147" s="330" t="str">
        <f aca="false">IF($A147="N/A"," ",(IF(AW147&gt;0,($BM147*(8*($HE147))*V147),0)+IF(BG147&gt;0,($BM147*((BG147/AE147)*8*$HE147)*V147),0)))</f>
        <v> </v>
      </c>
      <c r="BS147" s="330" t="str">
        <f aca="false">IF($A147="N/A"," ",(IF(AX147&gt;0,($BM147*(8*($HE147))*W147),0)+IF(BH147&gt;0,($BM147*((BH147))*W147),0)))</f>
        <v> </v>
      </c>
      <c r="BT147" s="330" t="str">
        <f aca="false">IF($A147="N/A"," ",(IF(AY147&gt;0,($BM147*(8*($HF147))*X147),0)+IF(BI147&gt;0,($BM147*((BI147/AG147)*8*$HF147)*X147),0)))</f>
        <v> </v>
      </c>
      <c r="BU147" s="330" t="str">
        <f aca="false">IF($A147="N/A"," ",(IF(AZ147&gt;0,($BM147*(8*($HF147))*Y147),0)+IF(BJ147&gt;0,($BM147*((BJ147/AH147)*8*$HF147)*Y147),0)))</f>
        <v> </v>
      </c>
      <c r="BV147" s="330" t="str">
        <f aca="false">IF($A147="N/A"," ",(IF(BA147&gt;0,($BM147*(8*($HF147))*Z147),0)+IF(BK147&gt;0,($BM147*((BK147))*Z147),0)))</f>
        <v> </v>
      </c>
      <c r="BW147" s="330" t="str">
        <f aca="false">IF($A147="N/A"," ",SUM(BN147:BV147))</f>
        <v> </v>
      </c>
      <c r="BX147" s="331" t="str">
        <f aca="false">IF($A147="N/A"," ",(H147*(SUM(AS147:BA147)+SUM(BC147:BK147))*BM147))</f>
        <v> </v>
      </c>
      <c r="BY147" s="332" t="str">
        <f aca="false">IF($A147="N/A"," ",((C147*D147)*(SUM($AS147:$BA147)+SUM($BC147:$BK147))*$BM147))</f>
        <v> </v>
      </c>
      <c r="BZ147" s="332" t="str">
        <f aca="false">IF($A147="N/A"," ",(F147*(SUM($AS147:$BA147)+SUM($BC147:$BK147))*$BM147))</f>
        <v> </v>
      </c>
      <c r="CA147" s="333" t="str">
        <f aca="false">IF($A147="N/A"," ",(G147*(SUM($AS147:$BA147)+SUM($BC147:$BK147))*$BM147))</f>
        <v> </v>
      </c>
      <c r="CB147" s="334" t="str">
        <f aca="false">IF(A147="N/A"," ",(VLOOKUP(A147,PowerVolTable,(IF(BMO=2,7,IF(BMO=1,6,8))),FALSE())))</f>
        <v> </v>
      </c>
      <c r="CC147" s="334" t="str">
        <f aca="false">IF(A147="N/A"," ",(VLOOKUP(A147,IntraPowerVol,(IF(BMO=2,3,IF(BMO=1,2,4))),FALSE())*VLOOKUP(MONTH($A147),Volscale,2)))</f>
        <v> </v>
      </c>
      <c r="CD147" s="335" t="str">
        <f aca="false">IF($A147="N/A"," ",(IF(DateToday&gt;$A147,$CC147,((($CB147^2)*((($A147-1)-DateToday)/((EOMONTH($A147,0)+1)-DateToday-15)))+((($CC147)^2)*((15)/((EOMONTH($A147,0)+1)-DateToday-15))))^0.5)))</f>
        <v> </v>
      </c>
      <c r="CE147" s="334" t="str">
        <f aca="false">IF($A147="N/A"," ",(VLOOKUP($A147,GasVolTable,(IF(BMO=2,6,IF(BMO=1,7,5))),FALSE())))</f>
        <v> </v>
      </c>
      <c r="CF147" s="334" t="str">
        <f aca="false">IF($A147="N/A"," ",(VLOOKUP($A147,OmicronVol,(IF(BMO=2,3,IF(BMO=1,4,2))),FALSE())))</f>
        <v> </v>
      </c>
      <c r="CG147" s="335" t="str">
        <f aca="false">IF($A147="N/A"," ",(IF(DateToday&gt;$A147,$CF147,((($CE147^2)*((($A147-1)-DateToday)/((EOMONTH($A147,0)+1)-DateToday-15)))+((($CF147)^2)*((15)/((EOMONTH($A147,0)+1)-DateToday-15))))^0.5)))</f>
        <v> </v>
      </c>
      <c r="CH147" s="334" t="str">
        <f aca="false">IF($A147="N/A"," ",VLOOKUP($A147,CorrelationTable,2,FALSE()))</f>
        <v> </v>
      </c>
      <c r="CI147" s="336" t="str">
        <f aca="false">IF($A147="N/A"," ",F147+G147+(D147*('Pricing Inputs'!T180)))</f>
        <v> </v>
      </c>
      <c r="CJ147" s="334" t="str">
        <f aca="false">IF($A147="N/A"," ",IF(PV=1,0,'Pricing Inputs'!U180))</f>
        <v> </v>
      </c>
      <c r="CK147" s="337" t="str">
        <f aca="false">IF($A147="N/A"," ",(1+CJ147/2)^(-2*((EOMONTH(A147,0)+20)-DateToday)/365.25))</f>
        <v> </v>
      </c>
      <c r="CL147" s="338" t="str">
        <f aca="false">IF(A147="N/A"," ",IF(CC=2,(VLOOKUP(MONTH($A147),Hrtable,3))/1000,0))</f>
        <v> </v>
      </c>
      <c r="CM147" s="339" t="str">
        <f aca="false">IF(A147="N/A"," ",IF(CC=2,(CL147*C147)+F147,0))</f>
        <v> </v>
      </c>
      <c r="CN147" s="340" t="str">
        <f aca="false">IF($A147="N/A"," ",IF(CC=2,(VLOOKUP(A147,ScaledPrice,(IF(AND(Dayrun&gt;=1,Dayrun&lt;=6),2,4)))-((IF(R147&lt;&gt;0,$D147,$CL147)*$C147)+$F147+$G147)),0))</f>
        <v> </v>
      </c>
      <c r="CO147" s="340" t="str">
        <f aca="false">IF($A147="N/A"," ",IF(CC=2,(IF(AND(Dayrun&gt;=1,Dayrun&lt;=6),I147,(VLOOKUP(A147,ScaledPrice,2))*(2-(VLOOKUP(A147,ScaledPrice,3))))-((IF(S147&lt;&gt;0,$D147,$CL147)*$C147)+$F147+$G147)),0))</f>
        <v> </v>
      </c>
      <c r="CP147" s="340" t="str">
        <f aca="false">IF(A147="N/A"," ",IF(CC=2,(VLOOKUP(A147,ScaledPrice,9)-((IF(T147&lt;&gt;0,$D147,$CL147)*$C147)+$F147+$G147)),0))</f>
        <v> </v>
      </c>
      <c r="CQ147" s="340" t="str">
        <f aca="false">IF(A147="N/A"," ",IF(CC=2,(IF(OR(Dayrun=2,Dayrun=3,Dayrun=5,Dayrun=6,Dayrun=8,Dayrun=9),VLOOKUP(A147,ScaledPrice,IF(AND(Dayrun&gt;=2,Dayrun&lt;=6),5,6)),0)-((IF(U147&lt;&gt;0,$D147,$CL147)*$C147)+$F147+$G147)),0))</f>
        <v> </v>
      </c>
      <c r="CR147" s="340" t="str">
        <f aca="false">IF(A147="N/A"," ",IF(CC=2,(IF(OR(Dayrun=2,Dayrun=3,Dayrun=5,Dayrun=6,Dayrun=8,Dayrun=9),IF(AND(Dayrun&gt;=2,Dayrun&lt;=6),L147,(VLOOKUP(A147,ScaledPrice,5))*(2-(VLOOKUP(A147,ScaledPrice,3)))),0)-((IF(V147&lt;&gt;0,$D147,$CL147)*$C147)+$F147+$G147)),0))</f>
        <v> </v>
      </c>
      <c r="CS147" s="340" t="str">
        <f aca="false">IF(A147="N/A"," ",IF(CC=2,(VLOOKUP(A147,ScaledPrice,9)-((IF(W147&lt;&gt;0,$D147,$CL147)*$C147)+$F147+$G147)),0))</f>
        <v> </v>
      </c>
      <c r="CT147" s="340" t="str">
        <f aca="false">IF(A147="N/A"," ",IF(CC=2,(IF(OR(Dayrun=3,Dayrun=6,Dayrun=9),(VLOOKUP(A147,ScaledPrice,IF(AND(Dayrun&gt;=3,Dayrun&lt;=6),7,8))),0)-((IF(X147&lt;&gt;0,$D147,$CL147)*$C147)+$F147+$G147)),0))</f>
        <v> </v>
      </c>
      <c r="CU147" s="340" t="str">
        <f aca="false">IF(A147="N/A"," ",IF(CC=2,(IF(OR(Dayrun=3,Dayrun=6,Dayrun=9),IF(AND(Dayrun&gt;=3,Dayrun&lt;=6),O147,(VLOOKUP(A147,ScaledPrice,7))*(2-(VLOOKUP(A147,ScaledPrice,3)))),0)-((IF(Y147&lt;&gt;0,$D147,$CL147)*$C147)+$F147+$G147)),0))</f>
        <v> </v>
      </c>
      <c r="CV147" s="340" t="str">
        <f aca="false">IF(A147="N/A"," ",IF(CC=2,(VLOOKUP(A147,ScaledPrice,9)-((IF(Z147&lt;&gt;0,$D147,$CL147)*$C147)+$F147+$G147)),0))</f>
        <v> </v>
      </c>
      <c r="CW147" s="318" t="str">
        <f aca="false">IF($A147="N/A"," ",IF(0&lt;&gt;CN147,IF(CC=2,8*$HD147,0),0))</f>
        <v> </v>
      </c>
      <c r="CX147" s="318" t="str">
        <f aca="false">IF($A147="N/A"," ",IF(0&lt;&gt;CO147,IF(CC=2,8*$HD147,0),0))</f>
        <v> </v>
      </c>
      <c r="CY147" s="318" t="str">
        <f aca="false">IF($A147="N/A"," ",IF(0&lt;&gt;CP147,IF(CC=2,8*$HD147,0),0))</f>
        <v> </v>
      </c>
      <c r="CZ147" s="318" t="str">
        <f aca="false">IF($A147="N/A"," ",IF(0&lt;&gt;CQ147,IF(CC=2,8*$HE147,0),0))</f>
        <v> </v>
      </c>
      <c r="DA147" s="318" t="str">
        <f aca="false">IF($A147="N/A"," ",IF(0&lt;&gt;CR147,IF(CC=2,8*$HE147,0),0))</f>
        <v> </v>
      </c>
      <c r="DB147" s="318" t="str">
        <f aca="false">IF($A147="N/A"," ",IF(0&lt;&gt;CS147,IF(CC=2,8*$HE147,0),0))</f>
        <v> </v>
      </c>
      <c r="DC147" s="318" t="str">
        <f aca="false">IF($A147="N/A"," ",IF(0&lt;&gt;CT147,IF(CC=2,8*$HF147,0),0))</f>
        <v> </v>
      </c>
      <c r="DD147" s="318" t="str">
        <f aca="false">IF($A147="N/A"," ",IF(0&lt;&gt;CU147,IF(CC=2,8*$HF147,0),0))</f>
        <v> </v>
      </c>
      <c r="DE147" s="318" t="str">
        <f aca="false">IF($A147="N/A"," ",IF(0&lt;&gt;CV147,IF(CC=2,8*$HF147,0),0))</f>
        <v> </v>
      </c>
      <c r="DF147" s="341" t="str">
        <f aca="false">IF($A147="N/A"," ",IF(CC=2,(IF(MONTH(A147)&gt;=4,IF(MONTH(A147)&lt;=10,Inputs!$G$13,Inputs!$G$14),Inputs!$G$14))*$CK147,0))</f>
        <v> </v>
      </c>
      <c r="DG147" s="342" t="str">
        <f aca="false">IF($A147="N/A"," ",IF(CC=2,$DF147*CW147*CN147,0))</f>
        <v> </v>
      </c>
      <c r="DH147" s="342" t="str">
        <f aca="false">IF($A147="N/A"," ",IF(CC=2,$DF147*CX147*CO147,0))</f>
        <v> </v>
      </c>
      <c r="DI147" s="342" t="str">
        <f aca="false">IF($A147="N/A"," ",IF(CC=2,$DF147*CY147*CP147,0))</f>
        <v> </v>
      </c>
      <c r="DJ147" s="342" t="str">
        <f aca="false">IF($A147="N/A"," ",IF(CC=2,$DF147*CZ147*CQ147,0))</f>
        <v> </v>
      </c>
      <c r="DK147" s="342" t="str">
        <f aca="false">IF($A147="N/A"," ",IF(CC=2,$DF147*DA147*CR147,0))</f>
        <v> </v>
      </c>
      <c r="DL147" s="342" t="str">
        <f aca="false">IF($A147="N/A"," ",IF(CC=2,$DF147*DB147*CS147,0))</f>
        <v> </v>
      </c>
      <c r="DM147" s="342" t="str">
        <f aca="false">IF($A147="N/A"," ",IF(CC=2,$DF147*DC147*CT147,0))</f>
        <v> </v>
      </c>
      <c r="DN147" s="342" t="str">
        <f aca="false">IF($A147="N/A"," ",IF(CC=2,$DF147*DD147*CU147,0))</f>
        <v> </v>
      </c>
      <c r="DO147" s="342" t="str">
        <f aca="false">IF($A147="N/A"," ",IF(CC=2,$DF147*DE147*CV147,0))</f>
        <v> </v>
      </c>
      <c r="DP147" s="343" t="str">
        <f aca="false">IF($A147="N/A"," ",IF(CC=2,SUM(DG147:DO147),0))</f>
        <v> </v>
      </c>
      <c r="DQ147" s="0" t="str">
        <f aca="false">IF(A147="N/A"," ",Perstart)</f>
        <v> </v>
      </c>
      <c r="HD147" s="0" t="str">
        <f aca="false">IF($A147="N/A"," ",VLOOKUP($A147,NumberofDaysTable,2))</f>
        <v> </v>
      </c>
      <c r="HE147" s="0" t="str">
        <f aca="false">IF($A147="N/A"," ",VLOOKUP($A147,NumberofDaysTable,3))</f>
        <v> </v>
      </c>
      <c r="HF147" s="0" t="str">
        <f aca="false">IF($A147="N/A"," ",VLOOKUP($A147,NumberofDaysTable,4))</f>
        <v> </v>
      </c>
    </row>
    <row r="148" customFormat="false" ht="12.75" hidden="false" customHeight="false" outlineLevel="0" collapsed="false">
      <c r="A148" s="308" t="str">
        <f aca="false">IF(A147="N/A","N/A",IF(EDATE(A147,1)&gt;Inputs!$K$3,"N/A",EDATE(A147,1)))</f>
        <v>N/A</v>
      </c>
      <c r="B148" s="309" t="str">
        <f aca="false">IF(A148="N/A"," ",YEAR(A148))</f>
        <v> </v>
      </c>
      <c r="C148" s="310" t="str">
        <f aca="false">IF(A148="N/A"," ",VLOOKUP(A148,ScaledPrice,10))</f>
        <v> </v>
      </c>
      <c r="D148" s="311" t="str">
        <f aca="false">IF(A148="N/A"," ",(VLOOKUP(MONTH($A148),Hrtable,2))/1000)</f>
        <v> </v>
      </c>
      <c r="E148" s="312" t="str">
        <f aca="false">IF($A148="N/A"," ",(C148-'Pricing Inputs'!T181)*D148)</f>
        <v> </v>
      </c>
      <c r="F148" s="313" t="str">
        <f aca="false">IF(A148="N/A"," ",$F136*(1+VOMesc))</f>
        <v> </v>
      </c>
      <c r="G148" s="313" t="str">
        <f aca="false">IF(A148="N/A"," ",Perstart/IF(AND(Dayrun&gt;=4,Dayrun&lt;=6),16,IF(AND(Dayrun&gt;=7,Dayrun&lt;=9),8,24))/(BM148/CK148))</f>
        <v> </v>
      </c>
      <c r="H148" s="314" t="str">
        <f aca="false">IF(A148="N/A"," ",(C148*D148)+F148+G148)</f>
        <v> </v>
      </c>
      <c r="I148" s="315" t="str">
        <f aca="false">VLOOKUP(A148,ScaledPrice,(IF(AND(Dayrun&gt;=1,Dayrun&lt;=6),2,4)))</f>
        <v> </v>
      </c>
      <c r="J148" s="315" t="str">
        <f aca="false">IF(A148="N/A"," ",IF(AND(Dayrun&gt;=1,Dayrun&lt;=6),I148,(VLOOKUP(A148,ScaledPrice,2))*(2-(VLOOKUP(A148,ScaledPrice,3)))))</f>
        <v> </v>
      </c>
      <c r="K148" s="315" t="str">
        <f aca="false">IF(A148="N/A"," ",IF(AND(Dayrun&gt;=1,Dayrun&lt;=3),VLOOKUP(A148,ScaledPrice,9),0))</f>
        <v> </v>
      </c>
      <c r="L148" s="315" t="str">
        <f aca="false">IF(A148="N/A"," ",IF(OR(Dayrun=2,Dayrun=3,Dayrun=5,Dayrun=6,Dayrun=8,Dayrun=9),VLOOKUP(A148,ScaledPrice,IF(AND(Dayrun&gt;=2,Dayrun&lt;=6),5,6)),0))</f>
        <v> </v>
      </c>
      <c r="M148" s="315" t="str">
        <f aca="false">IF(A148="N/A"," ",IF(OR(Dayrun=2,Dayrun=3,Dayrun=5,Dayrun=6,Dayrun=8,Dayrun=9),IF(AND(Dayrun&gt;=2,Dayrun&lt;=6),L148,(VLOOKUP(A148,ScaledPrice,5))*(2-(VLOOKUP(A148,ScaledPrice,3)))),0))</f>
        <v> </v>
      </c>
      <c r="N148" s="315" t="str">
        <f aca="false">IF(A148="N/A"," ",IF(AND(Dayrun&gt;1,Dayrun&lt;=3),VLOOKUP(A148,ScaledPrice,9),0))</f>
        <v> </v>
      </c>
      <c r="O148" s="315" t="str">
        <f aca="false">IF(A148="N/A"," ",IF(OR(Dayrun=3,Dayrun=6,Dayrun=9),(VLOOKUP(A148,ScaledPrice,IF(AND(Dayrun&gt;=3,Dayrun&lt;=6),7,8))),0))</f>
        <v> </v>
      </c>
      <c r="P148" s="315" t="str">
        <f aca="false">IF(A148="N/A"," ",IF(OR(Dayrun=3,Dayrun=6,Dayrun=9),IF(AND(Dayrun&gt;=3,Dayrun&lt;=6),O148,(VLOOKUP(A148,ScaledPrice,7))*(2-(VLOOKUP(A148,ScaledPrice,3)))),0))</f>
        <v> </v>
      </c>
      <c r="Q148" s="315" t="str">
        <f aca="false">IF(A148="N/A"," ",IF(AND(Dayrun&gt;2,Dayrun&lt;=3),VLOOKUP(A148,ScaledPrice,9),0))</f>
        <v> </v>
      </c>
      <c r="R148" s="316" t="str">
        <f aca="false">IF($A148="N/A"," ",IF(Pricetype=2,MAX(I148-$H148,0),IF(Pricetype=1,(xSPRDOPT(I148,$E148,$CI148,0,($CD148+IF(Smile=TRUE(),VLOOKUP(MAX(-5,$H148-I148),Volsmile,2),0)),$CG148,$CH148,($A148-DateToday)+15,1,0)),I148-$H148)))</f>
        <v> </v>
      </c>
      <c r="S148" s="316" t="str">
        <f aca="false">IF($A148="N/A"," ",IF(Pricetype=2,MAX(J148-$H148,0),IF(Pricetype=1,(xSPRDOPT(J148,$E148,$CI148,0,($CD148+IF(Smile=TRUE(),VLOOKUP(MAX(-5,$H148-J148),Volsmile,2),0)),$CG148,$CH148,($A148-DateToday)+15,1,0)),J148-$H148)))</f>
        <v> </v>
      </c>
      <c r="T148" s="317" t="str">
        <f aca="false">IF($A148="N/A"," ",(IF(Pricetype=2,IF((K148-$H148)&lt;=0,0,(K148-$H148)),IF(K148&lt;&gt;0,(K148-$H148),0))))</f>
        <v> </v>
      </c>
      <c r="U148" s="316" t="str">
        <f aca="false">IF($A148="N/A"," ",IF(Pricetype=2,MAX(L148-$H148,0),IF(L148&lt;&gt;0,IF(Pricetype=1,(xSPRDOPT(L148,$E148,$CI148,0,($CD148+IF(Smile=TRUE(),VLOOKUP(MAX(-5,$H148-L148),Volsmile,2),0)),$CG148,$CH148,($A148-DateToday)+15,1,0)),L148-$H148),0)))</f>
        <v> </v>
      </c>
      <c r="V148" s="316" t="str">
        <f aca="false">IF($A148="N/A"," ",IF(Pricetype=2,MAX(M148-$H148,0),IF(M148&lt;&gt;0,IF(Pricetype=1,(xSPRDOPT(M148,$E148,$CI148,0,($CD148+IF(Smile=TRUE(),VLOOKUP(MAX(-5,$H148-M148),Volsmile,2),0)),$CG148,$CH148,($A148-DateToday)+15,1,0)),M148-$H148),0)))</f>
        <v> </v>
      </c>
      <c r="W148" s="317" t="str">
        <f aca="false">IF($A148="N/A"," ",(IF(Pricetype=2,IF((N148-$H148)&lt;=0,0,(N148-$H148)),IF(N148&lt;&gt;0,(N148-$H148),0))))</f>
        <v> </v>
      </c>
      <c r="X148" s="316" t="str">
        <f aca="false">IF($A148="N/A"," ",IF(Pricetype=2,MAX(O148-$H148,0),IF(O148&lt;&gt;0,IF(Pricetype=1,(xSPRDOPT(O148,$E148,$CI148,0,($CD148+IF(Smile=TRUE(),VLOOKUP(MAX(-5,$H148-O148),Volsmile,2),0)),$CG148,$CH148,($A148-DateToday)+15,1,0)),O148-$H148),0)))</f>
        <v> </v>
      </c>
      <c r="Y148" s="316" t="str">
        <f aca="false">IF($A148="N/A"," ",IF(Pricetype=2,MAX(P148-$H148,0),IF(P148&lt;&gt;0,IF(Pricetype=1,(xSPRDOPT(P148,$E148,$CI148,0,($CD148+IF(Smile=TRUE(),VLOOKUP(MAX(-5,$H148-P148),Volsmile,2),0)),$CG148,$CH148,($A148-DateToday)+15,1,0)),P148-$H148),0)))</f>
        <v> </v>
      </c>
      <c r="Z148" s="317" t="str">
        <f aca="false">IF($A148="N/A"," ",(IF(Pricetype=2,IF((Q148-$H148)&lt;=0,0,(Q148-$H148)),IF(Q148&lt;&gt;0,(Q148-$H148),0))))</f>
        <v> </v>
      </c>
      <c r="AA148" s="318" t="str">
        <f aca="false">IF($A148="N/A"," ",IF(VLOOKUP(MONTH(A148),ManualTable,2)=1,(IF(0&lt;&gt;R148,IF(Pricetype=1,(xSPRDOPT(I148,$E148,$CI148,0,($CD148+IF(Smile=TRUE(),VLOOKUP(MAX(-5,$H148-I148),Volsmile,2),0)),$CG148,$CH148,($A148-DateToday)+15,1,1))*(8*$HD148),8*$HD148),0)),0))</f>
        <v> </v>
      </c>
      <c r="AB148" s="318" t="str">
        <f aca="false">IF($A148="N/A"," ",IF(VLOOKUP(MONTH(A148),ManualTable,3)=1,(IF(S148&lt;&gt;0,IF(Pricetype=1,(xSPRDOPT(J148,$E148,$CI148,0,($CD148+IF(Smile=TRUE(),VLOOKUP(MAX(-5,$H148-J148),Volsmile,2),0)),$CG148,$CH148,($A148-DateToday)+15,1,1))*(8*$HD148),8*$HD148),0)),0))</f>
        <v> </v>
      </c>
      <c r="AC148" s="318" t="str">
        <f aca="false">IF($A148="N/A"," ",IF(VLOOKUP(MONTH(A148),ManualTable,4)=1,(IF(T148&lt;&gt;0,(8*$HD148),0)),0))</f>
        <v> </v>
      </c>
      <c r="AD148" s="318" t="str">
        <f aca="false">IF($A148="N/A"," ",IF(VLOOKUP(MONTH(A148),ManualTable,5)=1,(IF(U148&lt;&gt;0,IF(Pricetype=1,(xSPRDOPT(L148,$E148,$CI148,0,($CD148+IF(Smile=TRUE(),VLOOKUP(MAX(-5,$H148-L148),Volsmile,2),0)),$CG148,$CH148,($A148-DateToday)+15,1,1))*(8*$HE148),8*$HE148),0)),0))</f>
        <v> </v>
      </c>
      <c r="AE148" s="318" t="str">
        <f aca="false">IF($A148="N/A"," ",IF(VLOOKUP(MONTH(A148),ManualTable,6)=1,(IF(V148&lt;&gt;0,IF(Pricetype=1,(xSPRDOPT(M148,$E148,$CI148,0,($CD148+IF(Smile=TRUE(),VLOOKUP(MAX(-5,$H148-M148),Volsmile,2),0)),$CG148,$CH148,($A148-DateToday)+15,1,1))*(8*$HE148),8*$HE148),0)),0))</f>
        <v> </v>
      </c>
      <c r="AF148" s="318" t="str">
        <f aca="false">IF($A148="N/A"," ",IF(VLOOKUP(MONTH(A148),ManualTable,7)=1,(IF(W148&lt;&gt;0,(8*$HE148),0)),0))</f>
        <v> </v>
      </c>
      <c r="AG148" s="318" t="str">
        <f aca="false">IF($A148="N/A"," ",IF(VLOOKUP(MONTH(A148),ManualTable,8)=1,(IF(X148&lt;&gt;0,IF(Pricetype=1,(xSPRDOPT(O148,$E148,$CI148,0,($CD148+IF(Smile=TRUE(),VLOOKUP(MAX(-5,$H148-O148),Volsmile,2),0)),$CG148,$CH148,($A148-DateToday)+15,1,1))*(8*$HF148),8*$HF148),0)),0))</f>
        <v> </v>
      </c>
      <c r="AH148" s="318" t="str">
        <f aca="false">IF($A148="N/A"," ",IF(VLOOKUP(MONTH(A148),ManualTable,9)=1,(IF(Y148&lt;&gt;0,IF(Pricetype=1,(xSPRDOPT(P148,$E148,$CI148,0,($CD148+IF(Smile=TRUE(),VLOOKUP(MAX(-5,$H148-P148),Volsmile,2),0)),$CG148,$CH148,($A148-DateToday)+15,1,1))*(8*$HF148),8*$HF148),0)),0))</f>
        <v> </v>
      </c>
      <c r="AI148" s="318" t="str">
        <f aca="false">IF($A148="N/A"," ",IF(VLOOKUP(MONTH(A148),ManualTable,10)=1,(IF(Z148&lt;&gt;0,(8*($HF148)),0)),0))</f>
        <v> </v>
      </c>
      <c r="AJ148" s="319" t="str">
        <f aca="false">IF($A148="N/A"," ",RANK(R148,$R$148:$Z$159))</f>
        <v> </v>
      </c>
      <c r="AK148" s="320" t="str">
        <f aca="false">IF($A148="N/A"," ",RANK(S148,$R$148:$Z$159))</f>
        <v> </v>
      </c>
      <c r="AL148" s="320" t="str">
        <f aca="false">IF($A148="N/A"," ",RANK(T148,$R$148:$Z$159))</f>
        <v> </v>
      </c>
      <c r="AM148" s="320" t="str">
        <f aca="false">IF($A148="N/A"," ",RANK(U148,$R$148:$Z$159))</f>
        <v> </v>
      </c>
      <c r="AN148" s="320" t="str">
        <f aca="false">IF($A148="N/A"," ",RANK(V148,$R$148:$Z$159))</f>
        <v> </v>
      </c>
      <c r="AO148" s="320" t="str">
        <f aca="false">IF($A148="N/A"," ",RANK(W148,$R$148:$Z$159))</f>
        <v> </v>
      </c>
      <c r="AP148" s="320" t="str">
        <f aca="false">IF($A148="N/A"," ",RANK(X148,$R$148:$Z$159))</f>
        <v> </v>
      </c>
      <c r="AQ148" s="320" t="str">
        <f aca="false">IF($A148="N/A"," ",RANK(Y148,$R$148:$Z$159))</f>
        <v> </v>
      </c>
      <c r="AR148" s="322" t="str">
        <f aca="false">IF($A148="N/A"," ",RANK(Z148,$R$148:$Z$159))</f>
        <v> </v>
      </c>
      <c r="AS148" s="357" t="str">
        <f aca="false">IF($A148="N/A"," ",IF(AJ148&lt;=$AR$2,AA148,0))</f>
        <v> </v>
      </c>
      <c r="AT148" s="324" t="str">
        <f aca="false">IF($A148="N/A"," ",IF(AK148&lt;=$AR$2,AB148,0))</f>
        <v> </v>
      </c>
      <c r="AU148" s="325" t="str">
        <f aca="false">IF($A148="N/A"," ",IF(AL148&lt;=$AR$2,AC148,0))</f>
        <v> </v>
      </c>
      <c r="AV148" s="325" t="str">
        <f aca="false">IF($A148="N/A"," ",IF(AM148&lt;=$AR$2,AD148,0))</f>
        <v> </v>
      </c>
      <c r="AW148" s="325" t="str">
        <f aca="false">IF($A148="N/A"," ",IF(AN148&lt;=$AR$2,AE148,0))</f>
        <v> </v>
      </c>
      <c r="AX148" s="325" t="str">
        <f aca="false">IF($A148="N/A"," ",IF(AO148&lt;=$AR$2,AF148,0))</f>
        <v> </v>
      </c>
      <c r="AY148" s="324" t="str">
        <f aca="false">IF($A148="N/A"," ",IF(AP148&lt;=$AR$2,AG148,0))</f>
        <v> </v>
      </c>
      <c r="AZ148" s="324" t="str">
        <f aca="false">IF($A148="N/A"," ",IF(AQ148&lt;=$AR$2,AH148,0))</f>
        <v> </v>
      </c>
      <c r="BA148" s="324" t="str">
        <f aca="false">IF($A148="N/A"," ",IF(AR148&lt;=$AR$2,AI148,0))</f>
        <v> </v>
      </c>
      <c r="BB148" s="322"/>
      <c r="BC148" s="358" t="str">
        <f aca="false">IF($A148="N/A"," ",IF(AND(AJ148=$AR$2+1,AS148=0),MIN($BB$159,AA148),0))</f>
        <v> </v>
      </c>
      <c r="BD148" s="327" t="str">
        <f aca="false">IF($A148="N/A"," ",IF(AND(AK148=$AR$2+1,AT148=0),MIN($BB$159,AB148),0))</f>
        <v> </v>
      </c>
      <c r="BE148" s="327" t="str">
        <f aca="false">IF($A148="N/A"," ",IF(AND(AL148=$AR$2+1,AU148=0),MIN($BB$159,AC148),0))</f>
        <v> </v>
      </c>
      <c r="BF148" s="327" t="str">
        <f aca="false">IF($A148="N/A"," ",IF(AND(AM148=$AR$2+1,AV148=0),MIN($BB$159,AD148),0))</f>
        <v> </v>
      </c>
      <c r="BG148" s="327" t="str">
        <f aca="false">IF($A148="N/A"," ",IF(AND(AN148=$AR$2+1,AW148=0),MIN($BB$159,AE148),0))</f>
        <v> </v>
      </c>
      <c r="BH148" s="327" t="str">
        <f aca="false">IF($A148="N/A"," ",IF(AND(AO148=$AR$2+1,AX148=0),MIN($BB$159,AF148),0))</f>
        <v> </v>
      </c>
      <c r="BI148" s="327" t="str">
        <f aca="false">IF($A148="N/A"," ",IF(AND(AP148=$AR$2+1,AY148=0),MIN($BB$159,AG148),0))</f>
        <v> </v>
      </c>
      <c r="BJ148" s="327" t="str">
        <f aca="false">IF($A148="N/A"," ",IF(AND(AQ148=$AR$2+1,AZ148=0),MIN($BB$159,AH148),0))</f>
        <v> </v>
      </c>
      <c r="BK148" s="327" t="str">
        <f aca="false">IF($A148="N/A"," ",IF(AND(AR148=$AR$2+1,BA148=0),MIN($BB$159,AI148),0))</f>
        <v> </v>
      </c>
      <c r="BL148" s="322"/>
      <c r="BM148" s="329" t="str">
        <f aca="false">IF($A148="N/A"," ",(IF(MONTH(A148)&gt;=4,IF(MONTH(A148)&lt;=10,Inputs!$F$13-Inputs!$G$13,Inputs!$F$14-Inputs!$G$14),Inputs!$F$14-Inputs!$G$14))*$CK148*Availability)</f>
        <v> </v>
      </c>
      <c r="BN148" s="330" t="str">
        <f aca="false">IF($A148="N/A"," ",(IF(AS148&gt;0,($BM148*(8*($HD148))*R148),0)+IF(BC148&gt;0,($BM148*((BC148/AA148)*8*$HD148)*R148),0)))</f>
        <v> </v>
      </c>
      <c r="BO148" s="330" t="str">
        <f aca="false">IF($A148="N/A"," ",(IF(AT148&gt;0,($BM148*(8*($HD148))*S148),0)+IF(BD148&gt;0,($BM148*((BD148/AB148)*8*$HD148)*S148),0)))</f>
        <v> </v>
      </c>
      <c r="BP148" s="330" t="str">
        <f aca="false">IF($A148="N/A"," ",(IF(AU148&gt;0,($BM148*(8*($HD148))*T148),0)+IF(BE148&gt;0,($BM148*((BE148))*T148),0)))</f>
        <v> </v>
      </c>
      <c r="BQ148" s="330" t="str">
        <f aca="false">IF($A148="N/A"," ",(IF(AV148&gt;0,($BM148*(8*($HE148))*U148),0)+IF(BF148&gt;0,($BM148*((BF148/AD148)*8*$HE148)*U148),0)))</f>
        <v> </v>
      </c>
      <c r="BR148" s="330" t="str">
        <f aca="false">IF($A148="N/A"," ",(IF(AW148&gt;0,($BM148*(8*($HE148))*V148),0)+IF(BG148&gt;0,($BM148*((BG148/AE148)*8*$HE148)*V148),0)))</f>
        <v> </v>
      </c>
      <c r="BS148" s="330" t="str">
        <f aca="false">IF($A148="N/A"," ",(IF(AX148&gt;0,($BM148*(8*($HE148))*W148),0)+IF(BH148&gt;0,($BM148*((BH148))*W148),0)))</f>
        <v> </v>
      </c>
      <c r="BT148" s="330" t="str">
        <f aca="false">IF($A148="N/A"," ",(IF(AY148&gt;0,($BM148*(8*($HF148))*X148),0)+IF(BI148&gt;0,($BM148*((BI148/AG148)*8*$HF148)*X148),0)))</f>
        <v> </v>
      </c>
      <c r="BU148" s="330" t="str">
        <f aca="false">IF($A148="N/A"," ",(IF(AZ148&gt;0,($BM148*(8*($HF148))*Y148),0)+IF(BJ148&gt;0,($BM148*((BJ148/AH148)*8*$HF148)*Y148),0)))</f>
        <v> </v>
      </c>
      <c r="BV148" s="330" t="str">
        <f aca="false">IF($A148="N/A"," ",(IF(BA148&gt;0,($BM148*(8*($HF148))*Z148),0)+IF(BK148&gt;0,($BM148*((BK148))*Z148),0)))</f>
        <v> </v>
      </c>
      <c r="BW148" s="330" t="str">
        <f aca="false">IF($A148="N/A"," ",SUM(BN148:BV148))</f>
        <v> </v>
      </c>
      <c r="BX148" s="331" t="str">
        <f aca="false">IF($A148="N/A"," ",(H148*(SUM(AS148:BA148)+SUM(BC148:BK148))*BM148))</f>
        <v> </v>
      </c>
      <c r="BY148" s="332" t="str">
        <f aca="false">IF($A148="N/A"," ",((C148*D148)*(SUM($AS148:$BA148)+SUM($BC148:$BK148))*$BM148))</f>
        <v> </v>
      </c>
      <c r="BZ148" s="332" t="str">
        <f aca="false">IF($A148="N/A"," ",(F148*(SUM($AS148:$BA148)+SUM($BC148:$BK148))*$BM148))</f>
        <v> </v>
      </c>
      <c r="CA148" s="333" t="str">
        <f aca="false">IF($A148="N/A"," ",(G148*(SUM($AS148:$BA148)+SUM($BC148:$BK148))*$BM148))</f>
        <v> </v>
      </c>
      <c r="CB148" s="334" t="str">
        <f aca="false">IF(A148="N/A"," ",(VLOOKUP(A148,PowerVolTable,(IF(BMO=2,7,IF(BMO=1,6,8))),FALSE())))</f>
        <v> </v>
      </c>
      <c r="CC148" s="334" t="str">
        <f aca="false">IF(A148="N/A"," ",(VLOOKUP(A148,IntraPowerVol,(IF(BMO=2,3,IF(BMO=1,2,4))),FALSE())*VLOOKUP(MONTH($A148),Volscale,2)))</f>
        <v> </v>
      </c>
      <c r="CD148" s="335" t="str">
        <f aca="false">IF($A148="N/A"," ",(IF(DateToday&gt;$A148,$CC148,((($CB148^2)*((($A148-1)-DateToday)/((EOMONTH($A148,0)+1)-DateToday-15)))+((($CC148)^2)*((15)/((EOMONTH($A148,0)+1)-DateToday-15))))^0.5)))</f>
        <v> </v>
      </c>
      <c r="CE148" s="334" t="str">
        <f aca="false">IF($A148="N/A"," ",(VLOOKUP($A148,GasVolTable,(IF(BMO=2,6,IF(BMO=1,7,5))),FALSE())))</f>
        <v> </v>
      </c>
      <c r="CF148" s="334" t="str">
        <f aca="false">IF($A148="N/A"," ",(VLOOKUP($A148,OmicronVol,(IF(BMO=2,3,IF(BMO=1,4,2))),FALSE())))</f>
        <v> </v>
      </c>
      <c r="CG148" s="335" t="str">
        <f aca="false">IF($A148="N/A"," ",(IF(DateToday&gt;$A148,$CF148,((($CE148^2)*((($A148-1)-DateToday)/((EOMONTH($A148,0)+1)-DateToday-15)))+((($CF148)^2)*((15)/((EOMONTH($A148,0)+1)-DateToday-15))))^0.5)))</f>
        <v> </v>
      </c>
      <c r="CH148" s="334" t="str">
        <f aca="false">IF($A148="N/A"," ",VLOOKUP($A148,CorrelationTable,2,FALSE()))</f>
        <v> </v>
      </c>
      <c r="CI148" s="336" t="str">
        <f aca="false">IF($A148="N/A"," ",F148+G148+(D148*('Pricing Inputs'!T181)))</f>
        <v> </v>
      </c>
      <c r="CJ148" s="334" t="str">
        <f aca="false">IF($A148="N/A"," ",IF(PV=1,0,'Pricing Inputs'!U181))</f>
        <v> </v>
      </c>
      <c r="CK148" s="337" t="str">
        <f aca="false">IF($A148="N/A"," ",(1+CJ148/2)^(-2*((EOMONTH(A148,0)+20)-DateToday)/365.25))</f>
        <v> </v>
      </c>
      <c r="CL148" s="338" t="str">
        <f aca="false">IF(A148="N/A"," ",IF(CC=2,(VLOOKUP(MONTH($A148),Hrtable,3))/1000,0))</f>
        <v> </v>
      </c>
      <c r="CM148" s="339" t="str">
        <f aca="false">IF(A148="N/A"," ",IF(CC=2,(CL148*C148)+F148,0))</f>
        <v> </v>
      </c>
      <c r="CN148" s="340" t="str">
        <f aca="false">IF($A148="N/A"," ",IF(CC=2,(VLOOKUP(A148,ScaledPrice,(IF(AND(Dayrun&gt;=1,Dayrun&lt;=6),2,4)))-((IF(R148&lt;&gt;0,$D148,$CL148)*$C148)+$F148+$G148)),0))</f>
        <v> </v>
      </c>
      <c r="CO148" s="340" t="str">
        <f aca="false">IF($A148="N/A"," ",IF(CC=2,(IF(AND(Dayrun&gt;=1,Dayrun&lt;=6),I148,(VLOOKUP(A148,ScaledPrice,2))*(2-(VLOOKUP(A148,ScaledPrice,3))))-((IF(S148&lt;&gt;0,$D148,$CL148)*$C148)+$F148+$G148)),0))</f>
        <v> </v>
      </c>
      <c r="CP148" s="340" t="str">
        <f aca="false">IF(A148="N/A"," ",IF(CC=2,(VLOOKUP(A148,ScaledPrice,9)-((IF(T148&lt;&gt;0,$D148,$CL148)*$C148)+$F148+$G148)),0))</f>
        <v> </v>
      </c>
      <c r="CQ148" s="340" t="str">
        <f aca="false">IF(A148="N/A"," ",IF(CC=2,(IF(OR(Dayrun=2,Dayrun=3,Dayrun=5,Dayrun=6,Dayrun=8,Dayrun=9),VLOOKUP(A148,ScaledPrice,IF(AND(Dayrun&gt;=2,Dayrun&lt;=6),5,6)),0)-((IF(U148&lt;&gt;0,$D148,$CL148)*$C148)+$F148+$G148)),0))</f>
        <v> </v>
      </c>
      <c r="CR148" s="340" t="str">
        <f aca="false">IF(A148="N/A"," ",IF(CC=2,(IF(OR(Dayrun=2,Dayrun=3,Dayrun=5,Dayrun=6,Dayrun=8,Dayrun=9),IF(AND(Dayrun&gt;=2,Dayrun&lt;=6),L148,(VLOOKUP(A148,ScaledPrice,5))*(2-(VLOOKUP(A148,ScaledPrice,3)))),0)-((IF(V148&lt;&gt;0,$D148,$CL148)*$C148)+$F148+$G148)),0))</f>
        <v> </v>
      </c>
      <c r="CS148" s="340" t="str">
        <f aca="false">IF(A148="N/A"," ",IF(CC=2,(VLOOKUP(A148,ScaledPrice,9)-((IF(W148&lt;&gt;0,$D148,$CL148)*$C148)+$F148+$G148)),0))</f>
        <v> </v>
      </c>
      <c r="CT148" s="340" t="str">
        <f aca="false">IF(A148="N/A"," ",IF(CC=2,(IF(OR(Dayrun=3,Dayrun=6,Dayrun=9),(VLOOKUP(A148,ScaledPrice,IF(AND(Dayrun&gt;=3,Dayrun&lt;=6),7,8))),0)-((IF(X148&lt;&gt;0,$D148,$CL148)*$C148)+$F148+$G148)),0))</f>
        <v> </v>
      </c>
      <c r="CU148" s="340" t="str">
        <f aca="false">IF(A148="N/A"," ",IF(CC=2,(IF(OR(Dayrun=3,Dayrun=6,Dayrun=9),IF(AND(Dayrun&gt;=3,Dayrun&lt;=6),O148,(VLOOKUP(A148,ScaledPrice,7))*(2-(VLOOKUP(A148,ScaledPrice,3)))),0)-((IF(Y148&lt;&gt;0,$D148,$CL148)*$C148)+$F148+$G148)),0))</f>
        <v> </v>
      </c>
      <c r="CV148" s="340" t="str">
        <f aca="false">IF(A148="N/A"," ",IF(CC=2,(VLOOKUP(A148,ScaledPrice,9)-((IF(Z148&lt;&gt;0,$D148,$CL148)*$C148)+$F148+$G148)),0))</f>
        <v> </v>
      </c>
      <c r="CW148" s="318" t="str">
        <f aca="false">IF($A148="N/A"," ",IF(0&lt;&gt;CN148,IF(CC=2,8*$HD148,0),0))</f>
        <v> </v>
      </c>
      <c r="CX148" s="318" t="str">
        <f aca="false">IF($A148="N/A"," ",IF(0&lt;&gt;CO148,IF(CC=2,8*$HD148,0),0))</f>
        <v> </v>
      </c>
      <c r="CY148" s="318" t="str">
        <f aca="false">IF($A148="N/A"," ",IF(0&lt;&gt;CP148,IF(CC=2,8*$HD148,0),0))</f>
        <v> </v>
      </c>
      <c r="CZ148" s="318" t="str">
        <f aca="false">IF($A148="N/A"," ",IF(0&lt;&gt;CQ148,IF(CC=2,8*$HE148,0),0))</f>
        <v> </v>
      </c>
      <c r="DA148" s="318" t="str">
        <f aca="false">IF($A148="N/A"," ",IF(0&lt;&gt;CR148,IF(CC=2,8*$HE148,0),0))</f>
        <v> </v>
      </c>
      <c r="DB148" s="318" t="str">
        <f aca="false">IF($A148="N/A"," ",IF(0&lt;&gt;CS148,IF(CC=2,8*$HE148,0),0))</f>
        <v> </v>
      </c>
      <c r="DC148" s="318" t="str">
        <f aca="false">IF($A148="N/A"," ",IF(0&lt;&gt;CT148,IF(CC=2,8*$HF148,0),0))</f>
        <v> </v>
      </c>
      <c r="DD148" s="318" t="str">
        <f aca="false">IF($A148="N/A"," ",IF(0&lt;&gt;CU148,IF(CC=2,8*$HF148,0),0))</f>
        <v> </v>
      </c>
      <c r="DE148" s="318" t="str">
        <f aca="false">IF($A148="N/A"," ",IF(0&lt;&gt;CV148,IF(CC=2,8*$HF148,0),0))</f>
        <v> </v>
      </c>
      <c r="DF148" s="341" t="str">
        <f aca="false">IF($A148="N/A"," ",IF(CC=2,(IF(MONTH(A148)&gt;=4,IF(MONTH(A148)&lt;=10,Inputs!$G$13,Inputs!$G$14),Inputs!$G$14))*$CK148,0))</f>
        <v> </v>
      </c>
      <c r="DG148" s="342" t="str">
        <f aca="false">IF($A148="N/A"," ",IF(CC=2,$DF148*CW148*CN148,0))</f>
        <v> </v>
      </c>
      <c r="DH148" s="342" t="str">
        <f aca="false">IF($A148="N/A"," ",IF(CC=2,$DF148*CX148*CO148,0))</f>
        <v> </v>
      </c>
      <c r="DI148" s="342" t="str">
        <f aca="false">IF($A148="N/A"," ",IF(CC=2,$DF148*CY148*CP148,0))</f>
        <v> </v>
      </c>
      <c r="DJ148" s="342" t="str">
        <f aca="false">IF($A148="N/A"," ",IF(CC=2,$DF148*CZ148*CQ148,0))</f>
        <v> </v>
      </c>
      <c r="DK148" s="342" t="str">
        <f aca="false">IF($A148="N/A"," ",IF(CC=2,$DF148*DA148*CR148,0))</f>
        <v> </v>
      </c>
      <c r="DL148" s="342" t="str">
        <f aca="false">IF($A148="N/A"," ",IF(CC=2,$DF148*DB148*CS148,0))</f>
        <v> </v>
      </c>
      <c r="DM148" s="342" t="str">
        <f aca="false">IF($A148="N/A"," ",IF(CC=2,$DF148*DC148*CT148,0))</f>
        <v> </v>
      </c>
      <c r="DN148" s="342" t="str">
        <f aca="false">IF($A148="N/A"," ",IF(CC=2,$DF148*DD148*CU148,0))</f>
        <v> </v>
      </c>
      <c r="DO148" s="342" t="str">
        <f aca="false">IF($A148="N/A"," ",IF(CC=2,$DF148*DE148*CV148,0))</f>
        <v> </v>
      </c>
      <c r="DP148" s="343" t="str">
        <f aca="false">IF($A148="N/A"," ",IF(CC=2,SUM(DG148:DO148),0))</f>
        <v> </v>
      </c>
      <c r="DQ148" s="0" t="str">
        <f aca="false">IF(A148="N/A"," ",Perstart)</f>
        <v> </v>
      </c>
      <c r="HD148" s="0" t="str">
        <f aca="false">IF($A148="N/A"," ",VLOOKUP($A148,NumberofDaysTable,2))</f>
        <v> </v>
      </c>
      <c r="HE148" s="0" t="str">
        <f aca="false">IF($A148="N/A"," ",VLOOKUP($A148,NumberofDaysTable,3))</f>
        <v> </v>
      </c>
      <c r="HF148" s="0" t="str">
        <f aca="false">IF($A148="N/A"," ",VLOOKUP($A148,NumberofDaysTable,4))</f>
        <v> </v>
      </c>
    </row>
    <row r="149" customFormat="false" ht="12.75" hidden="false" customHeight="false" outlineLevel="0" collapsed="false">
      <c r="A149" s="308" t="str">
        <f aca="false">IF(A148="N/A","N/A",IF(EDATE(A148,1)&gt;Inputs!$K$3,"N/A",EDATE(A148,1)))</f>
        <v>N/A</v>
      </c>
      <c r="B149" s="309" t="str">
        <f aca="false">IF(A149="N/A"," ",YEAR(A149))</f>
        <v> </v>
      </c>
      <c r="C149" s="310" t="str">
        <f aca="false">IF(A149="N/A"," ",VLOOKUP(A149,ScaledPrice,10))</f>
        <v> </v>
      </c>
      <c r="D149" s="311" t="str">
        <f aca="false">IF(A149="N/A"," ",(VLOOKUP(MONTH($A149),Hrtable,2))/1000)</f>
        <v> </v>
      </c>
      <c r="E149" s="312" t="str">
        <f aca="false">IF($A149="N/A"," ",(C149-'Pricing Inputs'!T182)*D149)</f>
        <v> </v>
      </c>
      <c r="F149" s="313" t="str">
        <f aca="false">IF(A149="N/A"," ",$F137*(1+VOMesc))</f>
        <v> </v>
      </c>
      <c r="G149" s="313" t="str">
        <f aca="false">IF(A149="N/A"," ",Perstart/IF(AND(Dayrun&gt;=4,Dayrun&lt;=6),16,IF(AND(Dayrun&gt;=7,Dayrun&lt;=9),8,24))/(BM149/CK149))</f>
        <v> </v>
      </c>
      <c r="H149" s="314" t="str">
        <f aca="false">IF(A149="N/A"," ",(C149*D149)+F149+G149)</f>
        <v> </v>
      </c>
      <c r="I149" s="315" t="str">
        <f aca="false">VLOOKUP(A149,ScaledPrice,(IF(AND(Dayrun&gt;=1,Dayrun&lt;=6),2,4)))</f>
        <v> </v>
      </c>
      <c r="J149" s="315" t="str">
        <f aca="false">IF(A149="N/A"," ",IF(AND(Dayrun&gt;=1,Dayrun&lt;=6),I149,(VLOOKUP(A149,ScaledPrice,2))*(2-(VLOOKUP(A149,ScaledPrice,3)))))</f>
        <v> </v>
      </c>
      <c r="K149" s="315" t="str">
        <f aca="false">IF(A149="N/A"," ",IF(AND(Dayrun&gt;=1,Dayrun&lt;=3),VLOOKUP(A149,ScaledPrice,9),0))</f>
        <v> </v>
      </c>
      <c r="L149" s="315" t="str">
        <f aca="false">IF(A149="N/A"," ",IF(OR(Dayrun=2,Dayrun=3,Dayrun=5,Dayrun=6,Dayrun=8,Dayrun=9),VLOOKUP(A149,ScaledPrice,IF(AND(Dayrun&gt;=2,Dayrun&lt;=6),5,6)),0))</f>
        <v> </v>
      </c>
      <c r="M149" s="315" t="str">
        <f aca="false">IF(A149="N/A"," ",IF(OR(Dayrun=2,Dayrun=3,Dayrun=5,Dayrun=6,Dayrun=8,Dayrun=9),IF(AND(Dayrun&gt;=2,Dayrun&lt;=6),L149,(VLOOKUP(A149,ScaledPrice,5))*(2-(VLOOKUP(A149,ScaledPrice,3)))),0))</f>
        <v> </v>
      </c>
      <c r="N149" s="315" t="str">
        <f aca="false">IF(A149="N/A"," ",IF(AND(Dayrun&gt;1,Dayrun&lt;=3),VLOOKUP(A149,ScaledPrice,9),0))</f>
        <v> </v>
      </c>
      <c r="O149" s="315" t="str">
        <f aca="false">IF(A149="N/A"," ",IF(OR(Dayrun=3,Dayrun=6,Dayrun=9),(VLOOKUP(A149,ScaledPrice,IF(AND(Dayrun&gt;=3,Dayrun&lt;=6),7,8))),0))</f>
        <v> </v>
      </c>
      <c r="P149" s="315" t="str">
        <f aca="false">IF(A149="N/A"," ",IF(OR(Dayrun=3,Dayrun=6,Dayrun=9),IF(AND(Dayrun&gt;=3,Dayrun&lt;=6),O149,(VLOOKUP(A149,ScaledPrice,7))*(2-(VLOOKUP(A149,ScaledPrice,3)))),0))</f>
        <v> </v>
      </c>
      <c r="Q149" s="315" t="str">
        <f aca="false">IF(A149="N/A"," ",IF(AND(Dayrun&gt;2,Dayrun&lt;=3),VLOOKUP(A149,ScaledPrice,9),0))</f>
        <v> </v>
      </c>
      <c r="R149" s="316" t="str">
        <f aca="false">IF($A149="N/A"," ",IF(Pricetype=2,MAX(I149-$H149,0),IF(Pricetype=1,(xSPRDOPT(I149,$E149,$CI149,0,($CD149+IF(Smile=TRUE(),VLOOKUP(MAX(-5,$H149-I149),Volsmile,2),0)),$CG149,$CH149,($A149-DateToday)+15,1,0)),I149-$H149)))</f>
        <v> </v>
      </c>
      <c r="S149" s="316" t="str">
        <f aca="false">IF($A149="N/A"," ",IF(Pricetype=2,MAX(J149-$H149,0),IF(Pricetype=1,(xSPRDOPT(J149,$E149,$CI149,0,($CD149+IF(Smile=TRUE(),VLOOKUP(MAX(-5,$H149-J149),Volsmile,2),0)),$CG149,$CH149,($A149-DateToday)+15,1,0)),J149-$H149)))</f>
        <v> </v>
      </c>
      <c r="T149" s="317" t="str">
        <f aca="false">IF($A149="N/A"," ",(IF(Pricetype=2,IF((K149-$H149)&lt;=0,0,(K149-$H149)),IF(K149&lt;&gt;0,(K149-$H149),0))))</f>
        <v> </v>
      </c>
      <c r="U149" s="316" t="str">
        <f aca="false">IF($A149="N/A"," ",IF(Pricetype=2,MAX(L149-$H149,0),IF(L149&lt;&gt;0,IF(Pricetype=1,(xSPRDOPT(L149,$E149,$CI149,0,($CD149+IF(Smile=TRUE(),VLOOKUP(MAX(-5,$H149-L149),Volsmile,2),0)),$CG149,$CH149,($A149-DateToday)+15,1,0)),L149-$H149),0)))</f>
        <v> </v>
      </c>
      <c r="V149" s="316" t="str">
        <f aca="false">IF($A149="N/A"," ",IF(Pricetype=2,MAX(M149-$H149,0),IF(M149&lt;&gt;0,IF(Pricetype=1,(xSPRDOPT(M149,$E149,$CI149,0,($CD149+IF(Smile=TRUE(),VLOOKUP(MAX(-5,$H149-M149),Volsmile,2),0)),$CG149,$CH149,($A149-DateToday)+15,1,0)),M149-$H149),0)))</f>
        <v> </v>
      </c>
      <c r="W149" s="317" t="str">
        <f aca="false">IF($A149="N/A"," ",(IF(Pricetype=2,IF((N149-$H149)&lt;=0,0,(N149-$H149)),IF(N149&lt;&gt;0,(N149-$H149),0))))</f>
        <v> </v>
      </c>
      <c r="X149" s="316" t="str">
        <f aca="false">IF($A149="N/A"," ",IF(Pricetype=2,MAX(O149-$H149,0),IF(O149&lt;&gt;0,IF(Pricetype=1,(xSPRDOPT(O149,$E149,$CI149,0,($CD149+IF(Smile=TRUE(),VLOOKUP(MAX(-5,$H149-O149),Volsmile,2),0)),$CG149,$CH149,($A149-DateToday)+15,1,0)),O149-$H149),0)))</f>
        <v> </v>
      </c>
      <c r="Y149" s="316" t="str">
        <f aca="false">IF($A149="N/A"," ",IF(Pricetype=2,MAX(P149-$H149,0),IF(P149&lt;&gt;0,IF(Pricetype=1,(xSPRDOPT(P149,$E149,$CI149,0,($CD149+IF(Smile=TRUE(),VLOOKUP(MAX(-5,$H149-P149),Volsmile,2),0)),$CG149,$CH149,($A149-DateToday)+15,1,0)),P149-$H149),0)))</f>
        <v> </v>
      </c>
      <c r="Z149" s="317" t="str">
        <f aca="false">IF($A149="N/A"," ",(IF(Pricetype=2,IF((Q149-$H149)&lt;=0,0,(Q149-$H149)),IF(Q149&lt;&gt;0,(Q149-$H149),0))))</f>
        <v> </v>
      </c>
      <c r="AA149" s="318" t="str">
        <f aca="false">IF($A149="N/A"," ",IF(VLOOKUP(MONTH(A149),ManualTable,2)=1,(IF(0&lt;&gt;R149,IF(Pricetype=1,(xSPRDOPT(I149,$E149,$CI149,0,($CD149+IF(Smile=TRUE(),VLOOKUP(MAX(-5,$H149-I149),Volsmile,2),0)),$CG149,$CH149,($A149-DateToday)+15,1,1))*(8*$HD149),8*$HD149),0)),0))</f>
        <v> </v>
      </c>
      <c r="AB149" s="318" t="str">
        <f aca="false">IF($A149="N/A"," ",IF(VLOOKUP(MONTH(A149),ManualTable,3)=1,(IF(S149&lt;&gt;0,IF(Pricetype=1,(xSPRDOPT(J149,$E149,$CI149,0,($CD149+IF(Smile=TRUE(),VLOOKUP(MAX(-5,$H149-J149),Volsmile,2),0)),$CG149,$CH149,($A149-DateToday)+15,1,1))*(8*$HD149),8*$HD149),0)),0))</f>
        <v> </v>
      </c>
      <c r="AC149" s="318" t="str">
        <f aca="false">IF($A149="N/A"," ",IF(VLOOKUP(MONTH(A149),ManualTable,4)=1,(IF(T149&lt;&gt;0,(8*$HD149),0)),0))</f>
        <v> </v>
      </c>
      <c r="AD149" s="318" t="str">
        <f aca="false">IF($A149="N/A"," ",IF(VLOOKUP(MONTH(A149),ManualTable,5)=1,(IF(U149&lt;&gt;0,IF(Pricetype=1,(xSPRDOPT(L149,$E149,$CI149,0,($CD149+IF(Smile=TRUE(),VLOOKUP(MAX(-5,$H149-L149),Volsmile,2),0)),$CG149,$CH149,($A149-DateToday)+15,1,1))*(8*$HE149),8*$HE149),0)),0))</f>
        <v> </v>
      </c>
      <c r="AE149" s="318" t="str">
        <f aca="false">IF($A149="N/A"," ",IF(VLOOKUP(MONTH(A149),ManualTable,6)=1,(IF(V149&lt;&gt;0,IF(Pricetype=1,(xSPRDOPT(M149,$E149,$CI149,0,($CD149+IF(Smile=TRUE(),VLOOKUP(MAX(-5,$H149-M149),Volsmile,2),0)),$CG149,$CH149,($A149-DateToday)+15,1,1))*(8*$HE149),8*$HE149),0)),0))</f>
        <v> </v>
      </c>
      <c r="AF149" s="318" t="str">
        <f aca="false">IF($A149="N/A"," ",IF(VLOOKUP(MONTH(A149),ManualTable,7)=1,(IF(W149&lt;&gt;0,(8*$HE149),0)),0))</f>
        <v> </v>
      </c>
      <c r="AG149" s="318" t="str">
        <f aca="false">IF($A149="N/A"," ",IF(VLOOKUP(MONTH(A149),ManualTable,8)=1,(IF(X149&lt;&gt;0,IF(Pricetype=1,(xSPRDOPT(O149,$E149,$CI149,0,($CD149+IF(Smile=TRUE(),VLOOKUP(MAX(-5,$H149-O149),Volsmile,2),0)),$CG149,$CH149,($A149-DateToday)+15,1,1))*(8*$HF149),8*$HF149),0)),0))</f>
        <v> </v>
      </c>
      <c r="AH149" s="318" t="str">
        <f aca="false">IF($A149="N/A"," ",IF(VLOOKUP(MONTH(A149),ManualTable,9)=1,(IF(Y149&lt;&gt;0,IF(Pricetype=1,(xSPRDOPT(P149,$E149,$CI149,0,($CD149+IF(Smile=TRUE(),VLOOKUP(MAX(-5,$H149-P149),Volsmile,2),0)),$CG149,$CH149,($A149-DateToday)+15,1,1))*(8*$HF149),8*$HF149),0)),0))</f>
        <v> </v>
      </c>
      <c r="AI149" s="318" t="str">
        <f aca="false">IF($A149="N/A"," ",IF(VLOOKUP(MONTH(A149),ManualTable,10)=1,(IF(Z149&lt;&gt;0,(8*($HF149)),0)),0))</f>
        <v> </v>
      </c>
      <c r="AJ149" s="344" t="str">
        <f aca="false">IF($A149="N/A"," ",RANK(R149,$R$148:$Z$159))</f>
        <v> </v>
      </c>
      <c r="AK149" s="321" t="str">
        <f aca="false">IF($A149="N/A"," ",RANK(S149,$R$148:$Z$159))</f>
        <v> </v>
      </c>
      <c r="AL149" s="321" t="str">
        <f aca="false">IF($A149="N/A"," ",RANK(T149,$R$148:$Z$159))</f>
        <v> </v>
      </c>
      <c r="AM149" s="321" t="str">
        <f aca="false">IF($A149="N/A"," ",RANK(U149,$R$148:$Z$159))</f>
        <v> </v>
      </c>
      <c r="AN149" s="321" t="str">
        <f aca="false">IF($A149="N/A"," ",RANK(V149,$R$148:$Z$159))</f>
        <v> </v>
      </c>
      <c r="AO149" s="321" t="str">
        <f aca="false">IF($A149="N/A"," ",RANK(W149,$R$148:$Z$159))</f>
        <v> </v>
      </c>
      <c r="AP149" s="321" t="str">
        <f aca="false">IF($A149="N/A"," ",RANK(X149,$R$148:$Z$159))</f>
        <v> </v>
      </c>
      <c r="AQ149" s="321" t="str">
        <f aca="false">IF($A149="N/A"," ",RANK(Y149,$R$148:$Z$159))</f>
        <v> </v>
      </c>
      <c r="AR149" s="345" t="str">
        <f aca="false">IF($A149="N/A"," ",RANK(Z149,$R$148:$Z$159))</f>
        <v> </v>
      </c>
      <c r="AS149" s="323" t="str">
        <f aca="false">IF($A149="N/A"," ",IF(AJ149&lt;=$AR$2,AA149,0))</f>
        <v> </v>
      </c>
      <c r="AT149" s="325" t="str">
        <f aca="false">IF($A149="N/A"," ",IF(AK149&lt;=$AR$2,AB149,0))</f>
        <v> </v>
      </c>
      <c r="AU149" s="325" t="str">
        <f aca="false">IF($A149="N/A"," ",IF(AL149&lt;=$AR$2,AC149,0))</f>
        <v> </v>
      </c>
      <c r="AV149" s="325" t="str">
        <f aca="false">IF($A149="N/A"," ",IF(AM149&lt;=$AR$2,AD149,0))</f>
        <v> </v>
      </c>
      <c r="AW149" s="325" t="str">
        <f aca="false">IF($A149="N/A"," ",IF(AN149&lt;=$AR$2,AE149,0))</f>
        <v> </v>
      </c>
      <c r="AX149" s="325" t="str">
        <f aca="false">IF($A149="N/A"," ",IF(AO149&lt;=$AR$2,AF149,0))</f>
        <v> </v>
      </c>
      <c r="AY149" s="325" t="str">
        <f aca="false">IF($A149="N/A"," ",IF(AP149&lt;=$AR$2,AG149,0))</f>
        <v> </v>
      </c>
      <c r="AZ149" s="325" t="str">
        <f aca="false">IF($A149="N/A"," ",IF(AQ149&lt;=$AR$2,AH149,0))</f>
        <v> </v>
      </c>
      <c r="BA149" s="325" t="str">
        <f aca="false">IF($A149="N/A"," ",IF(AR149&lt;=$AR$2,AI149,0))</f>
        <v> </v>
      </c>
      <c r="BB149" s="345"/>
      <c r="BC149" s="326" t="str">
        <f aca="false">IF($A149="N/A"," ",IF(AND(AJ149=$AR$2+1,AS149=0),MIN($BB$159,AA149),0))</f>
        <v> </v>
      </c>
      <c r="BD149" s="346" t="str">
        <f aca="false">IF($A149="N/A"," ",IF(AND(AK149=$AR$2+1,AT149=0),MIN($BB$159,AB149),0))</f>
        <v> </v>
      </c>
      <c r="BE149" s="346" t="str">
        <f aca="false">IF($A149="N/A"," ",IF(AND(AL149=$AR$2+1,AU149=0),MIN($BB$159,AC149),0))</f>
        <v> </v>
      </c>
      <c r="BF149" s="346" t="str">
        <f aca="false">IF($A149="N/A"," ",IF(AND(AM149=$AR$2+1,AV149=0),MIN($BB$159,AD149),0))</f>
        <v> </v>
      </c>
      <c r="BG149" s="346" t="str">
        <f aca="false">IF($A149="N/A"," ",IF(AND(AN149=$AR$2+1,AW149=0),MIN($BB$159,AE149),0))</f>
        <v> </v>
      </c>
      <c r="BH149" s="346" t="str">
        <f aca="false">IF($A149="N/A"," ",IF(AND(AO149=$AR$2+1,AX149=0),MIN($BB$159,AF149),0))</f>
        <v> </v>
      </c>
      <c r="BI149" s="346" t="str">
        <f aca="false">IF($A149="N/A"," ",IF(AND(AP149=$AR$2+1,AY149=0),MIN($BB$159,AG149),0))</f>
        <v> </v>
      </c>
      <c r="BJ149" s="346" t="str">
        <f aca="false">IF($A149="N/A"," ",IF(AND(AQ149=$AR$2+1,AZ149=0),MIN($BB$159,AH149),0))</f>
        <v> </v>
      </c>
      <c r="BK149" s="346" t="str">
        <f aca="false">IF($A149="N/A"," ",IF(AND(AR149=$AR$2+1,BA149=0),MIN($BB$159,AI149),0))</f>
        <v> </v>
      </c>
      <c r="BL149" s="345"/>
      <c r="BM149" s="329" t="str">
        <f aca="false">IF($A149="N/A"," ",(IF(MONTH(A149)&gt;=4,IF(MONTH(A149)&lt;=10,Inputs!$F$13-Inputs!$G$13,Inputs!$F$14-Inputs!$G$14),Inputs!$F$14-Inputs!$G$14))*$CK149*Availability)</f>
        <v> </v>
      </c>
      <c r="BN149" s="330" t="str">
        <f aca="false">IF($A149="N/A"," ",(IF(AS149&gt;0,($BM149*(8*($HD149))*R149),0)+IF(BC149&gt;0,($BM149*((BC149/AA149)*8*$HD149)*R149),0)))</f>
        <v> </v>
      </c>
      <c r="BO149" s="330" t="str">
        <f aca="false">IF($A149="N/A"," ",(IF(AT149&gt;0,($BM149*(8*($HD149))*S149),0)+IF(BD149&gt;0,($BM149*((BD149/AB149)*8*$HD149)*S149),0)))</f>
        <v> </v>
      </c>
      <c r="BP149" s="330" t="str">
        <f aca="false">IF($A149="N/A"," ",(IF(AU149&gt;0,($BM149*(8*($HD149))*T149),0)+IF(BE149&gt;0,($BM149*((BE149))*T149),0)))</f>
        <v> </v>
      </c>
      <c r="BQ149" s="330" t="str">
        <f aca="false">IF($A149="N/A"," ",(IF(AV149&gt;0,($BM149*(8*($HE149))*U149),0)+IF(BF149&gt;0,($BM149*((BF149/AD149)*8*$HE149)*U149),0)))</f>
        <v> </v>
      </c>
      <c r="BR149" s="330" t="str">
        <f aca="false">IF($A149="N/A"," ",(IF(AW149&gt;0,($BM149*(8*($HE149))*V149),0)+IF(BG149&gt;0,($BM149*((BG149/AE149)*8*$HE149)*V149),0)))</f>
        <v> </v>
      </c>
      <c r="BS149" s="330" t="str">
        <f aca="false">IF($A149="N/A"," ",(IF(AX149&gt;0,($BM149*(8*($HE149))*W149),0)+IF(BH149&gt;0,($BM149*((BH149))*W149),0)))</f>
        <v> </v>
      </c>
      <c r="BT149" s="330" t="str">
        <f aca="false">IF($A149="N/A"," ",(IF(AY149&gt;0,($BM149*(8*($HF149))*X149),0)+IF(BI149&gt;0,($BM149*((BI149/AG149)*8*$HF149)*X149),0)))</f>
        <v> </v>
      </c>
      <c r="BU149" s="330" t="str">
        <f aca="false">IF($A149="N/A"," ",(IF(AZ149&gt;0,($BM149*(8*($HF149))*Y149),0)+IF(BJ149&gt;0,($BM149*((BJ149/AH149)*8*$HF149)*Y149),0)))</f>
        <v> </v>
      </c>
      <c r="BV149" s="330" t="str">
        <f aca="false">IF($A149="N/A"," ",(IF(BA149&gt;0,($BM149*(8*($HF149))*Z149),0)+IF(BK149&gt;0,($BM149*((BK149))*Z149),0)))</f>
        <v> </v>
      </c>
      <c r="BW149" s="330" t="str">
        <f aca="false">IF($A149="N/A"," ",SUM(BN149:BV149))</f>
        <v> </v>
      </c>
      <c r="BX149" s="331" t="str">
        <f aca="false">IF($A149="N/A"," ",(H149*(SUM(AS149:BA149)+SUM(BC149:BK149))*BM149))</f>
        <v> </v>
      </c>
      <c r="BY149" s="332" t="str">
        <f aca="false">IF($A149="N/A"," ",((C149*D149)*(SUM($AS149:$BA149)+SUM($BC149:$BK149))*$BM149))</f>
        <v> </v>
      </c>
      <c r="BZ149" s="332" t="str">
        <f aca="false">IF($A149="N/A"," ",(F149*(SUM($AS149:$BA149)+SUM($BC149:$BK149))*$BM149))</f>
        <v> </v>
      </c>
      <c r="CA149" s="333" t="str">
        <f aca="false">IF($A149="N/A"," ",(G149*(SUM($AS149:$BA149)+SUM($BC149:$BK149))*$BM149))</f>
        <v> </v>
      </c>
      <c r="CB149" s="334" t="str">
        <f aca="false">IF(A149="N/A"," ",(VLOOKUP(A149,PowerVolTable,(IF(BMO=2,7,IF(BMO=1,6,8))),FALSE())))</f>
        <v> </v>
      </c>
      <c r="CC149" s="334" t="str">
        <f aca="false">IF(A149="N/A"," ",(VLOOKUP(A149,IntraPowerVol,(IF(BMO=2,3,IF(BMO=1,2,4))),FALSE())*VLOOKUP(MONTH($A149),Volscale,2)))</f>
        <v> </v>
      </c>
      <c r="CD149" s="335" t="str">
        <f aca="false">IF($A149="N/A"," ",(IF(DateToday&gt;$A149,$CC149,((($CB149^2)*((($A149-1)-DateToday)/((EOMONTH($A149,0)+1)-DateToday-15)))+((($CC149)^2)*((15)/((EOMONTH($A149,0)+1)-DateToday-15))))^0.5)))</f>
        <v> </v>
      </c>
      <c r="CE149" s="334" t="str">
        <f aca="false">IF($A149="N/A"," ",(VLOOKUP($A149,GasVolTable,(IF(BMO=2,6,IF(BMO=1,7,5))),FALSE())))</f>
        <v> </v>
      </c>
      <c r="CF149" s="334" t="str">
        <f aca="false">IF($A149="N/A"," ",(VLOOKUP($A149,OmicronVol,(IF(BMO=2,3,IF(BMO=1,4,2))),FALSE())))</f>
        <v> </v>
      </c>
      <c r="CG149" s="335" t="str">
        <f aca="false">IF($A149="N/A"," ",(IF(DateToday&gt;$A149,$CF149,((($CE149^2)*((($A149-1)-DateToday)/((EOMONTH($A149,0)+1)-DateToday-15)))+((($CF149)^2)*((15)/((EOMONTH($A149,0)+1)-DateToday-15))))^0.5)))</f>
        <v> </v>
      </c>
      <c r="CH149" s="334" t="str">
        <f aca="false">IF($A149="N/A"," ",VLOOKUP($A149,CorrelationTable,2,FALSE()))</f>
        <v> </v>
      </c>
      <c r="CI149" s="336" t="str">
        <f aca="false">IF($A149="N/A"," ",F149+G149+(D149*('Pricing Inputs'!T182)))</f>
        <v> </v>
      </c>
      <c r="CJ149" s="334" t="str">
        <f aca="false">IF($A149="N/A"," ",IF(PV=1,0,'Pricing Inputs'!U182))</f>
        <v> </v>
      </c>
      <c r="CK149" s="337" t="str">
        <f aca="false">IF($A149="N/A"," ",(1+CJ149/2)^(-2*((EOMONTH(A149,0)+20)-DateToday)/365.25))</f>
        <v> </v>
      </c>
      <c r="CL149" s="338" t="str">
        <f aca="false">IF(A149="N/A"," ",IF(CC=2,(VLOOKUP(MONTH($A149),Hrtable,3))/1000,0))</f>
        <v> </v>
      </c>
      <c r="CM149" s="339" t="str">
        <f aca="false">IF(A149="N/A"," ",IF(CC=2,(CL149*C149)+F149,0))</f>
        <v> </v>
      </c>
      <c r="CN149" s="340" t="str">
        <f aca="false">IF($A149="N/A"," ",IF(CC=2,(VLOOKUP(A149,ScaledPrice,(IF(AND(Dayrun&gt;=1,Dayrun&lt;=6),2,4)))-((IF(R149&lt;&gt;0,$D149,$CL149)*$C149)+$F149+$G149)),0))</f>
        <v> </v>
      </c>
      <c r="CO149" s="340" t="str">
        <f aca="false">IF($A149="N/A"," ",IF(CC=2,(IF(AND(Dayrun&gt;=1,Dayrun&lt;=6),I149,(VLOOKUP(A149,ScaledPrice,2))*(2-(VLOOKUP(A149,ScaledPrice,3))))-((IF(S149&lt;&gt;0,$D149,$CL149)*$C149)+$F149+$G149)),0))</f>
        <v> </v>
      </c>
      <c r="CP149" s="340" t="str">
        <f aca="false">IF(A149="N/A"," ",IF(CC=2,(VLOOKUP(A149,ScaledPrice,9)-((IF(T149&lt;&gt;0,$D149,$CL149)*$C149)+$F149+$G149)),0))</f>
        <v> </v>
      </c>
      <c r="CQ149" s="340" t="str">
        <f aca="false">IF(A149="N/A"," ",IF(CC=2,(IF(OR(Dayrun=2,Dayrun=3,Dayrun=5,Dayrun=6,Dayrun=8,Dayrun=9),VLOOKUP(A149,ScaledPrice,IF(AND(Dayrun&gt;=2,Dayrun&lt;=6),5,6)),0)-((IF(U149&lt;&gt;0,$D149,$CL149)*$C149)+$F149+$G149)),0))</f>
        <v> </v>
      </c>
      <c r="CR149" s="340" t="str">
        <f aca="false">IF(A149="N/A"," ",IF(CC=2,(IF(OR(Dayrun=2,Dayrun=3,Dayrun=5,Dayrun=6,Dayrun=8,Dayrun=9),IF(AND(Dayrun&gt;=2,Dayrun&lt;=6),L149,(VLOOKUP(A149,ScaledPrice,5))*(2-(VLOOKUP(A149,ScaledPrice,3)))),0)-((IF(V149&lt;&gt;0,$D149,$CL149)*$C149)+$F149+$G149)),0))</f>
        <v> </v>
      </c>
      <c r="CS149" s="340" t="str">
        <f aca="false">IF(A149="N/A"," ",IF(CC=2,(VLOOKUP(A149,ScaledPrice,9)-((IF(W149&lt;&gt;0,$D149,$CL149)*$C149)+$F149+$G149)),0))</f>
        <v> </v>
      </c>
      <c r="CT149" s="340" t="str">
        <f aca="false">IF(A149="N/A"," ",IF(CC=2,(IF(OR(Dayrun=3,Dayrun=6,Dayrun=9),(VLOOKUP(A149,ScaledPrice,IF(AND(Dayrun&gt;=3,Dayrun&lt;=6),7,8))),0)-((IF(X149&lt;&gt;0,$D149,$CL149)*$C149)+$F149+$G149)),0))</f>
        <v> </v>
      </c>
      <c r="CU149" s="340" t="str">
        <f aca="false">IF(A149="N/A"," ",IF(CC=2,(IF(OR(Dayrun=3,Dayrun=6,Dayrun=9),IF(AND(Dayrun&gt;=3,Dayrun&lt;=6),O149,(VLOOKUP(A149,ScaledPrice,7))*(2-(VLOOKUP(A149,ScaledPrice,3)))),0)-((IF(Y149&lt;&gt;0,$D149,$CL149)*$C149)+$F149+$G149)),0))</f>
        <v> </v>
      </c>
      <c r="CV149" s="340" t="str">
        <f aca="false">IF(A149="N/A"," ",IF(CC=2,(VLOOKUP(A149,ScaledPrice,9)-((IF(Z149&lt;&gt;0,$D149,$CL149)*$C149)+$F149+$G149)),0))</f>
        <v> </v>
      </c>
      <c r="CW149" s="318" t="str">
        <f aca="false">IF($A149="N/A"," ",IF(0&lt;&gt;CN149,IF(CC=2,8*$HD149,0),0))</f>
        <v> </v>
      </c>
      <c r="CX149" s="318" t="str">
        <f aca="false">IF($A149="N/A"," ",IF(0&lt;&gt;CO149,IF(CC=2,8*$HD149,0),0))</f>
        <v> </v>
      </c>
      <c r="CY149" s="318" t="str">
        <f aca="false">IF($A149="N/A"," ",IF(0&lt;&gt;CP149,IF(CC=2,8*$HD149,0),0))</f>
        <v> </v>
      </c>
      <c r="CZ149" s="318" t="str">
        <f aca="false">IF($A149="N/A"," ",IF(0&lt;&gt;CQ149,IF(CC=2,8*$HE149,0),0))</f>
        <v> </v>
      </c>
      <c r="DA149" s="318" t="str">
        <f aca="false">IF($A149="N/A"," ",IF(0&lt;&gt;CR149,IF(CC=2,8*$HE149,0),0))</f>
        <v> </v>
      </c>
      <c r="DB149" s="318" t="str">
        <f aca="false">IF($A149="N/A"," ",IF(0&lt;&gt;CS149,IF(CC=2,8*$HE149,0),0))</f>
        <v> </v>
      </c>
      <c r="DC149" s="318" t="str">
        <f aca="false">IF($A149="N/A"," ",IF(0&lt;&gt;CT149,IF(CC=2,8*$HF149,0),0))</f>
        <v> </v>
      </c>
      <c r="DD149" s="318" t="str">
        <f aca="false">IF($A149="N/A"," ",IF(0&lt;&gt;CU149,IF(CC=2,8*$HF149,0),0))</f>
        <v> </v>
      </c>
      <c r="DE149" s="318" t="str">
        <f aca="false">IF($A149="N/A"," ",IF(0&lt;&gt;CV149,IF(CC=2,8*$HF149,0),0))</f>
        <v> </v>
      </c>
      <c r="DF149" s="341" t="str">
        <f aca="false">IF($A149="N/A"," ",IF(CC=2,(IF(MONTH(A149)&gt;=4,IF(MONTH(A149)&lt;=10,Inputs!$G$13,Inputs!$G$14),Inputs!$G$14))*$CK149,0))</f>
        <v> </v>
      </c>
      <c r="DG149" s="342" t="str">
        <f aca="false">IF($A149="N/A"," ",IF(CC=2,$DF149*CW149*CN149,0))</f>
        <v> </v>
      </c>
      <c r="DH149" s="342" t="str">
        <f aca="false">IF($A149="N/A"," ",IF(CC=2,$DF149*CX149*CO149,0))</f>
        <v> </v>
      </c>
      <c r="DI149" s="342" t="str">
        <f aca="false">IF($A149="N/A"," ",IF(CC=2,$DF149*CY149*CP149,0))</f>
        <v> </v>
      </c>
      <c r="DJ149" s="342" t="str">
        <f aca="false">IF($A149="N/A"," ",IF(CC=2,$DF149*CZ149*CQ149,0))</f>
        <v> </v>
      </c>
      <c r="DK149" s="342" t="str">
        <f aca="false">IF($A149="N/A"," ",IF(CC=2,$DF149*DA149*CR149,0))</f>
        <v> </v>
      </c>
      <c r="DL149" s="342" t="str">
        <f aca="false">IF($A149="N/A"," ",IF(CC=2,$DF149*DB149*CS149,0))</f>
        <v> </v>
      </c>
      <c r="DM149" s="342" t="str">
        <f aca="false">IF($A149="N/A"," ",IF(CC=2,$DF149*DC149*CT149,0))</f>
        <v> </v>
      </c>
      <c r="DN149" s="342" t="str">
        <f aca="false">IF($A149="N/A"," ",IF(CC=2,$DF149*DD149*CU149,0))</f>
        <v> </v>
      </c>
      <c r="DO149" s="342" t="str">
        <f aca="false">IF($A149="N/A"," ",IF(CC=2,$DF149*DE149*CV149,0))</f>
        <v> </v>
      </c>
      <c r="DP149" s="343" t="str">
        <f aca="false">IF($A149="N/A"," ",IF(CC=2,SUM(DG149:DO149),0))</f>
        <v> </v>
      </c>
      <c r="DQ149" s="0" t="str">
        <f aca="false">IF(A149="N/A"," ",Perstart)</f>
        <v> </v>
      </c>
      <c r="HD149" s="0" t="str">
        <f aca="false">IF($A149="N/A"," ",VLOOKUP($A149,NumberofDaysTable,2))</f>
        <v> </v>
      </c>
      <c r="HE149" s="0" t="str">
        <f aca="false">IF($A149="N/A"," ",VLOOKUP($A149,NumberofDaysTable,3))</f>
        <v> </v>
      </c>
      <c r="HF149" s="0" t="str">
        <f aca="false">IF($A149="N/A"," ",VLOOKUP($A149,NumberofDaysTable,4))</f>
        <v> </v>
      </c>
    </row>
    <row r="150" customFormat="false" ht="12.75" hidden="false" customHeight="false" outlineLevel="0" collapsed="false">
      <c r="A150" s="308" t="str">
        <f aca="false">IF(A149="N/A","N/A",IF(EDATE(A149,1)&gt;Inputs!$K$3,"N/A",EDATE(A149,1)))</f>
        <v>N/A</v>
      </c>
      <c r="B150" s="309" t="str">
        <f aca="false">IF(A150="N/A"," ",YEAR(A150))</f>
        <v> </v>
      </c>
      <c r="C150" s="310" t="str">
        <f aca="false">IF(A150="N/A"," ",VLOOKUP(A150,ScaledPrice,10))</f>
        <v> </v>
      </c>
      <c r="D150" s="311" t="str">
        <f aca="false">IF(A150="N/A"," ",(VLOOKUP(MONTH($A150),Hrtable,2))/1000)</f>
        <v> </v>
      </c>
      <c r="E150" s="312" t="str">
        <f aca="false">IF($A150="N/A"," ",(C150-'Pricing Inputs'!T183)*D150)</f>
        <v> </v>
      </c>
      <c r="F150" s="313" t="str">
        <f aca="false">IF(A150="N/A"," ",$F138*(1+VOMesc))</f>
        <v> </v>
      </c>
      <c r="G150" s="313" t="str">
        <f aca="false">IF(A150="N/A"," ",Perstart/IF(AND(Dayrun&gt;=4,Dayrun&lt;=6),16,IF(AND(Dayrun&gt;=7,Dayrun&lt;=9),8,24))/(BM150/CK150))</f>
        <v> </v>
      </c>
      <c r="H150" s="314" t="str">
        <f aca="false">IF(A150="N/A"," ",(C150*D150)+F150+G150)</f>
        <v> </v>
      </c>
      <c r="I150" s="315" t="str">
        <f aca="false">VLOOKUP(A150,ScaledPrice,(IF(AND(Dayrun&gt;=1,Dayrun&lt;=6),2,4)))</f>
        <v> </v>
      </c>
      <c r="J150" s="315" t="str">
        <f aca="false">IF(A150="N/A"," ",IF(AND(Dayrun&gt;=1,Dayrun&lt;=6),I150,(VLOOKUP(A150,ScaledPrice,2))*(2-(VLOOKUP(A150,ScaledPrice,3)))))</f>
        <v> </v>
      </c>
      <c r="K150" s="315" t="str">
        <f aca="false">IF(A150="N/A"," ",IF(AND(Dayrun&gt;=1,Dayrun&lt;=3),VLOOKUP(A150,ScaledPrice,9),0))</f>
        <v> </v>
      </c>
      <c r="L150" s="315" t="str">
        <f aca="false">IF(A150="N/A"," ",IF(OR(Dayrun=2,Dayrun=3,Dayrun=5,Dayrun=6,Dayrun=8,Dayrun=9),VLOOKUP(A150,ScaledPrice,IF(AND(Dayrun&gt;=2,Dayrun&lt;=6),5,6)),0))</f>
        <v> </v>
      </c>
      <c r="M150" s="315" t="str">
        <f aca="false">IF(A150="N/A"," ",IF(OR(Dayrun=2,Dayrun=3,Dayrun=5,Dayrun=6,Dayrun=8,Dayrun=9),IF(AND(Dayrun&gt;=2,Dayrun&lt;=6),L150,(VLOOKUP(A150,ScaledPrice,5))*(2-(VLOOKUP(A150,ScaledPrice,3)))),0))</f>
        <v> </v>
      </c>
      <c r="N150" s="315" t="str">
        <f aca="false">IF(A150="N/A"," ",IF(AND(Dayrun&gt;1,Dayrun&lt;=3),VLOOKUP(A150,ScaledPrice,9),0))</f>
        <v> </v>
      </c>
      <c r="O150" s="315" t="str">
        <f aca="false">IF(A150="N/A"," ",IF(OR(Dayrun=3,Dayrun=6,Dayrun=9),(VLOOKUP(A150,ScaledPrice,IF(AND(Dayrun&gt;=3,Dayrun&lt;=6),7,8))),0))</f>
        <v> </v>
      </c>
      <c r="P150" s="315" t="str">
        <f aca="false">IF(A150="N/A"," ",IF(OR(Dayrun=3,Dayrun=6,Dayrun=9),IF(AND(Dayrun&gt;=3,Dayrun&lt;=6),O150,(VLOOKUP(A150,ScaledPrice,7))*(2-(VLOOKUP(A150,ScaledPrice,3)))),0))</f>
        <v> </v>
      </c>
      <c r="Q150" s="315" t="str">
        <f aca="false">IF(A150="N/A"," ",IF(AND(Dayrun&gt;2,Dayrun&lt;=3),VLOOKUP(A150,ScaledPrice,9),0))</f>
        <v> </v>
      </c>
      <c r="R150" s="316" t="str">
        <f aca="false">IF($A150="N/A"," ",IF(Pricetype=2,MAX(I150-$H150,0),IF(Pricetype=1,(xSPRDOPT(I150,$E150,$CI150,0,($CD150+IF(Smile=TRUE(),VLOOKUP(MAX(-5,$H150-I150),Volsmile,2),0)),$CG150,$CH150,($A150-DateToday)+15,1,0)),I150-$H150)))</f>
        <v> </v>
      </c>
      <c r="S150" s="316" t="str">
        <f aca="false">IF($A150="N/A"," ",IF(Pricetype=2,MAX(J150-$H150,0),IF(Pricetype=1,(xSPRDOPT(J150,$E150,$CI150,0,($CD150+IF(Smile=TRUE(),VLOOKUP(MAX(-5,$H150-J150),Volsmile,2),0)),$CG150,$CH150,($A150-DateToday)+15,1,0)),J150-$H150)))</f>
        <v> </v>
      </c>
      <c r="T150" s="317" t="str">
        <f aca="false">IF($A150="N/A"," ",(IF(Pricetype=2,IF((K150-$H150)&lt;=0,0,(K150-$H150)),IF(K150&lt;&gt;0,(K150-$H150),0))))</f>
        <v> </v>
      </c>
      <c r="U150" s="316" t="str">
        <f aca="false">IF($A150="N/A"," ",IF(Pricetype=2,MAX(L150-$H150,0),IF(L150&lt;&gt;0,IF(Pricetype=1,(xSPRDOPT(L150,$E150,$CI150,0,($CD150+IF(Smile=TRUE(),VLOOKUP(MAX(-5,$H150-L150),Volsmile,2),0)),$CG150,$CH150,($A150-DateToday)+15,1,0)),L150-$H150),0)))</f>
        <v> </v>
      </c>
      <c r="V150" s="316" t="str">
        <f aca="false">IF($A150="N/A"," ",IF(Pricetype=2,MAX(M150-$H150,0),IF(M150&lt;&gt;0,IF(Pricetype=1,(xSPRDOPT(M150,$E150,$CI150,0,($CD150+IF(Smile=TRUE(),VLOOKUP(MAX(-5,$H150-M150),Volsmile,2),0)),$CG150,$CH150,($A150-DateToday)+15,1,0)),M150-$H150),0)))</f>
        <v> </v>
      </c>
      <c r="W150" s="317" t="str">
        <f aca="false">IF($A150="N/A"," ",(IF(Pricetype=2,IF((N150-$H150)&lt;=0,0,(N150-$H150)),IF(N150&lt;&gt;0,(N150-$H150),0))))</f>
        <v> </v>
      </c>
      <c r="X150" s="316" t="str">
        <f aca="false">IF($A150="N/A"," ",IF(Pricetype=2,MAX(O150-$H150,0),IF(O150&lt;&gt;0,IF(Pricetype=1,(xSPRDOPT(O150,$E150,$CI150,0,($CD150+IF(Smile=TRUE(),VLOOKUP(MAX(-5,$H150-O150),Volsmile,2),0)),$CG150,$CH150,($A150-DateToday)+15,1,0)),O150-$H150),0)))</f>
        <v> </v>
      </c>
      <c r="Y150" s="316" t="str">
        <f aca="false">IF($A150="N/A"," ",IF(Pricetype=2,MAX(P150-$H150,0),IF(P150&lt;&gt;0,IF(Pricetype=1,(xSPRDOPT(P150,$E150,$CI150,0,($CD150+IF(Smile=TRUE(),VLOOKUP(MAX(-5,$H150-P150),Volsmile,2),0)),$CG150,$CH150,($A150-DateToday)+15,1,0)),P150-$H150),0)))</f>
        <v> </v>
      </c>
      <c r="Z150" s="317" t="str">
        <f aca="false">IF($A150="N/A"," ",(IF(Pricetype=2,IF((Q150-$H150)&lt;=0,0,(Q150-$H150)),IF(Q150&lt;&gt;0,(Q150-$H150),0))))</f>
        <v> </v>
      </c>
      <c r="AA150" s="318" t="str">
        <f aca="false">IF($A150="N/A"," ",IF(VLOOKUP(MONTH(A150),ManualTable,2)=1,(IF(0&lt;&gt;R150,IF(Pricetype=1,(xSPRDOPT(I150,$E150,$CI150,0,($CD150+IF(Smile=TRUE(),VLOOKUP(MAX(-5,$H150-I150),Volsmile,2),0)),$CG150,$CH150,($A150-DateToday)+15,1,1))*(8*$HD150),8*$HD150),0)),0))</f>
        <v> </v>
      </c>
      <c r="AB150" s="318" t="str">
        <f aca="false">IF($A150="N/A"," ",IF(VLOOKUP(MONTH(A150),ManualTable,3)=1,(IF(S150&lt;&gt;0,IF(Pricetype=1,(xSPRDOPT(J150,$E150,$CI150,0,($CD150+IF(Smile=TRUE(),VLOOKUP(MAX(-5,$H150-J150),Volsmile,2),0)),$CG150,$CH150,($A150-DateToday)+15,1,1))*(8*$HD150),8*$HD150),0)),0))</f>
        <v> </v>
      </c>
      <c r="AC150" s="318" t="str">
        <f aca="false">IF($A150="N/A"," ",IF(VLOOKUP(MONTH(A150),ManualTable,4)=1,(IF(T150&lt;&gt;0,(8*$HD150),0)),0))</f>
        <v> </v>
      </c>
      <c r="AD150" s="318" t="str">
        <f aca="false">IF($A150="N/A"," ",IF(VLOOKUP(MONTH(A150),ManualTable,5)=1,(IF(U150&lt;&gt;0,IF(Pricetype=1,(xSPRDOPT(L150,$E150,$CI150,0,($CD150+IF(Smile=TRUE(),VLOOKUP(MAX(-5,$H150-L150),Volsmile,2),0)),$CG150,$CH150,($A150-DateToday)+15,1,1))*(8*$HE150),8*$HE150),0)),0))</f>
        <v> </v>
      </c>
      <c r="AE150" s="318" t="str">
        <f aca="false">IF($A150="N/A"," ",IF(VLOOKUP(MONTH(A150),ManualTable,6)=1,(IF(V150&lt;&gt;0,IF(Pricetype=1,(xSPRDOPT(M150,$E150,$CI150,0,($CD150+IF(Smile=TRUE(),VLOOKUP(MAX(-5,$H150-M150),Volsmile,2),0)),$CG150,$CH150,($A150-DateToday)+15,1,1))*(8*$HE150),8*$HE150),0)),0))</f>
        <v> </v>
      </c>
      <c r="AF150" s="318" t="str">
        <f aca="false">IF($A150="N/A"," ",IF(VLOOKUP(MONTH(A150),ManualTable,7)=1,(IF(W150&lt;&gt;0,(8*$HE150),0)),0))</f>
        <v> </v>
      </c>
      <c r="AG150" s="318" t="str">
        <f aca="false">IF($A150="N/A"," ",IF(VLOOKUP(MONTH(A150),ManualTable,8)=1,(IF(X150&lt;&gt;0,IF(Pricetype=1,(xSPRDOPT(O150,$E150,$CI150,0,($CD150+IF(Smile=TRUE(),VLOOKUP(MAX(-5,$H150-O150),Volsmile,2),0)),$CG150,$CH150,($A150-DateToday)+15,1,1))*(8*$HF150),8*$HF150),0)),0))</f>
        <v> </v>
      </c>
      <c r="AH150" s="318" t="str">
        <f aca="false">IF($A150="N/A"," ",IF(VLOOKUP(MONTH(A150),ManualTable,9)=1,(IF(Y150&lt;&gt;0,IF(Pricetype=1,(xSPRDOPT(P150,$E150,$CI150,0,($CD150+IF(Smile=TRUE(),VLOOKUP(MAX(-5,$H150-P150),Volsmile,2),0)),$CG150,$CH150,($A150-DateToday)+15,1,1))*(8*$HF150),8*$HF150),0)),0))</f>
        <v> </v>
      </c>
      <c r="AI150" s="318" t="str">
        <f aca="false">IF($A150="N/A"," ",IF(VLOOKUP(MONTH(A150),ManualTable,10)=1,(IF(Z150&lt;&gt;0,(8*($HF150)),0)),0))</f>
        <v> </v>
      </c>
      <c r="AJ150" s="344" t="str">
        <f aca="false">IF($A150="N/A"," ",RANK(R150,$R$148:$Z$159))</f>
        <v> </v>
      </c>
      <c r="AK150" s="321" t="str">
        <f aca="false">IF($A150="N/A"," ",RANK(S150,$R$148:$Z$159))</f>
        <v> </v>
      </c>
      <c r="AL150" s="321" t="str">
        <f aca="false">IF($A150="N/A"," ",RANK(T150,$R$148:$Z$159))</f>
        <v> </v>
      </c>
      <c r="AM150" s="321" t="str">
        <f aca="false">IF($A150="N/A"," ",RANK(U150,$R$148:$Z$159))</f>
        <v> </v>
      </c>
      <c r="AN150" s="321" t="str">
        <f aca="false">IF($A150="N/A"," ",RANK(V150,$R$148:$Z$159))</f>
        <v> </v>
      </c>
      <c r="AO150" s="321" t="str">
        <f aca="false">IF($A150="N/A"," ",RANK(W150,$R$148:$Z$159))</f>
        <v> </v>
      </c>
      <c r="AP150" s="321" t="str">
        <f aca="false">IF($A150="N/A"," ",RANK(X150,$R$148:$Z$159))</f>
        <v> </v>
      </c>
      <c r="AQ150" s="321" t="str">
        <f aca="false">IF($A150="N/A"," ",RANK(Y150,$R$148:$Z$159))</f>
        <v> </v>
      </c>
      <c r="AR150" s="345" t="str">
        <f aca="false">IF($A150="N/A"," ",RANK(Z150,$R$148:$Z$159))</f>
        <v> </v>
      </c>
      <c r="AS150" s="323" t="str">
        <f aca="false">IF($A150="N/A"," ",IF(AJ150&lt;=$AR$2,AA150,0))</f>
        <v> </v>
      </c>
      <c r="AT150" s="325" t="str">
        <f aca="false">IF($A150="N/A"," ",IF(AK150&lt;=$AR$2,AB150,0))</f>
        <v> </v>
      </c>
      <c r="AU150" s="325" t="str">
        <f aca="false">IF($A150="N/A"," ",IF(AL150&lt;=$AR$2,AC150,0))</f>
        <v> </v>
      </c>
      <c r="AV150" s="325" t="str">
        <f aca="false">IF($A150="N/A"," ",IF(AM150&lt;=$AR$2,AD150,0))</f>
        <v> </v>
      </c>
      <c r="AW150" s="325" t="str">
        <f aca="false">IF($A150="N/A"," ",IF(AN150&lt;=$AR$2,AE150,0))</f>
        <v> </v>
      </c>
      <c r="AX150" s="325" t="str">
        <f aca="false">IF($A150="N/A"," ",IF(AO150&lt;=$AR$2,AF150,0))</f>
        <v> </v>
      </c>
      <c r="AY150" s="325" t="str">
        <f aca="false">IF($A150="N/A"," ",IF(AP150&lt;=$AR$2,AG150,0))</f>
        <v> </v>
      </c>
      <c r="AZ150" s="325" t="str">
        <f aca="false">IF($A150="N/A"," ",IF(AQ150&lt;=$AR$2,AH150,0))</f>
        <v> </v>
      </c>
      <c r="BA150" s="325" t="str">
        <f aca="false">IF($A150="N/A"," ",IF(AR150&lt;=$AR$2,AI150,0))</f>
        <v> </v>
      </c>
      <c r="BB150" s="345"/>
      <c r="BC150" s="326" t="str">
        <f aca="false">IF($A150="N/A"," ",IF(AND(AJ150=$AR$2+1,AS150=0),MIN($BB$159,AA150),0))</f>
        <v> </v>
      </c>
      <c r="BD150" s="346" t="str">
        <f aca="false">IF($A150="N/A"," ",IF(AND(AK150=$AR$2+1,AT150=0),MIN($BB$159,AB150),0))</f>
        <v> </v>
      </c>
      <c r="BE150" s="346" t="str">
        <f aca="false">IF($A150="N/A"," ",IF(AND(AL150=$AR$2+1,AU150=0),MIN($BB$159,AC150),0))</f>
        <v> </v>
      </c>
      <c r="BF150" s="346" t="str">
        <f aca="false">IF($A150="N/A"," ",IF(AND(AM150=$AR$2+1,AV150=0),MIN($BB$159,AD150),0))</f>
        <v> </v>
      </c>
      <c r="BG150" s="346" t="str">
        <f aca="false">IF($A150="N/A"," ",IF(AND(AN150=$AR$2+1,AW150=0),MIN($BB$159,AE150),0))</f>
        <v> </v>
      </c>
      <c r="BH150" s="346" t="str">
        <f aca="false">IF($A150="N/A"," ",IF(AND(AO150=$AR$2+1,AX150=0),MIN($BB$159,AF150),0))</f>
        <v> </v>
      </c>
      <c r="BI150" s="346" t="str">
        <f aca="false">IF($A150="N/A"," ",IF(AND(AP150=$AR$2+1,AY150=0),MIN($BB$159,AG150),0))</f>
        <v> </v>
      </c>
      <c r="BJ150" s="346" t="str">
        <f aca="false">IF($A150="N/A"," ",IF(AND(AQ150=$AR$2+1,AZ150=0),MIN($BB$159,AH150),0))</f>
        <v> </v>
      </c>
      <c r="BK150" s="346" t="str">
        <f aca="false">IF($A150="N/A"," ",IF(AND(AR150=$AR$2+1,BA150=0),MIN($BB$159,AI150),0))</f>
        <v> </v>
      </c>
      <c r="BL150" s="345"/>
      <c r="BM150" s="329" t="str">
        <f aca="false">IF($A150="N/A"," ",(IF(MONTH(A150)&gt;=4,IF(MONTH(A150)&lt;=10,Inputs!$F$13-Inputs!$G$13,Inputs!$F$14-Inputs!$G$14),Inputs!$F$14-Inputs!$G$14))*$CK150*Availability)</f>
        <v> </v>
      </c>
      <c r="BN150" s="330" t="str">
        <f aca="false">IF($A150="N/A"," ",(IF(AS150&gt;0,($BM150*(8*($HD150))*R150),0)+IF(BC150&gt;0,($BM150*((BC150/AA150)*8*$HD150)*R150),0)))</f>
        <v> </v>
      </c>
      <c r="BO150" s="330" t="str">
        <f aca="false">IF($A150="N/A"," ",(IF(AT150&gt;0,($BM150*(8*($HD150))*S150),0)+IF(BD150&gt;0,($BM150*((BD150/AB150)*8*$HD150)*S150),0)))</f>
        <v> </v>
      </c>
      <c r="BP150" s="330" t="str">
        <f aca="false">IF($A150="N/A"," ",(IF(AU150&gt;0,($BM150*(8*($HD150))*T150),0)+IF(BE150&gt;0,($BM150*((BE150))*T150),0)))</f>
        <v> </v>
      </c>
      <c r="BQ150" s="330" t="str">
        <f aca="false">IF($A150="N/A"," ",(IF(AV150&gt;0,($BM150*(8*($HE150))*U150),0)+IF(BF150&gt;0,($BM150*((BF150/AD150)*8*$HE150)*U150),0)))</f>
        <v> </v>
      </c>
      <c r="BR150" s="330" t="str">
        <f aca="false">IF($A150="N/A"," ",(IF(AW150&gt;0,($BM150*(8*($HE150))*V150),0)+IF(BG150&gt;0,($BM150*((BG150/AE150)*8*$HE150)*V150),0)))</f>
        <v> </v>
      </c>
      <c r="BS150" s="330" t="str">
        <f aca="false">IF($A150="N/A"," ",(IF(AX150&gt;0,($BM150*(8*($HE150))*W150),0)+IF(BH150&gt;0,($BM150*((BH150))*W150),0)))</f>
        <v> </v>
      </c>
      <c r="BT150" s="330" t="str">
        <f aca="false">IF($A150="N/A"," ",(IF(AY150&gt;0,($BM150*(8*($HF150))*X150),0)+IF(BI150&gt;0,($BM150*((BI150/AG150)*8*$HF150)*X150),0)))</f>
        <v> </v>
      </c>
      <c r="BU150" s="330" t="str">
        <f aca="false">IF($A150="N/A"," ",(IF(AZ150&gt;0,($BM150*(8*($HF150))*Y150),0)+IF(BJ150&gt;0,($BM150*((BJ150/AH150)*8*$HF150)*Y150),0)))</f>
        <v> </v>
      </c>
      <c r="BV150" s="330" t="str">
        <f aca="false">IF($A150="N/A"," ",(IF(BA150&gt;0,($BM150*(8*($HF150))*Z150),0)+IF(BK150&gt;0,($BM150*((BK150))*Z150),0)))</f>
        <v> </v>
      </c>
      <c r="BW150" s="330" t="str">
        <f aca="false">IF($A150="N/A"," ",SUM(BN150:BV150))</f>
        <v> </v>
      </c>
      <c r="BX150" s="331" t="str">
        <f aca="false">IF($A150="N/A"," ",(H150*(SUM(AS150:BA150)+SUM(BC150:BK150))*BM150))</f>
        <v> </v>
      </c>
      <c r="BY150" s="332" t="str">
        <f aca="false">IF($A150="N/A"," ",((C150*D150)*(SUM($AS150:$BA150)+SUM($BC150:$BK150))*$BM150))</f>
        <v> </v>
      </c>
      <c r="BZ150" s="332" t="str">
        <f aca="false">IF($A150="N/A"," ",(F150*(SUM($AS150:$BA150)+SUM($BC150:$BK150))*$BM150))</f>
        <v> </v>
      </c>
      <c r="CA150" s="333" t="str">
        <f aca="false">IF($A150="N/A"," ",(G150*(SUM($AS150:$BA150)+SUM($BC150:$BK150))*$BM150))</f>
        <v> </v>
      </c>
      <c r="CB150" s="334" t="str">
        <f aca="false">IF(A150="N/A"," ",(VLOOKUP(A150,PowerVolTable,(IF(BMO=2,7,IF(BMO=1,6,8))),FALSE())))</f>
        <v> </v>
      </c>
      <c r="CC150" s="334" t="str">
        <f aca="false">IF(A150="N/A"," ",(VLOOKUP(A150,IntraPowerVol,(IF(BMO=2,3,IF(BMO=1,2,4))),FALSE())*VLOOKUP(MONTH($A150),Volscale,2)))</f>
        <v> </v>
      </c>
      <c r="CD150" s="335" t="str">
        <f aca="false">IF($A150="N/A"," ",(IF(DateToday&gt;$A150,$CC150,((($CB150^2)*((($A150-1)-DateToday)/((EOMONTH($A150,0)+1)-DateToday-15)))+((($CC150)^2)*((15)/((EOMONTH($A150,0)+1)-DateToday-15))))^0.5)))</f>
        <v> </v>
      </c>
      <c r="CE150" s="334" t="str">
        <f aca="false">IF($A150="N/A"," ",(VLOOKUP($A150,GasVolTable,(IF(BMO=2,6,IF(BMO=1,7,5))),FALSE())))</f>
        <v> </v>
      </c>
      <c r="CF150" s="334" t="str">
        <f aca="false">IF($A150="N/A"," ",(VLOOKUP($A150,OmicronVol,(IF(BMO=2,3,IF(BMO=1,4,2))),FALSE())))</f>
        <v> </v>
      </c>
      <c r="CG150" s="335" t="str">
        <f aca="false">IF($A150="N/A"," ",(IF(DateToday&gt;$A150,$CF150,((($CE150^2)*((($A150-1)-DateToday)/((EOMONTH($A150,0)+1)-DateToday-15)))+((($CF150)^2)*((15)/((EOMONTH($A150,0)+1)-DateToday-15))))^0.5)))</f>
        <v> </v>
      </c>
      <c r="CH150" s="334" t="str">
        <f aca="false">IF($A150="N/A"," ",VLOOKUP($A150,CorrelationTable,2,FALSE()))</f>
        <v> </v>
      </c>
      <c r="CI150" s="336" t="str">
        <f aca="false">IF($A150="N/A"," ",F150+G150+(D150*('Pricing Inputs'!T183)))</f>
        <v> </v>
      </c>
      <c r="CJ150" s="334" t="str">
        <f aca="false">IF($A150="N/A"," ",IF(PV=1,0,'Pricing Inputs'!U183))</f>
        <v> </v>
      </c>
      <c r="CK150" s="337" t="str">
        <f aca="false">IF($A150="N/A"," ",(1+CJ150/2)^(-2*((EOMONTH(A150,0)+20)-DateToday)/365.25))</f>
        <v> </v>
      </c>
      <c r="CL150" s="338" t="str">
        <f aca="false">IF(A150="N/A"," ",IF(CC=2,(VLOOKUP(MONTH($A150),Hrtable,3))/1000,0))</f>
        <v> </v>
      </c>
      <c r="CM150" s="339" t="str">
        <f aca="false">IF(A150="N/A"," ",IF(CC=2,(CL150*C150)+F150,0))</f>
        <v> </v>
      </c>
      <c r="CN150" s="340" t="str">
        <f aca="false">IF($A150="N/A"," ",IF(CC=2,(VLOOKUP(A150,ScaledPrice,(IF(AND(Dayrun&gt;=1,Dayrun&lt;=6),2,4)))-((IF(R150&lt;&gt;0,$D150,$CL150)*$C150)+$F150+$G150)),0))</f>
        <v> </v>
      </c>
      <c r="CO150" s="340" t="str">
        <f aca="false">IF($A150="N/A"," ",IF(CC=2,(IF(AND(Dayrun&gt;=1,Dayrun&lt;=6),I150,(VLOOKUP(A150,ScaledPrice,2))*(2-(VLOOKUP(A150,ScaledPrice,3))))-((IF(S150&lt;&gt;0,$D150,$CL150)*$C150)+$F150+$G150)),0))</f>
        <v> </v>
      </c>
      <c r="CP150" s="340" t="str">
        <f aca="false">IF(A150="N/A"," ",IF(CC=2,(VLOOKUP(A150,ScaledPrice,9)-((IF(T150&lt;&gt;0,$D150,$CL150)*$C150)+$F150+$G150)),0))</f>
        <v> </v>
      </c>
      <c r="CQ150" s="340" t="str">
        <f aca="false">IF(A150="N/A"," ",IF(CC=2,(IF(OR(Dayrun=2,Dayrun=3,Dayrun=5,Dayrun=6,Dayrun=8,Dayrun=9),VLOOKUP(A150,ScaledPrice,IF(AND(Dayrun&gt;=2,Dayrun&lt;=6),5,6)),0)-((IF(U150&lt;&gt;0,$D150,$CL150)*$C150)+$F150+$G150)),0))</f>
        <v> </v>
      </c>
      <c r="CR150" s="340" t="str">
        <f aca="false">IF(A150="N/A"," ",IF(CC=2,(IF(OR(Dayrun=2,Dayrun=3,Dayrun=5,Dayrun=6,Dayrun=8,Dayrun=9),IF(AND(Dayrun&gt;=2,Dayrun&lt;=6),L150,(VLOOKUP(A150,ScaledPrice,5))*(2-(VLOOKUP(A150,ScaledPrice,3)))),0)-((IF(V150&lt;&gt;0,$D150,$CL150)*$C150)+$F150+$G150)),0))</f>
        <v> </v>
      </c>
      <c r="CS150" s="340" t="str">
        <f aca="false">IF(A150="N/A"," ",IF(CC=2,(VLOOKUP(A150,ScaledPrice,9)-((IF(W150&lt;&gt;0,$D150,$CL150)*$C150)+$F150+$G150)),0))</f>
        <v> </v>
      </c>
      <c r="CT150" s="340" t="str">
        <f aca="false">IF(A150="N/A"," ",IF(CC=2,(IF(OR(Dayrun=3,Dayrun=6,Dayrun=9),(VLOOKUP(A150,ScaledPrice,IF(AND(Dayrun&gt;=3,Dayrun&lt;=6),7,8))),0)-((IF(X150&lt;&gt;0,$D150,$CL150)*$C150)+$F150+$G150)),0))</f>
        <v> </v>
      </c>
      <c r="CU150" s="340" t="str">
        <f aca="false">IF(A150="N/A"," ",IF(CC=2,(IF(OR(Dayrun=3,Dayrun=6,Dayrun=9),IF(AND(Dayrun&gt;=3,Dayrun&lt;=6),O150,(VLOOKUP(A150,ScaledPrice,7))*(2-(VLOOKUP(A150,ScaledPrice,3)))),0)-((IF(Y150&lt;&gt;0,$D150,$CL150)*$C150)+$F150+$G150)),0))</f>
        <v> </v>
      </c>
      <c r="CV150" s="340" t="str">
        <f aca="false">IF(A150="N/A"," ",IF(CC=2,(VLOOKUP(A150,ScaledPrice,9)-((IF(Z150&lt;&gt;0,$D150,$CL150)*$C150)+$F150+$G150)),0))</f>
        <v> </v>
      </c>
      <c r="CW150" s="318" t="str">
        <f aca="false">IF($A150="N/A"," ",IF(0&lt;&gt;CN150,IF(CC=2,8*$HD150,0),0))</f>
        <v> </v>
      </c>
      <c r="CX150" s="318" t="str">
        <f aca="false">IF($A150="N/A"," ",IF(0&lt;&gt;CO150,IF(CC=2,8*$HD150,0),0))</f>
        <v> </v>
      </c>
      <c r="CY150" s="318" t="str">
        <f aca="false">IF($A150="N/A"," ",IF(0&lt;&gt;CP150,IF(CC=2,8*$HD150,0),0))</f>
        <v> </v>
      </c>
      <c r="CZ150" s="318" t="str">
        <f aca="false">IF($A150="N/A"," ",IF(0&lt;&gt;CQ150,IF(CC=2,8*$HE150,0),0))</f>
        <v> </v>
      </c>
      <c r="DA150" s="318" t="str">
        <f aca="false">IF($A150="N/A"," ",IF(0&lt;&gt;CR150,IF(CC=2,8*$HE150,0),0))</f>
        <v> </v>
      </c>
      <c r="DB150" s="318" t="str">
        <f aca="false">IF($A150="N/A"," ",IF(0&lt;&gt;CS150,IF(CC=2,8*$HE150,0),0))</f>
        <v> </v>
      </c>
      <c r="DC150" s="318" t="str">
        <f aca="false">IF($A150="N/A"," ",IF(0&lt;&gt;CT150,IF(CC=2,8*$HF150,0),0))</f>
        <v> </v>
      </c>
      <c r="DD150" s="318" t="str">
        <f aca="false">IF($A150="N/A"," ",IF(0&lt;&gt;CU150,IF(CC=2,8*$HF150,0),0))</f>
        <v> </v>
      </c>
      <c r="DE150" s="318" t="str">
        <f aca="false">IF($A150="N/A"," ",IF(0&lt;&gt;CV150,IF(CC=2,8*$HF150,0),0))</f>
        <v> </v>
      </c>
      <c r="DF150" s="341" t="str">
        <f aca="false">IF($A150="N/A"," ",IF(CC=2,(IF(MONTH(A150)&gt;=4,IF(MONTH(A150)&lt;=10,Inputs!$G$13,Inputs!$G$14),Inputs!$G$14))*$CK150,0))</f>
        <v> </v>
      </c>
      <c r="DG150" s="342" t="str">
        <f aca="false">IF($A150="N/A"," ",IF(CC=2,$DF150*CW150*CN150,0))</f>
        <v> </v>
      </c>
      <c r="DH150" s="342" t="str">
        <f aca="false">IF($A150="N/A"," ",IF(CC=2,$DF150*CX150*CO150,0))</f>
        <v> </v>
      </c>
      <c r="DI150" s="342" t="str">
        <f aca="false">IF($A150="N/A"," ",IF(CC=2,$DF150*CY150*CP150,0))</f>
        <v> </v>
      </c>
      <c r="DJ150" s="342" t="str">
        <f aca="false">IF($A150="N/A"," ",IF(CC=2,$DF150*CZ150*CQ150,0))</f>
        <v> </v>
      </c>
      <c r="DK150" s="342" t="str">
        <f aca="false">IF($A150="N/A"," ",IF(CC=2,$DF150*DA150*CR150,0))</f>
        <v> </v>
      </c>
      <c r="DL150" s="342" t="str">
        <f aca="false">IF($A150="N/A"," ",IF(CC=2,$DF150*DB150*CS150,0))</f>
        <v> </v>
      </c>
      <c r="DM150" s="342" t="str">
        <f aca="false">IF($A150="N/A"," ",IF(CC=2,$DF150*DC150*CT150,0))</f>
        <v> </v>
      </c>
      <c r="DN150" s="342" t="str">
        <f aca="false">IF($A150="N/A"," ",IF(CC=2,$DF150*DD150*CU150,0))</f>
        <v> </v>
      </c>
      <c r="DO150" s="342" t="str">
        <f aca="false">IF($A150="N/A"," ",IF(CC=2,$DF150*DE150*CV150,0))</f>
        <v> </v>
      </c>
      <c r="DP150" s="343" t="str">
        <f aca="false">IF($A150="N/A"," ",IF(CC=2,SUM(DG150:DO150),0))</f>
        <v> </v>
      </c>
      <c r="DQ150" s="0" t="str">
        <f aca="false">IF(A150="N/A"," ",Perstart)</f>
        <v> </v>
      </c>
      <c r="HD150" s="0" t="str">
        <f aca="false">IF($A150="N/A"," ",VLOOKUP($A150,NumberofDaysTable,2))</f>
        <v> </v>
      </c>
      <c r="HE150" s="0" t="str">
        <f aca="false">IF($A150="N/A"," ",VLOOKUP($A150,NumberofDaysTable,3))</f>
        <v> </v>
      </c>
      <c r="HF150" s="0" t="str">
        <f aca="false">IF($A150="N/A"," ",VLOOKUP($A150,NumberofDaysTable,4))</f>
        <v> </v>
      </c>
    </row>
    <row r="151" customFormat="false" ht="12.75" hidden="false" customHeight="false" outlineLevel="0" collapsed="false">
      <c r="A151" s="308" t="str">
        <f aca="false">IF(A150="N/A","N/A",IF(EDATE(A150,1)&gt;Inputs!$K$3,"N/A",EDATE(A150,1)))</f>
        <v>N/A</v>
      </c>
      <c r="B151" s="309" t="str">
        <f aca="false">IF(A151="N/A"," ",YEAR(A151))</f>
        <v> </v>
      </c>
      <c r="C151" s="310" t="str">
        <f aca="false">IF(A151="N/A"," ",VLOOKUP(A151,ScaledPrice,10))</f>
        <v> </v>
      </c>
      <c r="D151" s="311" t="str">
        <f aca="false">IF(A151="N/A"," ",(VLOOKUP(MONTH($A151),Hrtable,2))/1000)</f>
        <v> </v>
      </c>
      <c r="E151" s="312" t="str">
        <f aca="false">IF($A151="N/A"," ",(C151-'Pricing Inputs'!T184)*D151)</f>
        <v> </v>
      </c>
      <c r="F151" s="313" t="str">
        <f aca="false">IF(A151="N/A"," ",$F139*(1+VOMesc))</f>
        <v> </v>
      </c>
      <c r="G151" s="313" t="str">
        <f aca="false">IF(A151="N/A"," ",Perstart/IF(AND(Dayrun&gt;=4,Dayrun&lt;=6),16,IF(AND(Dayrun&gt;=7,Dayrun&lt;=9),8,24))/(BM151/CK151))</f>
        <v> </v>
      </c>
      <c r="H151" s="314" t="str">
        <f aca="false">IF(A151="N/A"," ",(C151*D151)+F151+G151)</f>
        <v> </v>
      </c>
      <c r="I151" s="315" t="str">
        <f aca="false">VLOOKUP(A151,ScaledPrice,(IF(AND(Dayrun&gt;=1,Dayrun&lt;=6),2,4)))</f>
        <v> </v>
      </c>
      <c r="J151" s="315" t="str">
        <f aca="false">IF(A151="N/A"," ",IF(AND(Dayrun&gt;=1,Dayrun&lt;=6),I151,(VLOOKUP(A151,ScaledPrice,2))*(2-(VLOOKUP(A151,ScaledPrice,3)))))</f>
        <v> </v>
      </c>
      <c r="K151" s="315" t="str">
        <f aca="false">IF(A151="N/A"," ",IF(AND(Dayrun&gt;=1,Dayrun&lt;=3),VLOOKUP(A151,ScaledPrice,9),0))</f>
        <v> </v>
      </c>
      <c r="L151" s="315" t="str">
        <f aca="false">IF(A151="N/A"," ",IF(OR(Dayrun=2,Dayrun=3,Dayrun=5,Dayrun=6,Dayrun=8,Dayrun=9),VLOOKUP(A151,ScaledPrice,IF(AND(Dayrun&gt;=2,Dayrun&lt;=6),5,6)),0))</f>
        <v> </v>
      </c>
      <c r="M151" s="315" t="str">
        <f aca="false">IF(A151="N/A"," ",IF(OR(Dayrun=2,Dayrun=3,Dayrun=5,Dayrun=6,Dayrun=8,Dayrun=9),IF(AND(Dayrun&gt;=2,Dayrun&lt;=6),L151,(VLOOKUP(A151,ScaledPrice,5))*(2-(VLOOKUP(A151,ScaledPrice,3)))),0))</f>
        <v> </v>
      </c>
      <c r="N151" s="315" t="str">
        <f aca="false">IF(A151="N/A"," ",IF(AND(Dayrun&gt;1,Dayrun&lt;=3),VLOOKUP(A151,ScaledPrice,9),0))</f>
        <v> </v>
      </c>
      <c r="O151" s="315" t="str">
        <f aca="false">IF(A151="N/A"," ",IF(OR(Dayrun=3,Dayrun=6,Dayrun=9),(VLOOKUP(A151,ScaledPrice,IF(AND(Dayrun&gt;=3,Dayrun&lt;=6),7,8))),0))</f>
        <v> </v>
      </c>
      <c r="P151" s="315" t="str">
        <f aca="false">IF(A151="N/A"," ",IF(OR(Dayrun=3,Dayrun=6,Dayrun=9),IF(AND(Dayrun&gt;=3,Dayrun&lt;=6),O151,(VLOOKUP(A151,ScaledPrice,7))*(2-(VLOOKUP(A151,ScaledPrice,3)))),0))</f>
        <v> </v>
      </c>
      <c r="Q151" s="315" t="str">
        <f aca="false">IF(A151="N/A"," ",IF(AND(Dayrun&gt;2,Dayrun&lt;=3),VLOOKUP(A151,ScaledPrice,9),0))</f>
        <v> </v>
      </c>
      <c r="R151" s="316" t="str">
        <f aca="false">IF($A151="N/A"," ",IF(Pricetype=2,MAX(I151-$H151,0),IF(Pricetype=1,(xSPRDOPT(I151,$E151,$CI151,0,($CD151+IF(Smile=TRUE(),VLOOKUP(MAX(-5,$H151-I151),Volsmile,2),0)),$CG151,$CH151,($A151-DateToday)+15,1,0)),I151-$H151)))</f>
        <v> </v>
      </c>
      <c r="S151" s="316" t="str">
        <f aca="false">IF($A151="N/A"," ",IF(Pricetype=2,MAX(J151-$H151,0),IF(Pricetype=1,(xSPRDOPT(J151,$E151,$CI151,0,($CD151+IF(Smile=TRUE(),VLOOKUP(MAX(-5,$H151-J151),Volsmile,2),0)),$CG151,$CH151,($A151-DateToday)+15,1,0)),J151-$H151)))</f>
        <v> </v>
      </c>
      <c r="T151" s="317" t="str">
        <f aca="false">IF($A151="N/A"," ",(IF(Pricetype=2,IF((K151-$H151)&lt;=0,0,(K151-$H151)),IF(K151&lt;&gt;0,(K151-$H151),0))))</f>
        <v> </v>
      </c>
      <c r="U151" s="316" t="str">
        <f aca="false">IF($A151="N/A"," ",IF(Pricetype=2,MAX(L151-$H151,0),IF(L151&lt;&gt;0,IF(Pricetype=1,(xSPRDOPT(L151,$E151,$CI151,0,($CD151+IF(Smile=TRUE(),VLOOKUP(MAX(-5,$H151-L151),Volsmile,2),0)),$CG151,$CH151,($A151-DateToday)+15,1,0)),L151-$H151),0)))</f>
        <v> </v>
      </c>
      <c r="V151" s="316" t="str">
        <f aca="false">IF($A151="N/A"," ",IF(Pricetype=2,MAX(M151-$H151,0),IF(M151&lt;&gt;0,IF(Pricetype=1,(xSPRDOPT(M151,$E151,$CI151,0,($CD151+IF(Smile=TRUE(),VLOOKUP(MAX(-5,$H151-M151),Volsmile,2),0)),$CG151,$CH151,($A151-DateToday)+15,1,0)),M151-$H151),0)))</f>
        <v> </v>
      </c>
      <c r="W151" s="317" t="str">
        <f aca="false">IF($A151="N/A"," ",(IF(Pricetype=2,IF((N151-$H151)&lt;=0,0,(N151-$H151)),IF(N151&lt;&gt;0,(N151-$H151),0))))</f>
        <v> </v>
      </c>
      <c r="X151" s="316" t="str">
        <f aca="false">IF($A151="N/A"," ",IF(Pricetype=2,MAX(O151-$H151,0),IF(O151&lt;&gt;0,IF(Pricetype=1,(xSPRDOPT(O151,$E151,$CI151,0,($CD151+IF(Smile=TRUE(),VLOOKUP(MAX(-5,$H151-O151),Volsmile,2),0)),$CG151,$CH151,($A151-DateToday)+15,1,0)),O151-$H151),0)))</f>
        <v> </v>
      </c>
      <c r="Y151" s="316" t="str">
        <f aca="false">IF($A151="N/A"," ",IF(Pricetype=2,MAX(P151-$H151,0),IF(P151&lt;&gt;0,IF(Pricetype=1,(xSPRDOPT(P151,$E151,$CI151,0,($CD151+IF(Smile=TRUE(),VLOOKUP(MAX(-5,$H151-P151),Volsmile,2),0)),$CG151,$CH151,($A151-DateToday)+15,1,0)),P151-$H151),0)))</f>
        <v> </v>
      </c>
      <c r="Z151" s="317" t="str">
        <f aca="false">IF($A151="N/A"," ",(IF(Pricetype=2,IF((Q151-$H151)&lt;=0,0,(Q151-$H151)),IF(Q151&lt;&gt;0,(Q151-$H151),0))))</f>
        <v> </v>
      </c>
      <c r="AA151" s="318" t="str">
        <f aca="false">IF($A151="N/A"," ",IF(VLOOKUP(MONTH(A151),ManualTable,2)=1,(IF(0&lt;&gt;R151,IF(Pricetype=1,(xSPRDOPT(I151,$E151,$CI151,0,($CD151+IF(Smile=TRUE(),VLOOKUP(MAX(-5,$H151-I151),Volsmile,2),0)),$CG151,$CH151,($A151-DateToday)+15,1,1))*(8*$HD151),8*$HD151),0)),0))</f>
        <v> </v>
      </c>
      <c r="AB151" s="318" t="str">
        <f aca="false">IF($A151="N/A"," ",IF(VLOOKUP(MONTH(A151),ManualTable,3)=1,(IF(S151&lt;&gt;0,IF(Pricetype=1,(xSPRDOPT(J151,$E151,$CI151,0,($CD151+IF(Smile=TRUE(),VLOOKUP(MAX(-5,$H151-J151),Volsmile,2),0)),$CG151,$CH151,($A151-DateToday)+15,1,1))*(8*$HD151),8*$HD151),0)),0))</f>
        <v> </v>
      </c>
      <c r="AC151" s="318" t="str">
        <f aca="false">IF($A151="N/A"," ",IF(VLOOKUP(MONTH(A151),ManualTable,4)=1,(IF(T151&lt;&gt;0,(8*$HD151),0)),0))</f>
        <v> </v>
      </c>
      <c r="AD151" s="318" t="str">
        <f aca="false">IF($A151="N/A"," ",IF(VLOOKUP(MONTH(A151),ManualTable,5)=1,(IF(U151&lt;&gt;0,IF(Pricetype=1,(xSPRDOPT(L151,$E151,$CI151,0,($CD151+IF(Smile=TRUE(),VLOOKUP(MAX(-5,$H151-L151),Volsmile,2),0)),$CG151,$CH151,($A151-DateToday)+15,1,1))*(8*$HE151),8*$HE151),0)),0))</f>
        <v> </v>
      </c>
      <c r="AE151" s="318" t="str">
        <f aca="false">IF($A151="N/A"," ",IF(VLOOKUP(MONTH(A151),ManualTable,6)=1,(IF(V151&lt;&gt;0,IF(Pricetype=1,(xSPRDOPT(M151,$E151,$CI151,0,($CD151+IF(Smile=TRUE(),VLOOKUP(MAX(-5,$H151-M151),Volsmile,2),0)),$CG151,$CH151,($A151-DateToday)+15,1,1))*(8*$HE151),8*$HE151),0)),0))</f>
        <v> </v>
      </c>
      <c r="AF151" s="318" t="str">
        <f aca="false">IF($A151="N/A"," ",IF(VLOOKUP(MONTH(A151),ManualTable,7)=1,(IF(W151&lt;&gt;0,(8*$HE151),0)),0))</f>
        <v> </v>
      </c>
      <c r="AG151" s="318" t="str">
        <f aca="false">IF($A151="N/A"," ",IF(VLOOKUP(MONTH(A151),ManualTable,8)=1,(IF(X151&lt;&gt;0,IF(Pricetype=1,(xSPRDOPT(O151,$E151,$CI151,0,($CD151+IF(Smile=TRUE(),VLOOKUP(MAX(-5,$H151-O151),Volsmile,2),0)),$CG151,$CH151,($A151-DateToday)+15,1,1))*(8*$HF151),8*$HF151),0)),0))</f>
        <v> </v>
      </c>
      <c r="AH151" s="318" t="str">
        <f aca="false">IF($A151="N/A"," ",IF(VLOOKUP(MONTH(A151),ManualTable,9)=1,(IF(Y151&lt;&gt;0,IF(Pricetype=1,(xSPRDOPT(P151,$E151,$CI151,0,($CD151+IF(Smile=TRUE(),VLOOKUP(MAX(-5,$H151-P151),Volsmile,2),0)),$CG151,$CH151,($A151-DateToday)+15,1,1))*(8*$HF151),8*$HF151),0)),0))</f>
        <v> </v>
      </c>
      <c r="AI151" s="318" t="str">
        <f aca="false">IF($A151="N/A"," ",IF(VLOOKUP(MONTH(A151),ManualTable,10)=1,(IF(Z151&lt;&gt;0,(8*($HF151)),0)),0))</f>
        <v> </v>
      </c>
      <c r="AJ151" s="344" t="str">
        <f aca="false">IF($A151="N/A"," ",RANK(R151,$R$148:$Z$159))</f>
        <v> </v>
      </c>
      <c r="AK151" s="321" t="str">
        <f aca="false">IF($A151="N/A"," ",RANK(S151,$R$148:$Z$159))</f>
        <v> </v>
      </c>
      <c r="AL151" s="321" t="str">
        <f aca="false">IF($A151="N/A"," ",RANK(T151,$R$148:$Z$159))</f>
        <v> </v>
      </c>
      <c r="AM151" s="321" t="str">
        <f aca="false">IF($A151="N/A"," ",RANK(U151,$R$148:$Z$159))</f>
        <v> </v>
      </c>
      <c r="AN151" s="321" t="str">
        <f aca="false">IF($A151="N/A"," ",RANK(V151,$R$148:$Z$159))</f>
        <v> </v>
      </c>
      <c r="AO151" s="321" t="str">
        <f aca="false">IF($A151="N/A"," ",RANK(W151,$R$148:$Z$159))</f>
        <v> </v>
      </c>
      <c r="AP151" s="321" t="str">
        <f aca="false">IF($A151="N/A"," ",RANK(X151,$R$148:$Z$159))</f>
        <v> </v>
      </c>
      <c r="AQ151" s="321" t="str">
        <f aca="false">IF($A151="N/A"," ",RANK(Y151,$R$148:$Z$159))</f>
        <v> </v>
      </c>
      <c r="AR151" s="345" t="str">
        <f aca="false">IF($A151="N/A"," ",RANK(Z151,$R$148:$Z$159))</f>
        <v> </v>
      </c>
      <c r="AS151" s="323" t="str">
        <f aca="false">IF($A151="N/A"," ",IF(AJ151&lt;=$AR$2,AA151,0))</f>
        <v> </v>
      </c>
      <c r="AT151" s="325" t="str">
        <f aca="false">IF($A151="N/A"," ",IF(AK151&lt;=$AR$2,AB151,0))</f>
        <v> </v>
      </c>
      <c r="AU151" s="325" t="str">
        <f aca="false">IF($A151="N/A"," ",IF(AL151&lt;=$AR$2,AC151,0))</f>
        <v> </v>
      </c>
      <c r="AV151" s="325" t="str">
        <f aca="false">IF($A151="N/A"," ",IF(AM151&lt;=$AR$2,AD151,0))</f>
        <v> </v>
      </c>
      <c r="AW151" s="325" t="str">
        <f aca="false">IF($A151="N/A"," ",IF(AN151&lt;=$AR$2,AE151,0))</f>
        <v> </v>
      </c>
      <c r="AX151" s="325" t="str">
        <f aca="false">IF($A151="N/A"," ",IF(AO151&lt;=$AR$2,AF151,0))</f>
        <v> </v>
      </c>
      <c r="AY151" s="325" t="str">
        <f aca="false">IF($A151="N/A"," ",IF(AP151&lt;=$AR$2,AG151,0))</f>
        <v> </v>
      </c>
      <c r="AZ151" s="325" t="str">
        <f aca="false">IF($A151="N/A"," ",IF(AQ151&lt;=$AR$2,AH151,0))</f>
        <v> </v>
      </c>
      <c r="BA151" s="325" t="str">
        <f aca="false">IF($A151="N/A"," ",IF(AR151&lt;=$AR$2,AI151,0))</f>
        <v> </v>
      </c>
      <c r="BB151" s="345"/>
      <c r="BC151" s="326" t="str">
        <f aca="false">IF($A151="N/A"," ",IF(AND(AJ151=$AR$2+1,AS151=0),MIN($BB$159,AA151),0))</f>
        <v> </v>
      </c>
      <c r="BD151" s="346" t="str">
        <f aca="false">IF($A151="N/A"," ",IF(AND(AK151=$AR$2+1,AT151=0),MIN($BB$159,AB151),0))</f>
        <v> </v>
      </c>
      <c r="BE151" s="346" t="str">
        <f aca="false">IF($A151="N/A"," ",IF(AND(AL151=$AR$2+1,AU151=0),MIN($BB$159,AC151),0))</f>
        <v> </v>
      </c>
      <c r="BF151" s="346" t="str">
        <f aca="false">IF($A151="N/A"," ",IF(AND(AM151=$AR$2+1,AV151=0),MIN($BB$159,AD151),0))</f>
        <v> </v>
      </c>
      <c r="BG151" s="346" t="str">
        <f aca="false">IF($A151="N/A"," ",IF(AND(AN151=$AR$2+1,AW151=0),MIN($BB$159,AE151),0))</f>
        <v> </v>
      </c>
      <c r="BH151" s="346" t="str">
        <f aca="false">IF($A151="N/A"," ",IF(AND(AO151=$AR$2+1,AX151=0),MIN($BB$159,AF151),0))</f>
        <v> </v>
      </c>
      <c r="BI151" s="346" t="str">
        <f aca="false">IF($A151="N/A"," ",IF(AND(AP151=$AR$2+1,AY151=0),MIN($BB$159,AG151),0))</f>
        <v> </v>
      </c>
      <c r="BJ151" s="346" t="str">
        <f aca="false">IF($A151="N/A"," ",IF(AND(AQ151=$AR$2+1,AZ151=0),MIN($BB$159,AH151),0))</f>
        <v> </v>
      </c>
      <c r="BK151" s="346" t="str">
        <f aca="false">IF($A151="N/A"," ",IF(AND(AR151=$AR$2+1,BA151=0),MIN($BB$159,AI151),0))</f>
        <v> </v>
      </c>
      <c r="BL151" s="345"/>
      <c r="BM151" s="329" t="str">
        <f aca="false">IF($A151="N/A"," ",(IF(MONTH(A151)&gt;=4,IF(MONTH(A151)&lt;=10,Inputs!$F$13-Inputs!$G$13,Inputs!$F$14-Inputs!$G$14),Inputs!$F$14-Inputs!$G$14))*$CK151*Availability)</f>
        <v> </v>
      </c>
      <c r="BN151" s="330" t="str">
        <f aca="false">IF($A151="N/A"," ",(IF(AS151&gt;0,($BM151*(8*($HD151))*R151),0)+IF(BC151&gt;0,($BM151*((BC151/AA151)*8*$HD151)*R151),0)))</f>
        <v> </v>
      </c>
      <c r="BO151" s="330" t="str">
        <f aca="false">IF($A151="N/A"," ",(IF(AT151&gt;0,($BM151*(8*($HD151))*S151),0)+IF(BD151&gt;0,($BM151*((BD151/AB151)*8*$HD151)*S151),0)))</f>
        <v> </v>
      </c>
      <c r="BP151" s="330" t="str">
        <f aca="false">IF($A151="N/A"," ",(IF(AU151&gt;0,($BM151*(8*($HD151))*T151),0)+IF(BE151&gt;0,($BM151*((BE151))*T151),0)))</f>
        <v> </v>
      </c>
      <c r="BQ151" s="330" t="str">
        <f aca="false">IF($A151="N/A"," ",(IF(AV151&gt;0,($BM151*(8*($HE151))*U151),0)+IF(BF151&gt;0,($BM151*((BF151/AD151)*8*$HE151)*U151),0)))</f>
        <v> </v>
      </c>
      <c r="BR151" s="330" t="str">
        <f aca="false">IF($A151="N/A"," ",(IF(AW151&gt;0,($BM151*(8*($HE151))*V151),0)+IF(BG151&gt;0,($BM151*((BG151/AE151)*8*$HE151)*V151),0)))</f>
        <v> </v>
      </c>
      <c r="BS151" s="330" t="str">
        <f aca="false">IF($A151="N/A"," ",(IF(AX151&gt;0,($BM151*(8*($HE151))*W151),0)+IF(BH151&gt;0,($BM151*((BH151))*W151),0)))</f>
        <v> </v>
      </c>
      <c r="BT151" s="330" t="str">
        <f aca="false">IF($A151="N/A"," ",(IF(AY151&gt;0,($BM151*(8*($HF151))*X151),0)+IF(BI151&gt;0,($BM151*((BI151/AG151)*8*$HF151)*X151),0)))</f>
        <v> </v>
      </c>
      <c r="BU151" s="330" t="str">
        <f aca="false">IF($A151="N/A"," ",(IF(AZ151&gt;0,($BM151*(8*($HF151))*Y151),0)+IF(BJ151&gt;0,($BM151*((BJ151/AH151)*8*$HF151)*Y151),0)))</f>
        <v> </v>
      </c>
      <c r="BV151" s="330" t="str">
        <f aca="false">IF($A151="N/A"," ",(IF(BA151&gt;0,($BM151*(8*($HF151))*Z151),0)+IF(BK151&gt;0,($BM151*((BK151))*Z151),0)))</f>
        <v> </v>
      </c>
      <c r="BW151" s="330" t="str">
        <f aca="false">IF($A151="N/A"," ",SUM(BN151:BV151))</f>
        <v> </v>
      </c>
      <c r="BX151" s="331" t="str">
        <f aca="false">IF($A151="N/A"," ",(H151*(SUM(AS151:BA151)+SUM(BC151:BK151))*BM151))</f>
        <v> </v>
      </c>
      <c r="BY151" s="332" t="str">
        <f aca="false">IF($A151="N/A"," ",((C151*D151)*(SUM($AS151:$BA151)+SUM($BC151:$BK151))*$BM151))</f>
        <v> </v>
      </c>
      <c r="BZ151" s="332" t="str">
        <f aca="false">IF($A151="N/A"," ",(F151*(SUM($AS151:$BA151)+SUM($BC151:$BK151))*$BM151))</f>
        <v> </v>
      </c>
      <c r="CA151" s="333" t="str">
        <f aca="false">IF($A151="N/A"," ",(G151*(SUM($AS151:$BA151)+SUM($BC151:$BK151))*$BM151))</f>
        <v> </v>
      </c>
      <c r="CB151" s="334" t="str">
        <f aca="false">IF(A151="N/A"," ",(VLOOKUP(A151,PowerVolTable,(IF(BMO=2,7,IF(BMO=1,6,8))),FALSE())))</f>
        <v> </v>
      </c>
      <c r="CC151" s="334" t="str">
        <f aca="false">IF(A151="N/A"," ",(VLOOKUP(A151,IntraPowerVol,(IF(BMO=2,3,IF(BMO=1,2,4))),FALSE())*VLOOKUP(MONTH($A151),Volscale,2)))</f>
        <v> </v>
      </c>
      <c r="CD151" s="335" t="str">
        <f aca="false">IF($A151="N/A"," ",(IF(DateToday&gt;$A151,$CC151,((($CB151^2)*((($A151-1)-DateToday)/((EOMONTH($A151,0)+1)-DateToday-15)))+((($CC151)^2)*((15)/((EOMONTH($A151,0)+1)-DateToday-15))))^0.5)))</f>
        <v> </v>
      </c>
      <c r="CE151" s="334" t="str">
        <f aca="false">IF($A151="N/A"," ",(VLOOKUP($A151,GasVolTable,(IF(BMO=2,6,IF(BMO=1,7,5))),FALSE())))</f>
        <v> </v>
      </c>
      <c r="CF151" s="334" t="str">
        <f aca="false">IF($A151="N/A"," ",(VLOOKUP($A151,OmicronVol,(IF(BMO=2,3,IF(BMO=1,4,2))),FALSE())))</f>
        <v> </v>
      </c>
      <c r="CG151" s="335" t="str">
        <f aca="false">IF($A151="N/A"," ",(IF(DateToday&gt;$A151,$CF151,((($CE151^2)*((($A151-1)-DateToday)/((EOMONTH($A151,0)+1)-DateToday-15)))+((($CF151)^2)*((15)/((EOMONTH($A151,0)+1)-DateToday-15))))^0.5)))</f>
        <v> </v>
      </c>
      <c r="CH151" s="334" t="str">
        <f aca="false">IF($A151="N/A"," ",VLOOKUP($A151,CorrelationTable,2,FALSE()))</f>
        <v> </v>
      </c>
      <c r="CI151" s="336" t="str">
        <f aca="false">IF($A151="N/A"," ",F151+G151+(D151*('Pricing Inputs'!T184)))</f>
        <v> </v>
      </c>
      <c r="CJ151" s="334" t="str">
        <f aca="false">IF($A151="N/A"," ",IF(PV=1,0,'Pricing Inputs'!U184))</f>
        <v> </v>
      </c>
      <c r="CK151" s="337" t="str">
        <f aca="false">IF($A151="N/A"," ",(1+CJ151/2)^(-2*((EOMONTH(A151,0)+20)-DateToday)/365.25))</f>
        <v> </v>
      </c>
      <c r="CL151" s="338" t="str">
        <f aca="false">IF(A151="N/A"," ",IF(CC=2,(VLOOKUP(MONTH($A151),Hrtable,3))/1000,0))</f>
        <v> </v>
      </c>
      <c r="CM151" s="339" t="str">
        <f aca="false">IF(A151="N/A"," ",IF(CC=2,(CL151*C151)+F151,0))</f>
        <v> </v>
      </c>
      <c r="CN151" s="340" t="str">
        <f aca="false">IF($A151="N/A"," ",IF(CC=2,(VLOOKUP(A151,ScaledPrice,(IF(AND(Dayrun&gt;=1,Dayrun&lt;=6),2,4)))-((IF(R151&lt;&gt;0,$D151,$CL151)*$C151)+$F151+$G151)),0))</f>
        <v> </v>
      </c>
      <c r="CO151" s="340" t="str">
        <f aca="false">IF($A151="N/A"," ",IF(CC=2,(IF(AND(Dayrun&gt;=1,Dayrun&lt;=6),I151,(VLOOKUP(A151,ScaledPrice,2))*(2-(VLOOKUP(A151,ScaledPrice,3))))-((IF(S151&lt;&gt;0,$D151,$CL151)*$C151)+$F151+$G151)),0))</f>
        <v> </v>
      </c>
      <c r="CP151" s="340" t="str">
        <f aca="false">IF(A151="N/A"," ",IF(CC=2,(VLOOKUP(A151,ScaledPrice,9)-((IF(T151&lt;&gt;0,$D151,$CL151)*$C151)+$F151+$G151)),0))</f>
        <v> </v>
      </c>
      <c r="CQ151" s="340" t="str">
        <f aca="false">IF(A151="N/A"," ",IF(CC=2,(IF(OR(Dayrun=2,Dayrun=3,Dayrun=5,Dayrun=6,Dayrun=8,Dayrun=9),VLOOKUP(A151,ScaledPrice,IF(AND(Dayrun&gt;=2,Dayrun&lt;=6),5,6)),0)-((IF(U151&lt;&gt;0,$D151,$CL151)*$C151)+$F151+$G151)),0))</f>
        <v> </v>
      </c>
      <c r="CR151" s="340" t="str">
        <f aca="false">IF(A151="N/A"," ",IF(CC=2,(IF(OR(Dayrun=2,Dayrun=3,Dayrun=5,Dayrun=6,Dayrun=8,Dayrun=9),IF(AND(Dayrun&gt;=2,Dayrun&lt;=6),L151,(VLOOKUP(A151,ScaledPrice,5))*(2-(VLOOKUP(A151,ScaledPrice,3)))),0)-((IF(V151&lt;&gt;0,$D151,$CL151)*$C151)+$F151+$G151)),0))</f>
        <v> </v>
      </c>
      <c r="CS151" s="340" t="str">
        <f aca="false">IF(A151="N/A"," ",IF(CC=2,(VLOOKUP(A151,ScaledPrice,9)-((IF(W151&lt;&gt;0,$D151,$CL151)*$C151)+$F151+$G151)),0))</f>
        <v> </v>
      </c>
      <c r="CT151" s="340" t="str">
        <f aca="false">IF(A151="N/A"," ",IF(CC=2,(IF(OR(Dayrun=3,Dayrun=6,Dayrun=9),(VLOOKUP(A151,ScaledPrice,IF(AND(Dayrun&gt;=3,Dayrun&lt;=6),7,8))),0)-((IF(X151&lt;&gt;0,$D151,$CL151)*$C151)+$F151+$G151)),0))</f>
        <v> </v>
      </c>
      <c r="CU151" s="340" t="str">
        <f aca="false">IF(A151="N/A"," ",IF(CC=2,(IF(OR(Dayrun=3,Dayrun=6,Dayrun=9),IF(AND(Dayrun&gt;=3,Dayrun&lt;=6),O151,(VLOOKUP(A151,ScaledPrice,7))*(2-(VLOOKUP(A151,ScaledPrice,3)))),0)-((IF(Y151&lt;&gt;0,$D151,$CL151)*$C151)+$F151+$G151)),0))</f>
        <v> </v>
      </c>
      <c r="CV151" s="340" t="str">
        <f aca="false">IF(A151="N/A"," ",IF(CC=2,(VLOOKUP(A151,ScaledPrice,9)-((IF(Z151&lt;&gt;0,$D151,$CL151)*$C151)+$F151+$G151)),0))</f>
        <v> </v>
      </c>
      <c r="CW151" s="318" t="str">
        <f aca="false">IF($A151="N/A"," ",IF(0&lt;&gt;CN151,IF(CC=2,8*$HD151,0),0))</f>
        <v> </v>
      </c>
      <c r="CX151" s="318" t="str">
        <f aca="false">IF($A151="N/A"," ",IF(0&lt;&gt;CO151,IF(CC=2,8*$HD151,0),0))</f>
        <v> </v>
      </c>
      <c r="CY151" s="318" t="str">
        <f aca="false">IF($A151="N/A"," ",IF(0&lt;&gt;CP151,IF(CC=2,8*$HD151,0),0))</f>
        <v> </v>
      </c>
      <c r="CZ151" s="318" t="str">
        <f aca="false">IF($A151="N/A"," ",IF(0&lt;&gt;CQ151,IF(CC=2,8*$HE151,0),0))</f>
        <v> </v>
      </c>
      <c r="DA151" s="318" t="str">
        <f aca="false">IF($A151="N/A"," ",IF(0&lt;&gt;CR151,IF(CC=2,8*$HE151,0),0))</f>
        <v> </v>
      </c>
      <c r="DB151" s="318" t="str">
        <f aca="false">IF($A151="N/A"," ",IF(0&lt;&gt;CS151,IF(CC=2,8*$HE151,0),0))</f>
        <v> </v>
      </c>
      <c r="DC151" s="318" t="str">
        <f aca="false">IF($A151="N/A"," ",IF(0&lt;&gt;CT151,IF(CC=2,8*$HF151,0),0))</f>
        <v> </v>
      </c>
      <c r="DD151" s="318" t="str">
        <f aca="false">IF($A151="N/A"," ",IF(0&lt;&gt;CU151,IF(CC=2,8*$HF151,0),0))</f>
        <v> </v>
      </c>
      <c r="DE151" s="318" t="str">
        <f aca="false">IF($A151="N/A"," ",IF(0&lt;&gt;CV151,IF(CC=2,8*$HF151,0),0))</f>
        <v> </v>
      </c>
      <c r="DF151" s="341" t="str">
        <f aca="false">IF($A151="N/A"," ",IF(CC=2,(IF(MONTH(A151)&gt;=4,IF(MONTH(A151)&lt;=10,Inputs!$G$13,Inputs!$G$14),Inputs!$G$14))*$CK151,0))</f>
        <v> </v>
      </c>
      <c r="DG151" s="342" t="str">
        <f aca="false">IF($A151="N/A"," ",IF(CC=2,$DF151*CW151*CN151,0))</f>
        <v> </v>
      </c>
      <c r="DH151" s="342" t="str">
        <f aca="false">IF($A151="N/A"," ",IF(CC=2,$DF151*CX151*CO151,0))</f>
        <v> </v>
      </c>
      <c r="DI151" s="342" t="str">
        <f aca="false">IF($A151="N/A"," ",IF(CC=2,$DF151*CY151*CP151,0))</f>
        <v> </v>
      </c>
      <c r="DJ151" s="342" t="str">
        <f aca="false">IF($A151="N/A"," ",IF(CC=2,$DF151*CZ151*CQ151,0))</f>
        <v> </v>
      </c>
      <c r="DK151" s="342" t="str">
        <f aca="false">IF($A151="N/A"," ",IF(CC=2,$DF151*DA151*CR151,0))</f>
        <v> </v>
      </c>
      <c r="DL151" s="342" t="str">
        <f aca="false">IF($A151="N/A"," ",IF(CC=2,$DF151*DB151*CS151,0))</f>
        <v> </v>
      </c>
      <c r="DM151" s="342" t="str">
        <f aca="false">IF($A151="N/A"," ",IF(CC=2,$DF151*DC151*CT151,0))</f>
        <v> </v>
      </c>
      <c r="DN151" s="342" t="str">
        <f aca="false">IF($A151="N/A"," ",IF(CC=2,$DF151*DD151*CU151,0))</f>
        <v> </v>
      </c>
      <c r="DO151" s="342" t="str">
        <f aca="false">IF($A151="N/A"," ",IF(CC=2,$DF151*DE151*CV151,0))</f>
        <v> </v>
      </c>
      <c r="DP151" s="343" t="str">
        <f aca="false">IF($A151="N/A"," ",IF(CC=2,SUM(DG151:DO151),0))</f>
        <v> </v>
      </c>
      <c r="DQ151" s="0" t="str">
        <f aca="false">IF(A151="N/A"," ",Perstart)</f>
        <v> </v>
      </c>
      <c r="HD151" s="0" t="str">
        <f aca="false">IF($A151="N/A"," ",VLOOKUP($A151,NumberofDaysTable,2))</f>
        <v> </v>
      </c>
      <c r="HE151" s="0" t="str">
        <f aca="false">IF($A151="N/A"," ",VLOOKUP($A151,NumberofDaysTable,3))</f>
        <v> </v>
      </c>
      <c r="HF151" s="0" t="str">
        <f aca="false">IF($A151="N/A"," ",VLOOKUP($A151,NumberofDaysTable,4))</f>
        <v> </v>
      </c>
    </row>
    <row r="152" customFormat="false" ht="12.75" hidden="false" customHeight="false" outlineLevel="0" collapsed="false">
      <c r="A152" s="308" t="str">
        <f aca="false">IF(A151="N/A","N/A",IF(EDATE(A151,1)&gt;Inputs!$K$3,"N/A",EDATE(A151,1)))</f>
        <v>N/A</v>
      </c>
      <c r="B152" s="309" t="str">
        <f aca="false">IF(A152="N/A"," ",YEAR(A152))</f>
        <v> </v>
      </c>
      <c r="C152" s="310" t="str">
        <f aca="false">IF(A152="N/A"," ",VLOOKUP(A152,ScaledPrice,10))</f>
        <v> </v>
      </c>
      <c r="D152" s="311" t="str">
        <f aca="false">IF(A152="N/A"," ",(VLOOKUP(MONTH($A152),Hrtable,2))/1000)</f>
        <v> </v>
      </c>
      <c r="E152" s="312" t="str">
        <f aca="false">IF($A152="N/A"," ",(C152-'Pricing Inputs'!T185)*D152)</f>
        <v> </v>
      </c>
      <c r="F152" s="313" t="str">
        <f aca="false">IF(A152="N/A"," ",$F140*(1+VOMesc))</f>
        <v> </v>
      </c>
      <c r="G152" s="313" t="str">
        <f aca="false">IF(A152="N/A"," ",Perstart/IF(AND(Dayrun&gt;=4,Dayrun&lt;=6),16,IF(AND(Dayrun&gt;=7,Dayrun&lt;=9),8,24))/(BM152/CK152))</f>
        <v> </v>
      </c>
      <c r="H152" s="314" t="str">
        <f aca="false">IF(A152="N/A"," ",(C152*D152)+F152+G152)</f>
        <v> </v>
      </c>
      <c r="I152" s="315" t="str">
        <f aca="false">VLOOKUP(A152,ScaledPrice,(IF(AND(Dayrun&gt;=1,Dayrun&lt;=6),2,4)))</f>
        <v> </v>
      </c>
      <c r="J152" s="315" t="str">
        <f aca="false">IF(A152="N/A"," ",IF(AND(Dayrun&gt;=1,Dayrun&lt;=6),I152,(VLOOKUP(A152,ScaledPrice,2))*(2-(VLOOKUP(A152,ScaledPrice,3)))))</f>
        <v> </v>
      </c>
      <c r="K152" s="315" t="str">
        <f aca="false">IF(A152="N/A"," ",IF(AND(Dayrun&gt;=1,Dayrun&lt;=3),VLOOKUP(A152,ScaledPrice,9),0))</f>
        <v> </v>
      </c>
      <c r="L152" s="315" t="str">
        <f aca="false">IF(A152="N/A"," ",IF(OR(Dayrun=2,Dayrun=3,Dayrun=5,Dayrun=6,Dayrun=8,Dayrun=9),VLOOKUP(A152,ScaledPrice,IF(AND(Dayrun&gt;=2,Dayrun&lt;=6),5,6)),0))</f>
        <v> </v>
      </c>
      <c r="M152" s="315" t="str">
        <f aca="false">IF(A152="N/A"," ",IF(OR(Dayrun=2,Dayrun=3,Dayrun=5,Dayrun=6,Dayrun=8,Dayrun=9),IF(AND(Dayrun&gt;=2,Dayrun&lt;=6),L152,(VLOOKUP(A152,ScaledPrice,5))*(2-(VLOOKUP(A152,ScaledPrice,3)))),0))</f>
        <v> </v>
      </c>
      <c r="N152" s="315" t="str">
        <f aca="false">IF(A152="N/A"," ",IF(AND(Dayrun&gt;1,Dayrun&lt;=3),VLOOKUP(A152,ScaledPrice,9),0))</f>
        <v> </v>
      </c>
      <c r="O152" s="315" t="str">
        <f aca="false">IF(A152="N/A"," ",IF(OR(Dayrun=3,Dayrun=6,Dayrun=9),(VLOOKUP(A152,ScaledPrice,IF(AND(Dayrun&gt;=3,Dayrun&lt;=6),7,8))),0))</f>
        <v> </v>
      </c>
      <c r="P152" s="315" t="str">
        <f aca="false">IF(A152="N/A"," ",IF(OR(Dayrun=3,Dayrun=6,Dayrun=9),IF(AND(Dayrun&gt;=3,Dayrun&lt;=6),O152,(VLOOKUP(A152,ScaledPrice,7))*(2-(VLOOKUP(A152,ScaledPrice,3)))),0))</f>
        <v> </v>
      </c>
      <c r="Q152" s="315" t="str">
        <f aca="false">IF(A152="N/A"," ",IF(AND(Dayrun&gt;2,Dayrun&lt;=3),VLOOKUP(A152,ScaledPrice,9),0))</f>
        <v> </v>
      </c>
      <c r="R152" s="316" t="str">
        <f aca="false">IF($A152="N/A"," ",IF(Pricetype=2,MAX(I152-$H152,0),IF(Pricetype=1,(xSPRDOPT(I152,$E152,$CI152,0,($CD152+IF(Smile=TRUE(),VLOOKUP(MAX(-5,$H152-I152),Volsmile,2),0)),$CG152,$CH152,($A152-DateToday)+15,1,0)),I152-$H152)))</f>
        <v> </v>
      </c>
      <c r="S152" s="316" t="str">
        <f aca="false">IF($A152="N/A"," ",IF(Pricetype=2,MAX(J152-$H152,0),IF(Pricetype=1,(xSPRDOPT(J152,$E152,$CI152,0,($CD152+IF(Smile=TRUE(),VLOOKUP(MAX(-5,$H152-J152),Volsmile,2),0)),$CG152,$CH152,($A152-DateToday)+15,1,0)),J152-$H152)))</f>
        <v> </v>
      </c>
      <c r="T152" s="317" t="str">
        <f aca="false">IF($A152="N/A"," ",(IF(Pricetype=2,IF((K152-$H152)&lt;=0,0,(K152-$H152)),IF(K152&lt;&gt;0,(K152-$H152),0))))</f>
        <v> </v>
      </c>
      <c r="U152" s="316" t="str">
        <f aca="false">IF($A152="N/A"," ",IF(Pricetype=2,MAX(L152-$H152,0),IF(L152&lt;&gt;0,IF(Pricetype=1,(xSPRDOPT(L152,$E152,$CI152,0,($CD152+IF(Smile=TRUE(),VLOOKUP(MAX(-5,$H152-L152),Volsmile,2),0)),$CG152,$CH152,($A152-DateToday)+15,1,0)),L152-$H152),0)))</f>
        <v> </v>
      </c>
      <c r="V152" s="316" t="str">
        <f aca="false">IF($A152="N/A"," ",IF(Pricetype=2,MAX(M152-$H152,0),IF(M152&lt;&gt;0,IF(Pricetype=1,(xSPRDOPT(M152,$E152,$CI152,0,($CD152+IF(Smile=TRUE(),VLOOKUP(MAX(-5,$H152-M152),Volsmile,2),0)),$CG152,$CH152,($A152-DateToday)+15,1,0)),M152-$H152),0)))</f>
        <v> </v>
      </c>
      <c r="W152" s="317" t="str">
        <f aca="false">IF($A152="N/A"," ",(IF(Pricetype=2,IF((N152-$H152)&lt;=0,0,(N152-$H152)),IF(N152&lt;&gt;0,(N152-$H152),0))))</f>
        <v> </v>
      </c>
      <c r="X152" s="316" t="str">
        <f aca="false">IF($A152="N/A"," ",IF(Pricetype=2,MAX(O152-$H152,0),IF(O152&lt;&gt;0,IF(Pricetype=1,(xSPRDOPT(O152,$E152,$CI152,0,($CD152+IF(Smile=TRUE(),VLOOKUP(MAX(-5,$H152-O152),Volsmile,2),0)),$CG152,$CH152,($A152-DateToday)+15,1,0)),O152-$H152),0)))</f>
        <v> </v>
      </c>
      <c r="Y152" s="316" t="str">
        <f aca="false">IF($A152="N/A"," ",IF(Pricetype=2,MAX(P152-$H152,0),IF(P152&lt;&gt;0,IF(Pricetype=1,(xSPRDOPT(P152,$E152,$CI152,0,($CD152+IF(Smile=TRUE(),VLOOKUP(MAX(-5,$H152-P152),Volsmile,2),0)),$CG152,$CH152,($A152-DateToday)+15,1,0)),P152-$H152),0)))</f>
        <v> </v>
      </c>
      <c r="Z152" s="317" t="str">
        <f aca="false">IF($A152="N/A"," ",(IF(Pricetype=2,IF((Q152-$H152)&lt;=0,0,(Q152-$H152)),IF(Q152&lt;&gt;0,(Q152-$H152),0))))</f>
        <v> </v>
      </c>
      <c r="AA152" s="318" t="str">
        <f aca="false">IF($A152="N/A"," ",IF(VLOOKUP(MONTH(A152),ManualTable,2)=1,(IF(0&lt;&gt;R152,IF(Pricetype=1,(xSPRDOPT(I152,$E152,$CI152,0,($CD152+IF(Smile=TRUE(),VLOOKUP(MAX(-5,$H152-I152),Volsmile,2),0)),$CG152,$CH152,($A152-DateToday)+15,1,1))*(8*$HD152),8*$HD152),0)),0))</f>
        <v> </v>
      </c>
      <c r="AB152" s="318" t="str">
        <f aca="false">IF($A152="N/A"," ",IF(VLOOKUP(MONTH(A152),ManualTable,3)=1,(IF(S152&lt;&gt;0,IF(Pricetype=1,(xSPRDOPT(J152,$E152,$CI152,0,($CD152+IF(Smile=TRUE(),VLOOKUP(MAX(-5,$H152-J152),Volsmile,2),0)),$CG152,$CH152,($A152-DateToday)+15,1,1))*(8*$HD152),8*$HD152),0)),0))</f>
        <v> </v>
      </c>
      <c r="AC152" s="318" t="str">
        <f aca="false">IF($A152="N/A"," ",IF(VLOOKUP(MONTH(A152),ManualTable,4)=1,(IF(T152&lt;&gt;0,(8*$HD152),0)),0))</f>
        <v> </v>
      </c>
      <c r="AD152" s="318" t="str">
        <f aca="false">IF($A152="N/A"," ",IF(VLOOKUP(MONTH(A152),ManualTable,5)=1,(IF(U152&lt;&gt;0,IF(Pricetype=1,(xSPRDOPT(L152,$E152,$CI152,0,($CD152+IF(Smile=TRUE(),VLOOKUP(MAX(-5,$H152-L152),Volsmile,2),0)),$CG152,$CH152,($A152-DateToday)+15,1,1))*(8*$HE152),8*$HE152),0)),0))</f>
        <v> </v>
      </c>
      <c r="AE152" s="318" t="str">
        <f aca="false">IF($A152="N/A"," ",IF(VLOOKUP(MONTH(A152),ManualTable,6)=1,(IF(V152&lt;&gt;0,IF(Pricetype=1,(xSPRDOPT(M152,$E152,$CI152,0,($CD152+IF(Smile=TRUE(),VLOOKUP(MAX(-5,$H152-M152),Volsmile,2),0)),$CG152,$CH152,($A152-DateToday)+15,1,1))*(8*$HE152),8*$HE152),0)),0))</f>
        <v> </v>
      </c>
      <c r="AF152" s="318" t="str">
        <f aca="false">IF($A152="N/A"," ",IF(VLOOKUP(MONTH(A152),ManualTable,7)=1,(IF(W152&lt;&gt;0,(8*$HE152),0)),0))</f>
        <v> </v>
      </c>
      <c r="AG152" s="318" t="str">
        <f aca="false">IF($A152="N/A"," ",IF(VLOOKUP(MONTH(A152),ManualTable,8)=1,(IF(X152&lt;&gt;0,IF(Pricetype=1,(xSPRDOPT(O152,$E152,$CI152,0,($CD152+IF(Smile=TRUE(),VLOOKUP(MAX(-5,$H152-O152),Volsmile,2),0)),$CG152,$CH152,($A152-DateToday)+15,1,1))*(8*$HF152),8*$HF152),0)),0))</f>
        <v> </v>
      </c>
      <c r="AH152" s="318" t="str">
        <f aca="false">IF($A152="N/A"," ",IF(VLOOKUP(MONTH(A152),ManualTable,9)=1,(IF(Y152&lt;&gt;0,IF(Pricetype=1,(xSPRDOPT(P152,$E152,$CI152,0,($CD152+IF(Smile=TRUE(),VLOOKUP(MAX(-5,$H152-P152),Volsmile,2),0)),$CG152,$CH152,($A152-DateToday)+15,1,1))*(8*$HF152),8*$HF152),0)),0))</f>
        <v> </v>
      </c>
      <c r="AI152" s="318" t="str">
        <f aca="false">IF($A152="N/A"," ",IF(VLOOKUP(MONTH(A152),ManualTable,10)=1,(IF(Z152&lt;&gt;0,(8*($HF152)),0)),0))</f>
        <v> </v>
      </c>
      <c r="AJ152" s="344" t="str">
        <f aca="false">IF($A152="N/A"," ",RANK(R152,$R$148:$Z$159))</f>
        <v> </v>
      </c>
      <c r="AK152" s="321" t="str">
        <f aca="false">IF($A152="N/A"," ",RANK(S152,$R$148:$Z$159))</f>
        <v> </v>
      </c>
      <c r="AL152" s="321" t="str">
        <f aca="false">IF($A152="N/A"," ",RANK(T152,$R$148:$Z$159))</f>
        <v> </v>
      </c>
      <c r="AM152" s="321" t="str">
        <f aca="false">IF($A152="N/A"," ",RANK(U152,$R$148:$Z$159))</f>
        <v> </v>
      </c>
      <c r="AN152" s="321" t="str">
        <f aca="false">IF($A152="N/A"," ",RANK(V152,$R$148:$Z$159))</f>
        <v> </v>
      </c>
      <c r="AO152" s="321" t="str">
        <f aca="false">IF($A152="N/A"," ",RANK(W152,$R$148:$Z$159))</f>
        <v> </v>
      </c>
      <c r="AP152" s="321" t="str">
        <f aca="false">IF($A152="N/A"," ",RANK(X152,$R$148:$Z$159))</f>
        <v> </v>
      </c>
      <c r="AQ152" s="321" t="str">
        <f aca="false">IF($A152="N/A"," ",RANK(Y152,$R$148:$Z$159))</f>
        <v> </v>
      </c>
      <c r="AR152" s="345" t="str">
        <f aca="false">IF($A152="N/A"," ",RANK(Z152,$R$148:$Z$159))</f>
        <v> </v>
      </c>
      <c r="AS152" s="323" t="str">
        <f aca="false">IF($A152="N/A"," ",IF(AJ152&lt;=$AR$2,AA152,0))</f>
        <v> </v>
      </c>
      <c r="AT152" s="325" t="str">
        <f aca="false">IF($A152="N/A"," ",IF(AK152&lt;=$AR$2,AB152,0))</f>
        <v> </v>
      </c>
      <c r="AU152" s="325" t="str">
        <f aca="false">IF($A152="N/A"," ",IF(AL152&lt;=$AR$2,AC152,0))</f>
        <v> </v>
      </c>
      <c r="AV152" s="325" t="str">
        <f aca="false">IF($A152="N/A"," ",IF(AM152&lt;=$AR$2,AD152,0))</f>
        <v> </v>
      </c>
      <c r="AW152" s="325" t="str">
        <f aca="false">IF($A152="N/A"," ",IF(AN152&lt;=$AR$2,AE152,0))</f>
        <v> </v>
      </c>
      <c r="AX152" s="325" t="str">
        <f aca="false">IF($A152="N/A"," ",IF(AO152&lt;=$AR$2,AF152,0))</f>
        <v> </v>
      </c>
      <c r="AY152" s="325" t="str">
        <f aca="false">IF($A152="N/A"," ",IF(AP152&lt;=$AR$2,AG152,0))</f>
        <v> </v>
      </c>
      <c r="AZ152" s="325" t="str">
        <f aca="false">IF($A152="N/A"," ",IF(AQ152&lt;=$AR$2,AH152,0))</f>
        <v> </v>
      </c>
      <c r="BA152" s="325" t="str">
        <f aca="false">IF($A152="N/A"," ",IF(AR152&lt;=$AR$2,AI152,0))</f>
        <v> </v>
      </c>
      <c r="BB152" s="345"/>
      <c r="BC152" s="326" t="str">
        <f aca="false">IF($A152="N/A"," ",IF(AND(AJ152=$AR$2+1,AS152=0),MIN($BB$159,AA152),0))</f>
        <v> </v>
      </c>
      <c r="BD152" s="346" t="str">
        <f aca="false">IF($A152="N/A"," ",IF(AND(AK152=$AR$2+1,AT152=0),MIN($BB$159,AB152),0))</f>
        <v> </v>
      </c>
      <c r="BE152" s="346" t="str">
        <f aca="false">IF($A152="N/A"," ",IF(AND(AL152=$AR$2+1,AU152=0),MIN($BB$159,AC152),0))</f>
        <v> </v>
      </c>
      <c r="BF152" s="346" t="str">
        <f aca="false">IF($A152="N/A"," ",IF(AND(AM152=$AR$2+1,AV152=0),MIN($BB$159,AD152),0))</f>
        <v> </v>
      </c>
      <c r="BG152" s="346" t="str">
        <f aca="false">IF($A152="N/A"," ",IF(AND(AN152=$AR$2+1,AW152=0),MIN($BB$159,AE152),0))</f>
        <v> </v>
      </c>
      <c r="BH152" s="346" t="str">
        <f aca="false">IF($A152="N/A"," ",IF(AND(AO152=$AR$2+1,AX152=0),MIN($BB$159,AF152),0))</f>
        <v> </v>
      </c>
      <c r="BI152" s="346" t="str">
        <f aca="false">IF($A152="N/A"," ",IF(AND(AP152=$AR$2+1,AY152=0),MIN($BB$159,AG152),0))</f>
        <v> </v>
      </c>
      <c r="BJ152" s="346" t="str">
        <f aca="false">IF($A152="N/A"," ",IF(AND(AQ152=$AR$2+1,AZ152=0),MIN($BB$159,AH152),0))</f>
        <v> </v>
      </c>
      <c r="BK152" s="346" t="str">
        <f aca="false">IF($A152="N/A"," ",IF(AND(AR152=$AR$2+1,BA152=0),MIN($BB$159,AI152),0))</f>
        <v> </v>
      </c>
      <c r="BL152" s="345"/>
      <c r="BM152" s="329" t="str">
        <f aca="false">IF($A152="N/A"," ",(IF(MONTH(A152)&gt;=4,IF(MONTH(A152)&lt;=10,Inputs!$F$13-Inputs!$G$13,Inputs!$F$14-Inputs!$G$14),Inputs!$F$14-Inputs!$G$14))*$CK152*Availability)</f>
        <v> </v>
      </c>
      <c r="BN152" s="330" t="str">
        <f aca="false">IF($A152="N/A"," ",(IF(AS152&gt;0,($BM152*(8*($HD152))*R152),0)+IF(BC152&gt;0,($BM152*((BC152/AA152)*8*$HD152)*R152),0)))</f>
        <v> </v>
      </c>
      <c r="BO152" s="330" t="str">
        <f aca="false">IF($A152="N/A"," ",(IF(AT152&gt;0,($BM152*(8*($HD152))*S152),0)+IF(BD152&gt;0,($BM152*((BD152/AB152)*8*$HD152)*S152),0)))</f>
        <v> </v>
      </c>
      <c r="BP152" s="330" t="str">
        <f aca="false">IF($A152="N/A"," ",(IF(AU152&gt;0,($BM152*(8*($HD152))*T152),0)+IF(BE152&gt;0,($BM152*((BE152))*T152),0)))</f>
        <v> </v>
      </c>
      <c r="BQ152" s="330" t="str">
        <f aca="false">IF($A152="N/A"," ",(IF(AV152&gt;0,($BM152*(8*($HE152))*U152),0)+IF(BF152&gt;0,($BM152*((BF152/AD152)*8*$HE152)*U152),0)))</f>
        <v> </v>
      </c>
      <c r="BR152" s="330" t="str">
        <f aca="false">IF($A152="N/A"," ",(IF(AW152&gt;0,($BM152*(8*($HE152))*V152),0)+IF(BG152&gt;0,($BM152*((BG152/AE152)*8*$HE152)*V152),0)))</f>
        <v> </v>
      </c>
      <c r="BS152" s="330" t="str">
        <f aca="false">IF($A152="N/A"," ",(IF(AX152&gt;0,($BM152*(8*($HE152))*W152),0)+IF(BH152&gt;0,($BM152*((BH152))*W152),0)))</f>
        <v> </v>
      </c>
      <c r="BT152" s="330" t="str">
        <f aca="false">IF($A152="N/A"," ",(IF(AY152&gt;0,($BM152*(8*($HF152))*X152),0)+IF(BI152&gt;0,($BM152*((BI152/AG152)*8*$HF152)*X152),0)))</f>
        <v> </v>
      </c>
      <c r="BU152" s="330" t="str">
        <f aca="false">IF($A152="N/A"," ",(IF(AZ152&gt;0,($BM152*(8*($HF152))*Y152),0)+IF(BJ152&gt;0,($BM152*((BJ152/AH152)*8*$HF152)*Y152),0)))</f>
        <v> </v>
      </c>
      <c r="BV152" s="330" t="str">
        <f aca="false">IF($A152="N/A"," ",(IF(BA152&gt;0,($BM152*(8*($HF152))*Z152),0)+IF(BK152&gt;0,($BM152*((BK152))*Z152),0)))</f>
        <v> </v>
      </c>
      <c r="BW152" s="330" t="str">
        <f aca="false">IF($A152="N/A"," ",SUM(BN152:BV152))</f>
        <v> </v>
      </c>
      <c r="BX152" s="331" t="str">
        <f aca="false">IF($A152="N/A"," ",(H152*(SUM(AS152:BA152)+SUM(BC152:BK152))*BM152))</f>
        <v> </v>
      </c>
      <c r="BY152" s="332" t="str">
        <f aca="false">IF($A152="N/A"," ",((C152*D152)*(SUM($AS152:$BA152)+SUM($BC152:$BK152))*$BM152))</f>
        <v> </v>
      </c>
      <c r="BZ152" s="332" t="str">
        <f aca="false">IF($A152="N/A"," ",(F152*(SUM($AS152:$BA152)+SUM($BC152:$BK152))*$BM152))</f>
        <v> </v>
      </c>
      <c r="CA152" s="333" t="str">
        <f aca="false">IF($A152="N/A"," ",(G152*(SUM($AS152:$BA152)+SUM($BC152:$BK152))*$BM152))</f>
        <v> </v>
      </c>
      <c r="CB152" s="334" t="str">
        <f aca="false">IF(A152="N/A"," ",(VLOOKUP(A152,PowerVolTable,(IF(BMO=2,7,IF(BMO=1,6,8))),FALSE())))</f>
        <v> </v>
      </c>
      <c r="CC152" s="334" t="str">
        <f aca="false">IF(A152="N/A"," ",(VLOOKUP(A152,IntraPowerVol,(IF(BMO=2,3,IF(BMO=1,2,4))),FALSE())*VLOOKUP(MONTH($A152),Volscale,2)))</f>
        <v> </v>
      </c>
      <c r="CD152" s="335" t="str">
        <f aca="false">IF($A152="N/A"," ",(IF(DateToday&gt;$A152,$CC152,((($CB152^2)*((($A152-1)-DateToday)/((EOMONTH($A152,0)+1)-DateToday-15)))+((($CC152)^2)*((15)/((EOMONTH($A152,0)+1)-DateToday-15))))^0.5)))</f>
        <v> </v>
      </c>
      <c r="CE152" s="334" t="str">
        <f aca="false">IF($A152="N/A"," ",(VLOOKUP($A152,GasVolTable,(IF(BMO=2,6,IF(BMO=1,7,5))),FALSE())))</f>
        <v> </v>
      </c>
      <c r="CF152" s="334" t="str">
        <f aca="false">IF($A152="N/A"," ",(VLOOKUP($A152,OmicronVol,(IF(BMO=2,3,IF(BMO=1,4,2))),FALSE())))</f>
        <v> </v>
      </c>
      <c r="CG152" s="335" t="str">
        <f aca="false">IF($A152="N/A"," ",(IF(DateToday&gt;$A152,$CF152,((($CE152^2)*((($A152-1)-DateToday)/((EOMONTH($A152,0)+1)-DateToday-15)))+((($CF152)^2)*((15)/((EOMONTH($A152,0)+1)-DateToday-15))))^0.5)))</f>
        <v> </v>
      </c>
      <c r="CH152" s="334" t="str">
        <f aca="false">IF($A152="N/A"," ",VLOOKUP($A152,CorrelationTable,2,FALSE()))</f>
        <v> </v>
      </c>
      <c r="CI152" s="336" t="str">
        <f aca="false">IF($A152="N/A"," ",F152+G152+(D152*('Pricing Inputs'!T185)))</f>
        <v> </v>
      </c>
      <c r="CJ152" s="334" t="str">
        <f aca="false">IF($A152="N/A"," ",IF(PV=1,0,'Pricing Inputs'!U185))</f>
        <v> </v>
      </c>
      <c r="CK152" s="337" t="str">
        <f aca="false">IF($A152="N/A"," ",(1+CJ152/2)^(-2*((EOMONTH(A152,0)+20)-DateToday)/365.25))</f>
        <v> </v>
      </c>
      <c r="CL152" s="338" t="str">
        <f aca="false">IF(A152="N/A"," ",IF(CC=2,(VLOOKUP(MONTH($A152),Hrtable,3))/1000,0))</f>
        <v> </v>
      </c>
      <c r="CM152" s="339" t="str">
        <f aca="false">IF(A152="N/A"," ",IF(CC=2,(CL152*C152)+F152,0))</f>
        <v> </v>
      </c>
      <c r="CN152" s="340" t="str">
        <f aca="false">IF($A152="N/A"," ",IF(CC=2,(VLOOKUP(A152,ScaledPrice,(IF(AND(Dayrun&gt;=1,Dayrun&lt;=6),2,4)))-((IF(R152&lt;&gt;0,$D152,$CL152)*$C152)+$F152+$G152)),0))</f>
        <v> </v>
      </c>
      <c r="CO152" s="340" t="str">
        <f aca="false">IF($A152="N/A"," ",IF(CC=2,(IF(AND(Dayrun&gt;=1,Dayrun&lt;=6),I152,(VLOOKUP(A152,ScaledPrice,2))*(2-(VLOOKUP(A152,ScaledPrice,3))))-((IF(S152&lt;&gt;0,$D152,$CL152)*$C152)+$F152+$G152)),0))</f>
        <v> </v>
      </c>
      <c r="CP152" s="340" t="str">
        <f aca="false">IF(A152="N/A"," ",IF(CC=2,(VLOOKUP(A152,ScaledPrice,9)-((IF(T152&lt;&gt;0,$D152,$CL152)*$C152)+$F152+$G152)),0))</f>
        <v> </v>
      </c>
      <c r="CQ152" s="340" t="str">
        <f aca="false">IF(A152="N/A"," ",IF(CC=2,(IF(OR(Dayrun=2,Dayrun=3,Dayrun=5,Dayrun=6,Dayrun=8,Dayrun=9),VLOOKUP(A152,ScaledPrice,IF(AND(Dayrun&gt;=2,Dayrun&lt;=6),5,6)),0)-((IF(U152&lt;&gt;0,$D152,$CL152)*$C152)+$F152+$G152)),0))</f>
        <v> </v>
      </c>
      <c r="CR152" s="340" t="str">
        <f aca="false">IF(A152="N/A"," ",IF(CC=2,(IF(OR(Dayrun=2,Dayrun=3,Dayrun=5,Dayrun=6,Dayrun=8,Dayrun=9),IF(AND(Dayrun&gt;=2,Dayrun&lt;=6),L152,(VLOOKUP(A152,ScaledPrice,5))*(2-(VLOOKUP(A152,ScaledPrice,3)))),0)-((IF(V152&lt;&gt;0,$D152,$CL152)*$C152)+$F152+$G152)),0))</f>
        <v> </v>
      </c>
      <c r="CS152" s="340" t="str">
        <f aca="false">IF(A152="N/A"," ",IF(CC=2,(VLOOKUP(A152,ScaledPrice,9)-((IF(W152&lt;&gt;0,$D152,$CL152)*$C152)+$F152+$G152)),0))</f>
        <v> </v>
      </c>
      <c r="CT152" s="340" t="str">
        <f aca="false">IF(A152="N/A"," ",IF(CC=2,(IF(OR(Dayrun=3,Dayrun=6,Dayrun=9),(VLOOKUP(A152,ScaledPrice,IF(AND(Dayrun&gt;=3,Dayrun&lt;=6),7,8))),0)-((IF(X152&lt;&gt;0,$D152,$CL152)*$C152)+$F152+$G152)),0))</f>
        <v> </v>
      </c>
      <c r="CU152" s="340" t="str">
        <f aca="false">IF(A152="N/A"," ",IF(CC=2,(IF(OR(Dayrun=3,Dayrun=6,Dayrun=9),IF(AND(Dayrun&gt;=3,Dayrun&lt;=6),O152,(VLOOKUP(A152,ScaledPrice,7))*(2-(VLOOKUP(A152,ScaledPrice,3)))),0)-((IF(Y152&lt;&gt;0,$D152,$CL152)*$C152)+$F152+$G152)),0))</f>
        <v> </v>
      </c>
      <c r="CV152" s="340" t="str">
        <f aca="false">IF(A152="N/A"," ",IF(CC=2,(VLOOKUP(A152,ScaledPrice,9)-((IF(Z152&lt;&gt;0,$D152,$CL152)*$C152)+$F152+$G152)),0))</f>
        <v> </v>
      </c>
      <c r="CW152" s="318" t="str">
        <f aca="false">IF($A152="N/A"," ",IF(0&lt;&gt;CN152,IF(CC=2,8*$HD152,0),0))</f>
        <v> </v>
      </c>
      <c r="CX152" s="318" t="str">
        <f aca="false">IF($A152="N/A"," ",IF(0&lt;&gt;CO152,IF(CC=2,8*$HD152,0),0))</f>
        <v> </v>
      </c>
      <c r="CY152" s="318" t="str">
        <f aca="false">IF($A152="N/A"," ",IF(0&lt;&gt;CP152,IF(CC=2,8*$HD152,0),0))</f>
        <v> </v>
      </c>
      <c r="CZ152" s="318" t="str">
        <f aca="false">IF($A152="N/A"," ",IF(0&lt;&gt;CQ152,IF(CC=2,8*$HE152,0),0))</f>
        <v> </v>
      </c>
      <c r="DA152" s="318" t="str">
        <f aca="false">IF($A152="N/A"," ",IF(0&lt;&gt;CR152,IF(CC=2,8*$HE152,0),0))</f>
        <v> </v>
      </c>
      <c r="DB152" s="318" t="str">
        <f aca="false">IF($A152="N/A"," ",IF(0&lt;&gt;CS152,IF(CC=2,8*$HE152,0),0))</f>
        <v> </v>
      </c>
      <c r="DC152" s="318" t="str">
        <f aca="false">IF($A152="N/A"," ",IF(0&lt;&gt;CT152,IF(CC=2,8*$HF152,0),0))</f>
        <v> </v>
      </c>
      <c r="DD152" s="318" t="str">
        <f aca="false">IF($A152="N/A"," ",IF(0&lt;&gt;CU152,IF(CC=2,8*$HF152,0),0))</f>
        <v> </v>
      </c>
      <c r="DE152" s="318" t="str">
        <f aca="false">IF($A152="N/A"," ",IF(0&lt;&gt;CV152,IF(CC=2,8*$HF152,0),0))</f>
        <v> </v>
      </c>
      <c r="DF152" s="341" t="str">
        <f aca="false">IF($A152="N/A"," ",IF(CC=2,(IF(MONTH(A152)&gt;=4,IF(MONTH(A152)&lt;=10,Inputs!$G$13,Inputs!$G$14),Inputs!$G$14))*$CK152,0))</f>
        <v> </v>
      </c>
      <c r="DG152" s="342" t="str">
        <f aca="false">IF($A152="N/A"," ",IF(CC=2,$DF152*CW152*CN152,0))</f>
        <v> </v>
      </c>
      <c r="DH152" s="342" t="str">
        <f aca="false">IF($A152="N/A"," ",IF(CC=2,$DF152*CX152*CO152,0))</f>
        <v> </v>
      </c>
      <c r="DI152" s="342" t="str">
        <f aca="false">IF($A152="N/A"," ",IF(CC=2,$DF152*CY152*CP152,0))</f>
        <v> </v>
      </c>
      <c r="DJ152" s="342" t="str">
        <f aca="false">IF($A152="N/A"," ",IF(CC=2,$DF152*CZ152*CQ152,0))</f>
        <v> </v>
      </c>
      <c r="DK152" s="342" t="str">
        <f aca="false">IF($A152="N/A"," ",IF(CC=2,$DF152*DA152*CR152,0))</f>
        <v> </v>
      </c>
      <c r="DL152" s="342" t="str">
        <f aca="false">IF($A152="N/A"," ",IF(CC=2,$DF152*DB152*CS152,0))</f>
        <v> </v>
      </c>
      <c r="DM152" s="342" t="str">
        <f aca="false">IF($A152="N/A"," ",IF(CC=2,$DF152*DC152*CT152,0))</f>
        <v> </v>
      </c>
      <c r="DN152" s="342" t="str">
        <f aca="false">IF($A152="N/A"," ",IF(CC=2,$DF152*DD152*CU152,0))</f>
        <v> </v>
      </c>
      <c r="DO152" s="342" t="str">
        <f aca="false">IF($A152="N/A"," ",IF(CC=2,$DF152*DE152*CV152,0))</f>
        <v> </v>
      </c>
      <c r="DP152" s="343" t="str">
        <f aca="false">IF($A152="N/A"," ",IF(CC=2,SUM(DG152:DO152),0))</f>
        <v> </v>
      </c>
      <c r="DQ152" s="0" t="str">
        <f aca="false">IF(A152="N/A"," ",Perstart)</f>
        <v> </v>
      </c>
      <c r="HD152" s="0" t="str">
        <f aca="false">IF($A152="N/A"," ",VLOOKUP($A152,NumberofDaysTable,2))</f>
        <v> </v>
      </c>
      <c r="HE152" s="0" t="str">
        <f aca="false">IF($A152="N/A"," ",VLOOKUP($A152,NumberofDaysTable,3))</f>
        <v> </v>
      </c>
      <c r="HF152" s="0" t="str">
        <f aca="false">IF($A152="N/A"," ",VLOOKUP($A152,NumberofDaysTable,4))</f>
        <v> </v>
      </c>
    </row>
    <row r="153" customFormat="false" ht="12.75" hidden="false" customHeight="false" outlineLevel="0" collapsed="false">
      <c r="A153" s="308" t="str">
        <f aca="false">IF(A152="N/A","N/A",IF(EDATE(A152,1)&gt;Inputs!$K$3,"N/A",EDATE(A152,1)))</f>
        <v>N/A</v>
      </c>
      <c r="B153" s="309" t="str">
        <f aca="false">IF(A153="N/A"," ",YEAR(A153))</f>
        <v> </v>
      </c>
      <c r="C153" s="310" t="str">
        <f aca="false">IF(A153="N/A"," ",VLOOKUP(A153,ScaledPrice,10))</f>
        <v> </v>
      </c>
      <c r="D153" s="311" t="str">
        <f aca="false">IF(A153="N/A"," ",(VLOOKUP(MONTH($A153),Hrtable,2))/1000)</f>
        <v> </v>
      </c>
      <c r="E153" s="312" t="str">
        <f aca="false">IF($A153="N/A"," ",(C153-'Pricing Inputs'!T186)*D153)</f>
        <v> </v>
      </c>
      <c r="F153" s="313" t="str">
        <f aca="false">IF(A153="N/A"," ",$F141*(1+VOMesc))</f>
        <v> </v>
      </c>
      <c r="G153" s="313" t="str">
        <f aca="false">IF(A153="N/A"," ",Perstart/IF(AND(Dayrun&gt;=4,Dayrun&lt;=6),16,IF(AND(Dayrun&gt;=7,Dayrun&lt;=9),8,24))/(BM153/CK153))</f>
        <v> </v>
      </c>
      <c r="H153" s="314" t="str">
        <f aca="false">IF(A153="N/A"," ",(C153*D153)+F153+G153)</f>
        <v> </v>
      </c>
      <c r="I153" s="315" t="str">
        <f aca="false">VLOOKUP(A153,ScaledPrice,(IF(AND(Dayrun&gt;=1,Dayrun&lt;=6),2,4)))</f>
        <v> </v>
      </c>
      <c r="J153" s="315" t="str">
        <f aca="false">IF(A153="N/A"," ",IF(AND(Dayrun&gt;=1,Dayrun&lt;=6),I153,(VLOOKUP(A153,ScaledPrice,2))*(2-(VLOOKUP(A153,ScaledPrice,3)))))</f>
        <v> </v>
      </c>
      <c r="K153" s="315" t="str">
        <f aca="false">IF(A153="N/A"," ",IF(AND(Dayrun&gt;=1,Dayrun&lt;=3),VLOOKUP(A153,ScaledPrice,9),0))</f>
        <v> </v>
      </c>
      <c r="L153" s="315" t="str">
        <f aca="false">IF(A153="N/A"," ",IF(OR(Dayrun=2,Dayrun=3,Dayrun=5,Dayrun=6,Dayrun=8,Dayrun=9),VLOOKUP(A153,ScaledPrice,IF(AND(Dayrun&gt;=2,Dayrun&lt;=6),5,6)),0))</f>
        <v> </v>
      </c>
      <c r="M153" s="315" t="str">
        <f aca="false">IF(A153="N/A"," ",IF(OR(Dayrun=2,Dayrun=3,Dayrun=5,Dayrun=6,Dayrun=8,Dayrun=9),IF(AND(Dayrun&gt;=2,Dayrun&lt;=6),L153,(VLOOKUP(A153,ScaledPrice,5))*(2-(VLOOKUP(A153,ScaledPrice,3)))),0))</f>
        <v> </v>
      </c>
      <c r="N153" s="315" t="str">
        <f aca="false">IF(A153="N/A"," ",IF(AND(Dayrun&gt;1,Dayrun&lt;=3),VLOOKUP(A153,ScaledPrice,9),0))</f>
        <v> </v>
      </c>
      <c r="O153" s="315" t="str">
        <f aca="false">IF(A153="N/A"," ",IF(OR(Dayrun=3,Dayrun=6,Dayrun=9),(VLOOKUP(A153,ScaledPrice,IF(AND(Dayrun&gt;=3,Dayrun&lt;=6),7,8))),0))</f>
        <v> </v>
      </c>
      <c r="P153" s="315" t="str">
        <f aca="false">IF(A153="N/A"," ",IF(OR(Dayrun=3,Dayrun=6,Dayrun=9),IF(AND(Dayrun&gt;=3,Dayrun&lt;=6),O153,(VLOOKUP(A153,ScaledPrice,7))*(2-(VLOOKUP(A153,ScaledPrice,3)))),0))</f>
        <v> </v>
      </c>
      <c r="Q153" s="315" t="str">
        <f aca="false">IF(A153="N/A"," ",IF(AND(Dayrun&gt;2,Dayrun&lt;=3),VLOOKUP(A153,ScaledPrice,9),0))</f>
        <v> </v>
      </c>
      <c r="R153" s="316" t="str">
        <f aca="false">IF($A153="N/A"," ",IF(Pricetype=2,MAX(I153-$H153,0),IF(Pricetype=1,(xSPRDOPT(I153,$E153,$CI153,0,($CD153+IF(Smile=TRUE(),VLOOKUP(MAX(-5,$H153-I153),Volsmile,2),0)),$CG153,$CH153,($A153-DateToday)+15,1,0)),I153-$H153)))</f>
        <v> </v>
      </c>
      <c r="S153" s="316" t="str">
        <f aca="false">IF($A153="N/A"," ",IF(Pricetype=2,MAX(J153-$H153,0),IF(Pricetype=1,(xSPRDOPT(J153,$E153,$CI153,0,($CD153+IF(Smile=TRUE(),VLOOKUP(MAX(-5,$H153-J153),Volsmile,2),0)),$CG153,$CH153,($A153-DateToday)+15,1,0)),J153-$H153)))</f>
        <v> </v>
      </c>
      <c r="T153" s="317" t="str">
        <f aca="false">IF($A153="N/A"," ",(IF(Pricetype=2,IF((K153-$H153)&lt;=0,0,(K153-$H153)),IF(K153&lt;&gt;0,(K153-$H153),0))))</f>
        <v> </v>
      </c>
      <c r="U153" s="316" t="str">
        <f aca="false">IF($A153="N/A"," ",IF(Pricetype=2,MAX(L153-$H153,0),IF(L153&lt;&gt;0,IF(Pricetype=1,(xSPRDOPT(L153,$E153,$CI153,0,($CD153+IF(Smile=TRUE(),VLOOKUP(MAX(-5,$H153-L153),Volsmile,2),0)),$CG153,$CH153,($A153-DateToday)+15,1,0)),L153-$H153),0)))</f>
        <v> </v>
      </c>
      <c r="V153" s="316" t="str">
        <f aca="false">IF($A153="N/A"," ",IF(Pricetype=2,MAX(M153-$H153,0),IF(M153&lt;&gt;0,IF(Pricetype=1,(xSPRDOPT(M153,$E153,$CI153,0,($CD153+IF(Smile=TRUE(),VLOOKUP(MAX(-5,$H153-M153),Volsmile,2),0)),$CG153,$CH153,($A153-DateToday)+15,1,0)),M153-$H153),0)))</f>
        <v> </v>
      </c>
      <c r="W153" s="317" t="str">
        <f aca="false">IF($A153="N/A"," ",(IF(Pricetype=2,IF((N153-$H153)&lt;=0,0,(N153-$H153)),IF(N153&lt;&gt;0,(N153-$H153),0))))</f>
        <v> </v>
      </c>
      <c r="X153" s="316" t="str">
        <f aca="false">IF($A153="N/A"," ",IF(Pricetype=2,MAX(O153-$H153,0),IF(O153&lt;&gt;0,IF(Pricetype=1,(xSPRDOPT(O153,$E153,$CI153,0,($CD153+IF(Smile=TRUE(),VLOOKUP(MAX(-5,$H153-O153),Volsmile,2),0)),$CG153,$CH153,($A153-DateToday)+15,1,0)),O153-$H153),0)))</f>
        <v> </v>
      </c>
      <c r="Y153" s="316" t="str">
        <f aca="false">IF($A153="N/A"," ",IF(Pricetype=2,MAX(P153-$H153,0),IF(P153&lt;&gt;0,IF(Pricetype=1,(xSPRDOPT(P153,$E153,$CI153,0,($CD153+IF(Smile=TRUE(),VLOOKUP(MAX(-5,$H153-P153),Volsmile,2),0)),$CG153,$CH153,($A153-DateToday)+15,1,0)),P153-$H153),0)))</f>
        <v> </v>
      </c>
      <c r="Z153" s="317" t="str">
        <f aca="false">IF($A153="N/A"," ",(IF(Pricetype=2,IF((Q153-$H153)&lt;=0,0,(Q153-$H153)),IF(Q153&lt;&gt;0,(Q153-$H153),0))))</f>
        <v> </v>
      </c>
      <c r="AA153" s="318" t="str">
        <f aca="false">IF($A153="N/A"," ",IF(VLOOKUP(MONTH(A153),ManualTable,2)=1,(IF(0&lt;&gt;R153,IF(Pricetype=1,(xSPRDOPT(I153,$E153,$CI153,0,($CD153+IF(Smile=TRUE(),VLOOKUP(MAX(-5,$H153-I153),Volsmile,2),0)),$CG153,$CH153,($A153-DateToday)+15,1,1))*(8*$HD153),8*$HD153),0)),0))</f>
        <v> </v>
      </c>
      <c r="AB153" s="318" t="str">
        <f aca="false">IF($A153="N/A"," ",IF(VLOOKUP(MONTH(A153),ManualTable,3)=1,(IF(S153&lt;&gt;0,IF(Pricetype=1,(xSPRDOPT(J153,$E153,$CI153,0,($CD153+IF(Smile=TRUE(),VLOOKUP(MAX(-5,$H153-J153),Volsmile,2),0)),$CG153,$CH153,($A153-DateToday)+15,1,1))*(8*$HD153),8*$HD153),0)),0))</f>
        <v> </v>
      </c>
      <c r="AC153" s="318" t="str">
        <f aca="false">IF($A153="N/A"," ",IF(VLOOKUP(MONTH(A153),ManualTable,4)=1,(IF(T153&lt;&gt;0,(8*$HD153),0)),0))</f>
        <v> </v>
      </c>
      <c r="AD153" s="318" t="str">
        <f aca="false">IF($A153="N/A"," ",IF(VLOOKUP(MONTH(A153),ManualTable,5)=1,(IF(U153&lt;&gt;0,IF(Pricetype=1,(xSPRDOPT(L153,$E153,$CI153,0,($CD153+IF(Smile=TRUE(),VLOOKUP(MAX(-5,$H153-L153),Volsmile,2),0)),$CG153,$CH153,($A153-DateToday)+15,1,1))*(8*$HE153),8*$HE153),0)),0))</f>
        <v> </v>
      </c>
      <c r="AE153" s="318" t="str">
        <f aca="false">IF($A153="N/A"," ",IF(VLOOKUP(MONTH(A153),ManualTable,6)=1,(IF(V153&lt;&gt;0,IF(Pricetype=1,(xSPRDOPT(M153,$E153,$CI153,0,($CD153+IF(Smile=TRUE(),VLOOKUP(MAX(-5,$H153-M153),Volsmile,2),0)),$CG153,$CH153,($A153-DateToday)+15,1,1))*(8*$HE153),8*$HE153),0)),0))</f>
        <v> </v>
      </c>
      <c r="AF153" s="318" t="str">
        <f aca="false">IF($A153="N/A"," ",IF(VLOOKUP(MONTH(A153),ManualTable,7)=1,(IF(W153&lt;&gt;0,(8*$HE153),0)),0))</f>
        <v> </v>
      </c>
      <c r="AG153" s="318" t="str">
        <f aca="false">IF($A153="N/A"," ",IF(VLOOKUP(MONTH(A153),ManualTable,8)=1,(IF(X153&lt;&gt;0,IF(Pricetype=1,(xSPRDOPT(O153,$E153,$CI153,0,($CD153+IF(Smile=TRUE(),VLOOKUP(MAX(-5,$H153-O153),Volsmile,2),0)),$CG153,$CH153,($A153-DateToday)+15,1,1))*(8*$HF153),8*$HF153),0)),0))</f>
        <v> </v>
      </c>
      <c r="AH153" s="318" t="str">
        <f aca="false">IF($A153="N/A"," ",IF(VLOOKUP(MONTH(A153),ManualTable,9)=1,(IF(Y153&lt;&gt;0,IF(Pricetype=1,(xSPRDOPT(P153,$E153,$CI153,0,($CD153+IF(Smile=TRUE(),VLOOKUP(MAX(-5,$H153-P153),Volsmile,2),0)),$CG153,$CH153,($A153-DateToday)+15,1,1))*(8*$HF153),8*$HF153),0)),0))</f>
        <v> </v>
      </c>
      <c r="AI153" s="318" t="str">
        <f aca="false">IF($A153="N/A"," ",IF(VLOOKUP(MONTH(A153),ManualTable,10)=1,(IF(Z153&lt;&gt;0,(8*($HF153)),0)),0))</f>
        <v> </v>
      </c>
      <c r="AJ153" s="344" t="str">
        <f aca="false">IF($A153="N/A"," ",RANK(R153,$R$148:$Z$159))</f>
        <v> </v>
      </c>
      <c r="AK153" s="321" t="str">
        <f aca="false">IF($A153="N/A"," ",RANK(S153,$R$148:$Z$159))</f>
        <v> </v>
      </c>
      <c r="AL153" s="321" t="str">
        <f aca="false">IF($A153="N/A"," ",RANK(T153,$R$148:$Z$159))</f>
        <v> </v>
      </c>
      <c r="AM153" s="321" t="str">
        <f aca="false">IF($A153="N/A"," ",RANK(U153,$R$148:$Z$159))</f>
        <v> </v>
      </c>
      <c r="AN153" s="321" t="str">
        <f aca="false">IF($A153="N/A"," ",RANK(V153,$R$148:$Z$159))</f>
        <v> </v>
      </c>
      <c r="AO153" s="321" t="str">
        <f aca="false">IF($A153="N/A"," ",RANK(W153,$R$148:$Z$159))</f>
        <v> </v>
      </c>
      <c r="AP153" s="321" t="str">
        <f aca="false">IF($A153="N/A"," ",RANK(X153,$R$148:$Z$159))</f>
        <v> </v>
      </c>
      <c r="AQ153" s="321" t="str">
        <f aca="false">IF($A153="N/A"," ",RANK(Y153,$R$148:$Z$159))</f>
        <v> </v>
      </c>
      <c r="AR153" s="345" t="str">
        <f aca="false">IF($A153="N/A"," ",RANK(Z153,$R$148:$Z$159))</f>
        <v> </v>
      </c>
      <c r="AS153" s="323" t="str">
        <f aca="false">IF($A153="N/A"," ",IF(AJ153&lt;=$AR$2,AA153,0))</f>
        <v> </v>
      </c>
      <c r="AT153" s="325" t="str">
        <f aca="false">IF($A153="N/A"," ",IF(AK153&lt;=$AR$2,AB153,0))</f>
        <v> </v>
      </c>
      <c r="AU153" s="325" t="str">
        <f aca="false">IF($A153="N/A"," ",IF(AL153&lt;=$AR$2,AC153,0))</f>
        <v> </v>
      </c>
      <c r="AV153" s="325" t="str">
        <f aca="false">IF($A153="N/A"," ",IF(AM153&lt;=$AR$2,AD153,0))</f>
        <v> </v>
      </c>
      <c r="AW153" s="325" t="str">
        <f aca="false">IF($A153="N/A"," ",IF(AN153&lt;=$AR$2,AE153,0))</f>
        <v> </v>
      </c>
      <c r="AX153" s="325" t="str">
        <f aca="false">IF($A153="N/A"," ",IF(AO153&lt;=$AR$2,AF153,0))</f>
        <v> </v>
      </c>
      <c r="AY153" s="325" t="str">
        <f aca="false">IF($A153="N/A"," ",IF(AP153&lt;=$AR$2,AG153,0))</f>
        <v> </v>
      </c>
      <c r="AZ153" s="325" t="str">
        <f aca="false">IF($A153="N/A"," ",IF(AQ153&lt;=$AR$2,AH153,0))</f>
        <v> </v>
      </c>
      <c r="BA153" s="325" t="str">
        <f aca="false">IF($A153="N/A"," ",IF(AR153&lt;=$AR$2,AI153,0))</f>
        <v> </v>
      </c>
      <c r="BB153" s="345"/>
      <c r="BC153" s="326" t="str">
        <f aca="false">IF($A153="N/A"," ",IF(AND(AJ153=$AR$2+1,AS153=0),MIN($BB$159,AA153),0))</f>
        <v> </v>
      </c>
      <c r="BD153" s="346" t="str">
        <f aca="false">IF($A153="N/A"," ",IF(AND(AK153=$AR$2+1,AT153=0),MIN($BB$159,AB153),0))</f>
        <v> </v>
      </c>
      <c r="BE153" s="346" t="str">
        <f aca="false">IF($A153="N/A"," ",IF(AND(AL153=$AR$2+1,AU153=0),MIN($BB$159,AC153),0))</f>
        <v> </v>
      </c>
      <c r="BF153" s="346" t="str">
        <f aca="false">IF($A153="N/A"," ",IF(AND(AM153=$AR$2+1,AV153=0),MIN($BB$159,AD153),0))</f>
        <v> </v>
      </c>
      <c r="BG153" s="346" t="str">
        <f aca="false">IF($A153="N/A"," ",IF(AND(AN153=$AR$2+1,AW153=0),MIN($BB$159,AE153),0))</f>
        <v> </v>
      </c>
      <c r="BH153" s="346" t="str">
        <f aca="false">IF($A153="N/A"," ",IF(AND(AO153=$AR$2+1,AX153=0),MIN($BB$159,AF153),0))</f>
        <v> </v>
      </c>
      <c r="BI153" s="346" t="str">
        <f aca="false">IF($A153="N/A"," ",IF(AND(AP153=$AR$2+1,AY153=0),MIN($BB$159,AG153),0))</f>
        <v> </v>
      </c>
      <c r="BJ153" s="346" t="str">
        <f aca="false">IF($A153="N/A"," ",IF(AND(AQ153=$AR$2+1,AZ153=0),MIN($BB$159,AH153),0))</f>
        <v> </v>
      </c>
      <c r="BK153" s="346" t="str">
        <f aca="false">IF($A153="N/A"," ",IF(AND(AR153=$AR$2+1,BA153=0),MIN($BB$159,AI153),0))</f>
        <v> </v>
      </c>
      <c r="BL153" s="345"/>
      <c r="BM153" s="329" t="str">
        <f aca="false">IF($A153="N/A"," ",(IF(MONTH(A153)&gt;=4,IF(MONTH(A153)&lt;=10,Inputs!$F$13-Inputs!$G$13,Inputs!$F$14-Inputs!$G$14),Inputs!$F$14-Inputs!$G$14))*$CK153*Availability)</f>
        <v> </v>
      </c>
      <c r="BN153" s="330" t="str">
        <f aca="false">IF($A153="N/A"," ",(IF(AS153&gt;0,($BM153*(8*($HD153))*R153),0)+IF(BC153&gt;0,($BM153*((BC153/AA153)*8*$HD153)*R153),0)))</f>
        <v> </v>
      </c>
      <c r="BO153" s="330" t="str">
        <f aca="false">IF($A153="N/A"," ",(IF(AT153&gt;0,($BM153*(8*($HD153))*S153),0)+IF(BD153&gt;0,($BM153*((BD153/AB153)*8*$HD153)*S153),0)))</f>
        <v> </v>
      </c>
      <c r="BP153" s="330" t="str">
        <f aca="false">IF($A153="N/A"," ",(IF(AU153&gt;0,($BM153*(8*($HD153))*T153),0)+IF(BE153&gt;0,($BM153*((BE153))*T153),0)))</f>
        <v> </v>
      </c>
      <c r="BQ153" s="330" t="str">
        <f aca="false">IF($A153="N/A"," ",(IF(AV153&gt;0,($BM153*(8*($HE153))*U153),0)+IF(BF153&gt;0,($BM153*((BF153/AD153)*8*$HE153)*U153),0)))</f>
        <v> </v>
      </c>
      <c r="BR153" s="330" t="str">
        <f aca="false">IF($A153="N/A"," ",(IF(AW153&gt;0,($BM153*(8*($HE153))*V153),0)+IF(BG153&gt;0,($BM153*((BG153/AE153)*8*$HE153)*V153),0)))</f>
        <v> </v>
      </c>
      <c r="BS153" s="330" t="str">
        <f aca="false">IF($A153="N/A"," ",(IF(AX153&gt;0,($BM153*(8*($HE153))*W153),0)+IF(BH153&gt;0,($BM153*((BH153))*W153),0)))</f>
        <v> </v>
      </c>
      <c r="BT153" s="330" t="str">
        <f aca="false">IF($A153="N/A"," ",(IF(AY153&gt;0,($BM153*(8*($HF153))*X153),0)+IF(BI153&gt;0,($BM153*((BI153/AG153)*8*$HF153)*X153),0)))</f>
        <v> </v>
      </c>
      <c r="BU153" s="330" t="str">
        <f aca="false">IF($A153="N/A"," ",(IF(AZ153&gt;0,($BM153*(8*($HF153))*Y153),0)+IF(BJ153&gt;0,($BM153*((BJ153/AH153)*8*$HF153)*Y153),0)))</f>
        <v> </v>
      </c>
      <c r="BV153" s="330" t="str">
        <f aca="false">IF($A153="N/A"," ",(IF(BA153&gt;0,($BM153*(8*($HF153))*Z153),0)+IF(BK153&gt;0,($BM153*((BK153))*Z153),0)))</f>
        <v> </v>
      </c>
      <c r="BW153" s="330" t="str">
        <f aca="false">IF($A153="N/A"," ",SUM(BN153:BV153))</f>
        <v> </v>
      </c>
      <c r="BX153" s="331" t="str">
        <f aca="false">IF($A153="N/A"," ",(H153*(SUM(AS153:BA153)+SUM(BC153:BK153))*BM153))</f>
        <v> </v>
      </c>
      <c r="BY153" s="332" t="str">
        <f aca="false">IF($A153="N/A"," ",((C153*D153)*(SUM($AS153:$BA153)+SUM($BC153:$BK153))*$BM153))</f>
        <v> </v>
      </c>
      <c r="BZ153" s="332" t="str">
        <f aca="false">IF($A153="N/A"," ",(F153*(SUM($AS153:$BA153)+SUM($BC153:$BK153))*$BM153))</f>
        <v> </v>
      </c>
      <c r="CA153" s="333" t="str">
        <f aca="false">IF($A153="N/A"," ",(G153*(SUM($AS153:$BA153)+SUM($BC153:$BK153))*$BM153))</f>
        <v> </v>
      </c>
      <c r="CB153" s="334" t="str">
        <f aca="false">IF(A153="N/A"," ",(VLOOKUP(A153,PowerVolTable,(IF(BMO=2,7,IF(BMO=1,6,8))),FALSE())))</f>
        <v> </v>
      </c>
      <c r="CC153" s="334" t="str">
        <f aca="false">IF(A153="N/A"," ",(VLOOKUP(A153,IntraPowerVol,(IF(BMO=2,3,IF(BMO=1,2,4))),FALSE())*VLOOKUP(MONTH($A153),Volscale,2)))</f>
        <v> </v>
      </c>
      <c r="CD153" s="335" t="str">
        <f aca="false">IF($A153="N/A"," ",(IF(DateToday&gt;$A153,$CC153,((($CB153^2)*((($A153-1)-DateToday)/((EOMONTH($A153,0)+1)-DateToday-15)))+((($CC153)^2)*((15)/((EOMONTH($A153,0)+1)-DateToday-15))))^0.5)))</f>
        <v> </v>
      </c>
      <c r="CE153" s="334" t="str">
        <f aca="false">IF($A153="N/A"," ",(VLOOKUP($A153,GasVolTable,(IF(BMO=2,6,IF(BMO=1,7,5))),FALSE())))</f>
        <v> </v>
      </c>
      <c r="CF153" s="334" t="str">
        <f aca="false">IF($A153="N/A"," ",(VLOOKUP($A153,OmicronVol,(IF(BMO=2,3,IF(BMO=1,4,2))),FALSE())))</f>
        <v> </v>
      </c>
      <c r="CG153" s="335" t="str">
        <f aca="false">IF($A153="N/A"," ",(IF(DateToday&gt;$A153,$CF153,((($CE153^2)*((($A153-1)-DateToday)/((EOMONTH($A153,0)+1)-DateToday-15)))+((($CF153)^2)*((15)/((EOMONTH($A153,0)+1)-DateToday-15))))^0.5)))</f>
        <v> </v>
      </c>
      <c r="CH153" s="334" t="str">
        <f aca="false">IF($A153="N/A"," ",VLOOKUP($A153,CorrelationTable,2,FALSE()))</f>
        <v> </v>
      </c>
      <c r="CI153" s="336" t="str">
        <f aca="false">IF($A153="N/A"," ",F153+G153+(D153*('Pricing Inputs'!T186)))</f>
        <v> </v>
      </c>
      <c r="CJ153" s="334" t="str">
        <f aca="false">IF($A153="N/A"," ",IF(PV=1,0,'Pricing Inputs'!U186))</f>
        <v> </v>
      </c>
      <c r="CK153" s="337" t="str">
        <f aca="false">IF($A153="N/A"," ",(1+CJ153/2)^(-2*((EOMONTH(A153,0)+20)-DateToday)/365.25))</f>
        <v> </v>
      </c>
      <c r="CL153" s="338" t="str">
        <f aca="false">IF(A153="N/A"," ",IF(CC=2,(VLOOKUP(MONTH($A153),Hrtable,3))/1000,0))</f>
        <v> </v>
      </c>
      <c r="CM153" s="339" t="str">
        <f aca="false">IF(A153="N/A"," ",IF(CC=2,(CL153*C153)+F153,0))</f>
        <v> </v>
      </c>
      <c r="CN153" s="340" t="str">
        <f aca="false">IF($A153="N/A"," ",IF(CC=2,(VLOOKUP(A153,ScaledPrice,(IF(AND(Dayrun&gt;=1,Dayrun&lt;=6),2,4)))-((IF(R153&lt;&gt;0,$D153,$CL153)*$C153)+$F153+$G153)),0))</f>
        <v> </v>
      </c>
      <c r="CO153" s="340" t="str">
        <f aca="false">IF($A153="N/A"," ",IF(CC=2,(IF(AND(Dayrun&gt;=1,Dayrun&lt;=6),I153,(VLOOKUP(A153,ScaledPrice,2))*(2-(VLOOKUP(A153,ScaledPrice,3))))-((IF(S153&lt;&gt;0,$D153,$CL153)*$C153)+$F153+$G153)),0))</f>
        <v> </v>
      </c>
      <c r="CP153" s="340" t="str">
        <f aca="false">IF(A153="N/A"," ",IF(CC=2,(VLOOKUP(A153,ScaledPrice,9)-((IF(T153&lt;&gt;0,$D153,$CL153)*$C153)+$F153+$G153)),0))</f>
        <v> </v>
      </c>
      <c r="CQ153" s="340" t="str">
        <f aca="false">IF(A153="N/A"," ",IF(CC=2,(IF(OR(Dayrun=2,Dayrun=3,Dayrun=5,Dayrun=6,Dayrun=8,Dayrun=9),VLOOKUP(A153,ScaledPrice,IF(AND(Dayrun&gt;=2,Dayrun&lt;=6),5,6)),0)-((IF(U153&lt;&gt;0,$D153,$CL153)*$C153)+$F153+$G153)),0))</f>
        <v> </v>
      </c>
      <c r="CR153" s="340" t="str">
        <f aca="false">IF(A153="N/A"," ",IF(CC=2,(IF(OR(Dayrun=2,Dayrun=3,Dayrun=5,Dayrun=6,Dayrun=8,Dayrun=9),IF(AND(Dayrun&gt;=2,Dayrun&lt;=6),L153,(VLOOKUP(A153,ScaledPrice,5))*(2-(VLOOKUP(A153,ScaledPrice,3)))),0)-((IF(V153&lt;&gt;0,$D153,$CL153)*$C153)+$F153+$G153)),0))</f>
        <v> </v>
      </c>
      <c r="CS153" s="340" t="str">
        <f aca="false">IF(A153="N/A"," ",IF(CC=2,(VLOOKUP(A153,ScaledPrice,9)-((IF(W153&lt;&gt;0,$D153,$CL153)*$C153)+$F153+$G153)),0))</f>
        <v> </v>
      </c>
      <c r="CT153" s="340" t="str">
        <f aca="false">IF(A153="N/A"," ",IF(CC=2,(IF(OR(Dayrun=3,Dayrun=6,Dayrun=9),(VLOOKUP(A153,ScaledPrice,IF(AND(Dayrun&gt;=3,Dayrun&lt;=6),7,8))),0)-((IF(X153&lt;&gt;0,$D153,$CL153)*$C153)+$F153+$G153)),0))</f>
        <v> </v>
      </c>
      <c r="CU153" s="340" t="str">
        <f aca="false">IF(A153="N/A"," ",IF(CC=2,(IF(OR(Dayrun=3,Dayrun=6,Dayrun=9),IF(AND(Dayrun&gt;=3,Dayrun&lt;=6),O153,(VLOOKUP(A153,ScaledPrice,7))*(2-(VLOOKUP(A153,ScaledPrice,3)))),0)-((IF(Y153&lt;&gt;0,$D153,$CL153)*$C153)+$F153+$G153)),0))</f>
        <v> </v>
      </c>
      <c r="CV153" s="340" t="str">
        <f aca="false">IF(A153="N/A"," ",IF(CC=2,(VLOOKUP(A153,ScaledPrice,9)-((IF(Z153&lt;&gt;0,$D153,$CL153)*$C153)+$F153+$G153)),0))</f>
        <v> </v>
      </c>
      <c r="CW153" s="318" t="str">
        <f aca="false">IF($A153="N/A"," ",IF(0&lt;&gt;CN153,IF(CC=2,8*$HD153,0),0))</f>
        <v> </v>
      </c>
      <c r="CX153" s="318" t="str">
        <f aca="false">IF($A153="N/A"," ",IF(0&lt;&gt;CO153,IF(CC=2,8*$HD153,0),0))</f>
        <v> </v>
      </c>
      <c r="CY153" s="318" t="str">
        <f aca="false">IF($A153="N/A"," ",IF(0&lt;&gt;CP153,IF(CC=2,8*$HD153,0),0))</f>
        <v> </v>
      </c>
      <c r="CZ153" s="318" t="str">
        <f aca="false">IF($A153="N/A"," ",IF(0&lt;&gt;CQ153,IF(CC=2,8*$HE153,0),0))</f>
        <v> </v>
      </c>
      <c r="DA153" s="318" t="str">
        <f aca="false">IF($A153="N/A"," ",IF(0&lt;&gt;CR153,IF(CC=2,8*$HE153,0),0))</f>
        <v> </v>
      </c>
      <c r="DB153" s="318" t="str">
        <f aca="false">IF($A153="N/A"," ",IF(0&lt;&gt;CS153,IF(CC=2,8*$HE153,0),0))</f>
        <v> </v>
      </c>
      <c r="DC153" s="318" t="str">
        <f aca="false">IF($A153="N/A"," ",IF(0&lt;&gt;CT153,IF(CC=2,8*$HF153,0),0))</f>
        <v> </v>
      </c>
      <c r="DD153" s="318" t="str">
        <f aca="false">IF($A153="N/A"," ",IF(0&lt;&gt;CU153,IF(CC=2,8*$HF153,0),0))</f>
        <v> </v>
      </c>
      <c r="DE153" s="318" t="str">
        <f aca="false">IF($A153="N/A"," ",IF(0&lt;&gt;CV153,IF(CC=2,8*$HF153,0),0))</f>
        <v> </v>
      </c>
      <c r="DF153" s="341" t="str">
        <f aca="false">IF($A153="N/A"," ",IF(CC=2,(IF(MONTH(A153)&gt;=4,IF(MONTH(A153)&lt;=10,Inputs!$G$13,Inputs!$G$14),Inputs!$G$14))*$CK153,0))</f>
        <v> </v>
      </c>
      <c r="DG153" s="342" t="str">
        <f aca="false">IF($A153="N/A"," ",IF(CC=2,$DF153*CW153*CN153,0))</f>
        <v> </v>
      </c>
      <c r="DH153" s="342" t="str">
        <f aca="false">IF($A153="N/A"," ",IF(CC=2,$DF153*CX153*CO153,0))</f>
        <v> </v>
      </c>
      <c r="DI153" s="342" t="str">
        <f aca="false">IF($A153="N/A"," ",IF(CC=2,$DF153*CY153*CP153,0))</f>
        <v> </v>
      </c>
      <c r="DJ153" s="342" t="str">
        <f aca="false">IF($A153="N/A"," ",IF(CC=2,$DF153*CZ153*CQ153,0))</f>
        <v> </v>
      </c>
      <c r="DK153" s="342" t="str">
        <f aca="false">IF($A153="N/A"," ",IF(CC=2,$DF153*DA153*CR153,0))</f>
        <v> </v>
      </c>
      <c r="DL153" s="342" t="str">
        <f aca="false">IF($A153="N/A"," ",IF(CC=2,$DF153*DB153*CS153,0))</f>
        <v> </v>
      </c>
      <c r="DM153" s="342" t="str">
        <f aca="false">IF($A153="N/A"," ",IF(CC=2,$DF153*DC153*CT153,0))</f>
        <v> </v>
      </c>
      <c r="DN153" s="342" t="str">
        <f aca="false">IF($A153="N/A"," ",IF(CC=2,$DF153*DD153*CU153,0))</f>
        <v> </v>
      </c>
      <c r="DO153" s="342" t="str">
        <f aca="false">IF($A153="N/A"," ",IF(CC=2,$DF153*DE153*CV153,0))</f>
        <v> </v>
      </c>
      <c r="DP153" s="343" t="str">
        <f aca="false">IF($A153="N/A"," ",IF(CC=2,SUM(DG153:DO153),0))</f>
        <v> </v>
      </c>
      <c r="DQ153" s="0" t="str">
        <f aca="false">IF(A153="N/A"," ",Perstart)</f>
        <v> </v>
      </c>
      <c r="HD153" s="0" t="str">
        <f aca="false">IF($A153="N/A"," ",VLOOKUP($A153,NumberofDaysTable,2))</f>
        <v> </v>
      </c>
      <c r="HE153" s="0" t="str">
        <f aca="false">IF($A153="N/A"," ",VLOOKUP($A153,NumberofDaysTable,3))</f>
        <v> </v>
      </c>
      <c r="HF153" s="0" t="str">
        <f aca="false">IF($A153="N/A"," ",VLOOKUP($A153,NumberofDaysTable,4))</f>
        <v> </v>
      </c>
    </row>
    <row r="154" customFormat="false" ht="12.75" hidden="false" customHeight="false" outlineLevel="0" collapsed="false">
      <c r="A154" s="308" t="str">
        <f aca="false">IF(A153="N/A","N/A",IF(EDATE(A153,1)&gt;Inputs!$K$3,"N/A",EDATE(A153,1)))</f>
        <v>N/A</v>
      </c>
      <c r="B154" s="309" t="str">
        <f aca="false">IF(A154="N/A"," ",YEAR(A154))</f>
        <v> </v>
      </c>
      <c r="C154" s="310" t="str">
        <f aca="false">IF(A154="N/A"," ",VLOOKUP(A154,ScaledPrice,10))</f>
        <v> </v>
      </c>
      <c r="D154" s="311" t="str">
        <f aca="false">IF(A154="N/A"," ",(VLOOKUP(MONTH($A154),Hrtable,2))/1000)</f>
        <v> </v>
      </c>
      <c r="E154" s="312" t="str">
        <f aca="false">IF($A154="N/A"," ",(C154-'Pricing Inputs'!T187)*D154)</f>
        <v> </v>
      </c>
      <c r="F154" s="313" t="str">
        <f aca="false">IF(A154="N/A"," ",$F142*(1+VOMesc))</f>
        <v> </v>
      </c>
      <c r="G154" s="313" t="str">
        <f aca="false">IF(A154="N/A"," ",Perstart/IF(AND(Dayrun&gt;=4,Dayrun&lt;=6),16,IF(AND(Dayrun&gt;=7,Dayrun&lt;=9),8,24))/(BM154/CK154))</f>
        <v> </v>
      </c>
      <c r="H154" s="314" t="str">
        <f aca="false">IF(A154="N/A"," ",(C154*D154)+F154+G154)</f>
        <v> </v>
      </c>
      <c r="I154" s="315" t="str">
        <f aca="false">VLOOKUP(A154,ScaledPrice,(IF(AND(Dayrun&gt;=1,Dayrun&lt;=6),2,4)))</f>
        <v> </v>
      </c>
      <c r="J154" s="315" t="str">
        <f aca="false">IF(A154="N/A"," ",IF(AND(Dayrun&gt;=1,Dayrun&lt;=6),I154,(VLOOKUP(A154,ScaledPrice,2))*(2-(VLOOKUP(A154,ScaledPrice,3)))))</f>
        <v> </v>
      </c>
      <c r="K154" s="315" t="str">
        <f aca="false">IF(A154="N/A"," ",IF(AND(Dayrun&gt;=1,Dayrun&lt;=3),VLOOKUP(A154,ScaledPrice,9),0))</f>
        <v> </v>
      </c>
      <c r="L154" s="315" t="str">
        <f aca="false">IF(A154="N/A"," ",IF(OR(Dayrun=2,Dayrun=3,Dayrun=5,Dayrun=6,Dayrun=8,Dayrun=9),VLOOKUP(A154,ScaledPrice,IF(AND(Dayrun&gt;=2,Dayrun&lt;=6),5,6)),0))</f>
        <v> </v>
      </c>
      <c r="M154" s="315" t="str">
        <f aca="false">IF(A154="N/A"," ",IF(OR(Dayrun=2,Dayrun=3,Dayrun=5,Dayrun=6,Dayrun=8,Dayrun=9),IF(AND(Dayrun&gt;=2,Dayrun&lt;=6),L154,(VLOOKUP(A154,ScaledPrice,5))*(2-(VLOOKUP(A154,ScaledPrice,3)))),0))</f>
        <v> </v>
      </c>
      <c r="N154" s="315" t="str">
        <f aca="false">IF(A154="N/A"," ",IF(AND(Dayrun&gt;1,Dayrun&lt;=3),VLOOKUP(A154,ScaledPrice,9),0))</f>
        <v> </v>
      </c>
      <c r="O154" s="315" t="str">
        <f aca="false">IF(A154="N/A"," ",IF(OR(Dayrun=3,Dayrun=6,Dayrun=9),(VLOOKUP(A154,ScaledPrice,IF(AND(Dayrun&gt;=3,Dayrun&lt;=6),7,8))),0))</f>
        <v> </v>
      </c>
      <c r="P154" s="315" t="str">
        <f aca="false">IF(A154="N/A"," ",IF(OR(Dayrun=3,Dayrun=6,Dayrun=9),IF(AND(Dayrun&gt;=3,Dayrun&lt;=6),O154,(VLOOKUP(A154,ScaledPrice,7))*(2-(VLOOKUP(A154,ScaledPrice,3)))),0))</f>
        <v> </v>
      </c>
      <c r="Q154" s="315" t="str">
        <f aca="false">IF(A154="N/A"," ",IF(AND(Dayrun&gt;2,Dayrun&lt;=3),VLOOKUP(A154,ScaledPrice,9),0))</f>
        <v> </v>
      </c>
      <c r="R154" s="316" t="str">
        <f aca="false">IF($A154="N/A"," ",IF(Pricetype=2,MAX(I154-$H154,0),IF(Pricetype=1,(xSPRDOPT(I154,$E154,$CI154,0,($CD154+IF(Smile=TRUE(),VLOOKUP(MAX(-5,$H154-I154),Volsmile,2),0)),$CG154,$CH154,($A154-DateToday)+15,1,0)),I154-$H154)))</f>
        <v> </v>
      </c>
      <c r="S154" s="316" t="str">
        <f aca="false">IF($A154="N/A"," ",IF(Pricetype=2,MAX(J154-$H154,0),IF(Pricetype=1,(xSPRDOPT(J154,$E154,$CI154,0,($CD154+IF(Smile=TRUE(),VLOOKUP(MAX(-5,$H154-J154),Volsmile,2),0)),$CG154,$CH154,($A154-DateToday)+15,1,0)),J154-$H154)))</f>
        <v> </v>
      </c>
      <c r="T154" s="317" t="str">
        <f aca="false">IF($A154="N/A"," ",(IF(Pricetype=2,IF((K154-$H154)&lt;=0,0,(K154-$H154)),IF(K154&lt;&gt;0,(K154-$H154),0))))</f>
        <v> </v>
      </c>
      <c r="U154" s="316" t="str">
        <f aca="false">IF($A154="N/A"," ",IF(Pricetype=2,MAX(L154-$H154,0),IF(L154&lt;&gt;0,IF(Pricetype=1,(xSPRDOPT(L154,$E154,$CI154,0,($CD154+IF(Smile=TRUE(),VLOOKUP(MAX(-5,$H154-L154),Volsmile,2),0)),$CG154,$CH154,($A154-DateToday)+15,1,0)),L154-$H154),0)))</f>
        <v> </v>
      </c>
      <c r="V154" s="316" t="str">
        <f aca="false">IF($A154="N/A"," ",IF(Pricetype=2,MAX(M154-$H154,0),IF(M154&lt;&gt;0,IF(Pricetype=1,(xSPRDOPT(M154,$E154,$CI154,0,($CD154+IF(Smile=TRUE(),VLOOKUP(MAX(-5,$H154-M154),Volsmile,2),0)),$CG154,$CH154,($A154-DateToday)+15,1,0)),M154-$H154),0)))</f>
        <v> </v>
      </c>
      <c r="W154" s="317" t="str">
        <f aca="false">IF($A154="N/A"," ",(IF(Pricetype=2,IF((N154-$H154)&lt;=0,0,(N154-$H154)),IF(N154&lt;&gt;0,(N154-$H154),0))))</f>
        <v> </v>
      </c>
      <c r="X154" s="316" t="str">
        <f aca="false">IF($A154="N/A"," ",IF(Pricetype=2,MAX(O154-$H154,0),IF(O154&lt;&gt;0,IF(Pricetype=1,(xSPRDOPT(O154,$E154,$CI154,0,($CD154+IF(Smile=TRUE(),VLOOKUP(MAX(-5,$H154-O154),Volsmile,2),0)),$CG154,$CH154,($A154-DateToday)+15,1,0)),O154-$H154),0)))</f>
        <v> </v>
      </c>
      <c r="Y154" s="316" t="str">
        <f aca="false">IF($A154="N/A"," ",IF(Pricetype=2,MAX(P154-$H154,0),IF(P154&lt;&gt;0,IF(Pricetype=1,(xSPRDOPT(P154,$E154,$CI154,0,($CD154+IF(Smile=TRUE(),VLOOKUP(MAX(-5,$H154-P154),Volsmile,2),0)),$CG154,$CH154,($A154-DateToday)+15,1,0)),P154-$H154),0)))</f>
        <v> </v>
      </c>
      <c r="Z154" s="317" t="str">
        <f aca="false">IF($A154="N/A"," ",(IF(Pricetype=2,IF((Q154-$H154)&lt;=0,0,(Q154-$H154)),IF(Q154&lt;&gt;0,(Q154-$H154),0))))</f>
        <v> </v>
      </c>
      <c r="AA154" s="318" t="str">
        <f aca="false">IF($A154="N/A"," ",IF(VLOOKUP(MONTH(A154),ManualTable,2)=1,(IF(0&lt;&gt;R154,IF(Pricetype=1,(xSPRDOPT(I154,$E154,$CI154,0,($CD154+IF(Smile=TRUE(),VLOOKUP(MAX(-5,$H154-I154),Volsmile,2),0)),$CG154,$CH154,($A154-DateToday)+15,1,1))*(8*$HD154),8*$HD154),0)),0))</f>
        <v> </v>
      </c>
      <c r="AB154" s="318" t="str">
        <f aca="false">IF($A154="N/A"," ",IF(VLOOKUP(MONTH(A154),ManualTable,3)=1,(IF(S154&lt;&gt;0,IF(Pricetype=1,(xSPRDOPT(J154,$E154,$CI154,0,($CD154+IF(Smile=TRUE(),VLOOKUP(MAX(-5,$H154-J154),Volsmile,2),0)),$CG154,$CH154,($A154-DateToday)+15,1,1))*(8*$HD154),8*$HD154),0)),0))</f>
        <v> </v>
      </c>
      <c r="AC154" s="318" t="str">
        <f aca="false">IF($A154="N/A"," ",IF(VLOOKUP(MONTH(A154),ManualTable,4)=1,(IF(T154&lt;&gt;0,(8*$HD154),0)),0))</f>
        <v> </v>
      </c>
      <c r="AD154" s="318" t="str">
        <f aca="false">IF($A154="N/A"," ",IF(VLOOKUP(MONTH(A154),ManualTable,5)=1,(IF(U154&lt;&gt;0,IF(Pricetype=1,(xSPRDOPT(L154,$E154,$CI154,0,($CD154+IF(Smile=TRUE(),VLOOKUP(MAX(-5,$H154-L154),Volsmile,2),0)),$CG154,$CH154,($A154-DateToday)+15,1,1))*(8*$HE154),8*$HE154),0)),0))</f>
        <v> </v>
      </c>
      <c r="AE154" s="318" t="str">
        <f aca="false">IF($A154="N/A"," ",IF(VLOOKUP(MONTH(A154),ManualTable,6)=1,(IF(V154&lt;&gt;0,IF(Pricetype=1,(xSPRDOPT(M154,$E154,$CI154,0,($CD154+IF(Smile=TRUE(),VLOOKUP(MAX(-5,$H154-M154),Volsmile,2),0)),$CG154,$CH154,($A154-DateToday)+15,1,1))*(8*$HE154),8*$HE154),0)),0))</f>
        <v> </v>
      </c>
      <c r="AF154" s="318" t="str">
        <f aca="false">IF($A154="N/A"," ",IF(VLOOKUP(MONTH(A154),ManualTable,7)=1,(IF(W154&lt;&gt;0,(8*$HE154),0)),0))</f>
        <v> </v>
      </c>
      <c r="AG154" s="318" t="str">
        <f aca="false">IF($A154="N/A"," ",IF(VLOOKUP(MONTH(A154),ManualTable,8)=1,(IF(X154&lt;&gt;0,IF(Pricetype=1,(xSPRDOPT(O154,$E154,$CI154,0,($CD154+IF(Smile=TRUE(),VLOOKUP(MAX(-5,$H154-O154),Volsmile,2),0)),$CG154,$CH154,($A154-DateToday)+15,1,1))*(8*$HF154),8*$HF154),0)),0))</f>
        <v> </v>
      </c>
      <c r="AH154" s="318" t="str">
        <f aca="false">IF($A154="N/A"," ",IF(VLOOKUP(MONTH(A154),ManualTable,9)=1,(IF(Y154&lt;&gt;0,IF(Pricetype=1,(xSPRDOPT(P154,$E154,$CI154,0,($CD154+IF(Smile=TRUE(),VLOOKUP(MAX(-5,$H154-P154),Volsmile,2),0)),$CG154,$CH154,($A154-DateToday)+15,1,1))*(8*$HF154),8*$HF154),0)),0))</f>
        <v> </v>
      </c>
      <c r="AI154" s="318" t="str">
        <f aca="false">IF($A154="N/A"," ",IF(VLOOKUP(MONTH(A154),ManualTable,10)=1,(IF(Z154&lt;&gt;0,(8*($HF154)),0)),0))</f>
        <v> </v>
      </c>
      <c r="AJ154" s="344" t="str">
        <f aca="false">IF($A154="N/A"," ",RANK(R154,$R$148:$Z$159))</f>
        <v> </v>
      </c>
      <c r="AK154" s="321" t="str">
        <f aca="false">IF($A154="N/A"," ",RANK(S154,$R$148:$Z$159))</f>
        <v> </v>
      </c>
      <c r="AL154" s="321" t="str">
        <f aca="false">IF($A154="N/A"," ",RANK(T154,$R$148:$Z$159))</f>
        <v> </v>
      </c>
      <c r="AM154" s="321" t="str">
        <f aca="false">IF($A154="N/A"," ",RANK(U154,$R$148:$Z$159))</f>
        <v> </v>
      </c>
      <c r="AN154" s="321" t="str">
        <f aca="false">IF($A154="N/A"," ",RANK(V154,$R$148:$Z$159))</f>
        <v> </v>
      </c>
      <c r="AO154" s="321" t="str">
        <f aca="false">IF($A154="N/A"," ",RANK(W154,$R$148:$Z$159))</f>
        <v> </v>
      </c>
      <c r="AP154" s="321" t="str">
        <f aca="false">IF($A154="N/A"," ",RANK(X154,$R$148:$Z$159))</f>
        <v> </v>
      </c>
      <c r="AQ154" s="321" t="str">
        <f aca="false">IF($A154="N/A"," ",RANK(Y154,$R$148:$Z$159))</f>
        <v> </v>
      </c>
      <c r="AR154" s="345" t="str">
        <f aca="false">IF($A154="N/A"," ",RANK(Z154,$R$148:$Z$159))</f>
        <v> </v>
      </c>
      <c r="AS154" s="323" t="str">
        <f aca="false">IF($A154="N/A"," ",IF(AJ154&lt;=$AR$2,AA154,0))</f>
        <v> </v>
      </c>
      <c r="AT154" s="325" t="str">
        <f aca="false">IF($A154="N/A"," ",IF(AK154&lt;=$AR$2,AB154,0))</f>
        <v> </v>
      </c>
      <c r="AU154" s="325" t="str">
        <f aca="false">IF($A154="N/A"," ",IF(AL154&lt;=$AR$2,AC154,0))</f>
        <v> </v>
      </c>
      <c r="AV154" s="325" t="str">
        <f aca="false">IF($A154="N/A"," ",IF(AM154&lt;=$AR$2,AD154,0))</f>
        <v> </v>
      </c>
      <c r="AW154" s="325" t="str">
        <f aca="false">IF($A154="N/A"," ",IF(AN154&lt;=$AR$2,AE154,0))</f>
        <v> </v>
      </c>
      <c r="AX154" s="325" t="str">
        <f aca="false">IF($A154="N/A"," ",IF(AO154&lt;=$AR$2,AF154,0))</f>
        <v> </v>
      </c>
      <c r="AY154" s="325" t="str">
        <f aca="false">IF($A154="N/A"," ",IF(AP154&lt;=$AR$2,AG154,0))</f>
        <v> </v>
      </c>
      <c r="AZ154" s="325" t="str">
        <f aca="false">IF($A154="N/A"," ",IF(AQ154&lt;=$AR$2,AH154,0))</f>
        <v> </v>
      </c>
      <c r="BA154" s="325" t="str">
        <f aca="false">IF($A154="N/A"," ",IF(AR154&lt;=$AR$2,AI154,0))</f>
        <v> </v>
      </c>
      <c r="BB154" s="345"/>
      <c r="BC154" s="326" t="str">
        <f aca="false">IF($A154="N/A"," ",IF(AND(AJ154=$AR$2+1,AS154=0),MIN($BB$159,AA154),0))</f>
        <v> </v>
      </c>
      <c r="BD154" s="346" t="str">
        <f aca="false">IF($A154="N/A"," ",IF(AND(AK154=$AR$2+1,AT154=0),MIN($BB$159,AB154),0))</f>
        <v> </v>
      </c>
      <c r="BE154" s="346" t="str">
        <f aca="false">IF($A154="N/A"," ",IF(AND(AL154=$AR$2+1,AU154=0),MIN($BB$159,AC154),0))</f>
        <v> </v>
      </c>
      <c r="BF154" s="346" t="str">
        <f aca="false">IF($A154="N/A"," ",IF(AND(AM154=$AR$2+1,AV154=0),MIN($BB$159,AD154),0))</f>
        <v> </v>
      </c>
      <c r="BG154" s="346" t="str">
        <f aca="false">IF($A154="N/A"," ",IF(AND(AN154=$AR$2+1,AW154=0),MIN($BB$159,AE154),0))</f>
        <v> </v>
      </c>
      <c r="BH154" s="346" t="str">
        <f aca="false">IF($A154="N/A"," ",IF(AND(AO154=$AR$2+1,AX154=0),MIN($BB$159,AF154),0))</f>
        <v> </v>
      </c>
      <c r="BI154" s="346" t="str">
        <f aca="false">IF($A154="N/A"," ",IF(AND(AP154=$AR$2+1,AY154=0),MIN($BB$159,AG154),0))</f>
        <v> </v>
      </c>
      <c r="BJ154" s="346" t="str">
        <f aca="false">IF($A154="N/A"," ",IF(AND(AQ154=$AR$2+1,AZ154=0),MIN($BB$159,AH154),0))</f>
        <v> </v>
      </c>
      <c r="BK154" s="346" t="str">
        <f aca="false">IF($A154="N/A"," ",IF(AND(AR154=$AR$2+1,BA154=0),MIN($BB$159,AI154),0))</f>
        <v> </v>
      </c>
      <c r="BL154" s="345"/>
      <c r="BM154" s="329" t="str">
        <f aca="false">IF($A154="N/A"," ",(IF(MONTH(A154)&gt;=4,IF(MONTH(A154)&lt;=10,Inputs!$F$13-Inputs!$G$13,Inputs!$F$14-Inputs!$G$14),Inputs!$F$14-Inputs!$G$14))*$CK154*Availability)</f>
        <v> </v>
      </c>
      <c r="BN154" s="330" t="str">
        <f aca="false">IF($A154="N/A"," ",(IF(AS154&gt;0,($BM154*(8*($HD154))*R154),0)+IF(BC154&gt;0,($BM154*((BC154/AA154)*8*$HD154)*R154),0)))</f>
        <v> </v>
      </c>
      <c r="BO154" s="330" t="str">
        <f aca="false">IF($A154="N/A"," ",(IF(AT154&gt;0,($BM154*(8*($HD154))*S154),0)+IF(BD154&gt;0,($BM154*((BD154/AB154)*8*$HD154)*S154),0)))</f>
        <v> </v>
      </c>
      <c r="BP154" s="330" t="str">
        <f aca="false">IF($A154="N/A"," ",(IF(AU154&gt;0,($BM154*(8*($HD154))*T154),0)+IF(BE154&gt;0,($BM154*((BE154))*T154),0)))</f>
        <v> </v>
      </c>
      <c r="BQ154" s="330" t="str">
        <f aca="false">IF($A154="N/A"," ",(IF(AV154&gt;0,($BM154*(8*($HE154))*U154),0)+IF(BF154&gt;0,($BM154*((BF154/AD154)*8*$HE154)*U154),0)))</f>
        <v> </v>
      </c>
      <c r="BR154" s="330" t="str">
        <f aca="false">IF($A154="N/A"," ",(IF(AW154&gt;0,($BM154*(8*($HE154))*V154),0)+IF(BG154&gt;0,($BM154*((BG154/AE154)*8*$HE154)*V154),0)))</f>
        <v> </v>
      </c>
      <c r="BS154" s="330" t="str">
        <f aca="false">IF($A154="N/A"," ",(IF(AX154&gt;0,($BM154*(8*($HE154))*W154),0)+IF(BH154&gt;0,($BM154*((BH154))*W154),0)))</f>
        <v> </v>
      </c>
      <c r="BT154" s="330" t="str">
        <f aca="false">IF($A154="N/A"," ",(IF(AY154&gt;0,($BM154*(8*($HF154))*X154),0)+IF(BI154&gt;0,($BM154*((BI154/AG154)*8*$HF154)*X154),0)))</f>
        <v> </v>
      </c>
      <c r="BU154" s="330" t="str">
        <f aca="false">IF($A154="N/A"," ",(IF(AZ154&gt;0,($BM154*(8*($HF154))*Y154),0)+IF(BJ154&gt;0,($BM154*((BJ154/AH154)*8*$HF154)*Y154),0)))</f>
        <v> </v>
      </c>
      <c r="BV154" s="330" t="str">
        <f aca="false">IF($A154="N/A"," ",(IF(BA154&gt;0,($BM154*(8*($HF154))*Z154),0)+IF(BK154&gt;0,($BM154*((BK154))*Z154),0)))</f>
        <v> </v>
      </c>
      <c r="BW154" s="330" t="str">
        <f aca="false">IF($A154="N/A"," ",SUM(BN154:BV154))</f>
        <v> </v>
      </c>
      <c r="BX154" s="331" t="str">
        <f aca="false">IF($A154="N/A"," ",(H154*(SUM(AS154:BA154)+SUM(BC154:BK154))*BM154))</f>
        <v> </v>
      </c>
      <c r="BY154" s="332" t="str">
        <f aca="false">IF($A154="N/A"," ",((C154*D154)*(SUM($AS154:$BA154)+SUM($BC154:$BK154))*$BM154))</f>
        <v> </v>
      </c>
      <c r="BZ154" s="332" t="str">
        <f aca="false">IF($A154="N/A"," ",(F154*(SUM($AS154:$BA154)+SUM($BC154:$BK154))*$BM154))</f>
        <v> </v>
      </c>
      <c r="CA154" s="333" t="str">
        <f aca="false">IF($A154="N/A"," ",(G154*(SUM($AS154:$BA154)+SUM($BC154:$BK154))*$BM154))</f>
        <v> </v>
      </c>
      <c r="CB154" s="334" t="str">
        <f aca="false">IF(A154="N/A"," ",(VLOOKUP(A154,PowerVolTable,(IF(BMO=2,7,IF(BMO=1,6,8))),FALSE())))</f>
        <v> </v>
      </c>
      <c r="CC154" s="334" t="str">
        <f aca="false">IF(A154="N/A"," ",(VLOOKUP(A154,IntraPowerVol,(IF(BMO=2,3,IF(BMO=1,2,4))),FALSE())*VLOOKUP(MONTH($A154),Volscale,2)))</f>
        <v> </v>
      </c>
      <c r="CD154" s="335" t="str">
        <f aca="false">IF($A154="N/A"," ",(IF(DateToday&gt;$A154,$CC154,((($CB154^2)*((($A154-1)-DateToday)/((EOMONTH($A154,0)+1)-DateToday-15)))+((($CC154)^2)*((15)/((EOMONTH($A154,0)+1)-DateToday-15))))^0.5)))</f>
        <v> </v>
      </c>
      <c r="CE154" s="334" t="str">
        <f aca="false">IF($A154="N/A"," ",(VLOOKUP($A154,GasVolTable,(IF(BMO=2,6,IF(BMO=1,7,5))),FALSE())))</f>
        <v> </v>
      </c>
      <c r="CF154" s="334" t="str">
        <f aca="false">IF($A154="N/A"," ",(VLOOKUP($A154,OmicronVol,(IF(BMO=2,3,IF(BMO=1,4,2))),FALSE())))</f>
        <v> </v>
      </c>
      <c r="CG154" s="335" t="str">
        <f aca="false">IF($A154="N/A"," ",(IF(DateToday&gt;$A154,$CF154,((($CE154^2)*((($A154-1)-DateToday)/((EOMONTH($A154,0)+1)-DateToday-15)))+((($CF154)^2)*((15)/((EOMONTH($A154,0)+1)-DateToday-15))))^0.5)))</f>
        <v> </v>
      </c>
      <c r="CH154" s="334" t="str">
        <f aca="false">IF($A154="N/A"," ",VLOOKUP($A154,CorrelationTable,2,FALSE()))</f>
        <v> </v>
      </c>
      <c r="CI154" s="336" t="str">
        <f aca="false">IF($A154="N/A"," ",F154+G154+(D154*('Pricing Inputs'!T187)))</f>
        <v> </v>
      </c>
      <c r="CJ154" s="334" t="str">
        <f aca="false">IF($A154="N/A"," ",IF(PV=1,0,'Pricing Inputs'!U187))</f>
        <v> </v>
      </c>
      <c r="CK154" s="337" t="str">
        <f aca="false">IF($A154="N/A"," ",(1+CJ154/2)^(-2*((EOMONTH(A154,0)+20)-DateToday)/365.25))</f>
        <v> </v>
      </c>
      <c r="CL154" s="338" t="str">
        <f aca="false">IF(A154="N/A"," ",IF(CC=2,(VLOOKUP(MONTH($A154),Hrtable,3))/1000,0))</f>
        <v> </v>
      </c>
      <c r="CM154" s="339" t="str">
        <f aca="false">IF(A154="N/A"," ",IF(CC=2,(CL154*C154)+F154,0))</f>
        <v> </v>
      </c>
      <c r="CN154" s="340" t="str">
        <f aca="false">IF($A154="N/A"," ",IF(CC=2,(VLOOKUP(A154,ScaledPrice,(IF(AND(Dayrun&gt;=1,Dayrun&lt;=6),2,4)))-((IF(R154&lt;&gt;0,$D154,$CL154)*$C154)+$F154+$G154)),0))</f>
        <v> </v>
      </c>
      <c r="CO154" s="340" t="str">
        <f aca="false">IF($A154="N/A"," ",IF(CC=2,(IF(AND(Dayrun&gt;=1,Dayrun&lt;=6),I154,(VLOOKUP(A154,ScaledPrice,2))*(2-(VLOOKUP(A154,ScaledPrice,3))))-((IF(S154&lt;&gt;0,$D154,$CL154)*$C154)+$F154+$G154)),0))</f>
        <v> </v>
      </c>
      <c r="CP154" s="340" t="str">
        <f aca="false">IF(A154="N/A"," ",IF(CC=2,(VLOOKUP(A154,ScaledPrice,9)-((IF(T154&lt;&gt;0,$D154,$CL154)*$C154)+$F154+$G154)),0))</f>
        <v> </v>
      </c>
      <c r="CQ154" s="340" t="str">
        <f aca="false">IF(A154="N/A"," ",IF(CC=2,(IF(OR(Dayrun=2,Dayrun=3,Dayrun=5,Dayrun=6,Dayrun=8,Dayrun=9),VLOOKUP(A154,ScaledPrice,IF(AND(Dayrun&gt;=2,Dayrun&lt;=6),5,6)),0)-((IF(U154&lt;&gt;0,$D154,$CL154)*$C154)+$F154+$G154)),0))</f>
        <v> </v>
      </c>
      <c r="CR154" s="340" t="str">
        <f aca="false">IF(A154="N/A"," ",IF(CC=2,(IF(OR(Dayrun=2,Dayrun=3,Dayrun=5,Dayrun=6,Dayrun=8,Dayrun=9),IF(AND(Dayrun&gt;=2,Dayrun&lt;=6),L154,(VLOOKUP(A154,ScaledPrice,5))*(2-(VLOOKUP(A154,ScaledPrice,3)))),0)-((IF(V154&lt;&gt;0,$D154,$CL154)*$C154)+$F154+$G154)),0))</f>
        <v> </v>
      </c>
      <c r="CS154" s="340" t="str">
        <f aca="false">IF(A154="N/A"," ",IF(CC=2,(VLOOKUP(A154,ScaledPrice,9)-((IF(W154&lt;&gt;0,$D154,$CL154)*$C154)+$F154+$G154)),0))</f>
        <v> </v>
      </c>
      <c r="CT154" s="340" t="str">
        <f aca="false">IF(A154="N/A"," ",IF(CC=2,(IF(OR(Dayrun=3,Dayrun=6,Dayrun=9),(VLOOKUP(A154,ScaledPrice,IF(AND(Dayrun&gt;=3,Dayrun&lt;=6),7,8))),0)-((IF(X154&lt;&gt;0,$D154,$CL154)*$C154)+$F154+$G154)),0))</f>
        <v> </v>
      </c>
      <c r="CU154" s="340" t="str">
        <f aca="false">IF(A154="N/A"," ",IF(CC=2,(IF(OR(Dayrun=3,Dayrun=6,Dayrun=9),IF(AND(Dayrun&gt;=3,Dayrun&lt;=6),O154,(VLOOKUP(A154,ScaledPrice,7))*(2-(VLOOKUP(A154,ScaledPrice,3)))),0)-((IF(Y154&lt;&gt;0,$D154,$CL154)*$C154)+$F154+$G154)),0))</f>
        <v> </v>
      </c>
      <c r="CV154" s="340" t="str">
        <f aca="false">IF(A154="N/A"," ",IF(CC=2,(VLOOKUP(A154,ScaledPrice,9)-((IF(Z154&lt;&gt;0,$D154,$CL154)*$C154)+$F154+$G154)),0))</f>
        <v> </v>
      </c>
      <c r="CW154" s="318" t="str">
        <f aca="false">IF($A154="N/A"," ",IF(0&lt;&gt;CN154,IF(CC=2,8*$HD154,0),0))</f>
        <v> </v>
      </c>
      <c r="CX154" s="318" t="str">
        <f aca="false">IF($A154="N/A"," ",IF(0&lt;&gt;CO154,IF(CC=2,8*$HD154,0),0))</f>
        <v> </v>
      </c>
      <c r="CY154" s="318" t="str">
        <f aca="false">IF($A154="N/A"," ",IF(0&lt;&gt;CP154,IF(CC=2,8*$HD154,0),0))</f>
        <v> </v>
      </c>
      <c r="CZ154" s="318" t="str">
        <f aca="false">IF($A154="N/A"," ",IF(0&lt;&gt;CQ154,IF(CC=2,8*$HE154,0),0))</f>
        <v> </v>
      </c>
      <c r="DA154" s="318" t="str">
        <f aca="false">IF($A154="N/A"," ",IF(0&lt;&gt;CR154,IF(CC=2,8*$HE154,0),0))</f>
        <v> </v>
      </c>
      <c r="DB154" s="318" t="str">
        <f aca="false">IF($A154="N/A"," ",IF(0&lt;&gt;CS154,IF(CC=2,8*$HE154,0),0))</f>
        <v> </v>
      </c>
      <c r="DC154" s="318" t="str">
        <f aca="false">IF($A154="N/A"," ",IF(0&lt;&gt;CT154,IF(CC=2,8*$HF154,0),0))</f>
        <v> </v>
      </c>
      <c r="DD154" s="318" t="str">
        <f aca="false">IF($A154="N/A"," ",IF(0&lt;&gt;CU154,IF(CC=2,8*$HF154,0),0))</f>
        <v> </v>
      </c>
      <c r="DE154" s="318" t="str">
        <f aca="false">IF($A154="N/A"," ",IF(0&lt;&gt;CV154,IF(CC=2,8*$HF154,0),0))</f>
        <v> </v>
      </c>
      <c r="DF154" s="341" t="str">
        <f aca="false">IF($A154="N/A"," ",IF(CC=2,(IF(MONTH(A154)&gt;=4,IF(MONTH(A154)&lt;=10,Inputs!$G$13,Inputs!$G$14),Inputs!$G$14))*$CK154,0))</f>
        <v> </v>
      </c>
      <c r="DG154" s="342" t="str">
        <f aca="false">IF($A154="N/A"," ",IF(CC=2,$DF154*CW154*CN154,0))</f>
        <v> </v>
      </c>
      <c r="DH154" s="342" t="str">
        <f aca="false">IF($A154="N/A"," ",IF(CC=2,$DF154*CX154*CO154,0))</f>
        <v> </v>
      </c>
      <c r="DI154" s="342" t="str">
        <f aca="false">IF($A154="N/A"," ",IF(CC=2,$DF154*CY154*CP154,0))</f>
        <v> </v>
      </c>
      <c r="DJ154" s="342" t="str">
        <f aca="false">IF($A154="N/A"," ",IF(CC=2,$DF154*CZ154*CQ154,0))</f>
        <v> </v>
      </c>
      <c r="DK154" s="342" t="str">
        <f aca="false">IF($A154="N/A"," ",IF(CC=2,$DF154*DA154*CR154,0))</f>
        <v> </v>
      </c>
      <c r="DL154" s="342" t="str">
        <f aca="false">IF($A154="N/A"," ",IF(CC=2,$DF154*DB154*CS154,0))</f>
        <v> </v>
      </c>
      <c r="DM154" s="342" t="str">
        <f aca="false">IF($A154="N/A"," ",IF(CC=2,$DF154*DC154*CT154,0))</f>
        <v> </v>
      </c>
      <c r="DN154" s="342" t="str">
        <f aca="false">IF($A154="N/A"," ",IF(CC=2,$DF154*DD154*CU154,0))</f>
        <v> </v>
      </c>
      <c r="DO154" s="342" t="str">
        <f aca="false">IF($A154="N/A"," ",IF(CC=2,$DF154*DE154*CV154,0))</f>
        <v> </v>
      </c>
      <c r="DP154" s="343" t="str">
        <f aca="false">IF($A154="N/A"," ",IF(CC=2,SUM(DG154:DO154),0))</f>
        <v> </v>
      </c>
      <c r="DQ154" s="0" t="str">
        <f aca="false">IF(A154="N/A"," ",Perstart)</f>
        <v> </v>
      </c>
      <c r="HD154" s="0" t="str">
        <f aca="false">IF($A154="N/A"," ",VLOOKUP($A154,NumberofDaysTable,2))</f>
        <v> </v>
      </c>
      <c r="HE154" s="0" t="str">
        <f aca="false">IF($A154="N/A"," ",VLOOKUP($A154,NumberofDaysTable,3))</f>
        <v> </v>
      </c>
      <c r="HF154" s="0" t="str">
        <f aca="false">IF($A154="N/A"," ",VLOOKUP($A154,NumberofDaysTable,4))</f>
        <v> </v>
      </c>
    </row>
    <row r="155" customFormat="false" ht="12.75" hidden="false" customHeight="false" outlineLevel="0" collapsed="false">
      <c r="A155" s="308" t="str">
        <f aca="false">IF(A154="N/A","N/A",IF(EDATE(A154,1)&gt;Inputs!$K$3,"N/A",EDATE(A154,1)))</f>
        <v>N/A</v>
      </c>
      <c r="B155" s="309" t="str">
        <f aca="false">IF(A155="N/A"," ",YEAR(A155))</f>
        <v> </v>
      </c>
      <c r="C155" s="310" t="str">
        <f aca="false">IF(A155="N/A"," ",VLOOKUP(A155,ScaledPrice,10))</f>
        <v> </v>
      </c>
      <c r="D155" s="311" t="str">
        <f aca="false">IF(A155="N/A"," ",(VLOOKUP(MONTH($A155),Hrtable,2))/1000)</f>
        <v> </v>
      </c>
      <c r="E155" s="312" t="str">
        <f aca="false">IF($A155="N/A"," ",(C155-'Pricing Inputs'!T188)*D155)</f>
        <v> </v>
      </c>
      <c r="F155" s="313" t="str">
        <f aca="false">IF(A155="N/A"," ",$F143*(1+VOMesc))</f>
        <v> </v>
      </c>
      <c r="G155" s="313" t="str">
        <f aca="false">IF(A155="N/A"," ",Perstart/IF(AND(Dayrun&gt;=4,Dayrun&lt;=6),16,IF(AND(Dayrun&gt;=7,Dayrun&lt;=9),8,24))/(BM155/CK155))</f>
        <v> </v>
      </c>
      <c r="H155" s="314" t="str">
        <f aca="false">IF(A155="N/A"," ",(C155*D155)+F155+G155)</f>
        <v> </v>
      </c>
      <c r="I155" s="315" t="str">
        <f aca="false">VLOOKUP(A155,ScaledPrice,(IF(AND(Dayrun&gt;=1,Dayrun&lt;=6),2,4)))</f>
        <v> </v>
      </c>
      <c r="J155" s="315" t="str">
        <f aca="false">IF(A155="N/A"," ",IF(AND(Dayrun&gt;=1,Dayrun&lt;=6),I155,(VLOOKUP(A155,ScaledPrice,2))*(2-(VLOOKUP(A155,ScaledPrice,3)))))</f>
        <v> </v>
      </c>
      <c r="K155" s="315" t="str">
        <f aca="false">IF(A155="N/A"," ",IF(AND(Dayrun&gt;=1,Dayrun&lt;=3),VLOOKUP(A155,ScaledPrice,9),0))</f>
        <v> </v>
      </c>
      <c r="L155" s="315" t="str">
        <f aca="false">IF(A155="N/A"," ",IF(OR(Dayrun=2,Dayrun=3,Dayrun=5,Dayrun=6,Dayrun=8,Dayrun=9),VLOOKUP(A155,ScaledPrice,IF(AND(Dayrun&gt;=2,Dayrun&lt;=6),5,6)),0))</f>
        <v> </v>
      </c>
      <c r="M155" s="315" t="str">
        <f aca="false">IF(A155="N/A"," ",IF(OR(Dayrun=2,Dayrun=3,Dayrun=5,Dayrun=6,Dayrun=8,Dayrun=9),IF(AND(Dayrun&gt;=2,Dayrun&lt;=6),L155,(VLOOKUP(A155,ScaledPrice,5))*(2-(VLOOKUP(A155,ScaledPrice,3)))),0))</f>
        <v> </v>
      </c>
      <c r="N155" s="315" t="str">
        <f aca="false">IF(A155="N/A"," ",IF(AND(Dayrun&gt;1,Dayrun&lt;=3),VLOOKUP(A155,ScaledPrice,9),0))</f>
        <v> </v>
      </c>
      <c r="O155" s="315" t="str">
        <f aca="false">IF(A155="N/A"," ",IF(OR(Dayrun=3,Dayrun=6,Dayrun=9),(VLOOKUP(A155,ScaledPrice,IF(AND(Dayrun&gt;=3,Dayrun&lt;=6),7,8))),0))</f>
        <v> </v>
      </c>
      <c r="P155" s="315" t="str">
        <f aca="false">IF(A155="N/A"," ",IF(OR(Dayrun=3,Dayrun=6,Dayrun=9),IF(AND(Dayrun&gt;=3,Dayrun&lt;=6),O155,(VLOOKUP(A155,ScaledPrice,7))*(2-(VLOOKUP(A155,ScaledPrice,3)))),0))</f>
        <v> </v>
      </c>
      <c r="Q155" s="315" t="str">
        <f aca="false">IF(A155="N/A"," ",IF(AND(Dayrun&gt;2,Dayrun&lt;=3),VLOOKUP(A155,ScaledPrice,9),0))</f>
        <v> </v>
      </c>
      <c r="R155" s="316" t="str">
        <f aca="false">IF($A155="N/A"," ",IF(Pricetype=2,MAX(I155-$H155,0),IF(Pricetype=1,(xSPRDOPT(I155,$E155,$CI155,0,($CD155+IF(Smile=TRUE(),VLOOKUP(MAX(-5,$H155-I155),Volsmile,2),0)),$CG155,$CH155,($A155-DateToday)+15,1,0)),I155-$H155)))</f>
        <v> </v>
      </c>
      <c r="S155" s="316" t="str">
        <f aca="false">IF($A155="N/A"," ",IF(Pricetype=2,MAX(J155-$H155,0),IF(Pricetype=1,(xSPRDOPT(J155,$E155,$CI155,0,($CD155+IF(Smile=TRUE(),VLOOKUP(MAX(-5,$H155-J155),Volsmile,2),0)),$CG155,$CH155,($A155-DateToday)+15,1,0)),J155-$H155)))</f>
        <v> </v>
      </c>
      <c r="T155" s="317" t="str">
        <f aca="false">IF($A155="N/A"," ",(IF(Pricetype=2,IF((K155-$H155)&lt;=0,0,(K155-$H155)),IF(K155&lt;&gt;0,(K155-$H155),0))))</f>
        <v> </v>
      </c>
      <c r="U155" s="316" t="str">
        <f aca="false">IF($A155="N/A"," ",IF(Pricetype=2,MAX(L155-$H155,0),IF(L155&lt;&gt;0,IF(Pricetype=1,(xSPRDOPT(L155,$E155,$CI155,0,($CD155+IF(Smile=TRUE(),VLOOKUP(MAX(-5,$H155-L155),Volsmile,2),0)),$CG155,$CH155,($A155-DateToday)+15,1,0)),L155-$H155),0)))</f>
        <v> </v>
      </c>
      <c r="V155" s="316" t="str">
        <f aca="false">IF($A155="N/A"," ",IF(Pricetype=2,MAX(M155-$H155,0),IF(M155&lt;&gt;0,IF(Pricetype=1,(xSPRDOPT(M155,$E155,$CI155,0,($CD155+IF(Smile=TRUE(),VLOOKUP(MAX(-5,$H155-M155),Volsmile,2),0)),$CG155,$CH155,($A155-DateToday)+15,1,0)),M155-$H155),0)))</f>
        <v> </v>
      </c>
      <c r="W155" s="317" t="str">
        <f aca="false">IF($A155="N/A"," ",(IF(Pricetype=2,IF((N155-$H155)&lt;=0,0,(N155-$H155)),IF(N155&lt;&gt;0,(N155-$H155),0))))</f>
        <v> </v>
      </c>
      <c r="X155" s="316" t="str">
        <f aca="false">IF($A155="N/A"," ",IF(Pricetype=2,MAX(O155-$H155,0),IF(O155&lt;&gt;0,IF(Pricetype=1,(xSPRDOPT(O155,$E155,$CI155,0,($CD155+IF(Smile=TRUE(),VLOOKUP(MAX(-5,$H155-O155),Volsmile,2),0)),$CG155,$CH155,($A155-DateToday)+15,1,0)),O155-$H155),0)))</f>
        <v> </v>
      </c>
      <c r="Y155" s="316" t="str">
        <f aca="false">IF($A155="N/A"," ",IF(Pricetype=2,MAX(P155-$H155,0),IF(P155&lt;&gt;0,IF(Pricetype=1,(xSPRDOPT(P155,$E155,$CI155,0,($CD155+IF(Smile=TRUE(),VLOOKUP(MAX(-5,$H155-P155),Volsmile,2),0)),$CG155,$CH155,($A155-DateToday)+15,1,0)),P155-$H155),0)))</f>
        <v> </v>
      </c>
      <c r="Z155" s="317" t="str">
        <f aca="false">IF($A155="N/A"," ",(IF(Pricetype=2,IF((Q155-$H155)&lt;=0,0,(Q155-$H155)),IF(Q155&lt;&gt;0,(Q155-$H155),0))))</f>
        <v> </v>
      </c>
      <c r="AA155" s="318" t="str">
        <f aca="false">IF($A155="N/A"," ",IF(VLOOKUP(MONTH(A155),ManualTable,2)=1,(IF(0&lt;&gt;R155,IF(Pricetype=1,(xSPRDOPT(I155,$E155,$CI155,0,($CD155+IF(Smile=TRUE(),VLOOKUP(MAX(-5,$H155-I155),Volsmile,2),0)),$CG155,$CH155,($A155-DateToday)+15,1,1))*(8*$HD155),8*$HD155),0)),0))</f>
        <v> </v>
      </c>
      <c r="AB155" s="318" t="str">
        <f aca="false">IF($A155="N/A"," ",IF(VLOOKUP(MONTH(A155),ManualTable,3)=1,(IF(S155&lt;&gt;0,IF(Pricetype=1,(xSPRDOPT(J155,$E155,$CI155,0,($CD155+IF(Smile=TRUE(),VLOOKUP(MAX(-5,$H155-J155),Volsmile,2),0)),$CG155,$CH155,($A155-DateToday)+15,1,1))*(8*$HD155),8*$HD155),0)),0))</f>
        <v> </v>
      </c>
      <c r="AC155" s="318" t="str">
        <f aca="false">IF($A155="N/A"," ",IF(VLOOKUP(MONTH(A155),ManualTable,4)=1,(IF(T155&lt;&gt;0,(8*$HD155),0)),0))</f>
        <v> </v>
      </c>
      <c r="AD155" s="318" t="str">
        <f aca="false">IF($A155="N/A"," ",IF(VLOOKUP(MONTH(A155),ManualTable,5)=1,(IF(U155&lt;&gt;0,IF(Pricetype=1,(xSPRDOPT(L155,$E155,$CI155,0,($CD155+IF(Smile=TRUE(),VLOOKUP(MAX(-5,$H155-L155),Volsmile,2),0)),$CG155,$CH155,($A155-DateToday)+15,1,1))*(8*$HE155),8*$HE155),0)),0))</f>
        <v> </v>
      </c>
      <c r="AE155" s="318" t="str">
        <f aca="false">IF($A155="N/A"," ",IF(VLOOKUP(MONTH(A155),ManualTable,6)=1,(IF(V155&lt;&gt;0,IF(Pricetype=1,(xSPRDOPT(M155,$E155,$CI155,0,($CD155+IF(Smile=TRUE(),VLOOKUP(MAX(-5,$H155-M155),Volsmile,2),0)),$CG155,$CH155,($A155-DateToday)+15,1,1))*(8*$HE155),8*$HE155),0)),0))</f>
        <v> </v>
      </c>
      <c r="AF155" s="318" t="str">
        <f aca="false">IF($A155="N/A"," ",IF(VLOOKUP(MONTH(A155),ManualTable,7)=1,(IF(W155&lt;&gt;0,(8*$HE155),0)),0))</f>
        <v> </v>
      </c>
      <c r="AG155" s="318" t="str">
        <f aca="false">IF($A155="N/A"," ",IF(VLOOKUP(MONTH(A155),ManualTable,8)=1,(IF(X155&lt;&gt;0,IF(Pricetype=1,(xSPRDOPT(O155,$E155,$CI155,0,($CD155+IF(Smile=TRUE(),VLOOKUP(MAX(-5,$H155-O155),Volsmile,2),0)),$CG155,$CH155,($A155-DateToday)+15,1,1))*(8*$HF155),8*$HF155),0)),0))</f>
        <v> </v>
      </c>
      <c r="AH155" s="318" t="str">
        <f aca="false">IF($A155="N/A"," ",IF(VLOOKUP(MONTH(A155),ManualTable,9)=1,(IF(Y155&lt;&gt;0,IF(Pricetype=1,(xSPRDOPT(P155,$E155,$CI155,0,($CD155+IF(Smile=TRUE(),VLOOKUP(MAX(-5,$H155-P155),Volsmile,2),0)),$CG155,$CH155,($A155-DateToday)+15,1,1))*(8*$HF155),8*$HF155),0)),0))</f>
        <v> </v>
      </c>
      <c r="AI155" s="318" t="str">
        <f aca="false">IF($A155="N/A"," ",IF(VLOOKUP(MONTH(A155),ManualTable,10)=1,(IF(Z155&lt;&gt;0,(8*($HF155)),0)),0))</f>
        <v> </v>
      </c>
      <c r="AJ155" s="344" t="str">
        <f aca="false">IF($A155="N/A"," ",RANK(R155,$R$148:$Z$159))</f>
        <v> </v>
      </c>
      <c r="AK155" s="321" t="str">
        <f aca="false">IF($A155="N/A"," ",RANK(S155,$R$148:$Z$159))</f>
        <v> </v>
      </c>
      <c r="AL155" s="321" t="str">
        <f aca="false">IF($A155="N/A"," ",RANK(T155,$R$148:$Z$159))</f>
        <v> </v>
      </c>
      <c r="AM155" s="321" t="str">
        <f aca="false">IF($A155="N/A"," ",RANK(U155,$R$148:$Z$159))</f>
        <v> </v>
      </c>
      <c r="AN155" s="321" t="str">
        <f aca="false">IF($A155="N/A"," ",RANK(V155,$R$148:$Z$159))</f>
        <v> </v>
      </c>
      <c r="AO155" s="321" t="str">
        <f aca="false">IF($A155="N/A"," ",RANK(W155,$R$148:$Z$159))</f>
        <v> </v>
      </c>
      <c r="AP155" s="321" t="str">
        <f aca="false">IF($A155="N/A"," ",RANK(X155,$R$148:$Z$159))</f>
        <v> </v>
      </c>
      <c r="AQ155" s="321" t="str">
        <f aca="false">IF($A155="N/A"," ",RANK(Y155,$R$148:$Z$159))</f>
        <v> </v>
      </c>
      <c r="AR155" s="345" t="str">
        <f aca="false">IF($A155="N/A"," ",RANK(Z155,$R$148:$Z$159))</f>
        <v> </v>
      </c>
      <c r="AS155" s="323" t="str">
        <f aca="false">IF($A155="N/A"," ",IF(AJ155&lt;=$AR$2,AA155,0))</f>
        <v> </v>
      </c>
      <c r="AT155" s="325" t="str">
        <f aca="false">IF($A155="N/A"," ",IF(AK155&lt;=$AR$2,AB155,0))</f>
        <v> </v>
      </c>
      <c r="AU155" s="325" t="str">
        <f aca="false">IF($A155="N/A"," ",IF(AL155&lt;=$AR$2,AC155,0))</f>
        <v> </v>
      </c>
      <c r="AV155" s="325" t="str">
        <f aca="false">IF($A155="N/A"," ",IF(AM155&lt;=$AR$2,AD155,0))</f>
        <v> </v>
      </c>
      <c r="AW155" s="325" t="str">
        <f aca="false">IF($A155="N/A"," ",IF(AN155&lt;=$AR$2,AE155,0))</f>
        <v> </v>
      </c>
      <c r="AX155" s="325" t="str">
        <f aca="false">IF($A155="N/A"," ",IF(AO155&lt;=$AR$2,AF155,0))</f>
        <v> </v>
      </c>
      <c r="AY155" s="325" t="str">
        <f aca="false">IF($A155="N/A"," ",IF(AP155&lt;=$AR$2,AG155,0))</f>
        <v> </v>
      </c>
      <c r="AZ155" s="325" t="str">
        <f aca="false">IF($A155="N/A"," ",IF(AQ155&lt;=$AR$2,AH155,0))</f>
        <v> </v>
      </c>
      <c r="BA155" s="325" t="str">
        <f aca="false">IF($A155="N/A"," ",IF(AR155&lt;=$AR$2,AI155,0))</f>
        <v> </v>
      </c>
      <c r="BB155" s="345"/>
      <c r="BC155" s="326" t="str">
        <f aca="false">IF($A155="N/A"," ",IF(AND(AJ155=$AR$2+1,AS155=0),MIN($BB$159,AA155),0))</f>
        <v> </v>
      </c>
      <c r="BD155" s="346" t="str">
        <f aca="false">IF($A155="N/A"," ",IF(AND(AK155=$AR$2+1,AT155=0),MIN($BB$159,AB155),0))</f>
        <v> </v>
      </c>
      <c r="BE155" s="346" t="str">
        <f aca="false">IF($A155="N/A"," ",IF(AND(AL155=$AR$2+1,AU155=0),MIN($BB$159,AC155),0))</f>
        <v> </v>
      </c>
      <c r="BF155" s="346" t="str">
        <f aca="false">IF($A155="N/A"," ",IF(AND(AM155=$AR$2+1,AV155=0),MIN($BB$159,AD155),0))</f>
        <v> </v>
      </c>
      <c r="BG155" s="346" t="str">
        <f aca="false">IF($A155="N/A"," ",IF(AND(AN155=$AR$2+1,AW155=0),MIN($BB$159,AE155),0))</f>
        <v> </v>
      </c>
      <c r="BH155" s="346" t="str">
        <f aca="false">IF($A155="N/A"," ",IF(AND(AO155=$AR$2+1,AX155=0),MIN($BB$159,AF155),0))</f>
        <v> </v>
      </c>
      <c r="BI155" s="346" t="str">
        <f aca="false">IF($A155="N/A"," ",IF(AND(AP155=$AR$2+1,AY155=0),MIN($BB$159,AG155),0))</f>
        <v> </v>
      </c>
      <c r="BJ155" s="346" t="str">
        <f aca="false">IF($A155="N/A"," ",IF(AND(AQ155=$AR$2+1,AZ155=0),MIN($BB$159,AH155),0))</f>
        <v> </v>
      </c>
      <c r="BK155" s="346" t="str">
        <f aca="false">IF($A155="N/A"," ",IF(AND(AR155=$AR$2+1,BA155=0),MIN($BB$159,AI155),0))</f>
        <v> </v>
      </c>
      <c r="BL155" s="345"/>
      <c r="BM155" s="329" t="str">
        <f aca="false">IF($A155="N/A"," ",(IF(MONTH(A155)&gt;=4,IF(MONTH(A155)&lt;=10,Inputs!$F$13-Inputs!$G$13,Inputs!$F$14-Inputs!$G$14),Inputs!$F$14-Inputs!$G$14))*$CK155*Availability)</f>
        <v> </v>
      </c>
      <c r="BN155" s="330" t="str">
        <f aca="false">IF($A155="N/A"," ",(IF(AS155&gt;0,($BM155*(8*($HD155))*R155),0)+IF(BC155&gt;0,($BM155*((BC155/AA155)*8*$HD155)*R155),0)))</f>
        <v> </v>
      </c>
      <c r="BO155" s="330" t="str">
        <f aca="false">IF($A155="N/A"," ",(IF(AT155&gt;0,($BM155*(8*($HD155))*S155),0)+IF(BD155&gt;0,($BM155*((BD155/AB155)*8*$HD155)*S155),0)))</f>
        <v> </v>
      </c>
      <c r="BP155" s="330" t="str">
        <f aca="false">IF($A155="N/A"," ",(IF(AU155&gt;0,($BM155*(8*($HD155))*T155),0)+IF(BE155&gt;0,($BM155*((BE155))*T155),0)))</f>
        <v> </v>
      </c>
      <c r="BQ155" s="330" t="str">
        <f aca="false">IF($A155="N/A"," ",(IF(AV155&gt;0,($BM155*(8*($HE155))*U155),0)+IF(BF155&gt;0,($BM155*((BF155/AD155)*8*$HE155)*U155),0)))</f>
        <v> </v>
      </c>
      <c r="BR155" s="330" t="str">
        <f aca="false">IF($A155="N/A"," ",(IF(AW155&gt;0,($BM155*(8*($HE155))*V155),0)+IF(BG155&gt;0,($BM155*((BG155/AE155)*8*$HE155)*V155),0)))</f>
        <v> </v>
      </c>
      <c r="BS155" s="330" t="str">
        <f aca="false">IF($A155="N/A"," ",(IF(AX155&gt;0,($BM155*(8*($HE155))*W155),0)+IF(BH155&gt;0,($BM155*((BH155))*W155),0)))</f>
        <v> </v>
      </c>
      <c r="BT155" s="330" t="str">
        <f aca="false">IF($A155="N/A"," ",(IF(AY155&gt;0,($BM155*(8*($HF155))*X155),0)+IF(BI155&gt;0,($BM155*((BI155/AG155)*8*$HF155)*X155),0)))</f>
        <v> </v>
      </c>
      <c r="BU155" s="330" t="str">
        <f aca="false">IF($A155="N/A"," ",(IF(AZ155&gt;0,($BM155*(8*($HF155))*Y155),0)+IF(BJ155&gt;0,($BM155*((BJ155/AH155)*8*$HF155)*Y155),0)))</f>
        <v> </v>
      </c>
      <c r="BV155" s="330" t="str">
        <f aca="false">IF($A155="N/A"," ",(IF(BA155&gt;0,($BM155*(8*($HF155))*Z155),0)+IF(BK155&gt;0,($BM155*((BK155))*Z155),0)))</f>
        <v> </v>
      </c>
      <c r="BW155" s="330" t="str">
        <f aca="false">IF($A155="N/A"," ",SUM(BN155:BV155))</f>
        <v> </v>
      </c>
      <c r="BX155" s="331" t="str">
        <f aca="false">IF($A155="N/A"," ",(H155*(SUM(AS155:BA155)+SUM(BC155:BK155))*BM155))</f>
        <v> </v>
      </c>
      <c r="BY155" s="332" t="str">
        <f aca="false">IF($A155="N/A"," ",((C155*D155)*(SUM($AS155:$BA155)+SUM($BC155:$BK155))*$BM155))</f>
        <v> </v>
      </c>
      <c r="BZ155" s="332" t="str">
        <f aca="false">IF($A155="N/A"," ",(F155*(SUM($AS155:$BA155)+SUM($BC155:$BK155))*$BM155))</f>
        <v> </v>
      </c>
      <c r="CA155" s="333" t="str">
        <f aca="false">IF($A155="N/A"," ",(G155*(SUM($AS155:$BA155)+SUM($BC155:$BK155))*$BM155))</f>
        <v> </v>
      </c>
      <c r="CB155" s="334" t="str">
        <f aca="false">IF(A155="N/A"," ",(VLOOKUP(A155,PowerVolTable,(IF(BMO=2,7,IF(BMO=1,6,8))),FALSE())))</f>
        <v> </v>
      </c>
      <c r="CC155" s="334" t="str">
        <f aca="false">IF(A155="N/A"," ",(VLOOKUP(A155,IntraPowerVol,(IF(BMO=2,3,IF(BMO=1,2,4))),FALSE())*VLOOKUP(MONTH($A155),Volscale,2)))</f>
        <v> </v>
      </c>
      <c r="CD155" s="335" t="str">
        <f aca="false">IF($A155="N/A"," ",(IF(DateToday&gt;$A155,$CC155,((($CB155^2)*((($A155-1)-DateToday)/((EOMONTH($A155,0)+1)-DateToday-15)))+((($CC155)^2)*((15)/((EOMONTH($A155,0)+1)-DateToday-15))))^0.5)))</f>
        <v> </v>
      </c>
      <c r="CE155" s="334" t="str">
        <f aca="false">IF($A155="N/A"," ",(VLOOKUP($A155,GasVolTable,(IF(BMO=2,6,IF(BMO=1,7,5))),FALSE())))</f>
        <v> </v>
      </c>
      <c r="CF155" s="334" t="str">
        <f aca="false">IF($A155="N/A"," ",(VLOOKUP($A155,OmicronVol,(IF(BMO=2,3,IF(BMO=1,4,2))),FALSE())))</f>
        <v> </v>
      </c>
      <c r="CG155" s="335" t="str">
        <f aca="false">IF($A155="N/A"," ",(IF(DateToday&gt;$A155,$CF155,((($CE155^2)*((($A155-1)-DateToday)/((EOMONTH($A155,0)+1)-DateToday-15)))+((($CF155)^2)*((15)/((EOMONTH($A155,0)+1)-DateToday-15))))^0.5)))</f>
        <v> </v>
      </c>
      <c r="CH155" s="334" t="str">
        <f aca="false">IF($A155="N/A"," ",VLOOKUP($A155,CorrelationTable,2,FALSE()))</f>
        <v> </v>
      </c>
      <c r="CI155" s="336" t="str">
        <f aca="false">IF($A155="N/A"," ",F155+G155+(D155*('Pricing Inputs'!T188)))</f>
        <v> </v>
      </c>
      <c r="CJ155" s="334" t="str">
        <f aca="false">IF($A155="N/A"," ",IF(PV=1,0,'Pricing Inputs'!U188))</f>
        <v> </v>
      </c>
      <c r="CK155" s="337" t="str">
        <f aca="false">IF($A155="N/A"," ",(1+CJ155/2)^(-2*((EOMONTH(A155,0)+20)-DateToday)/365.25))</f>
        <v> </v>
      </c>
      <c r="CL155" s="338" t="str">
        <f aca="false">IF(A155="N/A"," ",IF(CC=2,(VLOOKUP(MONTH($A155),Hrtable,3))/1000,0))</f>
        <v> </v>
      </c>
      <c r="CM155" s="339" t="str">
        <f aca="false">IF(A155="N/A"," ",IF(CC=2,(CL155*C155)+F155,0))</f>
        <v> </v>
      </c>
      <c r="CN155" s="340" t="str">
        <f aca="false">IF($A155="N/A"," ",IF(CC=2,(VLOOKUP(A155,ScaledPrice,(IF(AND(Dayrun&gt;=1,Dayrun&lt;=6),2,4)))-((IF(R155&lt;&gt;0,$D155,$CL155)*$C155)+$F155+$G155)),0))</f>
        <v> </v>
      </c>
      <c r="CO155" s="340" t="str">
        <f aca="false">IF($A155="N/A"," ",IF(CC=2,(IF(AND(Dayrun&gt;=1,Dayrun&lt;=6),I155,(VLOOKUP(A155,ScaledPrice,2))*(2-(VLOOKUP(A155,ScaledPrice,3))))-((IF(S155&lt;&gt;0,$D155,$CL155)*$C155)+$F155+$G155)),0))</f>
        <v> </v>
      </c>
      <c r="CP155" s="340" t="str">
        <f aca="false">IF(A155="N/A"," ",IF(CC=2,(VLOOKUP(A155,ScaledPrice,9)-((IF(T155&lt;&gt;0,$D155,$CL155)*$C155)+$F155+$G155)),0))</f>
        <v> </v>
      </c>
      <c r="CQ155" s="340" t="str">
        <f aca="false">IF(A155="N/A"," ",IF(CC=2,(IF(OR(Dayrun=2,Dayrun=3,Dayrun=5,Dayrun=6,Dayrun=8,Dayrun=9),VLOOKUP(A155,ScaledPrice,IF(AND(Dayrun&gt;=2,Dayrun&lt;=6),5,6)),0)-((IF(U155&lt;&gt;0,$D155,$CL155)*$C155)+$F155+$G155)),0))</f>
        <v> </v>
      </c>
      <c r="CR155" s="340" t="str">
        <f aca="false">IF(A155="N/A"," ",IF(CC=2,(IF(OR(Dayrun=2,Dayrun=3,Dayrun=5,Dayrun=6,Dayrun=8,Dayrun=9),IF(AND(Dayrun&gt;=2,Dayrun&lt;=6),L155,(VLOOKUP(A155,ScaledPrice,5))*(2-(VLOOKUP(A155,ScaledPrice,3)))),0)-((IF(V155&lt;&gt;0,$D155,$CL155)*$C155)+$F155+$G155)),0))</f>
        <v> </v>
      </c>
      <c r="CS155" s="340" t="str">
        <f aca="false">IF(A155="N/A"," ",IF(CC=2,(VLOOKUP(A155,ScaledPrice,9)-((IF(W155&lt;&gt;0,$D155,$CL155)*$C155)+$F155+$G155)),0))</f>
        <v> </v>
      </c>
      <c r="CT155" s="340" t="str">
        <f aca="false">IF(A155="N/A"," ",IF(CC=2,(IF(OR(Dayrun=3,Dayrun=6,Dayrun=9),(VLOOKUP(A155,ScaledPrice,IF(AND(Dayrun&gt;=3,Dayrun&lt;=6),7,8))),0)-((IF(X155&lt;&gt;0,$D155,$CL155)*$C155)+$F155+$G155)),0))</f>
        <v> </v>
      </c>
      <c r="CU155" s="340" t="str">
        <f aca="false">IF(A155="N/A"," ",IF(CC=2,(IF(OR(Dayrun=3,Dayrun=6,Dayrun=9),IF(AND(Dayrun&gt;=3,Dayrun&lt;=6),O155,(VLOOKUP(A155,ScaledPrice,7))*(2-(VLOOKUP(A155,ScaledPrice,3)))),0)-((IF(Y155&lt;&gt;0,$D155,$CL155)*$C155)+$F155+$G155)),0))</f>
        <v> </v>
      </c>
      <c r="CV155" s="340" t="str">
        <f aca="false">IF(A155="N/A"," ",IF(CC=2,(VLOOKUP(A155,ScaledPrice,9)-((IF(Z155&lt;&gt;0,$D155,$CL155)*$C155)+$F155+$G155)),0))</f>
        <v> </v>
      </c>
      <c r="CW155" s="318" t="str">
        <f aca="false">IF($A155="N/A"," ",IF(0&lt;&gt;CN155,IF(CC=2,8*$HD155,0),0))</f>
        <v> </v>
      </c>
      <c r="CX155" s="318" t="str">
        <f aca="false">IF($A155="N/A"," ",IF(0&lt;&gt;CO155,IF(CC=2,8*$HD155,0),0))</f>
        <v> </v>
      </c>
      <c r="CY155" s="318" t="str">
        <f aca="false">IF($A155="N/A"," ",IF(0&lt;&gt;CP155,IF(CC=2,8*$HD155,0),0))</f>
        <v> </v>
      </c>
      <c r="CZ155" s="318" t="str">
        <f aca="false">IF($A155="N/A"," ",IF(0&lt;&gt;CQ155,IF(CC=2,8*$HE155,0),0))</f>
        <v> </v>
      </c>
      <c r="DA155" s="318" t="str">
        <f aca="false">IF($A155="N/A"," ",IF(0&lt;&gt;CR155,IF(CC=2,8*$HE155,0),0))</f>
        <v> </v>
      </c>
      <c r="DB155" s="318" t="str">
        <f aca="false">IF($A155="N/A"," ",IF(0&lt;&gt;CS155,IF(CC=2,8*$HE155,0),0))</f>
        <v> </v>
      </c>
      <c r="DC155" s="318" t="str">
        <f aca="false">IF($A155="N/A"," ",IF(0&lt;&gt;CT155,IF(CC=2,8*$HF155,0),0))</f>
        <v> </v>
      </c>
      <c r="DD155" s="318" t="str">
        <f aca="false">IF($A155="N/A"," ",IF(0&lt;&gt;CU155,IF(CC=2,8*$HF155,0),0))</f>
        <v> </v>
      </c>
      <c r="DE155" s="318" t="str">
        <f aca="false">IF($A155="N/A"," ",IF(0&lt;&gt;CV155,IF(CC=2,8*$HF155,0),0))</f>
        <v> </v>
      </c>
      <c r="DF155" s="341" t="str">
        <f aca="false">IF($A155="N/A"," ",IF(CC=2,(IF(MONTH(A155)&gt;=4,IF(MONTH(A155)&lt;=10,Inputs!$G$13,Inputs!$G$14),Inputs!$G$14))*$CK155,0))</f>
        <v> </v>
      </c>
      <c r="DG155" s="342" t="str">
        <f aca="false">IF($A155="N/A"," ",IF(CC=2,$DF155*CW155*CN155,0))</f>
        <v> </v>
      </c>
      <c r="DH155" s="342" t="str">
        <f aca="false">IF($A155="N/A"," ",IF(CC=2,$DF155*CX155*CO155,0))</f>
        <v> </v>
      </c>
      <c r="DI155" s="342" t="str">
        <f aca="false">IF($A155="N/A"," ",IF(CC=2,$DF155*CY155*CP155,0))</f>
        <v> </v>
      </c>
      <c r="DJ155" s="342" t="str">
        <f aca="false">IF($A155="N/A"," ",IF(CC=2,$DF155*CZ155*CQ155,0))</f>
        <v> </v>
      </c>
      <c r="DK155" s="342" t="str">
        <f aca="false">IF($A155="N/A"," ",IF(CC=2,$DF155*DA155*CR155,0))</f>
        <v> </v>
      </c>
      <c r="DL155" s="342" t="str">
        <f aca="false">IF($A155="N/A"," ",IF(CC=2,$DF155*DB155*CS155,0))</f>
        <v> </v>
      </c>
      <c r="DM155" s="342" t="str">
        <f aca="false">IF($A155="N/A"," ",IF(CC=2,$DF155*DC155*CT155,0))</f>
        <v> </v>
      </c>
      <c r="DN155" s="342" t="str">
        <f aca="false">IF($A155="N/A"," ",IF(CC=2,$DF155*DD155*CU155,0))</f>
        <v> </v>
      </c>
      <c r="DO155" s="342" t="str">
        <f aca="false">IF($A155="N/A"," ",IF(CC=2,$DF155*DE155*CV155,0))</f>
        <v> </v>
      </c>
      <c r="DP155" s="343" t="str">
        <f aca="false">IF($A155="N/A"," ",IF(CC=2,SUM(DG155:DO155),0))</f>
        <v> </v>
      </c>
      <c r="DQ155" s="0" t="str">
        <f aca="false">IF(A155="N/A"," ",Perstart)</f>
        <v> </v>
      </c>
      <c r="HD155" s="0" t="str">
        <f aca="false">IF($A155="N/A"," ",VLOOKUP($A155,NumberofDaysTable,2))</f>
        <v> </v>
      </c>
      <c r="HE155" s="0" t="str">
        <f aca="false">IF($A155="N/A"," ",VLOOKUP($A155,NumberofDaysTable,3))</f>
        <v> </v>
      </c>
      <c r="HF155" s="0" t="str">
        <f aca="false">IF($A155="N/A"," ",VLOOKUP($A155,NumberofDaysTable,4))</f>
        <v> </v>
      </c>
    </row>
    <row r="156" customFormat="false" ht="12.75" hidden="false" customHeight="false" outlineLevel="0" collapsed="false">
      <c r="A156" s="308" t="str">
        <f aca="false">IF(A155="N/A","N/A",IF(EDATE(A155,1)&gt;Inputs!$K$3,"N/A",EDATE(A155,1)))</f>
        <v>N/A</v>
      </c>
      <c r="B156" s="309" t="str">
        <f aca="false">IF(A156="N/A"," ",YEAR(A156))</f>
        <v> </v>
      </c>
      <c r="C156" s="310" t="str">
        <f aca="false">IF(A156="N/A"," ",VLOOKUP(A156,ScaledPrice,10))</f>
        <v> </v>
      </c>
      <c r="D156" s="311" t="str">
        <f aca="false">IF(A156="N/A"," ",(VLOOKUP(MONTH($A156),Hrtable,2))/1000)</f>
        <v> </v>
      </c>
      <c r="E156" s="312" t="str">
        <f aca="false">IF($A156="N/A"," ",(C156-'Pricing Inputs'!T189)*D156)</f>
        <v> </v>
      </c>
      <c r="F156" s="313" t="str">
        <f aca="false">IF(A156="N/A"," ",$F144*(1+VOMesc))</f>
        <v> </v>
      </c>
      <c r="G156" s="313" t="str">
        <f aca="false">IF(A156="N/A"," ",Perstart/IF(AND(Dayrun&gt;=4,Dayrun&lt;=6),16,IF(AND(Dayrun&gt;=7,Dayrun&lt;=9),8,24))/(BM156/CK156))</f>
        <v> </v>
      </c>
      <c r="H156" s="314" t="str">
        <f aca="false">IF(A156="N/A"," ",(C156*D156)+F156+G156)</f>
        <v> </v>
      </c>
      <c r="I156" s="315" t="str">
        <f aca="false">VLOOKUP(A156,ScaledPrice,(IF(AND(Dayrun&gt;=1,Dayrun&lt;=6),2,4)))</f>
        <v> </v>
      </c>
      <c r="J156" s="315" t="str">
        <f aca="false">IF(A156="N/A"," ",IF(AND(Dayrun&gt;=1,Dayrun&lt;=6),I156,(VLOOKUP(A156,ScaledPrice,2))*(2-(VLOOKUP(A156,ScaledPrice,3)))))</f>
        <v> </v>
      </c>
      <c r="K156" s="315" t="str">
        <f aca="false">IF(A156="N/A"," ",IF(AND(Dayrun&gt;=1,Dayrun&lt;=3),VLOOKUP(A156,ScaledPrice,9),0))</f>
        <v> </v>
      </c>
      <c r="L156" s="315" t="str">
        <f aca="false">IF(A156="N/A"," ",IF(OR(Dayrun=2,Dayrun=3,Dayrun=5,Dayrun=6,Dayrun=8,Dayrun=9),VLOOKUP(A156,ScaledPrice,IF(AND(Dayrun&gt;=2,Dayrun&lt;=6),5,6)),0))</f>
        <v> </v>
      </c>
      <c r="M156" s="315" t="str">
        <f aca="false">IF(A156="N/A"," ",IF(OR(Dayrun=2,Dayrun=3,Dayrun=5,Dayrun=6,Dayrun=8,Dayrun=9),IF(AND(Dayrun&gt;=2,Dayrun&lt;=6),L156,(VLOOKUP(A156,ScaledPrice,5))*(2-(VLOOKUP(A156,ScaledPrice,3)))),0))</f>
        <v> </v>
      </c>
      <c r="N156" s="315" t="str">
        <f aca="false">IF(A156="N/A"," ",IF(AND(Dayrun&gt;1,Dayrun&lt;=3),VLOOKUP(A156,ScaledPrice,9),0))</f>
        <v> </v>
      </c>
      <c r="O156" s="315" t="str">
        <f aca="false">IF(A156="N/A"," ",IF(OR(Dayrun=3,Dayrun=6,Dayrun=9),(VLOOKUP(A156,ScaledPrice,IF(AND(Dayrun&gt;=3,Dayrun&lt;=6),7,8))),0))</f>
        <v> </v>
      </c>
      <c r="P156" s="315" t="str">
        <f aca="false">IF(A156="N/A"," ",IF(OR(Dayrun=3,Dayrun=6,Dayrun=9),IF(AND(Dayrun&gt;=3,Dayrun&lt;=6),O156,(VLOOKUP(A156,ScaledPrice,7))*(2-(VLOOKUP(A156,ScaledPrice,3)))),0))</f>
        <v> </v>
      </c>
      <c r="Q156" s="315" t="str">
        <f aca="false">IF(A156="N/A"," ",IF(AND(Dayrun&gt;2,Dayrun&lt;=3),VLOOKUP(A156,ScaledPrice,9),0))</f>
        <v> </v>
      </c>
      <c r="R156" s="316" t="str">
        <f aca="false">IF($A156="N/A"," ",IF(Pricetype=2,MAX(I156-$H156,0),IF(Pricetype=1,(xSPRDOPT(I156,$E156,$CI156,0,($CD156+IF(Smile=TRUE(),VLOOKUP(MAX(-5,$H156-I156),Volsmile,2),0)),$CG156,$CH156,($A156-DateToday)+15,1,0)),I156-$H156)))</f>
        <v> </v>
      </c>
      <c r="S156" s="316" t="str">
        <f aca="false">IF($A156="N/A"," ",IF(Pricetype=2,MAX(J156-$H156,0),IF(Pricetype=1,(xSPRDOPT(J156,$E156,$CI156,0,($CD156+IF(Smile=TRUE(),VLOOKUP(MAX(-5,$H156-J156),Volsmile,2),0)),$CG156,$CH156,($A156-DateToday)+15,1,0)),J156-$H156)))</f>
        <v> </v>
      </c>
      <c r="T156" s="317" t="str">
        <f aca="false">IF($A156="N/A"," ",(IF(Pricetype=2,IF((K156-$H156)&lt;=0,0,(K156-$H156)),IF(K156&lt;&gt;0,(K156-$H156),0))))</f>
        <v> </v>
      </c>
      <c r="U156" s="316" t="str">
        <f aca="false">IF($A156="N/A"," ",IF(Pricetype=2,MAX(L156-$H156,0),IF(L156&lt;&gt;0,IF(Pricetype=1,(xSPRDOPT(L156,$E156,$CI156,0,($CD156+IF(Smile=TRUE(),VLOOKUP(MAX(-5,$H156-L156),Volsmile,2),0)),$CG156,$CH156,($A156-DateToday)+15,1,0)),L156-$H156),0)))</f>
        <v> </v>
      </c>
      <c r="V156" s="316" t="str">
        <f aca="false">IF($A156="N/A"," ",IF(Pricetype=2,MAX(M156-$H156,0),IF(M156&lt;&gt;0,IF(Pricetype=1,(xSPRDOPT(M156,$E156,$CI156,0,($CD156+IF(Smile=TRUE(),VLOOKUP(MAX(-5,$H156-M156),Volsmile,2),0)),$CG156,$CH156,($A156-DateToday)+15,1,0)),M156-$H156),0)))</f>
        <v> </v>
      </c>
      <c r="W156" s="317" t="str">
        <f aca="false">IF($A156="N/A"," ",(IF(Pricetype=2,IF((N156-$H156)&lt;=0,0,(N156-$H156)),IF(N156&lt;&gt;0,(N156-$H156),0))))</f>
        <v> </v>
      </c>
      <c r="X156" s="316" t="str">
        <f aca="false">IF($A156="N/A"," ",IF(Pricetype=2,MAX(O156-$H156,0),IF(O156&lt;&gt;0,IF(Pricetype=1,(xSPRDOPT(O156,$E156,$CI156,0,($CD156+IF(Smile=TRUE(),VLOOKUP(MAX(-5,$H156-O156),Volsmile,2),0)),$CG156,$CH156,($A156-DateToday)+15,1,0)),O156-$H156),0)))</f>
        <v> </v>
      </c>
      <c r="Y156" s="316" t="str">
        <f aca="false">IF($A156="N/A"," ",IF(Pricetype=2,MAX(P156-$H156,0),IF(P156&lt;&gt;0,IF(Pricetype=1,(xSPRDOPT(P156,$E156,$CI156,0,($CD156+IF(Smile=TRUE(),VLOOKUP(MAX(-5,$H156-P156),Volsmile,2),0)),$CG156,$CH156,($A156-DateToday)+15,1,0)),P156-$H156),0)))</f>
        <v> </v>
      </c>
      <c r="Z156" s="317" t="str">
        <f aca="false">IF($A156="N/A"," ",(IF(Pricetype=2,IF((Q156-$H156)&lt;=0,0,(Q156-$H156)),IF(Q156&lt;&gt;0,(Q156-$H156),0))))</f>
        <v> </v>
      </c>
      <c r="AA156" s="318" t="str">
        <f aca="false">IF($A156="N/A"," ",IF(VLOOKUP(MONTH(A156),ManualTable,2)=1,(IF(0&lt;&gt;R156,IF(Pricetype=1,(xSPRDOPT(I156,$E156,$CI156,0,($CD156+IF(Smile=TRUE(),VLOOKUP(MAX(-5,$H156-I156),Volsmile,2),0)),$CG156,$CH156,($A156-DateToday)+15,1,1))*(8*$HD156),8*$HD156),0)),0))</f>
        <v> </v>
      </c>
      <c r="AB156" s="318" t="str">
        <f aca="false">IF($A156="N/A"," ",IF(VLOOKUP(MONTH(A156),ManualTable,3)=1,(IF(S156&lt;&gt;0,IF(Pricetype=1,(xSPRDOPT(J156,$E156,$CI156,0,($CD156+IF(Smile=TRUE(),VLOOKUP(MAX(-5,$H156-J156),Volsmile,2),0)),$CG156,$CH156,($A156-DateToday)+15,1,1))*(8*$HD156),8*$HD156),0)),0))</f>
        <v> </v>
      </c>
      <c r="AC156" s="318" t="str">
        <f aca="false">IF($A156="N/A"," ",IF(VLOOKUP(MONTH(A156),ManualTable,4)=1,(IF(T156&lt;&gt;0,(8*$HD156),0)),0))</f>
        <v> </v>
      </c>
      <c r="AD156" s="318" t="str">
        <f aca="false">IF($A156="N/A"," ",IF(VLOOKUP(MONTH(A156),ManualTable,5)=1,(IF(U156&lt;&gt;0,IF(Pricetype=1,(xSPRDOPT(L156,$E156,$CI156,0,($CD156+IF(Smile=TRUE(),VLOOKUP(MAX(-5,$H156-L156),Volsmile,2),0)),$CG156,$CH156,($A156-DateToday)+15,1,1))*(8*$HE156),8*$HE156),0)),0))</f>
        <v> </v>
      </c>
      <c r="AE156" s="318" t="str">
        <f aca="false">IF($A156="N/A"," ",IF(VLOOKUP(MONTH(A156),ManualTable,6)=1,(IF(V156&lt;&gt;0,IF(Pricetype=1,(xSPRDOPT(M156,$E156,$CI156,0,($CD156+IF(Smile=TRUE(),VLOOKUP(MAX(-5,$H156-M156),Volsmile,2),0)),$CG156,$CH156,($A156-DateToday)+15,1,1))*(8*$HE156),8*$HE156),0)),0))</f>
        <v> </v>
      </c>
      <c r="AF156" s="318" t="str">
        <f aca="false">IF($A156="N/A"," ",IF(VLOOKUP(MONTH(A156),ManualTable,7)=1,(IF(W156&lt;&gt;0,(8*$HE156),0)),0))</f>
        <v> </v>
      </c>
      <c r="AG156" s="318" t="str">
        <f aca="false">IF($A156="N/A"," ",IF(VLOOKUP(MONTH(A156),ManualTable,8)=1,(IF(X156&lt;&gt;0,IF(Pricetype=1,(xSPRDOPT(O156,$E156,$CI156,0,($CD156+IF(Smile=TRUE(),VLOOKUP(MAX(-5,$H156-O156),Volsmile,2),0)),$CG156,$CH156,($A156-DateToday)+15,1,1))*(8*$HF156),8*$HF156),0)),0))</f>
        <v> </v>
      </c>
      <c r="AH156" s="318" t="str">
        <f aca="false">IF($A156="N/A"," ",IF(VLOOKUP(MONTH(A156),ManualTable,9)=1,(IF(Y156&lt;&gt;0,IF(Pricetype=1,(xSPRDOPT(P156,$E156,$CI156,0,($CD156+IF(Smile=TRUE(),VLOOKUP(MAX(-5,$H156-P156),Volsmile,2),0)),$CG156,$CH156,($A156-DateToday)+15,1,1))*(8*$HF156),8*$HF156),0)),0))</f>
        <v> </v>
      </c>
      <c r="AI156" s="318" t="str">
        <f aca="false">IF($A156="N/A"," ",IF(VLOOKUP(MONTH(A156),ManualTable,10)=1,(IF(Z156&lt;&gt;0,(8*($HF156)),0)),0))</f>
        <v> </v>
      </c>
      <c r="AJ156" s="344" t="str">
        <f aca="false">IF($A156="N/A"," ",RANK(R156,$R$148:$Z$159))</f>
        <v> </v>
      </c>
      <c r="AK156" s="321" t="str">
        <f aca="false">IF($A156="N/A"," ",RANK(S156,$R$148:$Z$159))</f>
        <v> </v>
      </c>
      <c r="AL156" s="321" t="str">
        <f aca="false">IF($A156="N/A"," ",RANK(T156,$R$148:$Z$159))</f>
        <v> </v>
      </c>
      <c r="AM156" s="321" t="str">
        <f aca="false">IF($A156="N/A"," ",RANK(U156,$R$148:$Z$159))</f>
        <v> </v>
      </c>
      <c r="AN156" s="321" t="str">
        <f aca="false">IF($A156="N/A"," ",RANK(V156,$R$148:$Z$159))</f>
        <v> </v>
      </c>
      <c r="AO156" s="321" t="str">
        <f aca="false">IF($A156="N/A"," ",RANK(W156,$R$148:$Z$159))</f>
        <v> </v>
      </c>
      <c r="AP156" s="321" t="str">
        <f aca="false">IF($A156="N/A"," ",RANK(X156,$R$148:$Z$159))</f>
        <v> </v>
      </c>
      <c r="AQ156" s="321" t="str">
        <f aca="false">IF($A156="N/A"," ",RANK(Y156,$R$148:$Z$159))</f>
        <v> </v>
      </c>
      <c r="AR156" s="345" t="str">
        <f aca="false">IF($A156="N/A"," ",RANK(Z156,$R$148:$Z$159))</f>
        <v> </v>
      </c>
      <c r="AS156" s="323" t="str">
        <f aca="false">IF($A156="N/A"," ",IF(AJ156&lt;=$AR$2,AA156,0))</f>
        <v> </v>
      </c>
      <c r="AT156" s="325" t="str">
        <f aca="false">IF($A156="N/A"," ",IF(AK156&lt;=$AR$2,AB156,0))</f>
        <v> </v>
      </c>
      <c r="AU156" s="325" t="str">
        <f aca="false">IF($A156="N/A"," ",IF(AL156&lt;=$AR$2,AC156,0))</f>
        <v> </v>
      </c>
      <c r="AV156" s="325" t="str">
        <f aca="false">IF($A156="N/A"," ",IF(AM156&lt;=$AR$2,AD156,0))</f>
        <v> </v>
      </c>
      <c r="AW156" s="325" t="str">
        <f aca="false">IF($A156="N/A"," ",IF(AN156&lt;=$AR$2,AE156,0))</f>
        <v> </v>
      </c>
      <c r="AX156" s="325" t="str">
        <f aca="false">IF($A156="N/A"," ",IF(AO156&lt;=$AR$2,AF156,0))</f>
        <v> </v>
      </c>
      <c r="AY156" s="325" t="str">
        <f aca="false">IF($A156="N/A"," ",IF(AP156&lt;=$AR$2,AG156,0))</f>
        <v> </v>
      </c>
      <c r="AZ156" s="325" t="str">
        <f aca="false">IF($A156="N/A"," ",IF(AQ156&lt;=$AR$2,AH156,0))</f>
        <v> </v>
      </c>
      <c r="BA156" s="325" t="str">
        <f aca="false">IF($A156="N/A"," ",IF(AR156&lt;=$AR$2,AI156,0))</f>
        <v> </v>
      </c>
      <c r="BB156" s="345"/>
      <c r="BC156" s="326" t="str">
        <f aca="false">IF($A156="N/A"," ",IF(AND(AJ156=$AR$2+1,AS156=0),MIN($BB$159,AA156),0))</f>
        <v> </v>
      </c>
      <c r="BD156" s="346" t="str">
        <f aca="false">IF($A156="N/A"," ",IF(AND(AK156=$AR$2+1,AT156=0),MIN($BB$159,AB156),0))</f>
        <v> </v>
      </c>
      <c r="BE156" s="346" t="str">
        <f aca="false">IF($A156="N/A"," ",IF(AND(AL156=$AR$2+1,AU156=0),MIN($BB$159,AC156),0))</f>
        <v> </v>
      </c>
      <c r="BF156" s="346" t="str">
        <f aca="false">IF($A156="N/A"," ",IF(AND(AM156=$AR$2+1,AV156=0),MIN($BB$159,AD156),0))</f>
        <v> </v>
      </c>
      <c r="BG156" s="346" t="str">
        <f aca="false">IF($A156="N/A"," ",IF(AND(AN156=$AR$2+1,AW156=0),MIN($BB$159,AE156),0))</f>
        <v> </v>
      </c>
      <c r="BH156" s="346" t="str">
        <f aca="false">IF($A156="N/A"," ",IF(AND(AO156=$AR$2+1,AX156=0),MIN($BB$159,AF156),0))</f>
        <v> </v>
      </c>
      <c r="BI156" s="346" t="str">
        <f aca="false">IF($A156="N/A"," ",IF(AND(AP156=$AR$2+1,AY156=0),MIN($BB$159,AG156),0))</f>
        <v> </v>
      </c>
      <c r="BJ156" s="346" t="str">
        <f aca="false">IF($A156="N/A"," ",IF(AND(AQ156=$AR$2+1,AZ156=0),MIN($BB$159,AH156),0))</f>
        <v> </v>
      </c>
      <c r="BK156" s="346" t="str">
        <f aca="false">IF($A156="N/A"," ",IF(AND(AR156=$AR$2+1,BA156=0),MIN($BB$159,AI156),0))</f>
        <v> </v>
      </c>
      <c r="BL156" s="345"/>
      <c r="BM156" s="329" t="str">
        <f aca="false">IF($A156="N/A"," ",(IF(MONTH(A156)&gt;=4,IF(MONTH(A156)&lt;=10,Inputs!$F$13-Inputs!$G$13,Inputs!$F$14-Inputs!$G$14),Inputs!$F$14-Inputs!$G$14))*$CK156*Availability)</f>
        <v> </v>
      </c>
      <c r="BN156" s="330" t="str">
        <f aca="false">IF($A156="N/A"," ",(IF(AS156&gt;0,($BM156*(8*($HD156))*R156),0)+IF(BC156&gt;0,($BM156*((BC156/AA156)*8*$HD156)*R156),0)))</f>
        <v> </v>
      </c>
      <c r="BO156" s="330" t="str">
        <f aca="false">IF($A156="N/A"," ",(IF(AT156&gt;0,($BM156*(8*($HD156))*S156),0)+IF(BD156&gt;0,($BM156*((BD156/AB156)*8*$HD156)*S156),0)))</f>
        <v> </v>
      </c>
      <c r="BP156" s="330" t="str">
        <f aca="false">IF($A156="N/A"," ",(IF(AU156&gt;0,($BM156*(8*($HD156))*T156),0)+IF(BE156&gt;0,($BM156*((BE156))*T156),0)))</f>
        <v> </v>
      </c>
      <c r="BQ156" s="330" t="str">
        <f aca="false">IF($A156="N/A"," ",(IF(AV156&gt;0,($BM156*(8*($HE156))*U156),0)+IF(BF156&gt;0,($BM156*((BF156/AD156)*8*$HE156)*U156),0)))</f>
        <v> </v>
      </c>
      <c r="BR156" s="330" t="str">
        <f aca="false">IF($A156="N/A"," ",(IF(AW156&gt;0,($BM156*(8*($HE156))*V156),0)+IF(BG156&gt;0,($BM156*((BG156/AE156)*8*$HE156)*V156),0)))</f>
        <v> </v>
      </c>
      <c r="BS156" s="330" t="str">
        <f aca="false">IF($A156="N/A"," ",(IF(AX156&gt;0,($BM156*(8*($HE156))*W156),0)+IF(BH156&gt;0,($BM156*((BH156))*W156),0)))</f>
        <v> </v>
      </c>
      <c r="BT156" s="330" t="str">
        <f aca="false">IF($A156="N/A"," ",(IF(AY156&gt;0,($BM156*(8*($HF156))*X156),0)+IF(BI156&gt;0,($BM156*((BI156/AG156)*8*$HF156)*X156),0)))</f>
        <v> </v>
      </c>
      <c r="BU156" s="330" t="str">
        <f aca="false">IF($A156="N/A"," ",(IF(AZ156&gt;0,($BM156*(8*($HF156))*Y156),0)+IF(BJ156&gt;0,($BM156*((BJ156/AH156)*8*$HF156)*Y156),0)))</f>
        <v> </v>
      </c>
      <c r="BV156" s="330" t="str">
        <f aca="false">IF($A156="N/A"," ",(IF(BA156&gt;0,($BM156*(8*($HF156))*Z156),0)+IF(BK156&gt;0,($BM156*((BK156))*Z156),0)))</f>
        <v> </v>
      </c>
      <c r="BW156" s="330" t="str">
        <f aca="false">IF($A156="N/A"," ",SUM(BN156:BV156))</f>
        <v> </v>
      </c>
      <c r="BX156" s="331" t="str">
        <f aca="false">IF($A156="N/A"," ",(H156*(SUM(AS156:BA156)+SUM(BC156:BK156))*BM156))</f>
        <v> </v>
      </c>
      <c r="BY156" s="332" t="str">
        <f aca="false">IF($A156="N/A"," ",((C156*D156)*(SUM($AS156:$BA156)+SUM($BC156:$BK156))*$BM156))</f>
        <v> </v>
      </c>
      <c r="BZ156" s="332" t="str">
        <f aca="false">IF($A156="N/A"," ",(F156*(SUM($AS156:$BA156)+SUM($BC156:$BK156))*$BM156))</f>
        <v> </v>
      </c>
      <c r="CA156" s="333" t="str">
        <f aca="false">IF($A156="N/A"," ",(G156*(SUM($AS156:$BA156)+SUM($BC156:$BK156))*$BM156))</f>
        <v> </v>
      </c>
      <c r="CB156" s="334" t="str">
        <f aca="false">IF(A156="N/A"," ",(VLOOKUP(A156,PowerVolTable,(IF(BMO=2,7,IF(BMO=1,6,8))),FALSE())))</f>
        <v> </v>
      </c>
      <c r="CC156" s="334" t="str">
        <f aca="false">IF(A156="N/A"," ",(VLOOKUP(A156,IntraPowerVol,(IF(BMO=2,3,IF(BMO=1,2,4))),FALSE())*VLOOKUP(MONTH($A156),Volscale,2)))</f>
        <v> </v>
      </c>
      <c r="CD156" s="335" t="str">
        <f aca="false">IF($A156="N/A"," ",(IF(DateToday&gt;$A156,$CC156,((($CB156^2)*((($A156-1)-DateToday)/((EOMONTH($A156,0)+1)-DateToday-15)))+((($CC156)^2)*((15)/((EOMONTH($A156,0)+1)-DateToday-15))))^0.5)))</f>
        <v> </v>
      </c>
      <c r="CE156" s="334" t="str">
        <f aca="false">IF($A156="N/A"," ",(VLOOKUP($A156,GasVolTable,(IF(BMO=2,6,IF(BMO=1,7,5))),FALSE())))</f>
        <v> </v>
      </c>
      <c r="CF156" s="334" t="str">
        <f aca="false">IF($A156="N/A"," ",(VLOOKUP($A156,OmicronVol,(IF(BMO=2,3,IF(BMO=1,4,2))),FALSE())))</f>
        <v> </v>
      </c>
      <c r="CG156" s="335" t="str">
        <f aca="false">IF($A156="N/A"," ",(IF(DateToday&gt;$A156,$CF156,((($CE156^2)*((($A156-1)-DateToday)/((EOMONTH($A156,0)+1)-DateToday-15)))+((($CF156)^2)*((15)/((EOMONTH($A156,0)+1)-DateToday-15))))^0.5)))</f>
        <v> </v>
      </c>
      <c r="CH156" s="334" t="str">
        <f aca="false">IF($A156="N/A"," ",VLOOKUP($A156,CorrelationTable,2,FALSE()))</f>
        <v> </v>
      </c>
      <c r="CI156" s="336" t="str">
        <f aca="false">IF($A156="N/A"," ",F156+G156+(D156*('Pricing Inputs'!T189)))</f>
        <v> </v>
      </c>
      <c r="CJ156" s="334" t="str">
        <f aca="false">IF($A156="N/A"," ",IF(PV=1,0,'Pricing Inputs'!U189))</f>
        <v> </v>
      </c>
      <c r="CK156" s="337" t="str">
        <f aca="false">IF($A156="N/A"," ",(1+CJ156/2)^(-2*((EOMONTH(A156,0)+20)-DateToday)/365.25))</f>
        <v> </v>
      </c>
      <c r="CL156" s="338" t="str">
        <f aca="false">IF(A156="N/A"," ",IF(CC=2,(VLOOKUP(MONTH($A156),Hrtable,3))/1000,0))</f>
        <v> </v>
      </c>
      <c r="CM156" s="339" t="str">
        <f aca="false">IF(A156="N/A"," ",IF(CC=2,(CL156*C156)+F156,0))</f>
        <v> </v>
      </c>
      <c r="CN156" s="340" t="str">
        <f aca="false">IF($A156="N/A"," ",IF(CC=2,(VLOOKUP(A156,ScaledPrice,(IF(AND(Dayrun&gt;=1,Dayrun&lt;=6),2,4)))-((IF(R156&lt;&gt;0,$D156,$CL156)*$C156)+$F156+$G156)),0))</f>
        <v> </v>
      </c>
      <c r="CO156" s="340" t="str">
        <f aca="false">IF($A156="N/A"," ",IF(CC=2,(IF(AND(Dayrun&gt;=1,Dayrun&lt;=6),I156,(VLOOKUP(A156,ScaledPrice,2))*(2-(VLOOKUP(A156,ScaledPrice,3))))-((IF(S156&lt;&gt;0,$D156,$CL156)*$C156)+$F156+$G156)),0))</f>
        <v> </v>
      </c>
      <c r="CP156" s="340" t="str">
        <f aca="false">IF(A156="N/A"," ",IF(CC=2,(VLOOKUP(A156,ScaledPrice,9)-((IF(T156&lt;&gt;0,$D156,$CL156)*$C156)+$F156+$G156)),0))</f>
        <v> </v>
      </c>
      <c r="CQ156" s="340" t="str">
        <f aca="false">IF(A156="N/A"," ",IF(CC=2,(IF(OR(Dayrun=2,Dayrun=3,Dayrun=5,Dayrun=6,Dayrun=8,Dayrun=9),VLOOKUP(A156,ScaledPrice,IF(AND(Dayrun&gt;=2,Dayrun&lt;=6),5,6)),0)-((IF(U156&lt;&gt;0,$D156,$CL156)*$C156)+$F156+$G156)),0))</f>
        <v> </v>
      </c>
      <c r="CR156" s="340" t="str">
        <f aca="false">IF(A156="N/A"," ",IF(CC=2,(IF(OR(Dayrun=2,Dayrun=3,Dayrun=5,Dayrun=6,Dayrun=8,Dayrun=9),IF(AND(Dayrun&gt;=2,Dayrun&lt;=6),L156,(VLOOKUP(A156,ScaledPrice,5))*(2-(VLOOKUP(A156,ScaledPrice,3)))),0)-((IF(V156&lt;&gt;0,$D156,$CL156)*$C156)+$F156+$G156)),0))</f>
        <v> </v>
      </c>
      <c r="CS156" s="340" t="str">
        <f aca="false">IF(A156="N/A"," ",IF(CC=2,(VLOOKUP(A156,ScaledPrice,9)-((IF(W156&lt;&gt;0,$D156,$CL156)*$C156)+$F156+$G156)),0))</f>
        <v> </v>
      </c>
      <c r="CT156" s="340" t="str">
        <f aca="false">IF(A156="N/A"," ",IF(CC=2,(IF(OR(Dayrun=3,Dayrun=6,Dayrun=9),(VLOOKUP(A156,ScaledPrice,IF(AND(Dayrun&gt;=3,Dayrun&lt;=6),7,8))),0)-((IF(X156&lt;&gt;0,$D156,$CL156)*$C156)+$F156+$G156)),0))</f>
        <v> </v>
      </c>
      <c r="CU156" s="340" t="str">
        <f aca="false">IF(A156="N/A"," ",IF(CC=2,(IF(OR(Dayrun=3,Dayrun=6,Dayrun=9),IF(AND(Dayrun&gt;=3,Dayrun&lt;=6),O156,(VLOOKUP(A156,ScaledPrice,7))*(2-(VLOOKUP(A156,ScaledPrice,3)))),0)-((IF(Y156&lt;&gt;0,$D156,$CL156)*$C156)+$F156+$G156)),0))</f>
        <v> </v>
      </c>
      <c r="CV156" s="340" t="str">
        <f aca="false">IF(A156="N/A"," ",IF(CC=2,(VLOOKUP(A156,ScaledPrice,9)-((IF(Z156&lt;&gt;0,$D156,$CL156)*$C156)+$F156+$G156)),0))</f>
        <v> </v>
      </c>
      <c r="CW156" s="318" t="str">
        <f aca="false">IF($A156="N/A"," ",IF(0&lt;&gt;CN156,IF(CC=2,8*$HD156,0),0))</f>
        <v> </v>
      </c>
      <c r="CX156" s="318" t="str">
        <f aca="false">IF($A156="N/A"," ",IF(0&lt;&gt;CO156,IF(CC=2,8*$HD156,0),0))</f>
        <v> </v>
      </c>
      <c r="CY156" s="318" t="str">
        <f aca="false">IF($A156="N/A"," ",IF(0&lt;&gt;CP156,IF(CC=2,8*$HD156,0),0))</f>
        <v> </v>
      </c>
      <c r="CZ156" s="318" t="str">
        <f aca="false">IF($A156="N/A"," ",IF(0&lt;&gt;CQ156,IF(CC=2,8*$HE156,0),0))</f>
        <v> </v>
      </c>
      <c r="DA156" s="318" t="str">
        <f aca="false">IF($A156="N/A"," ",IF(0&lt;&gt;CR156,IF(CC=2,8*$HE156,0),0))</f>
        <v> </v>
      </c>
      <c r="DB156" s="318" t="str">
        <f aca="false">IF($A156="N/A"," ",IF(0&lt;&gt;CS156,IF(CC=2,8*$HE156,0),0))</f>
        <v> </v>
      </c>
      <c r="DC156" s="318" t="str">
        <f aca="false">IF($A156="N/A"," ",IF(0&lt;&gt;CT156,IF(CC=2,8*$HF156,0),0))</f>
        <v> </v>
      </c>
      <c r="DD156" s="318" t="str">
        <f aca="false">IF($A156="N/A"," ",IF(0&lt;&gt;CU156,IF(CC=2,8*$HF156,0),0))</f>
        <v> </v>
      </c>
      <c r="DE156" s="318" t="str">
        <f aca="false">IF($A156="N/A"," ",IF(0&lt;&gt;CV156,IF(CC=2,8*$HF156,0),0))</f>
        <v> </v>
      </c>
      <c r="DF156" s="341" t="str">
        <f aca="false">IF($A156="N/A"," ",IF(CC=2,(IF(MONTH(A156)&gt;=4,IF(MONTH(A156)&lt;=10,Inputs!$G$13,Inputs!$G$14),Inputs!$G$14))*$CK156,0))</f>
        <v> </v>
      </c>
      <c r="DG156" s="342" t="str">
        <f aca="false">IF($A156="N/A"," ",IF(CC=2,$DF156*CW156*CN156,0))</f>
        <v> </v>
      </c>
      <c r="DH156" s="342" t="str">
        <f aca="false">IF($A156="N/A"," ",IF(CC=2,$DF156*CX156*CO156,0))</f>
        <v> </v>
      </c>
      <c r="DI156" s="342" t="str">
        <f aca="false">IF($A156="N/A"," ",IF(CC=2,$DF156*CY156*CP156,0))</f>
        <v> </v>
      </c>
      <c r="DJ156" s="342" t="str">
        <f aca="false">IF($A156="N/A"," ",IF(CC=2,$DF156*CZ156*CQ156,0))</f>
        <v> </v>
      </c>
      <c r="DK156" s="342" t="str">
        <f aca="false">IF($A156="N/A"," ",IF(CC=2,$DF156*DA156*CR156,0))</f>
        <v> </v>
      </c>
      <c r="DL156" s="342" t="str">
        <f aca="false">IF($A156="N/A"," ",IF(CC=2,$DF156*DB156*CS156,0))</f>
        <v> </v>
      </c>
      <c r="DM156" s="342" t="str">
        <f aca="false">IF($A156="N/A"," ",IF(CC=2,$DF156*DC156*CT156,0))</f>
        <v> </v>
      </c>
      <c r="DN156" s="342" t="str">
        <f aca="false">IF($A156="N/A"," ",IF(CC=2,$DF156*DD156*CU156,0))</f>
        <v> </v>
      </c>
      <c r="DO156" s="342" t="str">
        <f aca="false">IF($A156="N/A"," ",IF(CC=2,$DF156*DE156*CV156,0))</f>
        <v> </v>
      </c>
      <c r="DP156" s="343" t="str">
        <f aca="false">IF($A156="N/A"," ",IF(CC=2,SUM(DG156:DO156),0))</f>
        <v> </v>
      </c>
      <c r="DQ156" s="0" t="str">
        <f aca="false">IF(A156="N/A"," ",Perstart)</f>
        <v> </v>
      </c>
      <c r="HD156" s="0" t="str">
        <f aca="false">IF($A156="N/A"," ",VLOOKUP($A156,NumberofDaysTable,2))</f>
        <v> </v>
      </c>
      <c r="HE156" s="0" t="str">
        <f aca="false">IF($A156="N/A"," ",VLOOKUP($A156,NumberofDaysTable,3))</f>
        <v> </v>
      </c>
      <c r="HF156" s="0" t="str">
        <f aca="false">IF($A156="N/A"," ",VLOOKUP($A156,NumberofDaysTable,4))</f>
        <v> </v>
      </c>
    </row>
    <row r="157" customFormat="false" ht="12.75" hidden="false" customHeight="false" outlineLevel="0" collapsed="false">
      <c r="A157" s="308" t="str">
        <f aca="false">IF(A156="N/A","N/A",IF(EDATE(A156,1)&gt;Inputs!$K$3,"N/A",EDATE(A156,1)))</f>
        <v>N/A</v>
      </c>
      <c r="B157" s="309" t="str">
        <f aca="false">IF(A157="N/A"," ",YEAR(A157))</f>
        <v> </v>
      </c>
      <c r="C157" s="310" t="str">
        <f aca="false">IF(A157="N/A"," ",VLOOKUP(A157,ScaledPrice,10))</f>
        <v> </v>
      </c>
      <c r="D157" s="311" t="str">
        <f aca="false">IF(A157="N/A"," ",(VLOOKUP(MONTH($A157),Hrtable,2))/1000)</f>
        <v> </v>
      </c>
      <c r="E157" s="312" t="str">
        <f aca="false">IF($A157="N/A"," ",(C157-'Pricing Inputs'!T190)*D157)</f>
        <v> </v>
      </c>
      <c r="F157" s="313" t="str">
        <f aca="false">IF(A157="N/A"," ",$F145*(1+VOMesc))</f>
        <v> </v>
      </c>
      <c r="G157" s="313" t="str">
        <f aca="false">IF(A157="N/A"," ",Perstart/IF(AND(Dayrun&gt;=4,Dayrun&lt;=6),16,IF(AND(Dayrun&gt;=7,Dayrun&lt;=9),8,24))/(BM157/CK157))</f>
        <v> </v>
      </c>
      <c r="H157" s="314" t="str">
        <f aca="false">IF(A157="N/A"," ",(C157*D157)+F157+G157)</f>
        <v> </v>
      </c>
      <c r="I157" s="315" t="str">
        <f aca="false">VLOOKUP(A157,ScaledPrice,(IF(AND(Dayrun&gt;=1,Dayrun&lt;=6),2,4)))</f>
        <v> </v>
      </c>
      <c r="J157" s="315" t="str">
        <f aca="false">IF(A157="N/A"," ",IF(AND(Dayrun&gt;=1,Dayrun&lt;=6),I157,(VLOOKUP(A157,ScaledPrice,2))*(2-(VLOOKUP(A157,ScaledPrice,3)))))</f>
        <v> </v>
      </c>
      <c r="K157" s="315" t="str">
        <f aca="false">IF(A157="N/A"," ",IF(AND(Dayrun&gt;=1,Dayrun&lt;=3),VLOOKUP(A157,ScaledPrice,9),0))</f>
        <v> </v>
      </c>
      <c r="L157" s="315" t="str">
        <f aca="false">IF(A157="N/A"," ",IF(OR(Dayrun=2,Dayrun=3,Dayrun=5,Dayrun=6,Dayrun=8,Dayrun=9),VLOOKUP(A157,ScaledPrice,IF(AND(Dayrun&gt;=2,Dayrun&lt;=6),5,6)),0))</f>
        <v> </v>
      </c>
      <c r="M157" s="315" t="str">
        <f aca="false">IF(A157="N/A"," ",IF(OR(Dayrun=2,Dayrun=3,Dayrun=5,Dayrun=6,Dayrun=8,Dayrun=9),IF(AND(Dayrun&gt;=2,Dayrun&lt;=6),L157,(VLOOKUP(A157,ScaledPrice,5))*(2-(VLOOKUP(A157,ScaledPrice,3)))),0))</f>
        <v> </v>
      </c>
      <c r="N157" s="315" t="str">
        <f aca="false">IF(A157="N/A"," ",IF(AND(Dayrun&gt;1,Dayrun&lt;=3),VLOOKUP(A157,ScaledPrice,9),0))</f>
        <v> </v>
      </c>
      <c r="O157" s="315" t="str">
        <f aca="false">IF(A157="N/A"," ",IF(OR(Dayrun=3,Dayrun=6,Dayrun=9),(VLOOKUP(A157,ScaledPrice,IF(AND(Dayrun&gt;=3,Dayrun&lt;=6),7,8))),0))</f>
        <v> </v>
      </c>
      <c r="P157" s="315" t="str">
        <f aca="false">IF(A157="N/A"," ",IF(OR(Dayrun=3,Dayrun=6,Dayrun=9),IF(AND(Dayrun&gt;=3,Dayrun&lt;=6),O157,(VLOOKUP(A157,ScaledPrice,7))*(2-(VLOOKUP(A157,ScaledPrice,3)))),0))</f>
        <v> </v>
      </c>
      <c r="Q157" s="315" t="str">
        <f aca="false">IF(A157="N/A"," ",IF(AND(Dayrun&gt;2,Dayrun&lt;=3),VLOOKUP(A157,ScaledPrice,9),0))</f>
        <v> </v>
      </c>
      <c r="R157" s="316" t="str">
        <f aca="false">IF($A157="N/A"," ",IF(Pricetype=2,MAX(I157-$H157,0),IF(Pricetype=1,(xSPRDOPT(I157,$E157,$CI157,0,($CD157+IF(Smile=TRUE(),VLOOKUP(MAX(-5,$H157-I157),Volsmile,2),0)),$CG157,$CH157,($A157-DateToday)+15,1,0)),I157-$H157)))</f>
        <v> </v>
      </c>
      <c r="S157" s="316" t="str">
        <f aca="false">IF($A157="N/A"," ",IF(Pricetype=2,MAX(J157-$H157,0),IF(Pricetype=1,(xSPRDOPT(J157,$E157,$CI157,0,($CD157+IF(Smile=TRUE(),VLOOKUP(MAX(-5,$H157-J157),Volsmile,2),0)),$CG157,$CH157,($A157-DateToday)+15,1,0)),J157-$H157)))</f>
        <v> </v>
      </c>
      <c r="T157" s="317" t="str">
        <f aca="false">IF($A157="N/A"," ",(IF(Pricetype=2,IF((K157-$H157)&lt;=0,0,(K157-$H157)),IF(K157&lt;&gt;0,(K157-$H157),0))))</f>
        <v> </v>
      </c>
      <c r="U157" s="316" t="str">
        <f aca="false">IF($A157="N/A"," ",IF(Pricetype=2,MAX(L157-$H157,0),IF(L157&lt;&gt;0,IF(Pricetype=1,(xSPRDOPT(L157,$E157,$CI157,0,($CD157+IF(Smile=TRUE(),VLOOKUP(MAX(-5,$H157-L157),Volsmile,2),0)),$CG157,$CH157,($A157-DateToday)+15,1,0)),L157-$H157),0)))</f>
        <v> </v>
      </c>
      <c r="V157" s="316" t="str">
        <f aca="false">IF($A157="N/A"," ",IF(Pricetype=2,MAX(M157-$H157,0),IF(M157&lt;&gt;0,IF(Pricetype=1,(xSPRDOPT(M157,$E157,$CI157,0,($CD157+IF(Smile=TRUE(),VLOOKUP(MAX(-5,$H157-M157),Volsmile,2),0)),$CG157,$CH157,($A157-DateToday)+15,1,0)),M157-$H157),0)))</f>
        <v> </v>
      </c>
      <c r="W157" s="317" t="str">
        <f aca="false">IF($A157="N/A"," ",(IF(Pricetype=2,IF((N157-$H157)&lt;=0,0,(N157-$H157)),IF(N157&lt;&gt;0,(N157-$H157),0))))</f>
        <v> </v>
      </c>
      <c r="X157" s="316" t="str">
        <f aca="false">IF($A157="N/A"," ",IF(Pricetype=2,MAX(O157-$H157,0),IF(O157&lt;&gt;0,IF(Pricetype=1,(xSPRDOPT(O157,$E157,$CI157,0,($CD157+IF(Smile=TRUE(),VLOOKUP(MAX(-5,$H157-O157),Volsmile,2),0)),$CG157,$CH157,($A157-DateToday)+15,1,0)),O157-$H157),0)))</f>
        <v> </v>
      </c>
      <c r="Y157" s="316" t="str">
        <f aca="false">IF($A157="N/A"," ",IF(Pricetype=2,MAX(P157-$H157,0),IF(P157&lt;&gt;0,IF(Pricetype=1,(xSPRDOPT(P157,$E157,$CI157,0,($CD157+IF(Smile=TRUE(),VLOOKUP(MAX(-5,$H157-P157),Volsmile,2),0)),$CG157,$CH157,($A157-DateToday)+15,1,0)),P157-$H157),0)))</f>
        <v> </v>
      </c>
      <c r="Z157" s="317" t="str">
        <f aca="false">IF($A157="N/A"," ",(IF(Pricetype=2,IF((Q157-$H157)&lt;=0,0,(Q157-$H157)),IF(Q157&lt;&gt;0,(Q157-$H157),0))))</f>
        <v> </v>
      </c>
      <c r="AA157" s="318" t="str">
        <f aca="false">IF($A157="N/A"," ",IF(VLOOKUP(MONTH(A157),ManualTable,2)=1,(IF(0&lt;&gt;R157,IF(Pricetype=1,(xSPRDOPT(I157,$E157,$CI157,0,($CD157+IF(Smile=TRUE(),VLOOKUP(MAX(-5,$H157-I157),Volsmile,2),0)),$CG157,$CH157,($A157-DateToday)+15,1,1))*(8*$HD157),8*$HD157),0)),0))</f>
        <v> </v>
      </c>
      <c r="AB157" s="318" t="str">
        <f aca="false">IF($A157="N/A"," ",IF(VLOOKUP(MONTH(A157),ManualTable,3)=1,(IF(S157&lt;&gt;0,IF(Pricetype=1,(xSPRDOPT(J157,$E157,$CI157,0,($CD157+IF(Smile=TRUE(),VLOOKUP(MAX(-5,$H157-J157),Volsmile,2),0)),$CG157,$CH157,($A157-DateToday)+15,1,1))*(8*$HD157),8*$HD157),0)),0))</f>
        <v> </v>
      </c>
      <c r="AC157" s="318" t="str">
        <f aca="false">IF($A157="N/A"," ",IF(VLOOKUP(MONTH(A157),ManualTable,4)=1,(IF(T157&lt;&gt;0,(8*$HD157),0)),0))</f>
        <v> </v>
      </c>
      <c r="AD157" s="318" t="str">
        <f aca="false">IF($A157="N/A"," ",IF(VLOOKUP(MONTH(A157),ManualTable,5)=1,(IF(U157&lt;&gt;0,IF(Pricetype=1,(xSPRDOPT(L157,$E157,$CI157,0,($CD157+IF(Smile=TRUE(),VLOOKUP(MAX(-5,$H157-L157),Volsmile,2),0)),$CG157,$CH157,($A157-DateToday)+15,1,1))*(8*$HE157),8*$HE157),0)),0))</f>
        <v> </v>
      </c>
      <c r="AE157" s="318" t="str">
        <f aca="false">IF($A157="N/A"," ",IF(VLOOKUP(MONTH(A157),ManualTable,6)=1,(IF(V157&lt;&gt;0,IF(Pricetype=1,(xSPRDOPT(M157,$E157,$CI157,0,($CD157+IF(Smile=TRUE(),VLOOKUP(MAX(-5,$H157-M157),Volsmile,2),0)),$CG157,$CH157,($A157-DateToday)+15,1,1))*(8*$HE157),8*$HE157),0)),0))</f>
        <v> </v>
      </c>
      <c r="AF157" s="318" t="str">
        <f aca="false">IF($A157="N/A"," ",IF(VLOOKUP(MONTH(A157),ManualTable,7)=1,(IF(W157&lt;&gt;0,(8*$HE157),0)),0))</f>
        <v> </v>
      </c>
      <c r="AG157" s="318" t="str">
        <f aca="false">IF($A157="N/A"," ",IF(VLOOKUP(MONTH(A157),ManualTable,8)=1,(IF(X157&lt;&gt;0,IF(Pricetype=1,(xSPRDOPT(O157,$E157,$CI157,0,($CD157+IF(Smile=TRUE(),VLOOKUP(MAX(-5,$H157-O157),Volsmile,2),0)),$CG157,$CH157,($A157-DateToday)+15,1,1))*(8*$HF157),8*$HF157),0)),0))</f>
        <v> </v>
      </c>
      <c r="AH157" s="318" t="str">
        <f aca="false">IF($A157="N/A"," ",IF(VLOOKUP(MONTH(A157),ManualTable,9)=1,(IF(Y157&lt;&gt;0,IF(Pricetype=1,(xSPRDOPT(P157,$E157,$CI157,0,($CD157+IF(Smile=TRUE(),VLOOKUP(MAX(-5,$H157-P157),Volsmile,2),0)),$CG157,$CH157,($A157-DateToday)+15,1,1))*(8*$HF157),8*$HF157),0)),0))</f>
        <v> </v>
      </c>
      <c r="AI157" s="318" t="str">
        <f aca="false">IF($A157="N/A"," ",IF(VLOOKUP(MONTH(A157),ManualTable,10)=1,(IF(Z157&lt;&gt;0,(8*($HF157)),0)),0))</f>
        <v> </v>
      </c>
      <c r="AJ157" s="344" t="str">
        <f aca="false">IF($A157="N/A"," ",RANK(R157,$R$148:$Z$159))</f>
        <v> </v>
      </c>
      <c r="AK157" s="321" t="str">
        <f aca="false">IF($A157="N/A"," ",RANK(S157,$R$148:$Z$159))</f>
        <v> </v>
      </c>
      <c r="AL157" s="321" t="str">
        <f aca="false">IF($A157="N/A"," ",RANK(T157,$R$148:$Z$159))</f>
        <v> </v>
      </c>
      <c r="AM157" s="321" t="str">
        <f aca="false">IF($A157="N/A"," ",RANK(U157,$R$148:$Z$159))</f>
        <v> </v>
      </c>
      <c r="AN157" s="321" t="str">
        <f aca="false">IF($A157="N/A"," ",RANK(V157,$R$148:$Z$159))</f>
        <v> </v>
      </c>
      <c r="AO157" s="321" t="str">
        <f aca="false">IF($A157="N/A"," ",RANK(W157,$R$148:$Z$159))</f>
        <v> </v>
      </c>
      <c r="AP157" s="321" t="str">
        <f aca="false">IF($A157="N/A"," ",RANK(X157,$R$148:$Z$159))</f>
        <v> </v>
      </c>
      <c r="AQ157" s="321" t="str">
        <f aca="false">IF($A157="N/A"," ",RANK(Y157,$R$148:$Z$159))</f>
        <v> </v>
      </c>
      <c r="AR157" s="345" t="str">
        <f aca="false">IF($A157="N/A"," ",RANK(Z157,$R$148:$Z$159))</f>
        <v> </v>
      </c>
      <c r="AS157" s="323" t="str">
        <f aca="false">IF($A157="N/A"," ",IF(AJ157&lt;=$AR$2,AA157,0))</f>
        <v> </v>
      </c>
      <c r="AT157" s="325" t="str">
        <f aca="false">IF($A157="N/A"," ",IF(AK157&lt;=$AR$2,AB157,0))</f>
        <v> </v>
      </c>
      <c r="AU157" s="325" t="str">
        <f aca="false">IF($A157="N/A"," ",IF(AL157&lt;=$AR$2,AC157,0))</f>
        <v> </v>
      </c>
      <c r="AV157" s="325" t="str">
        <f aca="false">IF($A157="N/A"," ",IF(AM157&lt;=$AR$2,AD157,0))</f>
        <v> </v>
      </c>
      <c r="AW157" s="325" t="str">
        <f aca="false">IF($A157="N/A"," ",IF(AN157&lt;=$AR$2,AE157,0))</f>
        <v> </v>
      </c>
      <c r="AX157" s="325" t="str">
        <f aca="false">IF($A157="N/A"," ",IF(AO157&lt;=$AR$2,AF157,0))</f>
        <v> </v>
      </c>
      <c r="AY157" s="325" t="str">
        <f aca="false">IF($A157="N/A"," ",IF(AP157&lt;=$AR$2,AG157,0))</f>
        <v> </v>
      </c>
      <c r="AZ157" s="325" t="str">
        <f aca="false">IF($A157="N/A"," ",IF(AQ157&lt;=$AR$2,AH157,0))</f>
        <v> </v>
      </c>
      <c r="BA157" s="325" t="str">
        <f aca="false">IF($A157="N/A"," ",IF(AR157&lt;=$AR$2,AI157,0))</f>
        <v> </v>
      </c>
      <c r="BB157" s="348" t="s">
        <v>1319</v>
      </c>
      <c r="BC157" s="326" t="str">
        <f aca="false">IF($A157="N/A"," ",IF(AND(AJ157=$AR$2+1,AS157=0),MIN($BB$159,AA157),0))</f>
        <v> </v>
      </c>
      <c r="BD157" s="346" t="str">
        <f aca="false">IF($A157="N/A"," ",IF(AND(AK157=$AR$2+1,AT157=0),MIN($BB$159,AB157),0))</f>
        <v> </v>
      </c>
      <c r="BE157" s="346" t="str">
        <f aca="false">IF($A157="N/A"," ",IF(AND(AL157=$AR$2+1,AU157=0),MIN($BB$159,AC157),0))</f>
        <v> </v>
      </c>
      <c r="BF157" s="346" t="str">
        <f aca="false">IF($A157="N/A"," ",IF(AND(AM157=$AR$2+1,AV157=0),MIN($BB$159,AD157),0))</f>
        <v> </v>
      </c>
      <c r="BG157" s="346" t="str">
        <f aca="false">IF($A157="N/A"," ",IF(AND(AN157=$AR$2+1,AW157=0),MIN($BB$159,AE157),0))</f>
        <v> </v>
      </c>
      <c r="BH157" s="346" t="str">
        <f aca="false">IF($A157="N/A"," ",IF(AND(AO157=$AR$2+1,AX157=0),MIN($BB$159,AF157),0))</f>
        <v> </v>
      </c>
      <c r="BI157" s="346" t="str">
        <f aca="false">IF($A157="N/A"," ",IF(AND(AP157=$AR$2+1,AY157=0),MIN($BB$159,AG157),0))</f>
        <v> </v>
      </c>
      <c r="BJ157" s="346" t="str">
        <f aca="false">IF($A157="N/A"," ",IF(AND(AQ157=$AR$2+1,AZ157=0),MIN($BB$159,AH157),0))</f>
        <v> </v>
      </c>
      <c r="BK157" s="346" t="str">
        <f aca="false">IF($A157="N/A"," ",IF(AND(AR157=$AR$2+1,BA157=0),MIN($BB$159,AI157),0))</f>
        <v> </v>
      </c>
      <c r="BL157" s="347" t="s">
        <v>1359</v>
      </c>
      <c r="BM157" s="329" t="str">
        <f aca="false">IF($A157="N/A"," ",(IF(MONTH(A157)&gt;=4,IF(MONTH(A157)&lt;=10,Inputs!$F$13-Inputs!$G$13,Inputs!$F$14-Inputs!$G$14),Inputs!$F$14-Inputs!$G$14))*$CK157*Availability)</f>
        <v> </v>
      </c>
      <c r="BN157" s="330" t="str">
        <f aca="false">IF($A157="N/A"," ",(IF(AS157&gt;0,($BM157*(8*($HD157))*R157),0)+IF(BC157&gt;0,($BM157*((BC157/AA157)*8*$HD157)*R157),0)))</f>
        <v> </v>
      </c>
      <c r="BO157" s="330" t="str">
        <f aca="false">IF($A157="N/A"," ",(IF(AT157&gt;0,($BM157*(8*($HD157))*S157),0)+IF(BD157&gt;0,($BM157*((BD157/AB157)*8*$HD157)*S157),0)))</f>
        <v> </v>
      </c>
      <c r="BP157" s="330" t="str">
        <f aca="false">IF($A157="N/A"," ",(IF(AU157&gt;0,($BM157*(8*($HD157))*T157),0)+IF(BE157&gt;0,($BM157*((BE157))*T157),0)))</f>
        <v> </v>
      </c>
      <c r="BQ157" s="330" t="str">
        <f aca="false">IF($A157="N/A"," ",(IF(AV157&gt;0,($BM157*(8*($HE157))*U157),0)+IF(BF157&gt;0,($BM157*((BF157/AD157)*8*$HE157)*U157),0)))</f>
        <v> </v>
      </c>
      <c r="BR157" s="330" t="str">
        <f aca="false">IF($A157="N/A"," ",(IF(AW157&gt;0,($BM157*(8*($HE157))*V157),0)+IF(BG157&gt;0,($BM157*((BG157/AE157)*8*$HE157)*V157),0)))</f>
        <v> </v>
      </c>
      <c r="BS157" s="330" t="str">
        <f aca="false">IF($A157="N/A"," ",(IF(AX157&gt;0,($BM157*(8*($HE157))*W157),0)+IF(BH157&gt;0,($BM157*((BH157))*W157),0)))</f>
        <v> </v>
      </c>
      <c r="BT157" s="330" t="str">
        <f aca="false">IF($A157="N/A"," ",(IF(AY157&gt;0,($BM157*(8*($HF157))*X157),0)+IF(BI157&gt;0,($BM157*((BI157/AG157)*8*$HF157)*X157),0)))</f>
        <v> </v>
      </c>
      <c r="BU157" s="330" t="str">
        <f aca="false">IF($A157="N/A"," ",(IF(AZ157&gt;0,($BM157*(8*($HF157))*Y157),0)+IF(BJ157&gt;0,($BM157*((BJ157/AH157)*8*$HF157)*Y157),0)))</f>
        <v> </v>
      </c>
      <c r="BV157" s="330" t="str">
        <f aca="false">IF($A157="N/A"," ",(IF(BA157&gt;0,($BM157*(8*($HF157))*Z157),0)+IF(BK157&gt;0,($BM157*((BK157))*Z157),0)))</f>
        <v> </v>
      </c>
      <c r="BW157" s="330" t="str">
        <f aca="false">IF($A157="N/A"," ",SUM(BN157:BV157))</f>
        <v> </v>
      </c>
      <c r="BX157" s="331" t="str">
        <f aca="false">IF($A157="N/A"," ",(H157*(SUM(AS157:BA157)+SUM(BC157:BK157))*BM157))</f>
        <v> </v>
      </c>
      <c r="BY157" s="332" t="str">
        <f aca="false">IF($A157="N/A"," ",((C157*D157)*(SUM($AS157:$BA157)+SUM($BC157:$BK157))*$BM157))</f>
        <v> </v>
      </c>
      <c r="BZ157" s="332" t="str">
        <f aca="false">IF($A157="N/A"," ",(F157*(SUM($AS157:$BA157)+SUM($BC157:$BK157))*$BM157))</f>
        <v> </v>
      </c>
      <c r="CA157" s="333" t="str">
        <f aca="false">IF($A157="N/A"," ",(G157*(SUM($AS157:$BA157)+SUM($BC157:$BK157))*$BM157))</f>
        <v> </v>
      </c>
      <c r="CB157" s="334" t="str">
        <f aca="false">IF(A157="N/A"," ",(VLOOKUP(A157,PowerVolTable,(IF(BMO=2,7,IF(BMO=1,6,8))),FALSE())))</f>
        <v> </v>
      </c>
      <c r="CC157" s="334" t="str">
        <f aca="false">IF(A157="N/A"," ",(VLOOKUP(A157,IntraPowerVol,(IF(BMO=2,3,IF(BMO=1,2,4))),FALSE())*VLOOKUP(MONTH($A157),Volscale,2)))</f>
        <v> </v>
      </c>
      <c r="CD157" s="335" t="str">
        <f aca="false">IF($A157="N/A"," ",(IF(DateToday&gt;$A157,$CC157,((($CB157^2)*((($A157-1)-DateToday)/((EOMONTH($A157,0)+1)-DateToday-15)))+((($CC157)^2)*((15)/((EOMONTH($A157,0)+1)-DateToday-15))))^0.5)))</f>
        <v> </v>
      </c>
      <c r="CE157" s="334" t="str">
        <f aca="false">IF($A157="N/A"," ",(VLOOKUP($A157,GasVolTable,(IF(BMO=2,6,IF(BMO=1,7,5))),FALSE())))</f>
        <v> </v>
      </c>
      <c r="CF157" s="334" t="str">
        <f aca="false">IF($A157="N/A"," ",(VLOOKUP($A157,OmicronVol,(IF(BMO=2,3,IF(BMO=1,4,2))),FALSE())))</f>
        <v> </v>
      </c>
      <c r="CG157" s="335" t="str">
        <f aca="false">IF($A157="N/A"," ",(IF(DateToday&gt;$A157,$CF157,((($CE157^2)*((($A157-1)-DateToday)/((EOMONTH($A157,0)+1)-DateToday-15)))+((($CF157)^2)*((15)/((EOMONTH($A157,0)+1)-DateToday-15))))^0.5)))</f>
        <v> </v>
      </c>
      <c r="CH157" s="334" t="str">
        <f aca="false">IF($A157="N/A"," ",VLOOKUP($A157,CorrelationTable,2,FALSE()))</f>
        <v> </v>
      </c>
      <c r="CI157" s="336" t="str">
        <f aca="false">IF($A157="N/A"," ",F157+G157+(D157*('Pricing Inputs'!T190)))</f>
        <v> </v>
      </c>
      <c r="CJ157" s="334" t="str">
        <f aca="false">IF($A157="N/A"," ",IF(PV=1,0,'Pricing Inputs'!U190))</f>
        <v> </v>
      </c>
      <c r="CK157" s="337" t="str">
        <f aca="false">IF($A157="N/A"," ",(1+CJ157/2)^(-2*((EOMONTH(A157,0)+20)-DateToday)/365.25))</f>
        <v> </v>
      </c>
      <c r="CL157" s="338" t="str">
        <f aca="false">IF(A157="N/A"," ",IF(CC=2,(VLOOKUP(MONTH($A157),Hrtable,3))/1000,0))</f>
        <v> </v>
      </c>
      <c r="CM157" s="339" t="str">
        <f aca="false">IF(A157="N/A"," ",IF(CC=2,(CL157*C157)+F157,0))</f>
        <v> </v>
      </c>
      <c r="CN157" s="340" t="str">
        <f aca="false">IF($A157="N/A"," ",IF(CC=2,(VLOOKUP(A157,ScaledPrice,(IF(AND(Dayrun&gt;=1,Dayrun&lt;=6),2,4)))-((IF(R157&lt;&gt;0,$D157,$CL157)*$C157)+$F157+$G157)),0))</f>
        <v> </v>
      </c>
      <c r="CO157" s="340" t="str">
        <f aca="false">IF($A157="N/A"," ",IF(CC=2,(IF(AND(Dayrun&gt;=1,Dayrun&lt;=6),I157,(VLOOKUP(A157,ScaledPrice,2))*(2-(VLOOKUP(A157,ScaledPrice,3))))-((IF(S157&lt;&gt;0,$D157,$CL157)*$C157)+$F157+$G157)),0))</f>
        <v> </v>
      </c>
      <c r="CP157" s="340" t="str">
        <f aca="false">IF(A157="N/A"," ",IF(CC=2,(VLOOKUP(A157,ScaledPrice,9)-((IF(T157&lt;&gt;0,$D157,$CL157)*$C157)+$F157+$G157)),0))</f>
        <v> </v>
      </c>
      <c r="CQ157" s="340" t="str">
        <f aca="false">IF(A157="N/A"," ",IF(CC=2,(IF(OR(Dayrun=2,Dayrun=3,Dayrun=5,Dayrun=6,Dayrun=8,Dayrun=9),VLOOKUP(A157,ScaledPrice,IF(AND(Dayrun&gt;=2,Dayrun&lt;=6),5,6)),0)-((IF(U157&lt;&gt;0,$D157,$CL157)*$C157)+$F157+$G157)),0))</f>
        <v> </v>
      </c>
      <c r="CR157" s="340" t="str">
        <f aca="false">IF(A157="N/A"," ",IF(CC=2,(IF(OR(Dayrun=2,Dayrun=3,Dayrun=5,Dayrun=6,Dayrun=8,Dayrun=9),IF(AND(Dayrun&gt;=2,Dayrun&lt;=6),L157,(VLOOKUP(A157,ScaledPrice,5))*(2-(VLOOKUP(A157,ScaledPrice,3)))),0)-((IF(V157&lt;&gt;0,$D157,$CL157)*$C157)+$F157+$G157)),0))</f>
        <v> </v>
      </c>
      <c r="CS157" s="340" t="str">
        <f aca="false">IF(A157="N/A"," ",IF(CC=2,(VLOOKUP(A157,ScaledPrice,9)-((IF(W157&lt;&gt;0,$D157,$CL157)*$C157)+$F157+$G157)),0))</f>
        <v> </v>
      </c>
      <c r="CT157" s="340" t="str">
        <f aca="false">IF(A157="N/A"," ",IF(CC=2,(IF(OR(Dayrun=3,Dayrun=6,Dayrun=9),(VLOOKUP(A157,ScaledPrice,IF(AND(Dayrun&gt;=3,Dayrun&lt;=6),7,8))),0)-((IF(X157&lt;&gt;0,$D157,$CL157)*$C157)+$F157+$G157)),0))</f>
        <v> </v>
      </c>
      <c r="CU157" s="340" t="str">
        <f aca="false">IF(A157="N/A"," ",IF(CC=2,(IF(OR(Dayrun=3,Dayrun=6,Dayrun=9),IF(AND(Dayrun&gt;=3,Dayrun&lt;=6),O157,(VLOOKUP(A157,ScaledPrice,7))*(2-(VLOOKUP(A157,ScaledPrice,3)))),0)-((IF(Y157&lt;&gt;0,$D157,$CL157)*$C157)+$F157+$G157)),0))</f>
        <v> </v>
      </c>
      <c r="CV157" s="340" t="str">
        <f aca="false">IF(A157="N/A"," ",IF(CC=2,(VLOOKUP(A157,ScaledPrice,9)-((IF(Z157&lt;&gt;0,$D157,$CL157)*$C157)+$F157+$G157)),0))</f>
        <v> </v>
      </c>
      <c r="CW157" s="318" t="str">
        <f aca="false">IF($A157="N/A"," ",IF(0&lt;&gt;CN157,IF(CC=2,8*$HD157,0),0))</f>
        <v> </v>
      </c>
      <c r="CX157" s="318" t="str">
        <f aca="false">IF($A157="N/A"," ",IF(0&lt;&gt;CO157,IF(CC=2,8*$HD157,0),0))</f>
        <v> </v>
      </c>
      <c r="CY157" s="318" t="str">
        <f aca="false">IF($A157="N/A"," ",IF(0&lt;&gt;CP157,IF(CC=2,8*$HD157,0),0))</f>
        <v> </v>
      </c>
      <c r="CZ157" s="318" t="str">
        <f aca="false">IF($A157="N/A"," ",IF(0&lt;&gt;CQ157,IF(CC=2,8*$HE157,0),0))</f>
        <v> </v>
      </c>
      <c r="DA157" s="318" t="str">
        <f aca="false">IF($A157="N/A"," ",IF(0&lt;&gt;CR157,IF(CC=2,8*$HE157,0),0))</f>
        <v> </v>
      </c>
      <c r="DB157" s="318" t="str">
        <f aca="false">IF($A157="N/A"," ",IF(0&lt;&gt;CS157,IF(CC=2,8*$HE157,0),0))</f>
        <v> </v>
      </c>
      <c r="DC157" s="318" t="str">
        <f aca="false">IF($A157="N/A"," ",IF(0&lt;&gt;CT157,IF(CC=2,8*$HF157,0),0))</f>
        <v> </v>
      </c>
      <c r="DD157" s="318" t="str">
        <f aca="false">IF($A157="N/A"," ",IF(0&lt;&gt;CU157,IF(CC=2,8*$HF157,0),0))</f>
        <v> </v>
      </c>
      <c r="DE157" s="318" t="str">
        <f aca="false">IF($A157="N/A"," ",IF(0&lt;&gt;CV157,IF(CC=2,8*$HF157,0),0))</f>
        <v> </v>
      </c>
      <c r="DF157" s="341" t="str">
        <f aca="false">IF($A157="N/A"," ",IF(CC=2,(IF(MONTH(A157)&gt;=4,IF(MONTH(A157)&lt;=10,Inputs!$G$13,Inputs!$G$14),Inputs!$G$14))*$CK157,0))</f>
        <v> </v>
      </c>
      <c r="DG157" s="342" t="str">
        <f aca="false">IF($A157="N/A"," ",IF(CC=2,$DF157*CW157*CN157,0))</f>
        <v> </v>
      </c>
      <c r="DH157" s="342" t="str">
        <f aca="false">IF($A157="N/A"," ",IF(CC=2,$DF157*CX157*CO157,0))</f>
        <v> </v>
      </c>
      <c r="DI157" s="342" t="str">
        <f aca="false">IF($A157="N/A"," ",IF(CC=2,$DF157*CY157*CP157,0))</f>
        <v> </v>
      </c>
      <c r="DJ157" s="342" t="str">
        <f aca="false">IF($A157="N/A"," ",IF(CC=2,$DF157*CZ157*CQ157,0))</f>
        <v> </v>
      </c>
      <c r="DK157" s="342" t="str">
        <f aca="false">IF($A157="N/A"," ",IF(CC=2,$DF157*DA157*CR157,0))</f>
        <v> </v>
      </c>
      <c r="DL157" s="342" t="str">
        <f aca="false">IF($A157="N/A"," ",IF(CC=2,$DF157*DB157*CS157,0))</f>
        <v> </v>
      </c>
      <c r="DM157" s="342" t="str">
        <f aca="false">IF($A157="N/A"," ",IF(CC=2,$DF157*DC157*CT157,0))</f>
        <v> </v>
      </c>
      <c r="DN157" s="342" t="str">
        <f aca="false">IF($A157="N/A"," ",IF(CC=2,$DF157*DD157*CU157,0))</f>
        <v> </v>
      </c>
      <c r="DO157" s="342" t="str">
        <f aca="false">IF($A157="N/A"," ",IF(CC=2,$DF157*DE157*CV157,0))</f>
        <v> </v>
      </c>
      <c r="DP157" s="343" t="str">
        <f aca="false">IF($A157="N/A"," ",IF(CC=2,SUM(DG157:DO157),0))</f>
        <v> </v>
      </c>
      <c r="DQ157" s="0" t="str">
        <f aca="false">IF(A157="N/A"," ",Perstart)</f>
        <v> </v>
      </c>
      <c r="HD157" s="0" t="str">
        <f aca="false">IF($A157="N/A"," ",VLOOKUP($A157,NumberofDaysTable,2))</f>
        <v> </v>
      </c>
      <c r="HE157" s="0" t="str">
        <f aca="false">IF($A157="N/A"," ",VLOOKUP($A157,NumberofDaysTable,3))</f>
        <v> </v>
      </c>
      <c r="HF157" s="0" t="str">
        <f aca="false">IF($A157="N/A"," ",VLOOKUP($A157,NumberofDaysTable,4))</f>
        <v> </v>
      </c>
    </row>
    <row r="158" customFormat="false" ht="12.75" hidden="false" customHeight="false" outlineLevel="0" collapsed="false">
      <c r="A158" s="308" t="str">
        <f aca="false">IF(A157="N/A","N/A",IF(EDATE(A157,1)&gt;Inputs!$K$3,"N/A",EDATE(A157,1)))</f>
        <v>N/A</v>
      </c>
      <c r="B158" s="309" t="str">
        <f aca="false">IF(A158="N/A"," ",YEAR(A158))</f>
        <v> </v>
      </c>
      <c r="C158" s="310" t="str">
        <f aca="false">IF(A158="N/A"," ",VLOOKUP(A158,ScaledPrice,10))</f>
        <v> </v>
      </c>
      <c r="D158" s="311" t="str">
        <f aca="false">IF(A158="N/A"," ",(VLOOKUP(MONTH($A158),Hrtable,2))/1000)</f>
        <v> </v>
      </c>
      <c r="E158" s="312" t="str">
        <f aca="false">IF($A158="N/A"," ",(C158-'Pricing Inputs'!T191)*D158)</f>
        <v> </v>
      </c>
      <c r="F158" s="313" t="str">
        <f aca="false">IF(A158="N/A"," ",$F146*(1+VOMesc))</f>
        <v> </v>
      </c>
      <c r="G158" s="313" t="str">
        <f aca="false">IF(A158="N/A"," ",Perstart/IF(AND(Dayrun&gt;=4,Dayrun&lt;=6),16,IF(AND(Dayrun&gt;=7,Dayrun&lt;=9),8,24))/(BM158/CK158))</f>
        <v> </v>
      </c>
      <c r="H158" s="314" t="str">
        <f aca="false">IF(A158="N/A"," ",(C158*D158)+F158+G158)</f>
        <v> </v>
      </c>
      <c r="I158" s="315" t="str">
        <f aca="false">VLOOKUP(A158,ScaledPrice,(IF(AND(Dayrun&gt;=1,Dayrun&lt;=6),2,4)))</f>
        <v> </v>
      </c>
      <c r="J158" s="315" t="str">
        <f aca="false">IF(A158="N/A"," ",IF(AND(Dayrun&gt;=1,Dayrun&lt;=6),I158,(VLOOKUP(A158,ScaledPrice,2))*(2-(VLOOKUP(A158,ScaledPrice,3)))))</f>
        <v> </v>
      </c>
      <c r="K158" s="315" t="str">
        <f aca="false">IF(A158="N/A"," ",IF(AND(Dayrun&gt;=1,Dayrun&lt;=3),VLOOKUP(A158,ScaledPrice,9),0))</f>
        <v> </v>
      </c>
      <c r="L158" s="315" t="str">
        <f aca="false">IF(A158="N/A"," ",IF(OR(Dayrun=2,Dayrun=3,Dayrun=5,Dayrun=6,Dayrun=8,Dayrun=9),VLOOKUP(A158,ScaledPrice,IF(AND(Dayrun&gt;=2,Dayrun&lt;=6),5,6)),0))</f>
        <v> </v>
      </c>
      <c r="M158" s="315" t="str">
        <f aca="false">IF(A158="N/A"," ",IF(OR(Dayrun=2,Dayrun=3,Dayrun=5,Dayrun=6,Dayrun=8,Dayrun=9),IF(AND(Dayrun&gt;=2,Dayrun&lt;=6),L158,(VLOOKUP(A158,ScaledPrice,5))*(2-(VLOOKUP(A158,ScaledPrice,3)))),0))</f>
        <v> </v>
      </c>
      <c r="N158" s="315" t="str">
        <f aca="false">IF(A158="N/A"," ",IF(AND(Dayrun&gt;1,Dayrun&lt;=3),VLOOKUP(A158,ScaledPrice,9),0))</f>
        <v> </v>
      </c>
      <c r="O158" s="315" t="str">
        <f aca="false">IF(A158="N/A"," ",IF(OR(Dayrun=3,Dayrun=6,Dayrun=9),(VLOOKUP(A158,ScaledPrice,IF(AND(Dayrun&gt;=3,Dayrun&lt;=6),7,8))),0))</f>
        <v> </v>
      </c>
      <c r="P158" s="315" t="str">
        <f aca="false">IF(A158="N/A"," ",IF(OR(Dayrun=3,Dayrun=6,Dayrun=9),IF(AND(Dayrun&gt;=3,Dayrun&lt;=6),O158,(VLOOKUP(A158,ScaledPrice,7))*(2-(VLOOKUP(A158,ScaledPrice,3)))),0))</f>
        <v> </v>
      </c>
      <c r="Q158" s="315" t="str">
        <f aca="false">IF(A158="N/A"," ",IF(AND(Dayrun&gt;2,Dayrun&lt;=3),VLOOKUP(A158,ScaledPrice,9),0))</f>
        <v> </v>
      </c>
      <c r="R158" s="316" t="str">
        <f aca="false">IF($A158="N/A"," ",IF(Pricetype=2,MAX(I158-$H158,0),IF(Pricetype=1,(xSPRDOPT(I158,$E158,$CI158,0,($CD158+IF(Smile=TRUE(),VLOOKUP(MAX(-5,$H158-I158),Volsmile,2),0)),$CG158,$CH158,($A158-DateToday)+15,1,0)),I158-$H158)))</f>
        <v> </v>
      </c>
      <c r="S158" s="316" t="str">
        <f aca="false">IF($A158="N/A"," ",IF(Pricetype=2,MAX(J158-$H158,0),IF(Pricetype=1,(xSPRDOPT(J158,$E158,$CI158,0,($CD158+IF(Smile=TRUE(),VLOOKUP(MAX(-5,$H158-J158),Volsmile,2),0)),$CG158,$CH158,($A158-DateToday)+15,1,0)),J158-$H158)))</f>
        <v> </v>
      </c>
      <c r="T158" s="317" t="str">
        <f aca="false">IF($A158="N/A"," ",(IF(Pricetype=2,IF((K158-$H158)&lt;=0,0,(K158-$H158)),IF(K158&lt;&gt;0,(K158-$H158),0))))</f>
        <v> </v>
      </c>
      <c r="U158" s="316" t="str">
        <f aca="false">IF($A158="N/A"," ",IF(Pricetype=2,MAX(L158-$H158,0),IF(L158&lt;&gt;0,IF(Pricetype=1,(xSPRDOPT(L158,$E158,$CI158,0,($CD158+IF(Smile=TRUE(),VLOOKUP(MAX(-5,$H158-L158),Volsmile,2),0)),$CG158,$CH158,($A158-DateToday)+15,1,0)),L158-$H158),0)))</f>
        <v> </v>
      </c>
      <c r="V158" s="316" t="str">
        <f aca="false">IF($A158="N/A"," ",IF(Pricetype=2,MAX(M158-$H158,0),IF(M158&lt;&gt;0,IF(Pricetype=1,(xSPRDOPT(M158,$E158,$CI158,0,($CD158+IF(Smile=TRUE(),VLOOKUP(MAX(-5,$H158-M158),Volsmile,2),0)),$CG158,$CH158,($A158-DateToday)+15,1,0)),M158-$H158),0)))</f>
        <v> </v>
      </c>
      <c r="W158" s="317" t="str">
        <f aca="false">IF($A158="N/A"," ",(IF(Pricetype=2,IF((N158-$H158)&lt;=0,0,(N158-$H158)),IF(N158&lt;&gt;0,(N158-$H158),0))))</f>
        <v> </v>
      </c>
      <c r="X158" s="316" t="str">
        <f aca="false">IF($A158="N/A"," ",IF(Pricetype=2,MAX(O158-$H158,0),IF(O158&lt;&gt;0,IF(Pricetype=1,(xSPRDOPT(O158,$E158,$CI158,0,($CD158+IF(Smile=TRUE(),VLOOKUP(MAX(-5,$H158-O158),Volsmile,2),0)),$CG158,$CH158,($A158-DateToday)+15,1,0)),O158-$H158),0)))</f>
        <v> </v>
      </c>
      <c r="Y158" s="316" t="str">
        <f aca="false">IF($A158="N/A"," ",IF(Pricetype=2,MAX(P158-$H158,0),IF(P158&lt;&gt;0,IF(Pricetype=1,(xSPRDOPT(P158,$E158,$CI158,0,($CD158+IF(Smile=TRUE(),VLOOKUP(MAX(-5,$H158-P158),Volsmile,2),0)),$CG158,$CH158,($A158-DateToday)+15,1,0)),P158-$H158),0)))</f>
        <v> </v>
      </c>
      <c r="Z158" s="317" t="str">
        <f aca="false">IF($A158="N/A"," ",(IF(Pricetype=2,IF((Q158-$H158)&lt;=0,0,(Q158-$H158)),IF(Q158&lt;&gt;0,(Q158-$H158),0))))</f>
        <v> </v>
      </c>
      <c r="AA158" s="318" t="str">
        <f aca="false">IF($A158="N/A"," ",IF(VLOOKUP(MONTH(A158),ManualTable,2)=1,(IF(0&lt;&gt;R158,IF(Pricetype=1,(xSPRDOPT(I158,$E158,$CI158,0,($CD158+IF(Smile=TRUE(),VLOOKUP(MAX(-5,$H158-I158),Volsmile,2),0)),$CG158,$CH158,($A158-DateToday)+15,1,1))*(8*$HD158),8*$HD158),0)),0))</f>
        <v> </v>
      </c>
      <c r="AB158" s="318" t="str">
        <f aca="false">IF($A158="N/A"," ",IF(VLOOKUP(MONTH(A158),ManualTable,3)=1,(IF(S158&lt;&gt;0,IF(Pricetype=1,(xSPRDOPT(J158,$E158,$CI158,0,($CD158+IF(Smile=TRUE(),VLOOKUP(MAX(-5,$H158-J158),Volsmile,2),0)),$CG158,$CH158,($A158-DateToday)+15,1,1))*(8*$HD158),8*$HD158),0)),0))</f>
        <v> </v>
      </c>
      <c r="AC158" s="318" t="str">
        <f aca="false">IF($A158="N/A"," ",IF(VLOOKUP(MONTH(A158),ManualTable,4)=1,(IF(T158&lt;&gt;0,(8*$HD158),0)),0))</f>
        <v> </v>
      </c>
      <c r="AD158" s="318" t="str">
        <f aca="false">IF($A158="N/A"," ",IF(VLOOKUP(MONTH(A158),ManualTable,5)=1,(IF(U158&lt;&gt;0,IF(Pricetype=1,(xSPRDOPT(L158,$E158,$CI158,0,($CD158+IF(Smile=TRUE(),VLOOKUP(MAX(-5,$H158-L158),Volsmile,2),0)),$CG158,$CH158,($A158-DateToday)+15,1,1))*(8*$HE158),8*$HE158),0)),0))</f>
        <v> </v>
      </c>
      <c r="AE158" s="318" t="str">
        <f aca="false">IF($A158="N/A"," ",IF(VLOOKUP(MONTH(A158),ManualTable,6)=1,(IF(V158&lt;&gt;0,IF(Pricetype=1,(xSPRDOPT(M158,$E158,$CI158,0,($CD158+IF(Smile=TRUE(),VLOOKUP(MAX(-5,$H158-M158),Volsmile,2),0)),$CG158,$CH158,($A158-DateToday)+15,1,1))*(8*$HE158),8*$HE158),0)),0))</f>
        <v> </v>
      </c>
      <c r="AF158" s="318" t="str">
        <f aca="false">IF($A158="N/A"," ",IF(VLOOKUP(MONTH(A158),ManualTable,7)=1,(IF(W158&lt;&gt;0,(8*$HE158),0)),0))</f>
        <v> </v>
      </c>
      <c r="AG158" s="318" t="str">
        <f aca="false">IF($A158="N/A"," ",IF(VLOOKUP(MONTH(A158),ManualTable,8)=1,(IF(X158&lt;&gt;0,IF(Pricetype=1,(xSPRDOPT(O158,$E158,$CI158,0,($CD158+IF(Smile=TRUE(),VLOOKUP(MAX(-5,$H158-O158),Volsmile,2),0)),$CG158,$CH158,($A158-DateToday)+15,1,1))*(8*$HF158),8*$HF158),0)),0))</f>
        <v> </v>
      </c>
      <c r="AH158" s="318" t="str">
        <f aca="false">IF($A158="N/A"," ",IF(VLOOKUP(MONTH(A158),ManualTable,9)=1,(IF(Y158&lt;&gt;0,IF(Pricetype=1,(xSPRDOPT(P158,$E158,$CI158,0,($CD158+IF(Smile=TRUE(),VLOOKUP(MAX(-5,$H158-P158),Volsmile,2),0)),$CG158,$CH158,($A158-DateToday)+15,1,1))*(8*$HF158),8*$HF158),0)),0))</f>
        <v> </v>
      </c>
      <c r="AI158" s="318" t="str">
        <f aca="false">IF($A158="N/A"," ",IF(VLOOKUP(MONTH(A158),ManualTable,10)=1,(IF(Z158&lt;&gt;0,(8*($HF158)),0)),0))</f>
        <v> </v>
      </c>
      <c r="AJ158" s="344" t="str">
        <f aca="false">IF($A158="N/A"," ",RANK(R158,$R$148:$Z$159))</f>
        <v> </v>
      </c>
      <c r="AK158" s="321" t="str">
        <f aca="false">IF($A158="N/A"," ",RANK(S158,$R$148:$Z$159))</f>
        <v> </v>
      </c>
      <c r="AL158" s="321" t="str">
        <f aca="false">IF($A158="N/A"," ",RANK(T158,$R$148:$Z$159))</f>
        <v> </v>
      </c>
      <c r="AM158" s="321" t="str">
        <f aca="false">IF($A158="N/A"," ",RANK(U158,$R$148:$Z$159))</f>
        <v> </v>
      </c>
      <c r="AN158" s="321" t="str">
        <f aca="false">IF($A158="N/A"," ",RANK(V158,$R$148:$Z$159))</f>
        <v> </v>
      </c>
      <c r="AO158" s="321" t="str">
        <f aca="false">IF($A158="N/A"," ",RANK(W158,$R$148:$Z$159))</f>
        <v> </v>
      </c>
      <c r="AP158" s="321" t="str">
        <f aca="false">IF($A158="N/A"," ",RANK(X158,$R$148:$Z$159))</f>
        <v> </v>
      </c>
      <c r="AQ158" s="321" t="str">
        <f aca="false">IF($A158="N/A"," ",RANK(Y158,$R$148:$Z$159))</f>
        <v> </v>
      </c>
      <c r="AR158" s="345" t="str">
        <f aca="false">IF($A158="N/A"," ",RANK(Z158,$R$148:$Z$159))</f>
        <v> </v>
      </c>
      <c r="AS158" s="323" t="str">
        <f aca="false">IF($A158="N/A"," ",IF(AJ158&lt;=$AR$2,AA158,0))</f>
        <v> </v>
      </c>
      <c r="AT158" s="325" t="str">
        <f aca="false">IF($A158="N/A"," ",IF(AK158&lt;=$AR$2,AB158,0))</f>
        <v> </v>
      </c>
      <c r="AU158" s="325" t="str">
        <f aca="false">IF($A158="N/A"," ",IF(AL158&lt;=$AR$2,AC158,0))</f>
        <v> </v>
      </c>
      <c r="AV158" s="325" t="str">
        <f aca="false">IF($A158="N/A"," ",IF(AM158&lt;=$AR$2,AD158,0))</f>
        <v> </v>
      </c>
      <c r="AW158" s="325" t="str">
        <f aca="false">IF($A158="N/A"," ",IF(AN158&lt;=$AR$2,AE158,0))</f>
        <v> </v>
      </c>
      <c r="AX158" s="325" t="str">
        <f aca="false">IF($A158="N/A"," ",IF(AO158&lt;=$AR$2,AF158,0))</f>
        <v> </v>
      </c>
      <c r="AY158" s="325" t="str">
        <f aca="false">IF($A158="N/A"," ",IF(AP158&lt;=$AR$2,AG158,0))</f>
        <v> </v>
      </c>
      <c r="AZ158" s="325" t="str">
        <f aca="false">IF($A158="N/A"," ",IF(AQ158&lt;=$AR$2,AH158,0))</f>
        <v> </v>
      </c>
      <c r="BA158" s="325" t="str">
        <f aca="false">IF($A158="N/A"," ",IF(AR158&lt;=$AR$2,AI158,0))</f>
        <v> </v>
      </c>
      <c r="BB158" s="345" t="n">
        <f aca="false">SUM(AS148:BA159)</f>
        <v>0</v>
      </c>
      <c r="BC158" s="326" t="str">
        <f aca="false">IF($A158="N/A"," ",IF(AND(AJ158=$AR$2+1,AS158=0),MIN($BB$159,AA158),0))</f>
        <v> </v>
      </c>
      <c r="BD158" s="346" t="str">
        <f aca="false">IF($A158="N/A"," ",IF(AND(AK158=$AR$2+1,AT158=0),MIN($BB$159,AB158),0))</f>
        <v> </v>
      </c>
      <c r="BE158" s="346" t="str">
        <f aca="false">IF($A158="N/A"," ",IF(AND(AL158=$AR$2+1,AU158=0),MIN($BB$159,AC158),0))</f>
        <v> </v>
      </c>
      <c r="BF158" s="346" t="str">
        <f aca="false">IF($A158="N/A"," ",IF(AND(AM158=$AR$2+1,AV158=0),MIN($BB$159,AD158),0))</f>
        <v> </v>
      </c>
      <c r="BG158" s="346" t="str">
        <f aca="false">IF($A158="N/A"," ",IF(AND(AN158=$AR$2+1,AW158=0),MIN($BB$159,AE158),0))</f>
        <v> </v>
      </c>
      <c r="BH158" s="346" t="str">
        <f aca="false">IF($A158="N/A"," ",IF(AND(AO158=$AR$2+1,AX158=0),MIN($BB$159,AF158),0))</f>
        <v> </v>
      </c>
      <c r="BI158" s="346" t="str">
        <f aca="false">IF($A158="N/A"," ",IF(AND(AP158=$AR$2+1,AY158=0),MIN($BB$159,AG158),0))</f>
        <v> </v>
      </c>
      <c r="BJ158" s="346" t="str">
        <f aca="false">IF($A158="N/A"," ",IF(AND(AQ158=$AR$2+1,AZ158=0),MIN($BB$159,AH158),0))</f>
        <v> </v>
      </c>
      <c r="BK158" s="346" t="str">
        <f aca="false">IF($A158="N/A"," ",IF(AND(AR158=$AR$2+1,BA158=0),MIN($BB$159,AI158),0))</f>
        <v> </v>
      </c>
      <c r="BL158" s="345" t="n">
        <f aca="false">SUM(BC148:BK159)</f>
        <v>0</v>
      </c>
      <c r="BM158" s="329" t="str">
        <f aca="false">IF($A158="N/A"," ",(IF(MONTH(A158)&gt;=4,IF(MONTH(A158)&lt;=10,Inputs!$F$13-Inputs!$G$13,Inputs!$F$14-Inputs!$G$14),Inputs!$F$14-Inputs!$G$14))*$CK158*Availability)</f>
        <v> </v>
      </c>
      <c r="BN158" s="330" t="str">
        <f aca="false">IF($A158="N/A"," ",(IF(AS158&gt;0,($BM158*(8*($HD158))*R158),0)+IF(BC158&gt;0,($BM158*((BC158/AA158)*8*$HD158)*R158),0)))</f>
        <v> </v>
      </c>
      <c r="BO158" s="330" t="str">
        <f aca="false">IF($A158="N/A"," ",(IF(AT158&gt;0,($BM158*(8*($HD158))*S158),0)+IF(BD158&gt;0,($BM158*((BD158/AB158)*8*$HD158)*S158),0)))</f>
        <v> </v>
      </c>
      <c r="BP158" s="330" t="str">
        <f aca="false">IF($A158="N/A"," ",(IF(AU158&gt;0,($BM158*(8*($HD158))*T158),0)+IF(BE158&gt;0,($BM158*((BE158))*T158),0)))</f>
        <v> </v>
      </c>
      <c r="BQ158" s="330" t="str">
        <f aca="false">IF($A158="N/A"," ",(IF(AV158&gt;0,($BM158*(8*($HE158))*U158),0)+IF(BF158&gt;0,($BM158*((BF158/AD158)*8*$HE158)*U158),0)))</f>
        <v> </v>
      </c>
      <c r="BR158" s="330" t="str">
        <f aca="false">IF($A158="N/A"," ",(IF(AW158&gt;0,($BM158*(8*($HE158))*V158),0)+IF(BG158&gt;0,($BM158*((BG158/AE158)*8*$HE158)*V158),0)))</f>
        <v> </v>
      </c>
      <c r="BS158" s="330" t="str">
        <f aca="false">IF($A158="N/A"," ",(IF(AX158&gt;0,($BM158*(8*($HE158))*W158),0)+IF(BH158&gt;0,($BM158*((BH158))*W158),0)))</f>
        <v> </v>
      </c>
      <c r="BT158" s="330" t="str">
        <f aca="false">IF($A158="N/A"," ",(IF(AY158&gt;0,($BM158*(8*($HF158))*X158),0)+IF(BI158&gt;0,($BM158*((BI158/AG158)*8*$HF158)*X158),0)))</f>
        <v> </v>
      </c>
      <c r="BU158" s="330" t="str">
        <f aca="false">IF($A158="N/A"," ",(IF(AZ158&gt;0,($BM158*(8*($HF158))*Y158),0)+IF(BJ158&gt;0,($BM158*((BJ158/AH158)*8*$HF158)*Y158),0)))</f>
        <v> </v>
      </c>
      <c r="BV158" s="330" t="str">
        <f aca="false">IF($A158="N/A"," ",(IF(BA158&gt;0,($BM158*(8*($HF158))*Z158),0)+IF(BK158&gt;0,($BM158*((BK158))*Z158),0)))</f>
        <v> </v>
      </c>
      <c r="BW158" s="330" t="str">
        <f aca="false">IF($A158="N/A"," ",SUM(BN158:BV158))</f>
        <v> </v>
      </c>
      <c r="BX158" s="331" t="str">
        <f aca="false">IF($A158="N/A"," ",(H158*(SUM(AS158:BA158)+SUM(BC158:BK158))*BM158))</f>
        <v> </v>
      </c>
      <c r="BY158" s="332" t="str">
        <f aca="false">IF($A158="N/A"," ",((C158*D158)*(SUM($AS158:$BA158)+SUM($BC158:$BK158))*$BM158))</f>
        <v> </v>
      </c>
      <c r="BZ158" s="332" t="str">
        <f aca="false">IF($A158="N/A"," ",(F158*(SUM($AS158:$BA158)+SUM($BC158:$BK158))*$BM158))</f>
        <v> </v>
      </c>
      <c r="CA158" s="333" t="str">
        <f aca="false">IF($A158="N/A"," ",(G158*(SUM($AS158:$BA158)+SUM($BC158:$BK158))*$BM158))</f>
        <v> </v>
      </c>
      <c r="CB158" s="334" t="str">
        <f aca="false">IF(A158="N/A"," ",(VLOOKUP(A158,PowerVolTable,(IF(BMO=2,7,IF(BMO=1,6,8))),FALSE())))</f>
        <v> </v>
      </c>
      <c r="CC158" s="334" t="str">
        <f aca="false">IF(A158="N/A"," ",(VLOOKUP(A158,IntraPowerVol,(IF(BMO=2,3,IF(BMO=1,2,4))),FALSE())*VLOOKUP(MONTH($A158),Volscale,2)))</f>
        <v> </v>
      </c>
      <c r="CD158" s="335" t="str">
        <f aca="false">IF($A158="N/A"," ",(IF(DateToday&gt;$A158,$CC158,((($CB158^2)*((($A158-1)-DateToday)/((EOMONTH($A158,0)+1)-DateToday-15)))+((($CC158)^2)*((15)/((EOMONTH($A158,0)+1)-DateToday-15))))^0.5)))</f>
        <v> </v>
      </c>
      <c r="CE158" s="334" t="str">
        <f aca="false">IF($A158="N/A"," ",(VLOOKUP($A158,GasVolTable,(IF(BMO=2,6,IF(BMO=1,7,5))),FALSE())))</f>
        <v> </v>
      </c>
      <c r="CF158" s="334" t="str">
        <f aca="false">IF($A158="N/A"," ",(VLOOKUP($A158,OmicronVol,(IF(BMO=2,3,IF(BMO=1,4,2))),FALSE())))</f>
        <v> </v>
      </c>
      <c r="CG158" s="335" t="str">
        <f aca="false">IF($A158="N/A"," ",(IF(DateToday&gt;$A158,$CF158,((($CE158^2)*((($A158-1)-DateToday)/((EOMONTH($A158,0)+1)-DateToday-15)))+((($CF158)^2)*((15)/((EOMONTH($A158,0)+1)-DateToday-15))))^0.5)))</f>
        <v> </v>
      </c>
      <c r="CH158" s="334" t="str">
        <f aca="false">IF($A158="N/A"," ",VLOOKUP($A158,CorrelationTable,2,FALSE()))</f>
        <v> </v>
      </c>
      <c r="CI158" s="336" t="str">
        <f aca="false">IF($A158="N/A"," ",F158+G158+(D158*('Pricing Inputs'!T191)))</f>
        <v> </v>
      </c>
      <c r="CJ158" s="334" t="str">
        <f aca="false">IF($A158="N/A"," ",IF(PV=1,0,'Pricing Inputs'!U191))</f>
        <v> </v>
      </c>
      <c r="CK158" s="337" t="str">
        <f aca="false">IF($A158="N/A"," ",(1+CJ158/2)^(-2*((EOMONTH(A158,0)+20)-DateToday)/365.25))</f>
        <v> </v>
      </c>
      <c r="CL158" s="338" t="str">
        <f aca="false">IF(A158="N/A"," ",IF(CC=2,(VLOOKUP(MONTH($A158),Hrtable,3))/1000,0))</f>
        <v> </v>
      </c>
      <c r="CM158" s="339" t="str">
        <f aca="false">IF(A158="N/A"," ",IF(CC=2,(CL158*C158)+F158,0))</f>
        <v> </v>
      </c>
      <c r="CN158" s="340" t="str">
        <f aca="false">IF($A158="N/A"," ",IF(CC=2,(VLOOKUP(A158,ScaledPrice,(IF(AND(Dayrun&gt;=1,Dayrun&lt;=6),2,4)))-((IF(R158&lt;&gt;0,$D158,$CL158)*$C158)+$F158+$G158)),0))</f>
        <v> </v>
      </c>
      <c r="CO158" s="340" t="str">
        <f aca="false">IF($A158="N/A"," ",IF(CC=2,(IF(AND(Dayrun&gt;=1,Dayrun&lt;=6),I158,(VLOOKUP(A158,ScaledPrice,2))*(2-(VLOOKUP(A158,ScaledPrice,3))))-((IF(S158&lt;&gt;0,$D158,$CL158)*$C158)+$F158+$G158)),0))</f>
        <v> </v>
      </c>
      <c r="CP158" s="340" t="str">
        <f aca="false">IF(A158="N/A"," ",IF(CC=2,(VLOOKUP(A158,ScaledPrice,9)-((IF(T158&lt;&gt;0,$D158,$CL158)*$C158)+$F158+$G158)),0))</f>
        <v> </v>
      </c>
      <c r="CQ158" s="340" t="str">
        <f aca="false">IF(A158="N/A"," ",IF(CC=2,(IF(OR(Dayrun=2,Dayrun=3,Dayrun=5,Dayrun=6,Dayrun=8,Dayrun=9),VLOOKUP(A158,ScaledPrice,IF(AND(Dayrun&gt;=2,Dayrun&lt;=6),5,6)),0)-((IF(U158&lt;&gt;0,$D158,$CL158)*$C158)+$F158+$G158)),0))</f>
        <v> </v>
      </c>
      <c r="CR158" s="340" t="str">
        <f aca="false">IF(A158="N/A"," ",IF(CC=2,(IF(OR(Dayrun=2,Dayrun=3,Dayrun=5,Dayrun=6,Dayrun=8,Dayrun=9),IF(AND(Dayrun&gt;=2,Dayrun&lt;=6),L158,(VLOOKUP(A158,ScaledPrice,5))*(2-(VLOOKUP(A158,ScaledPrice,3)))),0)-((IF(V158&lt;&gt;0,$D158,$CL158)*$C158)+$F158+$G158)),0))</f>
        <v> </v>
      </c>
      <c r="CS158" s="340" t="str">
        <f aca="false">IF(A158="N/A"," ",IF(CC=2,(VLOOKUP(A158,ScaledPrice,9)-((IF(W158&lt;&gt;0,$D158,$CL158)*$C158)+$F158+$G158)),0))</f>
        <v> </v>
      </c>
      <c r="CT158" s="340" t="str">
        <f aca="false">IF(A158="N/A"," ",IF(CC=2,(IF(OR(Dayrun=3,Dayrun=6,Dayrun=9),(VLOOKUP(A158,ScaledPrice,IF(AND(Dayrun&gt;=3,Dayrun&lt;=6),7,8))),0)-((IF(X158&lt;&gt;0,$D158,$CL158)*$C158)+$F158+$G158)),0))</f>
        <v> </v>
      </c>
      <c r="CU158" s="340" t="str">
        <f aca="false">IF(A158="N/A"," ",IF(CC=2,(IF(OR(Dayrun=3,Dayrun=6,Dayrun=9),IF(AND(Dayrun&gt;=3,Dayrun&lt;=6),O158,(VLOOKUP(A158,ScaledPrice,7))*(2-(VLOOKUP(A158,ScaledPrice,3)))),0)-((IF(Y158&lt;&gt;0,$D158,$CL158)*$C158)+$F158+$G158)),0))</f>
        <v> </v>
      </c>
      <c r="CV158" s="340" t="str">
        <f aca="false">IF(A158="N/A"," ",IF(CC=2,(VLOOKUP(A158,ScaledPrice,9)-((IF(Z158&lt;&gt;0,$D158,$CL158)*$C158)+$F158+$G158)),0))</f>
        <v> </v>
      </c>
      <c r="CW158" s="318" t="str">
        <f aca="false">IF($A158="N/A"," ",IF(0&lt;&gt;CN158,IF(CC=2,8*$HD158,0),0))</f>
        <v> </v>
      </c>
      <c r="CX158" s="318" t="str">
        <f aca="false">IF($A158="N/A"," ",IF(0&lt;&gt;CO158,IF(CC=2,8*$HD158,0),0))</f>
        <v> </v>
      </c>
      <c r="CY158" s="318" t="str">
        <f aca="false">IF($A158="N/A"," ",IF(0&lt;&gt;CP158,IF(CC=2,8*$HD158,0),0))</f>
        <v> </v>
      </c>
      <c r="CZ158" s="318" t="str">
        <f aca="false">IF($A158="N/A"," ",IF(0&lt;&gt;CQ158,IF(CC=2,8*$HE158,0),0))</f>
        <v> </v>
      </c>
      <c r="DA158" s="318" t="str">
        <f aca="false">IF($A158="N/A"," ",IF(0&lt;&gt;CR158,IF(CC=2,8*$HE158,0),0))</f>
        <v> </v>
      </c>
      <c r="DB158" s="318" t="str">
        <f aca="false">IF($A158="N/A"," ",IF(0&lt;&gt;CS158,IF(CC=2,8*$HE158,0),0))</f>
        <v> </v>
      </c>
      <c r="DC158" s="318" t="str">
        <f aca="false">IF($A158="N/A"," ",IF(0&lt;&gt;CT158,IF(CC=2,8*$HF158,0),0))</f>
        <v> </v>
      </c>
      <c r="DD158" s="318" t="str">
        <f aca="false">IF($A158="N/A"," ",IF(0&lt;&gt;CU158,IF(CC=2,8*$HF158,0),0))</f>
        <v> </v>
      </c>
      <c r="DE158" s="318" t="str">
        <f aca="false">IF($A158="N/A"," ",IF(0&lt;&gt;CV158,IF(CC=2,8*$HF158,0),0))</f>
        <v> </v>
      </c>
      <c r="DF158" s="341" t="str">
        <f aca="false">IF($A158="N/A"," ",IF(CC=2,(IF(MONTH(A158)&gt;=4,IF(MONTH(A158)&lt;=10,Inputs!$G$13,Inputs!$G$14),Inputs!$G$14))*$CK158,0))</f>
        <v> </v>
      </c>
      <c r="DG158" s="342" t="str">
        <f aca="false">IF($A158="N/A"," ",IF(CC=2,$DF158*CW158*CN158,0))</f>
        <v> </v>
      </c>
      <c r="DH158" s="342" t="str">
        <f aca="false">IF($A158="N/A"," ",IF(CC=2,$DF158*CX158*CO158,0))</f>
        <v> </v>
      </c>
      <c r="DI158" s="342" t="str">
        <f aca="false">IF($A158="N/A"," ",IF(CC=2,$DF158*CY158*CP158,0))</f>
        <v> </v>
      </c>
      <c r="DJ158" s="342" t="str">
        <f aca="false">IF($A158="N/A"," ",IF(CC=2,$DF158*CZ158*CQ158,0))</f>
        <v> </v>
      </c>
      <c r="DK158" s="342" t="str">
        <f aca="false">IF($A158="N/A"," ",IF(CC=2,$DF158*DA158*CR158,0))</f>
        <v> </v>
      </c>
      <c r="DL158" s="342" t="str">
        <f aca="false">IF($A158="N/A"," ",IF(CC=2,$DF158*DB158*CS158,0))</f>
        <v> </v>
      </c>
      <c r="DM158" s="342" t="str">
        <f aca="false">IF($A158="N/A"," ",IF(CC=2,$DF158*DC158*CT158,0))</f>
        <v> </v>
      </c>
      <c r="DN158" s="342" t="str">
        <f aca="false">IF($A158="N/A"," ",IF(CC=2,$DF158*DD158*CU158,0))</f>
        <v> </v>
      </c>
      <c r="DO158" s="342" t="str">
        <f aca="false">IF($A158="N/A"," ",IF(CC=2,$DF158*DE158*CV158,0))</f>
        <v> </v>
      </c>
      <c r="DP158" s="343" t="str">
        <f aca="false">IF($A158="N/A"," ",IF(CC=2,SUM(DG158:DO158),0))</f>
        <v> </v>
      </c>
      <c r="DQ158" s="0" t="str">
        <f aca="false">IF(A158="N/A"," ",Perstart)</f>
        <v> </v>
      </c>
      <c r="HD158" s="0" t="str">
        <f aca="false">IF($A158="N/A"," ",VLOOKUP($A158,NumberofDaysTable,2))</f>
        <v> </v>
      </c>
      <c r="HE158" s="0" t="str">
        <f aca="false">IF($A158="N/A"," ",VLOOKUP($A158,NumberofDaysTable,3))</f>
        <v> </v>
      </c>
      <c r="HF158" s="0" t="str">
        <f aca="false">IF($A158="N/A"," ",VLOOKUP($A158,NumberofDaysTable,4))</f>
        <v> </v>
      </c>
    </row>
    <row r="159" customFormat="false" ht="12.75" hidden="false" customHeight="false" outlineLevel="0" collapsed="false">
      <c r="A159" s="308" t="str">
        <f aca="false">IF(A158="N/A","N/A",IF(EDATE(A158,1)&gt;Inputs!$K$3,"N/A",EDATE(A158,1)))</f>
        <v>N/A</v>
      </c>
      <c r="B159" s="309" t="str">
        <f aca="false">IF(A159="N/A"," ",YEAR(A159))</f>
        <v> </v>
      </c>
      <c r="C159" s="310" t="str">
        <f aca="false">IF(A159="N/A"," ",VLOOKUP(A159,ScaledPrice,10))</f>
        <v> </v>
      </c>
      <c r="D159" s="311" t="str">
        <f aca="false">IF(A159="N/A"," ",(VLOOKUP(MONTH($A159),Hrtable,2))/1000)</f>
        <v> </v>
      </c>
      <c r="E159" s="312" t="str">
        <f aca="false">IF($A159="N/A"," ",(C159-'Pricing Inputs'!T192)*D159)</f>
        <v> </v>
      </c>
      <c r="F159" s="313" t="str">
        <f aca="false">IF(A159="N/A"," ",$F147*(1+VOMesc))</f>
        <v> </v>
      </c>
      <c r="G159" s="313" t="str">
        <f aca="false">IF(A159="N/A"," ",Perstart/IF(AND(Dayrun&gt;=4,Dayrun&lt;=6),16,IF(AND(Dayrun&gt;=7,Dayrun&lt;=9),8,24))/(BM159/CK159))</f>
        <v> </v>
      </c>
      <c r="H159" s="314" t="str">
        <f aca="false">IF(A159="N/A"," ",(C159*D159)+F159+G159)</f>
        <v> </v>
      </c>
      <c r="I159" s="315" t="str">
        <f aca="false">VLOOKUP(A159,ScaledPrice,(IF(AND(Dayrun&gt;=1,Dayrun&lt;=6),2,4)))</f>
        <v> </v>
      </c>
      <c r="J159" s="315" t="str">
        <f aca="false">IF(A159="N/A"," ",IF(AND(Dayrun&gt;=1,Dayrun&lt;=6),I159,(VLOOKUP(A159,ScaledPrice,2))*(2-(VLOOKUP(A159,ScaledPrice,3)))))</f>
        <v> </v>
      </c>
      <c r="K159" s="315" t="str">
        <f aca="false">IF(A159="N/A"," ",IF(AND(Dayrun&gt;=1,Dayrun&lt;=3),VLOOKUP(A159,ScaledPrice,9),0))</f>
        <v> </v>
      </c>
      <c r="L159" s="315" t="str">
        <f aca="false">IF(A159="N/A"," ",IF(OR(Dayrun=2,Dayrun=3,Dayrun=5,Dayrun=6,Dayrun=8,Dayrun=9),VLOOKUP(A159,ScaledPrice,IF(AND(Dayrun&gt;=2,Dayrun&lt;=6),5,6)),0))</f>
        <v> </v>
      </c>
      <c r="M159" s="315" t="str">
        <f aca="false">IF(A159="N/A"," ",IF(OR(Dayrun=2,Dayrun=3,Dayrun=5,Dayrun=6,Dayrun=8,Dayrun=9),IF(AND(Dayrun&gt;=2,Dayrun&lt;=6),L159,(VLOOKUP(A159,ScaledPrice,5))*(2-(VLOOKUP(A159,ScaledPrice,3)))),0))</f>
        <v> </v>
      </c>
      <c r="N159" s="315" t="str">
        <f aca="false">IF(A159="N/A"," ",IF(AND(Dayrun&gt;1,Dayrun&lt;=3),VLOOKUP(A159,ScaledPrice,9),0))</f>
        <v> </v>
      </c>
      <c r="O159" s="315" t="str">
        <f aca="false">IF(A159="N/A"," ",IF(OR(Dayrun=3,Dayrun=6,Dayrun=9),(VLOOKUP(A159,ScaledPrice,IF(AND(Dayrun&gt;=3,Dayrun&lt;=6),7,8))),0))</f>
        <v> </v>
      </c>
      <c r="P159" s="315" t="str">
        <f aca="false">IF(A159="N/A"," ",IF(OR(Dayrun=3,Dayrun=6,Dayrun=9),IF(AND(Dayrun&gt;=3,Dayrun&lt;=6),O159,(VLOOKUP(A159,ScaledPrice,7))*(2-(VLOOKUP(A159,ScaledPrice,3)))),0))</f>
        <v> </v>
      </c>
      <c r="Q159" s="315" t="str">
        <f aca="false">IF(A159="N/A"," ",IF(AND(Dayrun&gt;2,Dayrun&lt;=3),VLOOKUP(A159,ScaledPrice,9),0))</f>
        <v> </v>
      </c>
      <c r="R159" s="316" t="str">
        <f aca="false">IF($A159="N/A"," ",IF(Pricetype=2,MAX(I159-$H159,0),IF(Pricetype=1,(xSPRDOPT(I159,$E159,$CI159,0,($CD159+IF(Smile=TRUE(),VLOOKUP(MAX(-5,$H159-I159),Volsmile,2),0)),$CG159,$CH159,($A159-DateToday)+15,1,0)),I159-$H159)))</f>
        <v> </v>
      </c>
      <c r="S159" s="316" t="str">
        <f aca="false">IF($A159="N/A"," ",IF(Pricetype=2,MAX(J159-$H159,0),IF(Pricetype=1,(xSPRDOPT(J159,$E159,$CI159,0,($CD159+IF(Smile=TRUE(),VLOOKUP(MAX(-5,$H159-J159),Volsmile,2),0)),$CG159,$CH159,($A159-DateToday)+15,1,0)),J159-$H159)))</f>
        <v> </v>
      </c>
      <c r="T159" s="317" t="str">
        <f aca="false">IF($A159="N/A"," ",(IF(Pricetype=2,IF((K159-$H159)&lt;=0,0,(K159-$H159)),IF(K159&lt;&gt;0,(K159-$H159),0))))</f>
        <v> </v>
      </c>
      <c r="U159" s="316" t="str">
        <f aca="false">IF($A159="N/A"," ",IF(Pricetype=2,MAX(L159-$H159,0),IF(L159&lt;&gt;0,IF(Pricetype=1,(xSPRDOPT(L159,$E159,$CI159,0,($CD159+IF(Smile=TRUE(),VLOOKUP(MAX(-5,$H159-L159),Volsmile,2),0)),$CG159,$CH159,($A159-DateToday)+15,1,0)),L159-$H159),0)))</f>
        <v> </v>
      </c>
      <c r="V159" s="316" t="str">
        <f aca="false">IF($A159="N/A"," ",IF(Pricetype=2,MAX(M159-$H159,0),IF(M159&lt;&gt;0,IF(Pricetype=1,(xSPRDOPT(M159,$E159,$CI159,0,($CD159+IF(Smile=TRUE(),VLOOKUP(MAX(-5,$H159-M159),Volsmile,2),0)),$CG159,$CH159,($A159-DateToday)+15,1,0)),M159-$H159),0)))</f>
        <v> </v>
      </c>
      <c r="W159" s="317" t="str">
        <f aca="false">IF($A159="N/A"," ",(IF(Pricetype=2,IF((N159-$H159)&lt;=0,0,(N159-$H159)),IF(N159&lt;&gt;0,(N159-$H159),0))))</f>
        <v> </v>
      </c>
      <c r="X159" s="316" t="str">
        <f aca="false">IF($A159="N/A"," ",IF(Pricetype=2,MAX(O159-$H159,0),IF(O159&lt;&gt;0,IF(Pricetype=1,(xSPRDOPT(O159,$E159,$CI159,0,($CD159+IF(Smile=TRUE(),VLOOKUP(MAX(-5,$H159-O159),Volsmile,2),0)),$CG159,$CH159,($A159-DateToday)+15,1,0)),O159-$H159),0)))</f>
        <v> </v>
      </c>
      <c r="Y159" s="316" t="str">
        <f aca="false">IF($A159="N/A"," ",IF(Pricetype=2,MAX(P159-$H159,0),IF(P159&lt;&gt;0,IF(Pricetype=1,(xSPRDOPT(P159,$E159,$CI159,0,($CD159+IF(Smile=TRUE(),VLOOKUP(MAX(-5,$H159-P159),Volsmile,2),0)),$CG159,$CH159,($A159-DateToday)+15,1,0)),P159-$H159),0)))</f>
        <v> </v>
      </c>
      <c r="Z159" s="317" t="str">
        <f aca="false">IF($A159="N/A"," ",(IF(Pricetype=2,IF((Q159-$H159)&lt;=0,0,(Q159-$H159)),IF(Q159&lt;&gt;0,(Q159-$H159),0))))</f>
        <v> </v>
      </c>
      <c r="AA159" s="318" t="str">
        <f aca="false">IF($A159="N/A"," ",IF(VLOOKUP(MONTH(A159),ManualTable,2)=1,(IF(0&lt;&gt;R159,IF(Pricetype=1,(xSPRDOPT(I159,$E159,$CI159,0,($CD159+IF(Smile=TRUE(),VLOOKUP(MAX(-5,$H159-I159),Volsmile,2),0)),$CG159,$CH159,($A159-DateToday)+15,1,1))*(8*$HD159),8*$HD159),0)),0))</f>
        <v> </v>
      </c>
      <c r="AB159" s="318" t="str">
        <f aca="false">IF($A159="N/A"," ",IF(VLOOKUP(MONTH(A159),ManualTable,3)=1,(IF(S159&lt;&gt;0,IF(Pricetype=1,(xSPRDOPT(J159,$E159,$CI159,0,($CD159+IF(Smile=TRUE(),VLOOKUP(MAX(-5,$H159-J159),Volsmile,2),0)),$CG159,$CH159,($A159-DateToday)+15,1,1))*(8*$HD159),8*$HD159),0)),0))</f>
        <v> </v>
      </c>
      <c r="AC159" s="318" t="str">
        <f aca="false">IF($A159="N/A"," ",IF(VLOOKUP(MONTH(A159),ManualTable,4)=1,(IF(T159&lt;&gt;0,(8*$HD159),0)),0))</f>
        <v> </v>
      </c>
      <c r="AD159" s="318" t="str">
        <f aca="false">IF($A159="N/A"," ",IF(VLOOKUP(MONTH(A159),ManualTable,5)=1,(IF(U159&lt;&gt;0,IF(Pricetype=1,(xSPRDOPT(L159,$E159,$CI159,0,($CD159+IF(Smile=TRUE(),VLOOKUP(MAX(-5,$H159-L159),Volsmile,2),0)),$CG159,$CH159,($A159-DateToday)+15,1,1))*(8*$HE159),8*$HE159),0)),0))</f>
        <v> </v>
      </c>
      <c r="AE159" s="318" t="str">
        <f aca="false">IF($A159="N/A"," ",IF(VLOOKUP(MONTH(A159),ManualTable,6)=1,(IF(V159&lt;&gt;0,IF(Pricetype=1,(xSPRDOPT(M159,$E159,$CI159,0,($CD159+IF(Smile=TRUE(),VLOOKUP(MAX(-5,$H159-M159),Volsmile,2),0)),$CG159,$CH159,($A159-DateToday)+15,1,1))*(8*$HE159),8*$HE159),0)),0))</f>
        <v> </v>
      </c>
      <c r="AF159" s="318" t="str">
        <f aca="false">IF($A159="N/A"," ",IF(VLOOKUP(MONTH(A159),ManualTable,7)=1,(IF(W159&lt;&gt;0,(8*$HE159),0)),0))</f>
        <v> </v>
      </c>
      <c r="AG159" s="318" t="str">
        <f aca="false">IF($A159="N/A"," ",IF(VLOOKUP(MONTH(A159),ManualTable,8)=1,(IF(X159&lt;&gt;0,IF(Pricetype=1,(xSPRDOPT(O159,$E159,$CI159,0,($CD159+IF(Smile=TRUE(),VLOOKUP(MAX(-5,$H159-O159),Volsmile,2),0)),$CG159,$CH159,($A159-DateToday)+15,1,1))*(8*$HF159),8*$HF159),0)),0))</f>
        <v> </v>
      </c>
      <c r="AH159" s="318" t="str">
        <f aca="false">IF($A159="N/A"," ",IF(VLOOKUP(MONTH(A159),ManualTable,9)=1,(IF(Y159&lt;&gt;0,IF(Pricetype=1,(xSPRDOPT(P159,$E159,$CI159,0,($CD159+IF(Smile=TRUE(),VLOOKUP(MAX(-5,$H159-P159),Volsmile,2),0)),$CG159,$CH159,($A159-DateToday)+15,1,1))*(8*$HF159),8*$HF159),0)),0))</f>
        <v> </v>
      </c>
      <c r="AI159" s="318" t="str">
        <f aca="false">IF($A159="N/A"," ",IF(VLOOKUP(MONTH(A159),ManualTable,10)=1,(IF(Z159&lt;&gt;0,(8*($HF159)),0)),0))</f>
        <v> </v>
      </c>
      <c r="AJ159" s="349" t="str">
        <f aca="false">IF($A159="N/A"," ",RANK(R159,$R$148:$Z$159))</f>
        <v> </v>
      </c>
      <c r="AK159" s="350" t="str">
        <f aca="false">IF($A159="N/A"," ",RANK(S159,$R$148:$Z$159))</f>
        <v> </v>
      </c>
      <c r="AL159" s="350" t="str">
        <f aca="false">IF($A159="N/A"," ",RANK(T159,$R$148:$Z$159))</f>
        <v> </v>
      </c>
      <c r="AM159" s="350" t="str">
        <f aca="false">IF($A159="N/A"," ",RANK(U159,$R$148:$Z$159))</f>
        <v> </v>
      </c>
      <c r="AN159" s="350" t="str">
        <f aca="false">IF($A159="N/A"," ",RANK(V159,$R$148:$Z$159))</f>
        <v> </v>
      </c>
      <c r="AO159" s="350" t="str">
        <f aca="false">IF($A159="N/A"," ",RANK(W159,$R$148:$Z$159))</f>
        <v> </v>
      </c>
      <c r="AP159" s="350" t="str">
        <f aca="false">IF($A159="N/A"," ",RANK(X159,$R$148:$Z$159))</f>
        <v> </v>
      </c>
      <c r="AQ159" s="350" t="str">
        <f aca="false">IF($A159="N/A"," ",RANK(Y159,$R$148:$Z$159))</f>
        <v> </v>
      </c>
      <c r="AR159" s="351" t="str">
        <f aca="false">IF($A159="N/A"," ",RANK(Z159,$R$148:$Z$159))</f>
        <v> </v>
      </c>
      <c r="AS159" s="352" t="str">
        <f aca="false">IF($A159="N/A"," ",IF(AJ159&lt;=$AR$2,AA159,0))</f>
        <v> </v>
      </c>
      <c r="AT159" s="353" t="str">
        <f aca="false">IF($A159="N/A"," ",IF(AK159&lt;=$AR$2,AB159,0))</f>
        <v> </v>
      </c>
      <c r="AU159" s="353" t="str">
        <f aca="false">IF($A159="N/A"," ",IF(AL159&lt;=$AR$2,AC159,0))</f>
        <v> </v>
      </c>
      <c r="AV159" s="353" t="str">
        <f aca="false">IF($A159="N/A"," ",IF(AM159&lt;=$AR$2,AD159,0))</f>
        <v> </v>
      </c>
      <c r="AW159" s="353" t="str">
        <f aca="false">IF($A159="N/A"," ",IF(AN159&lt;=$AR$2,AE159,0))</f>
        <v> </v>
      </c>
      <c r="AX159" s="353" t="str">
        <f aca="false">IF($A159="N/A"," ",IF(AO159&lt;=$AR$2,AF159,0))</f>
        <v> </v>
      </c>
      <c r="AY159" s="353" t="str">
        <f aca="false">IF($A159="N/A"," ",IF(AP159&lt;=$AR$2,AG159,0))</f>
        <v> </v>
      </c>
      <c r="AZ159" s="353" t="str">
        <f aca="false">IF($A159="N/A"," ",IF(AQ159&lt;=$AR$2,AH159,0))</f>
        <v> </v>
      </c>
      <c r="BA159" s="353" t="str">
        <f aca="false">IF($A159="N/A"," ",IF(AR159&lt;=$AR$2,AI159,0))</f>
        <v> </v>
      </c>
      <c r="BB159" s="351" t="n">
        <f aca="false">IF(($AZ$2-BB158)&gt;=0,$AZ$2-BB158,0)</f>
        <v>980</v>
      </c>
      <c r="BC159" s="354" t="str">
        <f aca="false">IF($A159="N/A"," ",IF(AND(AJ159=$AR$2+1,AS159=0),MIN($BB$159,AA159),0))</f>
        <v> </v>
      </c>
      <c r="BD159" s="355" t="str">
        <f aca="false">IF($A159="N/A"," ",IF(AND(AK159=$AR$2+1,AT159=0),MIN($BB$159,AB159),0))</f>
        <v> </v>
      </c>
      <c r="BE159" s="346" t="str">
        <f aca="false">IF($A159="N/A"," ",IF(AND(AL159=$AR$2+1,AU159=0),MIN($BB$159,AC159),0))</f>
        <v> </v>
      </c>
      <c r="BF159" s="355" t="str">
        <f aca="false">IF($A159="N/A"," ",IF(AND(AM159=$AR$2+1,AV159=0),MIN($BB$159,AD159),0))</f>
        <v> </v>
      </c>
      <c r="BG159" s="355" t="str">
        <f aca="false">IF($A159="N/A"," ",IF(AND(AN159=$AR$2+1,AW159=0),MIN($BB$159,AE159),0))</f>
        <v> </v>
      </c>
      <c r="BH159" s="346" t="str">
        <f aca="false">IF($A159="N/A"," ",IF(AND(AO159=$AR$2+1,AX159=0),MIN($BB$159,AF159),0))</f>
        <v> </v>
      </c>
      <c r="BI159" s="355" t="str">
        <f aca="false">IF($A159="N/A"," ",IF(AND(AP159=$AR$2+1,AY159=0),MIN($BB$159,AG159),0))</f>
        <v> </v>
      </c>
      <c r="BJ159" s="355" t="str">
        <f aca="false">IF($A159="N/A"," ",IF(AND(AQ159=$AR$2+1,AZ159=0),MIN($BB$159,AH159),0))</f>
        <v> </v>
      </c>
      <c r="BK159" s="355" t="str">
        <f aca="false">IF($A159="N/A"," ",IF(AND(AR159=$AR$2+1,BA159=0),MIN($BB$159,AI159),0))</f>
        <v> </v>
      </c>
      <c r="BL159" s="356" t="n">
        <f aca="false">BB158+BL158</f>
        <v>0</v>
      </c>
      <c r="BM159" s="329" t="str">
        <f aca="false">IF($A159="N/A"," ",(IF(MONTH(A159)&gt;=4,IF(MONTH(A159)&lt;=10,Inputs!$F$13-Inputs!$G$13,Inputs!$F$14-Inputs!$G$14),Inputs!$F$14-Inputs!$G$14))*$CK159*Availability)</f>
        <v> </v>
      </c>
      <c r="BN159" s="330" t="str">
        <f aca="false">IF($A159="N/A"," ",(IF(AS159&gt;0,($BM159*(8*($HD159))*R159),0)+IF(BC159&gt;0,($BM159*((BC159/AA159)*8*$HD159)*R159),0)))</f>
        <v> </v>
      </c>
      <c r="BO159" s="330" t="str">
        <f aca="false">IF($A159="N/A"," ",(IF(AT159&gt;0,($BM159*(8*($HD159))*S159),0)+IF(BD159&gt;0,($BM159*((BD159/AB159)*8*$HD159)*S159),0)))</f>
        <v> </v>
      </c>
      <c r="BP159" s="330" t="str">
        <f aca="false">IF($A159="N/A"," ",(IF(AU159&gt;0,($BM159*(8*($HD159))*T159),0)+IF(BE159&gt;0,($BM159*((BE159))*T159),0)))</f>
        <v> </v>
      </c>
      <c r="BQ159" s="330" t="str">
        <f aca="false">IF($A159="N/A"," ",(IF(AV159&gt;0,($BM159*(8*($HE159))*U159),0)+IF(BF159&gt;0,($BM159*((BF159/AD159)*8*$HE159)*U159),0)))</f>
        <v> </v>
      </c>
      <c r="BR159" s="330" t="str">
        <f aca="false">IF($A159="N/A"," ",(IF(AW159&gt;0,($BM159*(8*($HE159))*V159),0)+IF(BG159&gt;0,($BM159*((BG159/AE159)*8*$HE159)*V159),0)))</f>
        <v> </v>
      </c>
      <c r="BS159" s="330" t="str">
        <f aca="false">IF($A159="N/A"," ",(IF(AX159&gt;0,($BM159*(8*($HE159))*W159),0)+IF(BH159&gt;0,($BM159*((BH159))*W159),0)))</f>
        <v> </v>
      </c>
      <c r="BT159" s="330" t="str">
        <f aca="false">IF($A159="N/A"," ",(IF(AY159&gt;0,($BM159*(8*($HF159))*X159),0)+IF(BI159&gt;0,($BM159*((BI159/AG159)*8*$HF159)*X159),0)))</f>
        <v> </v>
      </c>
      <c r="BU159" s="330" t="str">
        <f aca="false">IF($A159="N/A"," ",(IF(AZ159&gt;0,($BM159*(8*($HF159))*Y159),0)+IF(BJ159&gt;0,($BM159*((BJ159/AH159)*8*$HF159)*Y159),0)))</f>
        <v> </v>
      </c>
      <c r="BV159" s="330" t="str">
        <f aca="false">IF($A159="N/A"," ",(IF(BA159&gt;0,($BM159*(8*($HF159))*Z159),0)+IF(BK159&gt;0,($BM159*((BK159))*Z159),0)))</f>
        <v> </v>
      </c>
      <c r="BW159" s="330" t="str">
        <f aca="false">IF($A159="N/A"," ",SUM(BN159:BV159))</f>
        <v> </v>
      </c>
      <c r="BX159" s="331" t="str">
        <f aca="false">IF($A159="N/A"," ",(H159*(SUM(AS159:BA159)+SUM(BC159:BK159))*BM159))</f>
        <v> </v>
      </c>
      <c r="BY159" s="332" t="str">
        <f aca="false">IF($A159="N/A"," ",((C159*D159)*(SUM($AS159:$BA159)+SUM($BC159:$BK159))*$BM159))</f>
        <v> </v>
      </c>
      <c r="BZ159" s="332" t="str">
        <f aca="false">IF($A159="N/A"," ",(F159*(SUM($AS159:$BA159)+SUM($BC159:$BK159))*$BM159))</f>
        <v> </v>
      </c>
      <c r="CA159" s="333" t="str">
        <f aca="false">IF($A159="N/A"," ",(G159*(SUM($AS159:$BA159)+SUM($BC159:$BK159))*$BM159))</f>
        <v> </v>
      </c>
      <c r="CB159" s="334" t="str">
        <f aca="false">IF(A159="N/A"," ",(VLOOKUP(A159,PowerVolTable,(IF(BMO=2,7,IF(BMO=1,6,8))),FALSE())))</f>
        <v> </v>
      </c>
      <c r="CC159" s="334" t="str">
        <f aca="false">IF(A159="N/A"," ",(VLOOKUP(A159,IntraPowerVol,(IF(BMO=2,3,IF(BMO=1,2,4))),FALSE())*VLOOKUP(MONTH($A159),Volscale,2)))</f>
        <v> </v>
      </c>
      <c r="CD159" s="335" t="str">
        <f aca="false">IF($A159="N/A"," ",(IF(DateToday&gt;$A159,$CC159,((($CB159^2)*((($A159-1)-DateToday)/((EOMONTH($A159,0)+1)-DateToday-15)))+((($CC159)^2)*((15)/((EOMONTH($A159,0)+1)-DateToday-15))))^0.5)))</f>
        <v> </v>
      </c>
      <c r="CE159" s="334" t="str">
        <f aca="false">IF($A159="N/A"," ",(VLOOKUP($A159,GasVolTable,(IF(BMO=2,6,IF(BMO=1,7,5))),FALSE())))</f>
        <v> </v>
      </c>
      <c r="CF159" s="334" t="str">
        <f aca="false">IF($A159="N/A"," ",(VLOOKUP($A159,OmicronVol,(IF(BMO=2,3,IF(BMO=1,4,2))),FALSE())))</f>
        <v> </v>
      </c>
      <c r="CG159" s="335" t="str">
        <f aca="false">IF($A159="N/A"," ",(IF(DateToday&gt;$A159,$CF159,((($CE159^2)*((($A159-1)-DateToday)/((EOMONTH($A159,0)+1)-DateToday-15)))+((($CF159)^2)*((15)/((EOMONTH($A159,0)+1)-DateToday-15))))^0.5)))</f>
        <v> </v>
      </c>
      <c r="CH159" s="334" t="str">
        <f aca="false">IF($A159="N/A"," ",VLOOKUP($A159,CorrelationTable,2,FALSE()))</f>
        <v> </v>
      </c>
      <c r="CI159" s="336" t="str">
        <f aca="false">IF($A159="N/A"," ",F159+G159+(D159*('Pricing Inputs'!T192)))</f>
        <v> </v>
      </c>
      <c r="CJ159" s="334" t="str">
        <f aca="false">IF($A159="N/A"," ",IF(PV=1,0,'Pricing Inputs'!U192))</f>
        <v> </v>
      </c>
      <c r="CK159" s="337" t="str">
        <f aca="false">IF($A159="N/A"," ",(1+CJ159/2)^(-2*((EOMONTH(A159,0)+20)-DateToday)/365.25))</f>
        <v> </v>
      </c>
      <c r="CL159" s="338" t="str">
        <f aca="false">IF(A159="N/A"," ",IF(CC=2,(VLOOKUP(MONTH($A159),Hrtable,3))/1000,0))</f>
        <v> </v>
      </c>
      <c r="CM159" s="339" t="str">
        <f aca="false">IF(A159="N/A"," ",IF(CC=2,(CL159*C159)+F159,0))</f>
        <v> </v>
      </c>
      <c r="CN159" s="340" t="str">
        <f aca="false">IF($A159="N/A"," ",IF(CC=2,(VLOOKUP(A159,ScaledPrice,(IF(AND(Dayrun&gt;=1,Dayrun&lt;=6),2,4)))-((IF(R159&lt;&gt;0,$D159,$CL159)*$C159)+$F159+$G159)),0))</f>
        <v> </v>
      </c>
      <c r="CO159" s="340" t="str">
        <f aca="false">IF($A159="N/A"," ",IF(CC=2,(IF(AND(Dayrun&gt;=1,Dayrun&lt;=6),I159,(VLOOKUP(A159,ScaledPrice,2))*(2-(VLOOKUP(A159,ScaledPrice,3))))-((IF(S159&lt;&gt;0,$D159,$CL159)*$C159)+$F159+$G159)),0))</f>
        <v> </v>
      </c>
      <c r="CP159" s="340" t="str">
        <f aca="false">IF(A159="N/A"," ",IF(CC=2,(VLOOKUP(A159,ScaledPrice,9)-((IF(T159&lt;&gt;0,$D159,$CL159)*$C159)+$F159+$G159)),0))</f>
        <v> </v>
      </c>
      <c r="CQ159" s="340" t="str">
        <f aca="false">IF(A159="N/A"," ",IF(CC=2,(IF(OR(Dayrun=2,Dayrun=3,Dayrun=5,Dayrun=6,Dayrun=8,Dayrun=9),VLOOKUP(A159,ScaledPrice,IF(AND(Dayrun&gt;=2,Dayrun&lt;=6),5,6)),0)-((IF(U159&lt;&gt;0,$D159,$CL159)*$C159)+$F159+$G159)),0))</f>
        <v> </v>
      </c>
      <c r="CR159" s="340" t="str">
        <f aca="false">IF(A159="N/A"," ",IF(CC=2,(IF(OR(Dayrun=2,Dayrun=3,Dayrun=5,Dayrun=6,Dayrun=8,Dayrun=9),IF(AND(Dayrun&gt;=2,Dayrun&lt;=6),L159,(VLOOKUP(A159,ScaledPrice,5))*(2-(VLOOKUP(A159,ScaledPrice,3)))),0)-((IF(V159&lt;&gt;0,$D159,$CL159)*$C159)+$F159+$G159)),0))</f>
        <v> </v>
      </c>
      <c r="CS159" s="340" t="str">
        <f aca="false">IF(A159="N/A"," ",IF(CC=2,(VLOOKUP(A159,ScaledPrice,9)-((IF(W159&lt;&gt;0,$D159,$CL159)*$C159)+$F159+$G159)),0))</f>
        <v> </v>
      </c>
      <c r="CT159" s="340" t="str">
        <f aca="false">IF(A159="N/A"," ",IF(CC=2,(IF(OR(Dayrun=3,Dayrun=6,Dayrun=9),(VLOOKUP(A159,ScaledPrice,IF(AND(Dayrun&gt;=3,Dayrun&lt;=6),7,8))),0)-((IF(X159&lt;&gt;0,$D159,$CL159)*$C159)+$F159+$G159)),0))</f>
        <v> </v>
      </c>
      <c r="CU159" s="340" t="str">
        <f aca="false">IF(A159="N/A"," ",IF(CC=2,(IF(OR(Dayrun=3,Dayrun=6,Dayrun=9),IF(AND(Dayrun&gt;=3,Dayrun&lt;=6),O159,(VLOOKUP(A159,ScaledPrice,7))*(2-(VLOOKUP(A159,ScaledPrice,3)))),0)-((IF(Y159&lt;&gt;0,$D159,$CL159)*$C159)+$F159+$G159)),0))</f>
        <v> </v>
      </c>
      <c r="CV159" s="340" t="str">
        <f aca="false">IF(A159="N/A"," ",IF(CC=2,(VLOOKUP(A159,ScaledPrice,9)-((IF(Z159&lt;&gt;0,$D159,$CL159)*$C159)+$F159+$G159)),0))</f>
        <v> </v>
      </c>
      <c r="CW159" s="318" t="str">
        <f aca="false">IF($A159="N/A"," ",IF(0&lt;&gt;CN159,IF(CC=2,8*$HD159,0),0))</f>
        <v> </v>
      </c>
      <c r="CX159" s="318" t="str">
        <f aca="false">IF($A159="N/A"," ",IF(0&lt;&gt;CO159,IF(CC=2,8*$HD159,0),0))</f>
        <v> </v>
      </c>
      <c r="CY159" s="318" t="str">
        <f aca="false">IF($A159="N/A"," ",IF(0&lt;&gt;CP159,IF(CC=2,8*$HD159,0),0))</f>
        <v> </v>
      </c>
      <c r="CZ159" s="318" t="str">
        <f aca="false">IF($A159="N/A"," ",IF(0&lt;&gt;CQ159,IF(CC=2,8*$HE159,0),0))</f>
        <v> </v>
      </c>
      <c r="DA159" s="318" t="str">
        <f aca="false">IF($A159="N/A"," ",IF(0&lt;&gt;CR159,IF(CC=2,8*$HE159,0),0))</f>
        <v> </v>
      </c>
      <c r="DB159" s="318" t="str">
        <f aca="false">IF($A159="N/A"," ",IF(0&lt;&gt;CS159,IF(CC=2,8*$HE159,0),0))</f>
        <v> </v>
      </c>
      <c r="DC159" s="318" t="str">
        <f aca="false">IF($A159="N/A"," ",IF(0&lt;&gt;CT159,IF(CC=2,8*$HF159,0),0))</f>
        <v> </v>
      </c>
      <c r="DD159" s="318" t="str">
        <f aca="false">IF($A159="N/A"," ",IF(0&lt;&gt;CU159,IF(CC=2,8*$HF159,0),0))</f>
        <v> </v>
      </c>
      <c r="DE159" s="318" t="str">
        <f aca="false">IF($A159="N/A"," ",IF(0&lt;&gt;CV159,IF(CC=2,8*$HF159,0),0))</f>
        <v> </v>
      </c>
      <c r="DF159" s="341" t="str">
        <f aca="false">IF($A159="N/A"," ",IF(CC=2,(IF(MONTH(A159)&gt;=4,IF(MONTH(A159)&lt;=10,Inputs!$G$13,Inputs!$G$14),Inputs!$G$14))*$CK159,0))</f>
        <v> </v>
      </c>
      <c r="DG159" s="342" t="str">
        <f aca="false">IF($A159="N/A"," ",IF(CC=2,$DF159*CW159*CN159,0))</f>
        <v> </v>
      </c>
      <c r="DH159" s="342" t="str">
        <f aca="false">IF($A159="N/A"," ",IF(CC=2,$DF159*CX159*CO159,0))</f>
        <v> </v>
      </c>
      <c r="DI159" s="342" t="str">
        <f aca="false">IF($A159="N/A"," ",IF(CC=2,$DF159*CY159*CP159,0))</f>
        <v> </v>
      </c>
      <c r="DJ159" s="342" t="str">
        <f aca="false">IF($A159="N/A"," ",IF(CC=2,$DF159*CZ159*CQ159,0))</f>
        <v> </v>
      </c>
      <c r="DK159" s="342" t="str">
        <f aca="false">IF($A159="N/A"," ",IF(CC=2,$DF159*DA159*CR159,0))</f>
        <v> </v>
      </c>
      <c r="DL159" s="342" t="str">
        <f aca="false">IF($A159="N/A"," ",IF(CC=2,$DF159*DB159*CS159,0))</f>
        <v> </v>
      </c>
      <c r="DM159" s="342" t="str">
        <f aca="false">IF($A159="N/A"," ",IF(CC=2,$DF159*DC159*CT159,0))</f>
        <v> </v>
      </c>
      <c r="DN159" s="342" t="str">
        <f aca="false">IF($A159="N/A"," ",IF(CC=2,$DF159*DD159*CU159,0))</f>
        <v> </v>
      </c>
      <c r="DO159" s="342" t="str">
        <f aca="false">IF($A159="N/A"," ",IF(CC=2,$DF159*DE159*CV159,0))</f>
        <v> </v>
      </c>
      <c r="DP159" s="343" t="str">
        <f aca="false">IF($A159="N/A"," ",IF(CC=2,SUM(DG159:DO159),0))</f>
        <v> </v>
      </c>
      <c r="DQ159" s="0" t="str">
        <f aca="false">IF(A159="N/A"," ",Perstart)</f>
        <v> </v>
      </c>
      <c r="HD159" s="0" t="str">
        <f aca="false">IF($A159="N/A"," ",VLOOKUP($A159,NumberofDaysTable,2))</f>
        <v> </v>
      </c>
      <c r="HE159" s="0" t="str">
        <f aca="false">IF($A159="N/A"," ",VLOOKUP($A159,NumberofDaysTable,3))</f>
        <v> </v>
      </c>
      <c r="HF159" s="0" t="str">
        <f aca="false">IF($A159="N/A"," ",VLOOKUP($A159,NumberofDaysTable,4))</f>
        <v> </v>
      </c>
    </row>
    <row r="160" customFormat="false" ht="12.75" hidden="false" customHeight="false" outlineLevel="0" collapsed="false">
      <c r="A160" s="308" t="str">
        <f aca="false">IF(A159="N/A","N/A",IF(EDATE(A159,1)&gt;Inputs!$K$3,"N/A",EDATE(A159,1)))</f>
        <v>N/A</v>
      </c>
      <c r="B160" s="309" t="str">
        <f aca="false">IF(A160="N/A"," ",YEAR(A160))</f>
        <v> </v>
      </c>
      <c r="C160" s="310" t="str">
        <f aca="false">IF(A160="N/A"," ",VLOOKUP(A160,ScaledPrice,10))</f>
        <v> </v>
      </c>
      <c r="D160" s="311" t="str">
        <f aca="false">IF(A160="N/A"," ",(VLOOKUP(MONTH($A160),Hrtable,2))/1000)</f>
        <v> </v>
      </c>
      <c r="E160" s="312" t="str">
        <f aca="false">IF($A160="N/A"," ",(C160-'Pricing Inputs'!T193)*D160)</f>
        <v> </v>
      </c>
      <c r="F160" s="313" t="str">
        <f aca="false">IF(A160="N/A"," ",$F148*(1+VOMesc))</f>
        <v> </v>
      </c>
      <c r="G160" s="313" t="str">
        <f aca="false">IF(A160="N/A"," ",Perstart/IF(AND(Dayrun&gt;=4,Dayrun&lt;=6),16,IF(AND(Dayrun&gt;=7,Dayrun&lt;=9),8,24))/(BM160/CK160))</f>
        <v> </v>
      </c>
      <c r="H160" s="314" t="str">
        <f aca="false">IF(A160="N/A"," ",(C160*D160)+F160+G160)</f>
        <v> </v>
      </c>
      <c r="I160" s="315" t="str">
        <f aca="false">VLOOKUP(A160,ScaledPrice,(IF(AND(Dayrun&gt;=1,Dayrun&lt;=6),2,4)))</f>
        <v> </v>
      </c>
      <c r="J160" s="315" t="str">
        <f aca="false">IF(A160="N/A"," ",IF(AND(Dayrun&gt;=1,Dayrun&lt;=6),I160,(VLOOKUP(A160,ScaledPrice,2))*(2-(VLOOKUP(A160,ScaledPrice,3)))))</f>
        <v> </v>
      </c>
      <c r="K160" s="315" t="str">
        <f aca="false">IF(A160="N/A"," ",IF(AND(Dayrun&gt;=1,Dayrun&lt;=3),VLOOKUP(A160,ScaledPrice,9),0))</f>
        <v> </v>
      </c>
      <c r="L160" s="315" t="str">
        <f aca="false">IF(A160="N/A"," ",IF(OR(Dayrun=2,Dayrun=3,Dayrun=5,Dayrun=6,Dayrun=8,Dayrun=9),VLOOKUP(A160,ScaledPrice,IF(AND(Dayrun&gt;=2,Dayrun&lt;=6),5,6)),0))</f>
        <v> </v>
      </c>
      <c r="M160" s="315" t="str">
        <f aca="false">IF(A160="N/A"," ",IF(OR(Dayrun=2,Dayrun=3,Dayrun=5,Dayrun=6,Dayrun=8,Dayrun=9),IF(AND(Dayrun&gt;=2,Dayrun&lt;=6),L160,(VLOOKUP(A160,ScaledPrice,5))*(2-(VLOOKUP(A160,ScaledPrice,3)))),0))</f>
        <v> </v>
      </c>
      <c r="N160" s="315" t="str">
        <f aca="false">IF(A160="N/A"," ",IF(AND(Dayrun&gt;1,Dayrun&lt;=3),VLOOKUP(A160,ScaledPrice,9),0))</f>
        <v> </v>
      </c>
      <c r="O160" s="315" t="str">
        <f aca="false">IF(A160="N/A"," ",IF(OR(Dayrun=3,Dayrun=6,Dayrun=9),(VLOOKUP(A160,ScaledPrice,IF(AND(Dayrun&gt;=3,Dayrun&lt;=6),7,8))),0))</f>
        <v> </v>
      </c>
      <c r="P160" s="315" t="str">
        <f aca="false">IF(A160="N/A"," ",IF(OR(Dayrun=3,Dayrun=6,Dayrun=9),IF(AND(Dayrun&gt;=3,Dayrun&lt;=6),O160,(VLOOKUP(A160,ScaledPrice,7))*(2-(VLOOKUP(A160,ScaledPrice,3)))),0))</f>
        <v> </v>
      </c>
      <c r="Q160" s="315" t="str">
        <f aca="false">IF(A160="N/A"," ",IF(AND(Dayrun&gt;2,Dayrun&lt;=3),VLOOKUP(A160,ScaledPrice,9),0))</f>
        <v> </v>
      </c>
      <c r="R160" s="316" t="str">
        <f aca="false">IF($A160="N/A"," ",IF(Pricetype=2,MAX(I160-$H160,0),IF(Pricetype=1,(xSPRDOPT(I160,$E160,$CI160,0,($CD160+IF(Smile=TRUE(),VLOOKUP(MAX(-5,$H160-I160),Volsmile,2),0)),$CG160,$CH160,($A160-DateToday)+15,1,0)),I160-$H160)))</f>
        <v> </v>
      </c>
      <c r="S160" s="316" t="str">
        <f aca="false">IF($A160="N/A"," ",IF(Pricetype=2,MAX(J160-$H160,0),IF(Pricetype=1,(xSPRDOPT(J160,$E160,$CI160,0,($CD160+IF(Smile=TRUE(),VLOOKUP(MAX(-5,$H160-J160),Volsmile,2),0)),$CG160,$CH160,($A160-DateToday)+15,1,0)),J160-$H160)))</f>
        <v> </v>
      </c>
      <c r="T160" s="317" t="str">
        <f aca="false">IF($A160="N/A"," ",(IF(Pricetype=2,IF((K160-$H160)&lt;=0,0,(K160-$H160)),IF(K160&lt;&gt;0,(K160-$H160),0))))</f>
        <v> </v>
      </c>
      <c r="U160" s="316" t="str">
        <f aca="false">IF($A160="N/A"," ",IF(Pricetype=2,MAX(L160-$H160,0),IF(L160&lt;&gt;0,IF(Pricetype=1,(xSPRDOPT(L160,$E160,$CI160,0,($CD160+IF(Smile=TRUE(),VLOOKUP(MAX(-5,$H160-L160),Volsmile,2),0)),$CG160,$CH160,($A160-DateToday)+15,1,0)),L160-$H160),0)))</f>
        <v> </v>
      </c>
      <c r="V160" s="316" t="str">
        <f aca="false">IF($A160="N/A"," ",IF(Pricetype=2,MAX(M160-$H160,0),IF(M160&lt;&gt;0,IF(Pricetype=1,(xSPRDOPT(M160,$E160,$CI160,0,($CD160+IF(Smile=TRUE(),VLOOKUP(MAX(-5,$H160-M160),Volsmile,2),0)),$CG160,$CH160,($A160-DateToday)+15,1,0)),M160-$H160),0)))</f>
        <v> </v>
      </c>
      <c r="W160" s="317" t="str">
        <f aca="false">IF($A160="N/A"," ",(IF(Pricetype=2,IF((N160-$H160)&lt;=0,0,(N160-$H160)),IF(N160&lt;&gt;0,(N160-$H160),0))))</f>
        <v> </v>
      </c>
      <c r="X160" s="316" t="str">
        <f aca="false">IF($A160="N/A"," ",IF(Pricetype=2,MAX(O160-$H160,0),IF(O160&lt;&gt;0,IF(Pricetype=1,(xSPRDOPT(O160,$E160,$CI160,0,($CD160+IF(Smile=TRUE(),VLOOKUP(MAX(-5,$H160-O160),Volsmile,2),0)),$CG160,$CH160,($A160-DateToday)+15,1,0)),O160-$H160),0)))</f>
        <v> </v>
      </c>
      <c r="Y160" s="316" t="str">
        <f aca="false">IF($A160="N/A"," ",IF(Pricetype=2,MAX(P160-$H160,0),IF(P160&lt;&gt;0,IF(Pricetype=1,(xSPRDOPT(P160,$E160,$CI160,0,($CD160+IF(Smile=TRUE(),VLOOKUP(MAX(-5,$H160-P160),Volsmile,2),0)),$CG160,$CH160,($A160-DateToday)+15,1,0)),P160-$H160),0)))</f>
        <v> </v>
      </c>
      <c r="Z160" s="317" t="str">
        <f aca="false">IF($A160="N/A"," ",(IF(Pricetype=2,IF((Q160-$H160)&lt;=0,0,(Q160-$H160)),IF(Q160&lt;&gt;0,(Q160-$H160),0))))</f>
        <v> </v>
      </c>
      <c r="AA160" s="318" t="str">
        <f aca="false">IF($A160="N/A"," ",IF(VLOOKUP(MONTH(A160),ManualTable,2)=1,(IF(0&lt;&gt;R160,IF(Pricetype=1,(xSPRDOPT(I160,$E160,$CI160,0,($CD160+IF(Smile=TRUE(),VLOOKUP(MAX(-5,$H160-I160),Volsmile,2),0)),$CG160,$CH160,($A160-DateToday)+15,1,1))*(8*$HD160),8*$HD160),0)),0))</f>
        <v> </v>
      </c>
      <c r="AB160" s="318" t="str">
        <f aca="false">IF($A160="N/A"," ",IF(VLOOKUP(MONTH(A160),ManualTable,3)=1,(IF(S160&lt;&gt;0,IF(Pricetype=1,(xSPRDOPT(J160,$E160,$CI160,0,($CD160+IF(Smile=TRUE(),VLOOKUP(MAX(-5,$H160-J160),Volsmile,2),0)),$CG160,$CH160,($A160-DateToday)+15,1,1))*(8*$HD160),8*$HD160),0)),0))</f>
        <v> </v>
      </c>
      <c r="AC160" s="318" t="str">
        <f aca="false">IF($A160="N/A"," ",IF(VLOOKUP(MONTH(A160),ManualTable,4)=1,(IF(T160&lt;&gt;0,(8*$HD160),0)),0))</f>
        <v> </v>
      </c>
      <c r="AD160" s="318" t="str">
        <f aca="false">IF($A160="N/A"," ",IF(VLOOKUP(MONTH(A160),ManualTable,5)=1,(IF(U160&lt;&gt;0,IF(Pricetype=1,(xSPRDOPT(L160,$E160,$CI160,0,($CD160+IF(Smile=TRUE(),VLOOKUP(MAX(-5,$H160-L160),Volsmile,2),0)),$CG160,$CH160,($A160-DateToday)+15,1,1))*(8*$HE160),8*$HE160),0)),0))</f>
        <v> </v>
      </c>
      <c r="AE160" s="318" t="str">
        <f aca="false">IF($A160="N/A"," ",IF(VLOOKUP(MONTH(A160),ManualTable,6)=1,(IF(V160&lt;&gt;0,IF(Pricetype=1,(xSPRDOPT(M160,$E160,$CI160,0,($CD160+IF(Smile=TRUE(),VLOOKUP(MAX(-5,$H160-M160),Volsmile,2),0)),$CG160,$CH160,($A160-DateToday)+15,1,1))*(8*$HE160),8*$HE160),0)),0))</f>
        <v> </v>
      </c>
      <c r="AF160" s="318" t="str">
        <f aca="false">IF($A160="N/A"," ",IF(VLOOKUP(MONTH(A160),ManualTable,7)=1,(IF(W160&lt;&gt;0,(8*$HE160),0)),0))</f>
        <v> </v>
      </c>
      <c r="AG160" s="318" t="str">
        <f aca="false">IF($A160="N/A"," ",IF(VLOOKUP(MONTH(A160),ManualTable,8)=1,(IF(X160&lt;&gt;0,IF(Pricetype=1,(xSPRDOPT(O160,$E160,$CI160,0,($CD160+IF(Smile=TRUE(),VLOOKUP(MAX(-5,$H160-O160),Volsmile,2),0)),$CG160,$CH160,($A160-DateToday)+15,1,1))*(8*$HF160),8*$HF160),0)),0))</f>
        <v> </v>
      </c>
      <c r="AH160" s="318" t="str">
        <f aca="false">IF($A160="N/A"," ",IF(VLOOKUP(MONTH(A160),ManualTable,9)=1,(IF(Y160&lt;&gt;0,IF(Pricetype=1,(xSPRDOPT(P160,$E160,$CI160,0,($CD160+IF(Smile=TRUE(),VLOOKUP(MAX(-5,$H160-P160),Volsmile,2),0)),$CG160,$CH160,($A160-DateToday)+15,1,1))*(8*$HF160),8*$HF160),0)),0))</f>
        <v> </v>
      </c>
      <c r="AI160" s="318" t="str">
        <f aca="false">IF($A160="N/A"," ",IF(VLOOKUP(MONTH(A160),ManualTable,10)=1,(IF(Z160&lt;&gt;0,(8*($HF160)),0)),0))</f>
        <v> </v>
      </c>
      <c r="AJ160" s="319" t="str">
        <f aca="false">IF($A160="N/A"," ",RANK(R160,$R$160:$Z$171))</f>
        <v> </v>
      </c>
      <c r="AK160" s="320" t="str">
        <f aca="false">IF($A160="N/A"," ",RANK(S160,$R$160:$Z$171))</f>
        <v> </v>
      </c>
      <c r="AL160" s="320" t="str">
        <f aca="false">IF($A160="N/A"," ",RANK(T160,$R$160:$Z$171))</f>
        <v> </v>
      </c>
      <c r="AM160" s="320" t="str">
        <f aca="false">IF($A160="N/A"," ",RANK(U160,$R$160:$Z$171))</f>
        <v> </v>
      </c>
      <c r="AN160" s="320" t="str">
        <f aca="false">IF($A160="N/A"," ",RANK(V160,$R$160:$Z$171))</f>
        <v> </v>
      </c>
      <c r="AO160" s="320" t="str">
        <f aca="false">IF($A160="N/A"," ",RANK(W160,$R$160:$Z$171))</f>
        <v> </v>
      </c>
      <c r="AP160" s="320" t="str">
        <f aca="false">IF($A160="N/A"," ",RANK(X160,$R$160:$Z$171))</f>
        <v> </v>
      </c>
      <c r="AQ160" s="320" t="str">
        <f aca="false">IF($A160="N/A"," ",RANK(Y160,$R$160:$Z$171))</f>
        <v> </v>
      </c>
      <c r="AR160" s="322" t="str">
        <f aca="false">IF($A160="N/A"," ",RANK(Z160,$R$160:$Z$171))</f>
        <v> </v>
      </c>
      <c r="AS160" s="357" t="str">
        <f aca="false">IF($A160="N/A"," ",IF(AJ160&lt;=$AR$2,AA160,0))</f>
        <v> </v>
      </c>
      <c r="AT160" s="324" t="str">
        <f aca="false">IF($A160="N/A"," ",IF(AK160&lt;=$AR$2,AB160,0))</f>
        <v> </v>
      </c>
      <c r="AU160" s="325" t="str">
        <f aca="false">IF($A160="N/A"," ",IF(AL160&lt;=$AR$2,AC160,0))</f>
        <v> </v>
      </c>
      <c r="AV160" s="325" t="str">
        <f aca="false">IF($A160="N/A"," ",IF(AM160&lt;=$AR$2,AD160,0))</f>
        <v> </v>
      </c>
      <c r="AW160" s="325" t="str">
        <f aca="false">IF($A160="N/A"," ",IF(AN160&lt;=$AR$2,AE160,0))</f>
        <v> </v>
      </c>
      <c r="AX160" s="325" t="str">
        <f aca="false">IF($A160="N/A"," ",IF(AO160&lt;=$AR$2,AF160,0))</f>
        <v> </v>
      </c>
      <c r="AY160" s="324" t="str">
        <f aca="false">IF($A160="N/A"," ",IF(AP160&lt;=$AR$2,AG160,0))</f>
        <v> </v>
      </c>
      <c r="AZ160" s="324" t="str">
        <f aca="false">IF($A160="N/A"," ",IF(AQ160&lt;=$AR$2,AH160,0))</f>
        <v> </v>
      </c>
      <c r="BA160" s="324" t="str">
        <f aca="false">IF($A160="N/A"," ",IF(AR160&lt;=$AR$2,AI160,0))</f>
        <v> </v>
      </c>
      <c r="BB160" s="322"/>
      <c r="BC160" s="358" t="str">
        <f aca="false">IF($A160="N/A"," ",IF(AND(AJ160=$AR$2+1,AS160=0),MIN($BB$171,AA160),0))</f>
        <v> </v>
      </c>
      <c r="BD160" s="327" t="str">
        <f aca="false">IF($A160="N/A"," ",IF(AND(AK160=$AR$2+1,AT160=0),MIN($BB$171,AB160),0))</f>
        <v> </v>
      </c>
      <c r="BE160" s="327" t="str">
        <f aca="false">IF($A160="N/A"," ",IF(AND(AL160=$AR$2+1,AU160=0),MIN($BB$171,AC160),0))</f>
        <v> </v>
      </c>
      <c r="BF160" s="327" t="str">
        <f aca="false">IF($A160="N/A"," ",IF(AND(AM160=$AR$2+1,AV160=0),MIN($BB$171,AD160),0))</f>
        <v> </v>
      </c>
      <c r="BG160" s="327" t="str">
        <f aca="false">IF($A160="N/A"," ",IF(AND(AN160=$AR$2+1,AW160=0),MIN($BB$171,AE160),0))</f>
        <v> </v>
      </c>
      <c r="BH160" s="327" t="str">
        <f aca="false">IF($A160="N/A"," ",IF(AND(AO160=$AR$2+1,AX160=0),MIN($BB$171,AF160),0))</f>
        <v> </v>
      </c>
      <c r="BI160" s="327" t="str">
        <f aca="false">IF($A160="N/A"," ",IF(AND(AP160=$AR$2+1,AY160=0),MIN($BB$171,AG160),0))</f>
        <v> </v>
      </c>
      <c r="BJ160" s="327" t="str">
        <f aca="false">IF($A160="N/A"," ",IF(AND(AQ160=$AR$2+1,AZ160=0),MIN($BB$171,AH160),0))</f>
        <v> </v>
      </c>
      <c r="BK160" s="327" t="str">
        <f aca="false">IF($A160="N/A"," ",IF(AND(AR160=$AR$2+1,BA160=0),MIN($BB$171,AI160),0))</f>
        <v> </v>
      </c>
      <c r="BL160" s="322"/>
      <c r="BM160" s="329" t="str">
        <f aca="false">IF($A160="N/A"," ",(IF(MONTH(A160)&gt;=4,IF(MONTH(A160)&lt;=10,Inputs!$F$13-Inputs!$G$13,Inputs!$F$14-Inputs!$G$14),Inputs!$F$14-Inputs!$G$14))*$CK160*Availability)</f>
        <v> </v>
      </c>
      <c r="BN160" s="330" t="str">
        <f aca="false">IF($A160="N/A"," ",(IF(AS160&gt;0,($BM160*(8*($HD160))*R160),0)+IF(BC160&gt;0,($BM160*((BC160/AA160)*8*$HD160)*R160),0)))</f>
        <v> </v>
      </c>
      <c r="BO160" s="330" t="str">
        <f aca="false">IF($A160="N/A"," ",(IF(AT160&gt;0,($BM160*(8*($HD160))*S160),0)+IF(BD160&gt;0,($BM160*((BD160/AB160)*8*$HD160)*S160),0)))</f>
        <v> </v>
      </c>
      <c r="BP160" s="330" t="str">
        <f aca="false">IF($A160="N/A"," ",(IF(AU160&gt;0,($BM160*(8*($HD160))*T160),0)+IF(BE160&gt;0,($BM160*((BE160))*T160),0)))</f>
        <v> </v>
      </c>
      <c r="BQ160" s="330" t="str">
        <f aca="false">IF($A160="N/A"," ",(IF(AV160&gt;0,($BM160*(8*($HE160))*U160),0)+IF(BF160&gt;0,($BM160*((BF160/AD160)*8*$HE160)*U160),0)))</f>
        <v> </v>
      </c>
      <c r="BR160" s="330" t="str">
        <f aca="false">IF($A160="N/A"," ",(IF(AW160&gt;0,($BM160*(8*($HE160))*V160),0)+IF(BG160&gt;0,($BM160*((BG160/AE160)*8*$HE160)*V160),0)))</f>
        <v> </v>
      </c>
      <c r="BS160" s="330" t="str">
        <f aca="false">IF($A160="N/A"," ",(IF(AX160&gt;0,($BM160*(8*($HE160))*W160),0)+IF(BH160&gt;0,($BM160*((BH160))*W160),0)))</f>
        <v> </v>
      </c>
      <c r="BT160" s="330" t="str">
        <f aca="false">IF($A160="N/A"," ",(IF(AY160&gt;0,($BM160*(8*($HF160))*X160),0)+IF(BI160&gt;0,($BM160*((BI160/AG160)*8*$HF160)*X160),0)))</f>
        <v> </v>
      </c>
      <c r="BU160" s="330" t="str">
        <f aca="false">IF($A160="N/A"," ",(IF(AZ160&gt;0,($BM160*(8*($HF160))*Y160),0)+IF(BJ160&gt;0,($BM160*((BJ160/AH160)*8*$HF160)*Y160),0)))</f>
        <v> </v>
      </c>
      <c r="BV160" s="330" t="str">
        <f aca="false">IF($A160="N/A"," ",(IF(BA160&gt;0,($BM160*(8*($HF160))*Z160),0)+IF(BK160&gt;0,($BM160*((BK160))*Z160),0)))</f>
        <v> </v>
      </c>
      <c r="BW160" s="330" t="str">
        <f aca="false">IF($A160="N/A"," ",SUM(BN160:BV160))</f>
        <v> </v>
      </c>
      <c r="BX160" s="331" t="str">
        <f aca="false">IF($A160="N/A"," ",(H160*(SUM(AS160:BA160)+SUM(BC160:BK160))*BM160))</f>
        <v> </v>
      </c>
      <c r="BY160" s="332" t="str">
        <f aca="false">IF($A160="N/A"," ",((C160*D160)*(SUM($AS160:$BA160)+SUM($BC160:$BK160))*$BM160))</f>
        <v> </v>
      </c>
      <c r="BZ160" s="332" t="str">
        <f aca="false">IF($A160="N/A"," ",(F160*(SUM($AS160:$BA160)+SUM($BC160:$BK160))*$BM160))</f>
        <v> </v>
      </c>
      <c r="CA160" s="333" t="str">
        <f aca="false">IF($A160="N/A"," ",(G160*(SUM($AS160:$BA160)+SUM($BC160:$BK160))*$BM160))</f>
        <v> </v>
      </c>
      <c r="CB160" s="334" t="str">
        <f aca="false">IF(A160="N/A"," ",(VLOOKUP(A160,PowerVolTable,(IF(BMO=2,7,IF(BMO=1,6,8))),FALSE())))</f>
        <v> </v>
      </c>
      <c r="CC160" s="334" t="str">
        <f aca="false">IF(A160="N/A"," ",(VLOOKUP(A160,IntraPowerVol,(IF(BMO=2,3,IF(BMO=1,2,4))),FALSE())*VLOOKUP(MONTH($A160),Volscale,2)))</f>
        <v> </v>
      </c>
      <c r="CD160" s="335" t="str">
        <f aca="false">IF($A160="N/A"," ",(IF(DateToday&gt;$A160,$CC160,((($CB160^2)*((($A160-1)-DateToday)/((EOMONTH($A160,0)+1)-DateToday-15)))+((($CC160)^2)*((15)/((EOMONTH($A160,0)+1)-DateToday-15))))^0.5)))</f>
        <v> </v>
      </c>
      <c r="CE160" s="334" t="str">
        <f aca="false">IF($A160="N/A"," ",(VLOOKUP($A160,GasVolTable,(IF(BMO=2,6,IF(BMO=1,7,5))),FALSE())))</f>
        <v> </v>
      </c>
      <c r="CF160" s="334" t="str">
        <f aca="false">IF($A160="N/A"," ",(VLOOKUP($A160,OmicronVol,(IF(BMO=2,3,IF(BMO=1,4,2))),FALSE())))</f>
        <v> </v>
      </c>
      <c r="CG160" s="335" t="str">
        <f aca="false">IF($A160="N/A"," ",(IF(DateToday&gt;$A160,$CF160,((($CE160^2)*((($A160-1)-DateToday)/((EOMONTH($A160,0)+1)-DateToday-15)))+((($CF160)^2)*((15)/((EOMONTH($A160,0)+1)-DateToday-15))))^0.5)))</f>
        <v> </v>
      </c>
      <c r="CH160" s="334" t="str">
        <f aca="false">IF($A160="N/A"," ",VLOOKUP($A160,CorrelationTable,2,FALSE()))</f>
        <v> </v>
      </c>
      <c r="CI160" s="336" t="str">
        <f aca="false">IF($A160="N/A"," ",F160+G160+(D160*('Pricing Inputs'!T193)))</f>
        <v> </v>
      </c>
      <c r="CJ160" s="334" t="str">
        <f aca="false">IF($A160="N/A"," ",IF(PV=1,0,'Pricing Inputs'!U193))</f>
        <v> </v>
      </c>
      <c r="CK160" s="337" t="str">
        <f aca="false">IF($A160="N/A"," ",(1+CJ160/2)^(-2*((EOMONTH(A160,0)+20)-DateToday)/365.25))</f>
        <v> </v>
      </c>
      <c r="CL160" s="338" t="str">
        <f aca="false">IF(A160="N/A"," ",IF(CC=2,(VLOOKUP(MONTH($A160),Hrtable,3))/1000,0))</f>
        <v> </v>
      </c>
      <c r="CM160" s="339" t="str">
        <f aca="false">IF(A160="N/A"," ",IF(CC=2,(CL160*C160)+F160,0))</f>
        <v> </v>
      </c>
      <c r="CN160" s="340" t="str">
        <f aca="false">IF($A160="N/A"," ",IF(CC=2,(VLOOKUP(A160,ScaledPrice,(IF(AND(Dayrun&gt;=1,Dayrun&lt;=6),2,4)))-((IF(R160&lt;&gt;0,$D160,$CL160)*$C160)+$F160+$G160)),0))</f>
        <v> </v>
      </c>
      <c r="CO160" s="340" t="str">
        <f aca="false">IF($A160="N/A"," ",IF(CC=2,(IF(AND(Dayrun&gt;=1,Dayrun&lt;=6),I160,(VLOOKUP(A160,ScaledPrice,2))*(2-(VLOOKUP(A160,ScaledPrice,3))))-((IF(S160&lt;&gt;0,$D160,$CL160)*$C160)+$F160+$G160)),0))</f>
        <v> </v>
      </c>
      <c r="CP160" s="340" t="str">
        <f aca="false">IF(A160="N/A"," ",IF(CC=2,(VLOOKUP(A160,ScaledPrice,9)-((IF(T160&lt;&gt;0,$D160,$CL160)*$C160)+$F160+$G160)),0))</f>
        <v> </v>
      </c>
      <c r="CQ160" s="340" t="str">
        <f aca="false">IF(A160="N/A"," ",IF(CC=2,(IF(OR(Dayrun=2,Dayrun=3,Dayrun=5,Dayrun=6,Dayrun=8,Dayrun=9),VLOOKUP(A160,ScaledPrice,IF(AND(Dayrun&gt;=2,Dayrun&lt;=6),5,6)),0)-((IF(U160&lt;&gt;0,$D160,$CL160)*$C160)+$F160+$G160)),0))</f>
        <v> </v>
      </c>
      <c r="CR160" s="340" t="str">
        <f aca="false">IF(A160="N/A"," ",IF(CC=2,(IF(OR(Dayrun=2,Dayrun=3,Dayrun=5,Dayrun=6,Dayrun=8,Dayrun=9),IF(AND(Dayrun&gt;=2,Dayrun&lt;=6),L160,(VLOOKUP(A160,ScaledPrice,5))*(2-(VLOOKUP(A160,ScaledPrice,3)))),0)-((IF(V160&lt;&gt;0,$D160,$CL160)*$C160)+$F160+$G160)),0))</f>
        <v> </v>
      </c>
      <c r="CS160" s="340" t="str">
        <f aca="false">IF(A160="N/A"," ",IF(CC=2,(VLOOKUP(A160,ScaledPrice,9)-((IF(W160&lt;&gt;0,$D160,$CL160)*$C160)+$F160+$G160)),0))</f>
        <v> </v>
      </c>
      <c r="CT160" s="340" t="str">
        <f aca="false">IF(A160="N/A"," ",IF(CC=2,(IF(OR(Dayrun=3,Dayrun=6,Dayrun=9),(VLOOKUP(A160,ScaledPrice,IF(AND(Dayrun&gt;=3,Dayrun&lt;=6),7,8))),0)-((IF(X160&lt;&gt;0,$D160,$CL160)*$C160)+$F160+$G160)),0))</f>
        <v> </v>
      </c>
      <c r="CU160" s="340" t="str">
        <f aca="false">IF(A160="N/A"," ",IF(CC=2,(IF(OR(Dayrun=3,Dayrun=6,Dayrun=9),IF(AND(Dayrun&gt;=3,Dayrun&lt;=6),O160,(VLOOKUP(A160,ScaledPrice,7))*(2-(VLOOKUP(A160,ScaledPrice,3)))),0)-((IF(Y160&lt;&gt;0,$D160,$CL160)*$C160)+$F160+$G160)),0))</f>
        <v> </v>
      </c>
      <c r="CV160" s="340" t="str">
        <f aca="false">IF(A160="N/A"," ",IF(CC=2,(VLOOKUP(A160,ScaledPrice,9)-((IF(Z160&lt;&gt;0,$D160,$CL160)*$C160)+$F160+$G160)),0))</f>
        <v> </v>
      </c>
      <c r="CW160" s="318" t="str">
        <f aca="false">IF($A160="N/A"," ",IF(0&lt;&gt;CN160,IF(CC=2,8*$HD160,0),0))</f>
        <v> </v>
      </c>
      <c r="CX160" s="318" t="str">
        <f aca="false">IF($A160="N/A"," ",IF(0&lt;&gt;CO160,IF(CC=2,8*$HD160,0),0))</f>
        <v> </v>
      </c>
      <c r="CY160" s="318" t="str">
        <f aca="false">IF($A160="N/A"," ",IF(0&lt;&gt;CP160,IF(CC=2,8*$HD160,0),0))</f>
        <v> </v>
      </c>
      <c r="CZ160" s="318" t="str">
        <f aca="false">IF($A160="N/A"," ",IF(0&lt;&gt;CQ160,IF(CC=2,8*$HE160,0),0))</f>
        <v> </v>
      </c>
      <c r="DA160" s="318" t="str">
        <f aca="false">IF($A160="N/A"," ",IF(0&lt;&gt;CR160,IF(CC=2,8*$HE160,0),0))</f>
        <v> </v>
      </c>
      <c r="DB160" s="318" t="str">
        <f aca="false">IF($A160="N/A"," ",IF(0&lt;&gt;CS160,IF(CC=2,8*$HE160,0),0))</f>
        <v> </v>
      </c>
      <c r="DC160" s="318" t="str">
        <f aca="false">IF($A160="N/A"," ",IF(0&lt;&gt;CT160,IF(CC=2,8*$HF160,0),0))</f>
        <v> </v>
      </c>
      <c r="DD160" s="318" t="str">
        <f aca="false">IF($A160="N/A"," ",IF(0&lt;&gt;CU160,IF(CC=2,8*$HF160,0),0))</f>
        <v> </v>
      </c>
      <c r="DE160" s="318" t="str">
        <f aca="false">IF($A160="N/A"," ",IF(0&lt;&gt;CV160,IF(CC=2,8*$HF160,0),0))</f>
        <v> </v>
      </c>
      <c r="DF160" s="341" t="str">
        <f aca="false">IF($A160="N/A"," ",IF(CC=2,(IF(MONTH(A160)&gt;=4,IF(MONTH(A160)&lt;=10,Inputs!$G$13,Inputs!$G$14),Inputs!$G$14))*$CK160,0))</f>
        <v> </v>
      </c>
      <c r="DG160" s="342" t="str">
        <f aca="false">IF($A160="N/A"," ",IF(CC=2,$DF160*CW160*CN160,0))</f>
        <v> </v>
      </c>
      <c r="DH160" s="342" t="str">
        <f aca="false">IF($A160="N/A"," ",IF(CC=2,$DF160*CX160*CO160,0))</f>
        <v> </v>
      </c>
      <c r="DI160" s="342" t="str">
        <f aca="false">IF($A160="N/A"," ",IF(CC=2,$DF160*CY160*CP160,0))</f>
        <v> </v>
      </c>
      <c r="DJ160" s="342" t="str">
        <f aca="false">IF($A160="N/A"," ",IF(CC=2,$DF160*CZ160*CQ160,0))</f>
        <v> </v>
      </c>
      <c r="DK160" s="342" t="str">
        <f aca="false">IF($A160="N/A"," ",IF(CC=2,$DF160*DA160*CR160,0))</f>
        <v> </v>
      </c>
      <c r="DL160" s="342" t="str">
        <f aca="false">IF($A160="N/A"," ",IF(CC=2,$DF160*DB160*CS160,0))</f>
        <v> </v>
      </c>
      <c r="DM160" s="342" t="str">
        <f aca="false">IF($A160="N/A"," ",IF(CC=2,$DF160*DC160*CT160,0))</f>
        <v> </v>
      </c>
      <c r="DN160" s="342" t="str">
        <f aca="false">IF($A160="N/A"," ",IF(CC=2,$DF160*DD160*CU160,0))</f>
        <v> </v>
      </c>
      <c r="DO160" s="342" t="str">
        <f aca="false">IF($A160="N/A"," ",IF(CC=2,$DF160*DE160*CV160,0))</f>
        <v> </v>
      </c>
      <c r="DP160" s="343" t="str">
        <f aca="false">IF($A160="N/A"," ",IF(CC=2,SUM(DG160:DO160),0))</f>
        <v> </v>
      </c>
      <c r="DQ160" s="0" t="str">
        <f aca="false">IF(A160="N/A"," ",Perstart)</f>
        <v> </v>
      </c>
      <c r="HD160" s="0" t="str">
        <f aca="false">IF($A160="N/A"," ",VLOOKUP($A160,NumberofDaysTable,2))</f>
        <v> </v>
      </c>
      <c r="HE160" s="0" t="str">
        <f aca="false">IF($A160="N/A"," ",VLOOKUP($A160,NumberofDaysTable,3))</f>
        <v> </v>
      </c>
      <c r="HF160" s="0" t="str">
        <f aca="false">IF($A160="N/A"," ",VLOOKUP($A160,NumberofDaysTable,4))</f>
        <v> </v>
      </c>
    </row>
    <row r="161" customFormat="false" ht="12.75" hidden="false" customHeight="false" outlineLevel="0" collapsed="false">
      <c r="A161" s="308" t="str">
        <f aca="false">IF(A160="N/A","N/A",IF(EDATE(A160,1)&gt;Inputs!$K$3,"N/A",EDATE(A160,1)))</f>
        <v>N/A</v>
      </c>
      <c r="B161" s="309" t="str">
        <f aca="false">IF(A161="N/A"," ",YEAR(A161))</f>
        <v> </v>
      </c>
      <c r="C161" s="310" t="str">
        <f aca="false">IF(A161="N/A"," ",VLOOKUP(A161,ScaledPrice,10))</f>
        <v> </v>
      </c>
      <c r="D161" s="311" t="str">
        <f aca="false">IF(A161="N/A"," ",(VLOOKUP(MONTH($A161),Hrtable,2))/1000)</f>
        <v> </v>
      </c>
      <c r="E161" s="312" t="str">
        <f aca="false">IF($A161="N/A"," ",(C161-'Pricing Inputs'!T194)*D161)</f>
        <v> </v>
      </c>
      <c r="F161" s="313" t="str">
        <f aca="false">IF(A161="N/A"," ",$F149*(1+VOMesc))</f>
        <v> </v>
      </c>
      <c r="G161" s="313" t="str">
        <f aca="false">IF(A161="N/A"," ",Perstart/IF(AND(Dayrun&gt;=4,Dayrun&lt;=6),16,IF(AND(Dayrun&gt;=7,Dayrun&lt;=9),8,24))/(BM161/CK161))</f>
        <v> </v>
      </c>
      <c r="H161" s="314" t="str">
        <f aca="false">IF(A161="N/A"," ",(C161*D161)+F161+G161)</f>
        <v> </v>
      </c>
      <c r="I161" s="315" t="str">
        <f aca="false">VLOOKUP(A161,ScaledPrice,(IF(AND(Dayrun&gt;=1,Dayrun&lt;=6),2,4)))</f>
        <v> </v>
      </c>
      <c r="J161" s="315" t="str">
        <f aca="false">IF(A161="N/A"," ",IF(AND(Dayrun&gt;=1,Dayrun&lt;=6),I161,(VLOOKUP(A161,ScaledPrice,2))*(2-(VLOOKUP(A161,ScaledPrice,3)))))</f>
        <v> </v>
      </c>
      <c r="K161" s="315" t="str">
        <f aca="false">IF(A161="N/A"," ",IF(AND(Dayrun&gt;=1,Dayrun&lt;=3),VLOOKUP(A161,ScaledPrice,9),0))</f>
        <v> </v>
      </c>
      <c r="L161" s="315" t="str">
        <f aca="false">IF(A161="N/A"," ",IF(OR(Dayrun=2,Dayrun=3,Dayrun=5,Dayrun=6,Dayrun=8,Dayrun=9),VLOOKUP(A161,ScaledPrice,IF(AND(Dayrun&gt;=2,Dayrun&lt;=6),5,6)),0))</f>
        <v> </v>
      </c>
      <c r="M161" s="315" t="str">
        <f aca="false">IF(A161="N/A"," ",IF(OR(Dayrun=2,Dayrun=3,Dayrun=5,Dayrun=6,Dayrun=8,Dayrun=9),IF(AND(Dayrun&gt;=2,Dayrun&lt;=6),L161,(VLOOKUP(A161,ScaledPrice,5))*(2-(VLOOKUP(A161,ScaledPrice,3)))),0))</f>
        <v> </v>
      </c>
      <c r="N161" s="315" t="str">
        <f aca="false">IF(A161="N/A"," ",IF(AND(Dayrun&gt;1,Dayrun&lt;=3),VLOOKUP(A161,ScaledPrice,9),0))</f>
        <v> </v>
      </c>
      <c r="O161" s="315" t="str">
        <f aca="false">IF(A161="N/A"," ",IF(OR(Dayrun=3,Dayrun=6,Dayrun=9),(VLOOKUP(A161,ScaledPrice,IF(AND(Dayrun&gt;=3,Dayrun&lt;=6),7,8))),0))</f>
        <v> </v>
      </c>
      <c r="P161" s="315" t="str">
        <f aca="false">IF(A161="N/A"," ",IF(OR(Dayrun=3,Dayrun=6,Dayrun=9),IF(AND(Dayrun&gt;=3,Dayrun&lt;=6),O161,(VLOOKUP(A161,ScaledPrice,7))*(2-(VLOOKUP(A161,ScaledPrice,3)))),0))</f>
        <v> </v>
      </c>
      <c r="Q161" s="315" t="str">
        <f aca="false">IF(A161="N/A"," ",IF(AND(Dayrun&gt;2,Dayrun&lt;=3),VLOOKUP(A161,ScaledPrice,9),0))</f>
        <v> </v>
      </c>
      <c r="R161" s="316" t="str">
        <f aca="false">IF($A161="N/A"," ",IF(Pricetype=2,MAX(I161-$H161,0),IF(Pricetype=1,(xSPRDOPT(I161,$E161,$CI161,0,($CD161+IF(Smile=TRUE(),VLOOKUP(MAX(-5,$H161-I161),Volsmile,2),0)),$CG161,$CH161,($A161-DateToday)+15,1,0)),I161-$H161)))</f>
        <v> </v>
      </c>
      <c r="S161" s="316" t="str">
        <f aca="false">IF($A161="N/A"," ",IF(Pricetype=2,MAX(J161-$H161,0),IF(Pricetype=1,(xSPRDOPT(J161,$E161,$CI161,0,($CD161+IF(Smile=TRUE(),VLOOKUP(MAX(-5,$H161-J161),Volsmile,2),0)),$CG161,$CH161,($A161-DateToday)+15,1,0)),J161-$H161)))</f>
        <v> </v>
      </c>
      <c r="T161" s="317" t="str">
        <f aca="false">IF($A161="N/A"," ",(IF(Pricetype=2,IF((K161-$H161)&lt;=0,0,(K161-$H161)),IF(K161&lt;&gt;0,(K161-$H161),0))))</f>
        <v> </v>
      </c>
      <c r="U161" s="316" t="str">
        <f aca="false">IF($A161="N/A"," ",IF(Pricetype=2,MAX(L161-$H161,0),IF(L161&lt;&gt;0,IF(Pricetype=1,(xSPRDOPT(L161,$E161,$CI161,0,($CD161+IF(Smile=TRUE(),VLOOKUP(MAX(-5,$H161-L161),Volsmile,2),0)),$CG161,$CH161,($A161-DateToday)+15,1,0)),L161-$H161),0)))</f>
        <v> </v>
      </c>
      <c r="V161" s="316" t="str">
        <f aca="false">IF($A161="N/A"," ",IF(Pricetype=2,MAX(M161-$H161,0),IF(M161&lt;&gt;0,IF(Pricetype=1,(xSPRDOPT(M161,$E161,$CI161,0,($CD161+IF(Smile=TRUE(),VLOOKUP(MAX(-5,$H161-M161),Volsmile,2),0)),$CG161,$CH161,($A161-DateToday)+15,1,0)),M161-$H161),0)))</f>
        <v> </v>
      </c>
      <c r="W161" s="317" t="str">
        <f aca="false">IF($A161="N/A"," ",(IF(Pricetype=2,IF((N161-$H161)&lt;=0,0,(N161-$H161)),IF(N161&lt;&gt;0,(N161-$H161),0))))</f>
        <v> </v>
      </c>
      <c r="X161" s="316" t="str">
        <f aca="false">IF($A161="N/A"," ",IF(Pricetype=2,MAX(O161-$H161,0),IF(O161&lt;&gt;0,IF(Pricetype=1,(xSPRDOPT(O161,$E161,$CI161,0,($CD161+IF(Smile=TRUE(),VLOOKUP(MAX(-5,$H161-O161),Volsmile,2),0)),$CG161,$CH161,($A161-DateToday)+15,1,0)),O161-$H161),0)))</f>
        <v> </v>
      </c>
      <c r="Y161" s="316" t="str">
        <f aca="false">IF($A161="N/A"," ",IF(Pricetype=2,MAX(P161-$H161,0),IF(P161&lt;&gt;0,IF(Pricetype=1,(xSPRDOPT(P161,$E161,$CI161,0,($CD161+IF(Smile=TRUE(),VLOOKUP(MAX(-5,$H161-P161),Volsmile,2),0)),$CG161,$CH161,($A161-DateToday)+15,1,0)),P161-$H161),0)))</f>
        <v> </v>
      </c>
      <c r="Z161" s="317" t="str">
        <f aca="false">IF($A161="N/A"," ",(IF(Pricetype=2,IF((Q161-$H161)&lt;=0,0,(Q161-$H161)),IF(Q161&lt;&gt;0,(Q161-$H161),0))))</f>
        <v> </v>
      </c>
      <c r="AA161" s="318" t="str">
        <f aca="false">IF($A161="N/A"," ",IF(VLOOKUP(MONTH(A161),ManualTable,2)=1,(IF(0&lt;&gt;R161,IF(Pricetype=1,(xSPRDOPT(I161,$E161,$CI161,0,($CD161+IF(Smile=TRUE(),VLOOKUP(MAX(-5,$H161-I161),Volsmile,2),0)),$CG161,$CH161,($A161-DateToday)+15,1,1))*(8*$HD161),8*$HD161),0)),0))</f>
        <v> </v>
      </c>
      <c r="AB161" s="318" t="str">
        <f aca="false">IF($A161="N/A"," ",IF(VLOOKUP(MONTH(A161),ManualTable,3)=1,(IF(S161&lt;&gt;0,IF(Pricetype=1,(xSPRDOPT(J161,$E161,$CI161,0,($CD161+IF(Smile=TRUE(),VLOOKUP(MAX(-5,$H161-J161),Volsmile,2),0)),$CG161,$CH161,($A161-DateToday)+15,1,1))*(8*$HD161),8*$HD161),0)),0))</f>
        <v> </v>
      </c>
      <c r="AC161" s="318" t="str">
        <f aca="false">IF($A161="N/A"," ",IF(VLOOKUP(MONTH(A161),ManualTable,4)=1,(IF(T161&lt;&gt;0,(8*$HD161),0)),0))</f>
        <v> </v>
      </c>
      <c r="AD161" s="318" t="str">
        <f aca="false">IF($A161="N/A"," ",IF(VLOOKUP(MONTH(A161),ManualTable,5)=1,(IF(U161&lt;&gt;0,IF(Pricetype=1,(xSPRDOPT(L161,$E161,$CI161,0,($CD161+IF(Smile=TRUE(),VLOOKUP(MAX(-5,$H161-L161),Volsmile,2),0)),$CG161,$CH161,($A161-DateToday)+15,1,1))*(8*$HE161),8*$HE161),0)),0))</f>
        <v> </v>
      </c>
      <c r="AE161" s="318" t="str">
        <f aca="false">IF($A161="N/A"," ",IF(VLOOKUP(MONTH(A161),ManualTable,6)=1,(IF(V161&lt;&gt;0,IF(Pricetype=1,(xSPRDOPT(M161,$E161,$CI161,0,($CD161+IF(Smile=TRUE(),VLOOKUP(MAX(-5,$H161-M161),Volsmile,2),0)),$CG161,$CH161,($A161-DateToday)+15,1,1))*(8*$HE161),8*$HE161),0)),0))</f>
        <v> </v>
      </c>
      <c r="AF161" s="318" t="str">
        <f aca="false">IF($A161="N/A"," ",IF(VLOOKUP(MONTH(A161),ManualTable,7)=1,(IF(W161&lt;&gt;0,(8*$HE161),0)),0))</f>
        <v> </v>
      </c>
      <c r="AG161" s="318" t="str">
        <f aca="false">IF($A161="N/A"," ",IF(VLOOKUP(MONTH(A161),ManualTable,8)=1,(IF(X161&lt;&gt;0,IF(Pricetype=1,(xSPRDOPT(O161,$E161,$CI161,0,($CD161+IF(Smile=TRUE(),VLOOKUP(MAX(-5,$H161-O161),Volsmile,2),0)),$CG161,$CH161,($A161-DateToday)+15,1,1))*(8*$HF161),8*$HF161),0)),0))</f>
        <v> </v>
      </c>
      <c r="AH161" s="318" t="str">
        <f aca="false">IF($A161="N/A"," ",IF(VLOOKUP(MONTH(A161),ManualTable,9)=1,(IF(Y161&lt;&gt;0,IF(Pricetype=1,(xSPRDOPT(P161,$E161,$CI161,0,($CD161+IF(Smile=TRUE(),VLOOKUP(MAX(-5,$H161-P161),Volsmile,2),0)),$CG161,$CH161,($A161-DateToday)+15,1,1))*(8*$HF161),8*$HF161),0)),0))</f>
        <v> </v>
      </c>
      <c r="AI161" s="318" t="str">
        <f aca="false">IF($A161="N/A"," ",IF(VLOOKUP(MONTH(A161),ManualTable,10)=1,(IF(Z161&lt;&gt;0,(8*($HF161)),0)),0))</f>
        <v> </v>
      </c>
      <c r="AJ161" s="344" t="str">
        <f aca="false">IF($A161="N/A"," ",RANK(R161,$R$160:$Z$171))</f>
        <v> </v>
      </c>
      <c r="AK161" s="321" t="str">
        <f aca="false">IF($A161="N/A"," ",RANK(S161,$R$160:$Z$171))</f>
        <v> </v>
      </c>
      <c r="AL161" s="321" t="str">
        <f aca="false">IF($A161="N/A"," ",RANK(T161,$R$160:$Z$171))</f>
        <v> </v>
      </c>
      <c r="AM161" s="321" t="str">
        <f aca="false">IF($A161="N/A"," ",RANK(U161,$R$160:$Z$171))</f>
        <v> </v>
      </c>
      <c r="AN161" s="321" t="str">
        <f aca="false">IF($A161="N/A"," ",RANK(V161,$R$160:$Z$171))</f>
        <v> </v>
      </c>
      <c r="AO161" s="321" t="str">
        <f aca="false">IF($A161="N/A"," ",RANK(W161,$R$160:$Z$171))</f>
        <v> </v>
      </c>
      <c r="AP161" s="321" t="str">
        <f aca="false">IF($A161="N/A"," ",RANK(X161,$R$160:$Z$171))</f>
        <v> </v>
      </c>
      <c r="AQ161" s="321" t="str">
        <f aca="false">IF($A161="N/A"," ",RANK(Y161,$R$160:$Z$171))</f>
        <v> </v>
      </c>
      <c r="AR161" s="345" t="str">
        <f aca="false">IF($A161="N/A"," ",RANK(Z161,$R$160:$Z$171))</f>
        <v> </v>
      </c>
      <c r="AS161" s="323" t="str">
        <f aca="false">IF($A161="N/A"," ",IF(AJ161&lt;=$AR$2,AA161,0))</f>
        <v> </v>
      </c>
      <c r="AT161" s="325" t="str">
        <f aca="false">IF($A161="N/A"," ",IF(AK161&lt;=$AR$2,AB161,0))</f>
        <v> </v>
      </c>
      <c r="AU161" s="325" t="str">
        <f aca="false">IF($A161="N/A"," ",IF(AL161&lt;=$AR$2,AC161,0))</f>
        <v> </v>
      </c>
      <c r="AV161" s="325" t="str">
        <f aca="false">IF($A161="N/A"," ",IF(AM161&lt;=$AR$2,AD161,0))</f>
        <v> </v>
      </c>
      <c r="AW161" s="325" t="str">
        <f aca="false">IF($A161="N/A"," ",IF(AN161&lt;=$AR$2,AE161,0))</f>
        <v> </v>
      </c>
      <c r="AX161" s="325" t="str">
        <f aca="false">IF($A161="N/A"," ",IF(AO161&lt;=$AR$2,AF161,0))</f>
        <v> </v>
      </c>
      <c r="AY161" s="325" t="str">
        <f aca="false">IF($A161="N/A"," ",IF(AP161&lt;=$AR$2,AG161,0))</f>
        <v> </v>
      </c>
      <c r="AZ161" s="325" t="str">
        <f aca="false">IF($A161="N/A"," ",IF(AQ161&lt;=$AR$2,AH161,0))</f>
        <v> </v>
      </c>
      <c r="BA161" s="325" t="str">
        <f aca="false">IF($A161="N/A"," ",IF(AR161&lt;=$AR$2,AI161,0))</f>
        <v> </v>
      </c>
      <c r="BB161" s="345"/>
      <c r="BC161" s="326" t="str">
        <f aca="false">IF($A161="N/A"," ",IF(AND(AJ161=$AR$2+1,AS161=0),MIN($BB$171,AA161),0))</f>
        <v> </v>
      </c>
      <c r="BD161" s="346" t="str">
        <f aca="false">IF($A161="N/A"," ",IF(AND(AK161=$AR$2+1,AT161=0),MIN($BB$171,AB161),0))</f>
        <v> </v>
      </c>
      <c r="BE161" s="346" t="str">
        <f aca="false">IF($A161="N/A"," ",IF(AND(AL161=$AR$2+1,AU161=0),MIN($BB$171,AC161),0))</f>
        <v> </v>
      </c>
      <c r="BF161" s="346" t="str">
        <f aca="false">IF($A161="N/A"," ",IF(AND(AM161=$AR$2+1,AV161=0),MIN($BB$171,AD161),0))</f>
        <v> </v>
      </c>
      <c r="BG161" s="346" t="str">
        <f aca="false">IF($A161="N/A"," ",IF(AND(AN161=$AR$2+1,AW161=0),MIN($BB$171,AE161),0))</f>
        <v> </v>
      </c>
      <c r="BH161" s="346" t="str">
        <f aca="false">IF($A161="N/A"," ",IF(AND(AO161=$AR$2+1,AX161=0),MIN($BB$171,AF161),0))</f>
        <v> </v>
      </c>
      <c r="BI161" s="346" t="str">
        <f aca="false">IF($A161="N/A"," ",IF(AND(AP161=$AR$2+1,AY161=0),MIN($BB$171,AG161),0))</f>
        <v> </v>
      </c>
      <c r="BJ161" s="346" t="str">
        <f aca="false">IF($A161="N/A"," ",IF(AND(AQ161=$AR$2+1,AZ161=0),MIN($BB$171,AH161),0))</f>
        <v> </v>
      </c>
      <c r="BK161" s="346" t="str">
        <f aca="false">IF($A161="N/A"," ",IF(AND(AR161=$AR$2+1,BA161=0),MIN($BB$171,AI161),0))</f>
        <v> </v>
      </c>
      <c r="BL161" s="345"/>
      <c r="BM161" s="329" t="str">
        <f aca="false">IF($A161="N/A"," ",(IF(MONTH(A161)&gt;=4,IF(MONTH(A161)&lt;=10,Inputs!$F$13-Inputs!$G$13,Inputs!$F$14-Inputs!$G$14),Inputs!$F$14-Inputs!$G$14))*$CK161*Availability)</f>
        <v> </v>
      </c>
      <c r="BN161" s="330" t="str">
        <f aca="false">IF($A161="N/A"," ",(IF(AS161&gt;0,($BM161*(8*($HD161))*R161),0)+IF(BC161&gt;0,($BM161*((BC161/AA161)*8*$HD161)*R161),0)))</f>
        <v> </v>
      </c>
      <c r="BO161" s="330" t="str">
        <f aca="false">IF($A161="N/A"," ",(IF(AT161&gt;0,($BM161*(8*($HD161))*S161),0)+IF(BD161&gt;0,($BM161*((BD161/AB161)*8*$HD161)*S161),0)))</f>
        <v> </v>
      </c>
      <c r="BP161" s="330" t="str">
        <f aca="false">IF($A161="N/A"," ",(IF(AU161&gt;0,($BM161*(8*($HD161))*T161),0)+IF(BE161&gt;0,($BM161*((BE161))*T161),0)))</f>
        <v> </v>
      </c>
      <c r="BQ161" s="330" t="str">
        <f aca="false">IF($A161="N/A"," ",(IF(AV161&gt;0,($BM161*(8*($HE161))*U161),0)+IF(BF161&gt;0,($BM161*((BF161/AD161)*8*$HE161)*U161),0)))</f>
        <v> </v>
      </c>
      <c r="BR161" s="330" t="str">
        <f aca="false">IF($A161="N/A"," ",(IF(AW161&gt;0,($BM161*(8*($HE161))*V161),0)+IF(BG161&gt;0,($BM161*((BG161/AE161)*8*$HE161)*V161),0)))</f>
        <v> </v>
      </c>
      <c r="BS161" s="330" t="str">
        <f aca="false">IF($A161="N/A"," ",(IF(AX161&gt;0,($BM161*(8*($HE161))*W161),0)+IF(BH161&gt;0,($BM161*((BH161))*W161),0)))</f>
        <v> </v>
      </c>
      <c r="BT161" s="330" t="str">
        <f aca="false">IF($A161="N/A"," ",(IF(AY161&gt;0,($BM161*(8*($HF161))*X161),0)+IF(BI161&gt;0,($BM161*((BI161/AG161)*8*$HF161)*X161),0)))</f>
        <v> </v>
      </c>
      <c r="BU161" s="330" t="str">
        <f aca="false">IF($A161="N/A"," ",(IF(AZ161&gt;0,($BM161*(8*($HF161))*Y161),0)+IF(BJ161&gt;0,($BM161*((BJ161/AH161)*8*$HF161)*Y161),0)))</f>
        <v> </v>
      </c>
      <c r="BV161" s="330" t="str">
        <f aca="false">IF($A161="N/A"," ",(IF(BA161&gt;0,($BM161*(8*($HF161))*Z161),0)+IF(BK161&gt;0,($BM161*((BK161))*Z161),0)))</f>
        <v> </v>
      </c>
      <c r="BW161" s="330" t="str">
        <f aca="false">IF($A161="N/A"," ",SUM(BN161:BV161))</f>
        <v> </v>
      </c>
      <c r="BX161" s="331" t="str">
        <f aca="false">IF($A161="N/A"," ",(H161*(SUM(AS161:BA161)+SUM(BC161:BK161))*BM161))</f>
        <v> </v>
      </c>
      <c r="BY161" s="332" t="str">
        <f aca="false">IF($A161="N/A"," ",((C161*D161)*(SUM($AS161:$BA161)+SUM($BC161:$BK161))*$BM161))</f>
        <v> </v>
      </c>
      <c r="BZ161" s="332" t="str">
        <f aca="false">IF($A161="N/A"," ",(F161*(SUM($AS161:$BA161)+SUM($BC161:$BK161))*$BM161))</f>
        <v> </v>
      </c>
      <c r="CA161" s="333" t="str">
        <f aca="false">IF($A161="N/A"," ",(G161*(SUM($AS161:$BA161)+SUM($BC161:$BK161))*$BM161))</f>
        <v> </v>
      </c>
      <c r="CB161" s="334" t="str">
        <f aca="false">IF(A161="N/A"," ",(VLOOKUP(A161,PowerVolTable,(IF(BMO=2,7,IF(BMO=1,6,8))),FALSE())))</f>
        <v> </v>
      </c>
      <c r="CC161" s="334" t="str">
        <f aca="false">IF(A161="N/A"," ",(VLOOKUP(A161,IntraPowerVol,(IF(BMO=2,3,IF(BMO=1,2,4))),FALSE())*VLOOKUP(MONTH($A161),Volscale,2)))</f>
        <v> </v>
      </c>
      <c r="CD161" s="335" t="str">
        <f aca="false">IF($A161="N/A"," ",(IF(DateToday&gt;$A161,$CC161,((($CB161^2)*((($A161-1)-DateToday)/((EOMONTH($A161,0)+1)-DateToday-15)))+((($CC161)^2)*((15)/((EOMONTH($A161,0)+1)-DateToday-15))))^0.5)))</f>
        <v> </v>
      </c>
      <c r="CE161" s="334" t="str">
        <f aca="false">IF($A161="N/A"," ",(VLOOKUP($A161,GasVolTable,(IF(BMO=2,6,IF(BMO=1,7,5))),FALSE())))</f>
        <v> </v>
      </c>
      <c r="CF161" s="334" t="str">
        <f aca="false">IF($A161="N/A"," ",(VLOOKUP($A161,OmicronVol,(IF(BMO=2,3,IF(BMO=1,4,2))),FALSE())))</f>
        <v> </v>
      </c>
      <c r="CG161" s="335" t="str">
        <f aca="false">IF($A161="N/A"," ",(IF(DateToday&gt;$A161,$CF161,((($CE161^2)*((($A161-1)-DateToday)/((EOMONTH($A161,0)+1)-DateToday-15)))+((($CF161)^2)*((15)/((EOMONTH($A161,0)+1)-DateToday-15))))^0.5)))</f>
        <v> </v>
      </c>
      <c r="CH161" s="334" t="str">
        <f aca="false">IF($A161="N/A"," ",VLOOKUP($A161,CorrelationTable,2,FALSE()))</f>
        <v> </v>
      </c>
      <c r="CI161" s="336" t="str">
        <f aca="false">IF($A161="N/A"," ",F161+G161+(D161*('Pricing Inputs'!T194)))</f>
        <v> </v>
      </c>
      <c r="CJ161" s="334" t="str">
        <f aca="false">IF($A161="N/A"," ",IF(PV=1,0,'Pricing Inputs'!U194))</f>
        <v> </v>
      </c>
      <c r="CK161" s="337" t="str">
        <f aca="false">IF($A161="N/A"," ",(1+CJ161/2)^(-2*((EOMONTH(A161,0)+20)-DateToday)/365.25))</f>
        <v> </v>
      </c>
      <c r="CL161" s="338" t="str">
        <f aca="false">IF(A161="N/A"," ",IF(CC=2,(VLOOKUP(MONTH($A161),Hrtable,3))/1000,0))</f>
        <v> </v>
      </c>
      <c r="CM161" s="339" t="str">
        <f aca="false">IF(A161="N/A"," ",IF(CC=2,(CL161*C161)+F161,0))</f>
        <v> </v>
      </c>
      <c r="CN161" s="340" t="str">
        <f aca="false">IF($A161="N/A"," ",IF(CC=2,(VLOOKUP(A161,ScaledPrice,(IF(AND(Dayrun&gt;=1,Dayrun&lt;=6),2,4)))-((IF(R161&lt;&gt;0,$D161,$CL161)*$C161)+$F161+$G161)),0))</f>
        <v> </v>
      </c>
      <c r="CO161" s="340" t="str">
        <f aca="false">IF($A161="N/A"," ",IF(CC=2,(IF(AND(Dayrun&gt;=1,Dayrun&lt;=6),I161,(VLOOKUP(A161,ScaledPrice,2))*(2-(VLOOKUP(A161,ScaledPrice,3))))-((IF(S161&lt;&gt;0,$D161,$CL161)*$C161)+$F161+$G161)),0))</f>
        <v> </v>
      </c>
      <c r="CP161" s="340" t="str">
        <f aca="false">IF(A161="N/A"," ",IF(CC=2,(VLOOKUP(A161,ScaledPrice,9)-((IF(T161&lt;&gt;0,$D161,$CL161)*$C161)+$F161+$G161)),0))</f>
        <v> </v>
      </c>
      <c r="CQ161" s="340" t="str">
        <f aca="false">IF(A161="N/A"," ",IF(CC=2,(IF(OR(Dayrun=2,Dayrun=3,Dayrun=5,Dayrun=6,Dayrun=8,Dayrun=9),VLOOKUP(A161,ScaledPrice,IF(AND(Dayrun&gt;=2,Dayrun&lt;=6),5,6)),0)-((IF(U161&lt;&gt;0,$D161,$CL161)*$C161)+$F161+$G161)),0))</f>
        <v> </v>
      </c>
      <c r="CR161" s="340" t="str">
        <f aca="false">IF(A161="N/A"," ",IF(CC=2,(IF(OR(Dayrun=2,Dayrun=3,Dayrun=5,Dayrun=6,Dayrun=8,Dayrun=9),IF(AND(Dayrun&gt;=2,Dayrun&lt;=6),L161,(VLOOKUP(A161,ScaledPrice,5))*(2-(VLOOKUP(A161,ScaledPrice,3)))),0)-((IF(V161&lt;&gt;0,$D161,$CL161)*$C161)+$F161+$G161)),0))</f>
        <v> </v>
      </c>
      <c r="CS161" s="340" t="str">
        <f aca="false">IF(A161="N/A"," ",IF(CC=2,(VLOOKUP(A161,ScaledPrice,9)-((IF(W161&lt;&gt;0,$D161,$CL161)*$C161)+$F161+$G161)),0))</f>
        <v> </v>
      </c>
      <c r="CT161" s="340" t="str">
        <f aca="false">IF(A161="N/A"," ",IF(CC=2,(IF(OR(Dayrun=3,Dayrun=6,Dayrun=9),(VLOOKUP(A161,ScaledPrice,IF(AND(Dayrun&gt;=3,Dayrun&lt;=6),7,8))),0)-((IF(X161&lt;&gt;0,$D161,$CL161)*$C161)+$F161+$G161)),0))</f>
        <v> </v>
      </c>
      <c r="CU161" s="340" t="str">
        <f aca="false">IF(A161="N/A"," ",IF(CC=2,(IF(OR(Dayrun=3,Dayrun=6,Dayrun=9),IF(AND(Dayrun&gt;=3,Dayrun&lt;=6),O161,(VLOOKUP(A161,ScaledPrice,7))*(2-(VLOOKUP(A161,ScaledPrice,3)))),0)-((IF(Y161&lt;&gt;0,$D161,$CL161)*$C161)+$F161+$G161)),0))</f>
        <v> </v>
      </c>
      <c r="CV161" s="340" t="str">
        <f aca="false">IF(A161="N/A"," ",IF(CC=2,(VLOOKUP(A161,ScaledPrice,9)-((IF(Z161&lt;&gt;0,$D161,$CL161)*$C161)+$F161+$G161)),0))</f>
        <v> </v>
      </c>
      <c r="CW161" s="318" t="str">
        <f aca="false">IF($A161="N/A"," ",IF(0&lt;&gt;CN161,IF(CC=2,8*$HD161,0),0))</f>
        <v> </v>
      </c>
      <c r="CX161" s="318" t="str">
        <f aca="false">IF($A161="N/A"," ",IF(0&lt;&gt;CO161,IF(CC=2,8*$HD161,0),0))</f>
        <v> </v>
      </c>
      <c r="CY161" s="318" t="str">
        <f aca="false">IF($A161="N/A"," ",IF(0&lt;&gt;CP161,IF(CC=2,8*$HD161,0),0))</f>
        <v> </v>
      </c>
      <c r="CZ161" s="318" t="str">
        <f aca="false">IF($A161="N/A"," ",IF(0&lt;&gt;CQ161,IF(CC=2,8*$HE161,0),0))</f>
        <v> </v>
      </c>
      <c r="DA161" s="318" t="str">
        <f aca="false">IF($A161="N/A"," ",IF(0&lt;&gt;CR161,IF(CC=2,8*$HE161,0),0))</f>
        <v> </v>
      </c>
      <c r="DB161" s="318" t="str">
        <f aca="false">IF($A161="N/A"," ",IF(0&lt;&gt;CS161,IF(CC=2,8*$HE161,0),0))</f>
        <v> </v>
      </c>
      <c r="DC161" s="318" t="str">
        <f aca="false">IF($A161="N/A"," ",IF(0&lt;&gt;CT161,IF(CC=2,8*$HF161,0),0))</f>
        <v> </v>
      </c>
      <c r="DD161" s="318" t="str">
        <f aca="false">IF($A161="N/A"," ",IF(0&lt;&gt;CU161,IF(CC=2,8*$HF161,0),0))</f>
        <v> </v>
      </c>
      <c r="DE161" s="318" t="str">
        <f aca="false">IF($A161="N/A"," ",IF(0&lt;&gt;CV161,IF(CC=2,8*$HF161,0),0))</f>
        <v> </v>
      </c>
      <c r="DF161" s="341" t="str">
        <f aca="false">IF($A161="N/A"," ",IF(CC=2,(IF(MONTH(A161)&gt;=4,IF(MONTH(A161)&lt;=10,Inputs!$G$13,Inputs!$G$14),Inputs!$G$14))*$CK161,0))</f>
        <v> </v>
      </c>
      <c r="DG161" s="342" t="str">
        <f aca="false">IF($A161="N/A"," ",IF(CC=2,$DF161*CW161*CN161,0))</f>
        <v> </v>
      </c>
      <c r="DH161" s="342" t="str">
        <f aca="false">IF($A161="N/A"," ",IF(CC=2,$DF161*CX161*CO161,0))</f>
        <v> </v>
      </c>
      <c r="DI161" s="342" t="str">
        <f aca="false">IF($A161="N/A"," ",IF(CC=2,$DF161*CY161*CP161,0))</f>
        <v> </v>
      </c>
      <c r="DJ161" s="342" t="str">
        <f aca="false">IF($A161="N/A"," ",IF(CC=2,$DF161*CZ161*CQ161,0))</f>
        <v> </v>
      </c>
      <c r="DK161" s="342" t="str">
        <f aca="false">IF($A161="N/A"," ",IF(CC=2,$DF161*DA161*CR161,0))</f>
        <v> </v>
      </c>
      <c r="DL161" s="342" t="str">
        <f aca="false">IF($A161="N/A"," ",IF(CC=2,$DF161*DB161*CS161,0))</f>
        <v> </v>
      </c>
      <c r="DM161" s="342" t="str">
        <f aca="false">IF($A161="N/A"," ",IF(CC=2,$DF161*DC161*CT161,0))</f>
        <v> </v>
      </c>
      <c r="DN161" s="342" t="str">
        <f aca="false">IF($A161="N/A"," ",IF(CC=2,$DF161*DD161*CU161,0))</f>
        <v> </v>
      </c>
      <c r="DO161" s="342" t="str">
        <f aca="false">IF($A161="N/A"," ",IF(CC=2,$DF161*DE161*CV161,0))</f>
        <v> </v>
      </c>
      <c r="DP161" s="343" t="str">
        <f aca="false">IF($A161="N/A"," ",IF(CC=2,SUM(DG161:DO161),0))</f>
        <v> </v>
      </c>
      <c r="DQ161" s="0" t="str">
        <f aca="false">IF(A161="N/A"," ",Perstart)</f>
        <v> </v>
      </c>
      <c r="HD161" s="0" t="str">
        <f aca="false">IF($A161="N/A"," ",VLOOKUP($A161,NumberofDaysTable,2))</f>
        <v> </v>
      </c>
      <c r="HE161" s="0" t="str">
        <f aca="false">IF($A161="N/A"," ",VLOOKUP($A161,NumberofDaysTable,3))</f>
        <v> </v>
      </c>
      <c r="HF161" s="0" t="str">
        <f aca="false">IF($A161="N/A"," ",VLOOKUP($A161,NumberofDaysTable,4))</f>
        <v> </v>
      </c>
    </row>
    <row r="162" customFormat="false" ht="12.75" hidden="false" customHeight="false" outlineLevel="0" collapsed="false">
      <c r="A162" s="308" t="str">
        <f aca="false">IF(A161="N/A","N/A",IF(EDATE(A161,1)&gt;Inputs!$K$3,"N/A",EDATE(A161,1)))</f>
        <v>N/A</v>
      </c>
      <c r="B162" s="309" t="str">
        <f aca="false">IF(A162="N/A"," ",YEAR(A162))</f>
        <v> </v>
      </c>
      <c r="C162" s="310" t="str">
        <f aca="false">IF(A162="N/A"," ",VLOOKUP(A162,ScaledPrice,10))</f>
        <v> </v>
      </c>
      <c r="D162" s="311" t="str">
        <f aca="false">IF(A162="N/A"," ",(VLOOKUP(MONTH($A162),Hrtable,2))/1000)</f>
        <v> </v>
      </c>
      <c r="E162" s="312" t="str">
        <f aca="false">IF($A162="N/A"," ",(C162-'Pricing Inputs'!T195)*D162)</f>
        <v> </v>
      </c>
      <c r="F162" s="313" t="str">
        <f aca="false">IF(A162="N/A"," ",$F150*(1+VOMesc))</f>
        <v> </v>
      </c>
      <c r="G162" s="313" t="str">
        <f aca="false">IF(A162="N/A"," ",Perstart/IF(AND(Dayrun&gt;=4,Dayrun&lt;=6),16,IF(AND(Dayrun&gt;=7,Dayrun&lt;=9),8,24))/(BM162/CK162))</f>
        <v> </v>
      </c>
      <c r="H162" s="314" t="str">
        <f aca="false">IF(A162="N/A"," ",(C162*D162)+F162+G162)</f>
        <v> </v>
      </c>
      <c r="I162" s="315" t="str">
        <f aca="false">VLOOKUP(A162,ScaledPrice,(IF(AND(Dayrun&gt;=1,Dayrun&lt;=6),2,4)))</f>
        <v> </v>
      </c>
      <c r="J162" s="315" t="str">
        <f aca="false">IF(A162="N/A"," ",IF(AND(Dayrun&gt;=1,Dayrun&lt;=6),I162,(VLOOKUP(A162,ScaledPrice,2))*(2-(VLOOKUP(A162,ScaledPrice,3)))))</f>
        <v> </v>
      </c>
      <c r="K162" s="315" t="str">
        <f aca="false">IF(A162="N/A"," ",IF(AND(Dayrun&gt;=1,Dayrun&lt;=3),VLOOKUP(A162,ScaledPrice,9),0))</f>
        <v> </v>
      </c>
      <c r="L162" s="315" t="str">
        <f aca="false">IF(A162="N/A"," ",IF(OR(Dayrun=2,Dayrun=3,Dayrun=5,Dayrun=6,Dayrun=8,Dayrun=9),VLOOKUP(A162,ScaledPrice,IF(AND(Dayrun&gt;=2,Dayrun&lt;=6),5,6)),0))</f>
        <v> </v>
      </c>
      <c r="M162" s="315" t="str">
        <f aca="false">IF(A162="N/A"," ",IF(OR(Dayrun=2,Dayrun=3,Dayrun=5,Dayrun=6,Dayrun=8,Dayrun=9),IF(AND(Dayrun&gt;=2,Dayrun&lt;=6),L162,(VLOOKUP(A162,ScaledPrice,5))*(2-(VLOOKUP(A162,ScaledPrice,3)))),0))</f>
        <v> </v>
      </c>
      <c r="N162" s="315" t="str">
        <f aca="false">IF(A162="N/A"," ",IF(AND(Dayrun&gt;1,Dayrun&lt;=3),VLOOKUP(A162,ScaledPrice,9),0))</f>
        <v> </v>
      </c>
      <c r="O162" s="315" t="str">
        <f aca="false">IF(A162="N/A"," ",IF(OR(Dayrun=3,Dayrun=6,Dayrun=9),(VLOOKUP(A162,ScaledPrice,IF(AND(Dayrun&gt;=3,Dayrun&lt;=6),7,8))),0))</f>
        <v> </v>
      </c>
      <c r="P162" s="315" t="str">
        <f aca="false">IF(A162="N/A"," ",IF(OR(Dayrun=3,Dayrun=6,Dayrun=9),IF(AND(Dayrun&gt;=3,Dayrun&lt;=6),O162,(VLOOKUP(A162,ScaledPrice,7))*(2-(VLOOKUP(A162,ScaledPrice,3)))),0))</f>
        <v> </v>
      </c>
      <c r="Q162" s="315" t="str">
        <f aca="false">IF(A162="N/A"," ",IF(AND(Dayrun&gt;2,Dayrun&lt;=3),VLOOKUP(A162,ScaledPrice,9),0))</f>
        <v> </v>
      </c>
      <c r="R162" s="316" t="str">
        <f aca="false">IF($A162="N/A"," ",IF(Pricetype=2,MAX(I162-$H162,0),IF(Pricetype=1,(xSPRDOPT(I162,$E162,$CI162,0,($CD162+IF(Smile=TRUE(),VLOOKUP(MAX(-5,$H162-I162),Volsmile,2),0)),$CG162,$CH162,($A162-DateToday)+15,1,0)),I162-$H162)))</f>
        <v> </v>
      </c>
      <c r="S162" s="316" t="str">
        <f aca="false">IF($A162="N/A"," ",IF(Pricetype=2,MAX(J162-$H162,0),IF(Pricetype=1,(xSPRDOPT(J162,$E162,$CI162,0,($CD162+IF(Smile=TRUE(),VLOOKUP(MAX(-5,$H162-J162),Volsmile,2),0)),$CG162,$CH162,($A162-DateToday)+15,1,0)),J162-$H162)))</f>
        <v> </v>
      </c>
      <c r="T162" s="317" t="str">
        <f aca="false">IF($A162="N/A"," ",(IF(Pricetype=2,IF((K162-$H162)&lt;=0,0,(K162-$H162)),IF(K162&lt;&gt;0,(K162-$H162),0))))</f>
        <v> </v>
      </c>
      <c r="U162" s="316" t="str">
        <f aca="false">IF($A162="N/A"," ",IF(Pricetype=2,MAX(L162-$H162,0),IF(L162&lt;&gt;0,IF(Pricetype=1,(xSPRDOPT(L162,$E162,$CI162,0,($CD162+IF(Smile=TRUE(),VLOOKUP(MAX(-5,$H162-L162),Volsmile,2),0)),$CG162,$CH162,($A162-DateToday)+15,1,0)),L162-$H162),0)))</f>
        <v> </v>
      </c>
      <c r="V162" s="316" t="str">
        <f aca="false">IF($A162="N/A"," ",IF(Pricetype=2,MAX(M162-$H162,0),IF(M162&lt;&gt;0,IF(Pricetype=1,(xSPRDOPT(M162,$E162,$CI162,0,($CD162+IF(Smile=TRUE(),VLOOKUP(MAX(-5,$H162-M162),Volsmile,2),0)),$CG162,$CH162,($A162-DateToday)+15,1,0)),M162-$H162),0)))</f>
        <v> </v>
      </c>
      <c r="W162" s="317" t="str">
        <f aca="false">IF($A162="N/A"," ",(IF(Pricetype=2,IF((N162-$H162)&lt;=0,0,(N162-$H162)),IF(N162&lt;&gt;0,(N162-$H162),0))))</f>
        <v> </v>
      </c>
      <c r="X162" s="316" t="str">
        <f aca="false">IF($A162="N/A"," ",IF(Pricetype=2,MAX(O162-$H162,0),IF(O162&lt;&gt;0,IF(Pricetype=1,(xSPRDOPT(O162,$E162,$CI162,0,($CD162+IF(Smile=TRUE(),VLOOKUP(MAX(-5,$H162-O162),Volsmile,2),0)),$CG162,$CH162,($A162-DateToday)+15,1,0)),O162-$H162),0)))</f>
        <v> </v>
      </c>
      <c r="Y162" s="316" t="str">
        <f aca="false">IF($A162="N/A"," ",IF(Pricetype=2,MAX(P162-$H162,0),IF(P162&lt;&gt;0,IF(Pricetype=1,(xSPRDOPT(P162,$E162,$CI162,0,($CD162+IF(Smile=TRUE(),VLOOKUP(MAX(-5,$H162-P162),Volsmile,2),0)),$CG162,$CH162,($A162-DateToday)+15,1,0)),P162-$H162),0)))</f>
        <v> </v>
      </c>
      <c r="Z162" s="317" t="str">
        <f aca="false">IF($A162="N/A"," ",(IF(Pricetype=2,IF((Q162-$H162)&lt;=0,0,(Q162-$H162)),IF(Q162&lt;&gt;0,(Q162-$H162),0))))</f>
        <v> </v>
      </c>
      <c r="AA162" s="318" t="str">
        <f aca="false">IF($A162="N/A"," ",IF(VLOOKUP(MONTH(A162),ManualTable,2)=1,(IF(0&lt;&gt;R162,IF(Pricetype=1,(xSPRDOPT(I162,$E162,$CI162,0,($CD162+IF(Smile=TRUE(),VLOOKUP(MAX(-5,$H162-I162),Volsmile,2),0)),$CG162,$CH162,($A162-DateToday)+15,1,1))*(8*$HD162),8*$HD162),0)),0))</f>
        <v> </v>
      </c>
      <c r="AB162" s="318" t="str">
        <f aca="false">IF($A162="N/A"," ",IF(VLOOKUP(MONTH(A162),ManualTable,3)=1,(IF(S162&lt;&gt;0,IF(Pricetype=1,(xSPRDOPT(J162,$E162,$CI162,0,($CD162+IF(Smile=TRUE(),VLOOKUP(MAX(-5,$H162-J162),Volsmile,2),0)),$CG162,$CH162,($A162-DateToday)+15,1,1))*(8*$HD162),8*$HD162),0)),0))</f>
        <v> </v>
      </c>
      <c r="AC162" s="318" t="str">
        <f aca="false">IF($A162="N/A"," ",IF(VLOOKUP(MONTH(A162),ManualTable,4)=1,(IF(T162&lt;&gt;0,(8*$HD162),0)),0))</f>
        <v> </v>
      </c>
      <c r="AD162" s="318" t="str">
        <f aca="false">IF($A162="N/A"," ",IF(VLOOKUP(MONTH(A162),ManualTable,5)=1,(IF(U162&lt;&gt;0,IF(Pricetype=1,(xSPRDOPT(L162,$E162,$CI162,0,($CD162+IF(Smile=TRUE(),VLOOKUP(MAX(-5,$H162-L162),Volsmile,2),0)),$CG162,$CH162,($A162-DateToday)+15,1,1))*(8*$HE162),8*$HE162),0)),0))</f>
        <v> </v>
      </c>
      <c r="AE162" s="318" t="str">
        <f aca="false">IF($A162="N/A"," ",IF(VLOOKUP(MONTH(A162),ManualTable,6)=1,(IF(V162&lt;&gt;0,IF(Pricetype=1,(xSPRDOPT(M162,$E162,$CI162,0,($CD162+IF(Smile=TRUE(),VLOOKUP(MAX(-5,$H162-M162),Volsmile,2),0)),$CG162,$CH162,($A162-DateToday)+15,1,1))*(8*$HE162),8*$HE162),0)),0))</f>
        <v> </v>
      </c>
      <c r="AF162" s="318" t="str">
        <f aca="false">IF($A162="N/A"," ",IF(VLOOKUP(MONTH(A162),ManualTable,7)=1,(IF(W162&lt;&gt;0,(8*$HE162),0)),0))</f>
        <v> </v>
      </c>
      <c r="AG162" s="318" t="str">
        <f aca="false">IF($A162="N/A"," ",IF(VLOOKUP(MONTH(A162),ManualTable,8)=1,(IF(X162&lt;&gt;0,IF(Pricetype=1,(xSPRDOPT(O162,$E162,$CI162,0,($CD162+IF(Smile=TRUE(),VLOOKUP(MAX(-5,$H162-O162),Volsmile,2),0)),$CG162,$CH162,($A162-DateToday)+15,1,1))*(8*$HF162),8*$HF162),0)),0))</f>
        <v> </v>
      </c>
      <c r="AH162" s="318" t="str">
        <f aca="false">IF($A162="N/A"," ",IF(VLOOKUP(MONTH(A162),ManualTable,9)=1,(IF(Y162&lt;&gt;0,IF(Pricetype=1,(xSPRDOPT(P162,$E162,$CI162,0,($CD162+IF(Smile=TRUE(),VLOOKUP(MAX(-5,$H162-P162),Volsmile,2),0)),$CG162,$CH162,($A162-DateToday)+15,1,1))*(8*$HF162),8*$HF162),0)),0))</f>
        <v> </v>
      </c>
      <c r="AI162" s="318" t="str">
        <f aca="false">IF($A162="N/A"," ",IF(VLOOKUP(MONTH(A162),ManualTable,10)=1,(IF(Z162&lt;&gt;0,(8*($HF162)),0)),0))</f>
        <v> </v>
      </c>
      <c r="AJ162" s="344" t="str">
        <f aca="false">IF($A162="N/A"," ",RANK(R162,$R$160:$Z$171))</f>
        <v> </v>
      </c>
      <c r="AK162" s="321" t="str">
        <f aca="false">IF($A162="N/A"," ",RANK(S162,$R$160:$Z$171))</f>
        <v> </v>
      </c>
      <c r="AL162" s="321" t="str">
        <f aca="false">IF($A162="N/A"," ",RANK(T162,$R$160:$Z$171))</f>
        <v> </v>
      </c>
      <c r="AM162" s="321" t="str">
        <f aca="false">IF($A162="N/A"," ",RANK(U162,$R$160:$Z$171))</f>
        <v> </v>
      </c>
      <c r="AN162" s="321" t="str">
        <f aca="false">IF($A162="N/A"," ",RANK(V162,$R$160:$Z$171))</f>
        <v> </v>
      </c>
      <c r="AO162" s="321" t="str">
        <f aca="false">IF($A162="N/A"," ",RANK(W162,$R$160:$Z$171))</f>
        <v> </v>
      </c>
      <c r="AP162" s="321" t="str">
        <f aca="false">IF($A162="N/A"," ",RANK(X162,$R$160:$Z$171))</f>
        <v> </v>
      </c>
      <c r="AQ162" s="321" t="str">
        <f aca="false">IF($A162="N/A"," ",RANK(Y162,$R$160:$Z$171))</f>
        <v> </v>
      </c>
      <c r="AR162" s="345" t="str">
        <f aca="false">IF($A162="N/A"," ",RANK(Z162,$R$160:$Z$171))</f>
        <v> </v>
      </c>
      <c r="AS162" s="323" t="str">
        <f aca="false">IF($A162="N/A"," ",IF(AJ162&lt;=$AR$2,AA162,0))</f>
        <v> </v>
      </c>
      <c r="AT162" s="325" t="str">
        <f aca="false">IF($A162="N/A"," ",IF(AK162&lt;=$AR$2,AB162,0))</f>
        <v> </v>
      </c>
      <c r="AU162" s="325" t="str">
        <f aca="false">IF($A162="N/A"," ",IF(AL162&lt;=$AR$2,AC162,0))</f>
        <v> </v>
      </c>
      <c r="AV162" s="325" t="str">
        <f aca="false">IF($A162="N/A"," ",IF(AM162&lt;=$AR$2,AD162,0))</f>
        <v> </v>
      </c>
      <c r="AW162" s="325" t="str">
        <f aca="false">IF($A162="N/A"," ",IF(AN162&lt;=$AR$2,AE162,0))</f>
        <v> </v>
      </c>
      <c r="AX162" s="325" t="str">
        <f aca="false">IF($A162="N/A"," ",IF(AO162&lt;=$AR$2,AF162,0))</f>
        <v> </v>
      </c>
      <c r="AY162" s="325" t="str">
        <f aca="false">IF($A162="N/A"," ",IF(AP162&lt;=$AR$2,AG162,0))</f>
        <v> </v>
      </c>
      <c r="AZ162" s="325" t="str">
        <f aca="false">IF($A162="N/A"," ",IF(AQ162&lt;=$AR$2,AH162,0))</f>
        <v> </v>
      </c>
      <c r="BA162" s="325" t="str">
        <f aca="false">IF($A162="N/A"," ",IF(AR162&lt;=$AR$2,AI162,0))</f>
        <v> </v>
      </c>
      <c r="BB162" s="345"/>
      <c r="BC162" s="326" t="str">
        <f aca="false">IF($A162="N/A"," ",IF(AND(AJ162=$AR$2+1,AS162=0),MIN($BB$171,AA162),0))</f>
        <v> </v>
      </c>
      <c r="BD162" s="346" t="str">
        <f aca="false">IF($A162="N/A"," ",IF(AND(AK162=$AR$2+1,AT162=0),MIN($BB$171,AB162),0))</f>
        <v> </v>
      </c>
      <c r="BE162" s="346" t="str">
        <f aca="false">IF($A162="N/A"," ",IF(AND(AL162=$AR$2+1,AU162=0),MIN($BB$171,AC162),0))</f>
        <v> </v>
      </c>
      <c r="BF162" s="346" t="str">
        <f aca="false">IF($A162="N/A"," ",IF(AND(AM162=$AR$2+1,AV162=0),MIN($BB$171,AD162),0))</f>
        <v> </v>
      </c>
      <c r="BG162" s="346" t="str">
        <f aca="false">IF($A162="N/A"," ",IF(AND(AN162=$AR$2+1,AW162=0),MIN($BB$171,AE162),0))</f>
        <v> </v>
      </c>
      <c r="BH162" s="346" t="str">
        <f aca="false">IF($A162="N/A"," ",IF(AND(AO162=$AR$2+1,AX162=0),MIN($BB$171,AF162),0))</f>
        <v> </v>
      </c>
      <c r="BI162" s="346" t="str">
        <f aca="false">IF($A162="N/A"," ",IF(AND(AP162=$AR$2+1,AY162=0),MIN($BB$171,AG162),0))</f>
        <v> </v>
      </c>
      <c r="BJ162" s="346" t="str">
        <f aca="false">IF($A162="N/A"," ",IF(AND(AQ162=$AR$2+1,AZ162=0),MIN($BB$171,AH162),0))</f>
        <v> </v>
      </c>
      <c r="BK162" s="346" t="str">
        <f aca="false">IF($A162="N/A"," ",IF(AND(AR162=$AR$2+1,BA162=0),MIN($BB$171,AI162),0))</f>
        <v> </v>
      </c>
      <c r="BL162" s="345"/>
      <c r="BM162" s="329" t="str">
        <f aca="false">IF($A162="N/A"," ",(IF(MONTH(A162)&gt;=4,IF(MONTH(A162)&lt;=10,Inputs!$F$13-Inputs!$G$13,Inputs!$F$14-Inputs!$G$14),Inputs!$F$14-Inputs!$G$14))*$CK162*Availability)</f>
        <v> </v>
      </c>
      <c r="BN162" s="330" t="str">
        <f aca="false">IF($A162="N/A"," ",(IF(AS162&gt;0,($BM162*(8*($HD162))*R162),0)+IF(BC162&gt;0,($BM162*((BC162/AA162)*8*$HD162)*R162),0)))</f>
        <v> </v>
      </c>
      <c r="BO162" s="330" t="str">
        <f aca="false">IF($A162="N/A"," ",(IF(AT162&gt;0,($BM162*(8*($HD162))*S162),0)+IF(BD162&gt;0,($BM162*((BD162/AB162)*8*$HD162)*S162),0)))</f>
        <v> </v>
      </c>
      <c r="BP162" s="330" t="str">
        <f aca="false">IF($A162="N/A"," ",(IF(AU162&gt;0,($BM162*(8*($HD162))*T162),0)+IF(BE162&gt;0,($BM162*((BE162))*T162),0)))</f>
        <v> </v>
      </c>
      <c r="BQ162" s="330" t="str">
        <f aca="false">IF($A162="N/A"," ",(IF(AV162&gt;0,($BM162*(8*($HE162))*U162),0)+IF(BF162&gt;0,($BM162*((BF162/AD162)*8*$HE162)*U162),0)))</f>
        <v> </v>
      </c>
      <c r="BR162" s="330" t="str">
        <f aca="false">IF($A162="N/A"," ",(IF(AW162&gt;0,($BM162*(8*($HE162))*V162),0)+IF(BG162&gt;0,($BM162*((BG162/AE162)*8*$HE162)*V162),0)))</f>
        <v> </v>
      </c>
      <c r="BS162" s="330" t="str">
        <f aca="false">IF($A162="N/A"," ",(IF(AX162&gt;0,($BM162*(8*($HE162))*W162),0)+IF(BH162&gt;0,($BM162*((BH162))*W162),0)))</f>
        <v> </v>
      </c>
      <c r="BT162" s="330" t="str">
        <f aca="false">IF($A162="N/A"," ",(IF(AY162&gt;0,($BM162*(8*($HF162))*X162),0)+IF(BI162&gt;0,($BM162*((BI162/AG162)*8*$HF162)*X162),0)))</f>
        <v> </v>
      </c>
      <c r="BU162" s="330" t="str">
        <f aca="false">IF($A162="N/A"," ",(IF(AZ162&gt;0,($BM162*(8*($HF162))*Y162),0)+IF(BJ162&gt;0,($BM162*((BJ162/AH162)*8*$HF162)*Y162),0)))</f>
        <v> </v>
      </c>
      <c r="BV162" s="330" t="str">
        <f aca="false">IF($A162="N/A"," ",(IF(BA162&gt;0,($BM162*(8*($HF162))*Z162),0)+IF(BK162&gt;0,($BM162*((BK162))*Z162),0)))</f>
        <v> </v>
      </c>
      <c r="BW162" s="330" t="str">
        <f aca="false">IF($A162="N/A"," ",SUM(BN162:BV162))</f>
        <v> </v>
      </c>
      <c r="BX162" s="331" t="str">
        <f aca="false">IF($A162="N/A"," ",(H162*(SUM(AS162:BA162)+SUM(BC162:BK162))*BM162))</f>
        <v> </v>
      </c>
      <c r="BY162" s="332" t="str">
        <f aca="false">IF($A162="N/A"," ",((C162*D162)*(SUM($AS162:$BA162)+SUM($BC162:$BK162))*$BM162))</f>
        <v> </v>
      </c>
      <c r="BZ162" s="332" t="str">
        <f aca="false">IF($A162="N/A"," ",(F162*(SUM($AS162:$BA162)+SUM($BC162:$BK162))*$BM162))</f>
        <v> </v>
      </c>
      <c r="CA162" s="333" t="str">
        <f aca="false">IF($A162="N/A"," ",(G162*(SUM($AS162:$BA162)+SUM($BC162:$BK162))*$BM162))</f>
        <v> </v>
      </c>
      <c r="CB162" s="334" t="str">
        <f aca="false">IF(A162="N/A"," ",(VLOOKUP(A162,PowerVolTable,(IF(BMO=2,7,IF(BMO=1,6,8))),FALSE())))</f>
        <v> </v>
      </c>
      <c r="CC162" s="334" t="str">
        <f aca="false">IF(A162="N/A"," ",(VLOOKUP(A162,IntraPowerVol,(IF(BMO=2,3,IF(BMO=1,2,4))),FALSE())*VLOOKUP(MONTH($A162),Volscale,2)))</f>
        <v> </v>
      </c>
      <c r="CD162" s="335" t="str">
        <f aca="false">IF($A162="N/A"," ",(IF(DateToday&gt;$A162,$CC162,((($CB162^2)*((($A162-1)-DateToday)/((EOMONTH($A162,0)+1)-DateToday-15)))+((($CC162)^2)*((15)/((EOMONTH($A162,0)+1)-DateToday-15))))^0.5)))</f>
        <v> </v>
      </c>
      <c r="CE162" s="334" t="str">
        <f aca="false">IF($A162="N/A"," ",(VLOOKUP($A162,GasVolTable,(IF(BMO=2,6,IF(BMO=1,7,5))),FALSE())))</f>
        <v> </v>
      </c>
      <c r="CF162" s="334" t="str">
        <f aca="false">IF($A162="N/A"," ",(VLOOKUP($A162,OmicronVol,(IF(BMO=2,3,IF(BMO=1,4,2))),FALSE())))</f>
        <v> </v>
      </c>
      <c r="CG162" s="335" t="str">
        <f aca="false">IF($A162="N/A"," ",(IF(DateToday&gt;$A162,$CF162,((($CE162^2)*((($A162-1)-DateToday)/((EOMONTH($A162,0)+1)-DateToday-15)))+((($CF162)^2)*((15)/((EOMONTH($A162,0)+1)-DateToday-15))))^0.5)))</f>
        <v> </v>
      </c>
      <c r="CH162" s="334" t="str">
        <f aca="false">IF($A162="N/A"," ",VLOOKUP($A162,CorrelationTable,2,FALSE()))</f>
        <v> </v>
      </c>
      <c r="CI162" s="336" t="str">
        <f aca="false">IF($A162="N/A"," ",F162+G162+(D162*('Pricing Inputs'!T195)))</f>
        <v> </v>
      </c>
      <c r="CJ162" s="334" t="str">
        <f aca="false">IF($A162="N/A"," ",IF(PV=1,0,'Pricing Inputs'!U195))</f>
        <v> </v>
      </c>
      <c r="CK162" s="337" t="str">
        <f aca="false">IF($A162="N/A"," ",(1+CJ162/2)^(-2*((EOMONTH(A162,0)+20)-DateToday)/365.25))</f>
        <v> </v>
      </c>
      <c r="CL162" s="338" t="str">
        <f aca="false">IF(A162="N/A"," ",IF(CC=2,(VLOOKUP(MONTH($A162),Hrtable,3))/1000,0))</f>
        <v> </v>
      </c>
      <c r="CM162" s="339" t="str">
        <f aca="false">IF(A162="N/A"," ",IF(CC=2,(CL162*C162)+F162,0))</f>
        <v> </v>
      </c>
      <c r="CN162" s="340" t="str">
        <f aca="false">IF($A162="N/A"," ",IF(CC=2,(VLOOKUP(A162,ScaledPrice,(IF(AND(Dayrun&gt;=1,Dayrun&lt;=6),2,4)))-((IF(R162&lt;&gt;0,$D162,$CL162)*$C162)+$F162+$G162)),0))</f>
        <v> </v>
      </c>
      <c r="CO162" s="340" t="str">
        <f aca="false">IF($A162="N/A"," ",IF(CC=2,(IF(AND(Dayrun&gt;=1,Dayrun&lt;=6),I162,(VLOOKUP(A162,ScaledPrice,2))*(2-(VLOOKUP(A162,ScaledPrice,3))))-((IF(S162&lt;&gt;0,$D162,$CL162)*$C162)+$F162+$G162)),0))</f>
        <v> </v>
      </c>
      <c r="CP162" s="340" t="str">
        <f aca="false">IF(A162="N/A"," ",IF(CC=2,(VLOOKUP(A162,ScaledPrice,9)-((IF(T162&lt;&gt;0,$D162,$CL162)*$C162)+$F162+$G162)),0))</f>
        <v> </v>
      </c>
      <c r="CQ162" s="340" t="str">
        <f aca="false">IF(A162="N/A"," ",IF(CC=2,(IF(OR(Dayrun=2,Dayrun=3,Dayrun=5,Dayrun=6,Dayrun=8,Dayrun=9),VLOOKUP(A162,ScaledPrice,IF(AND(Dayrun&gt;=2,Dayrun&lt;=6),5,6)),0)-((IF(U162&lt;&gt;0,$D162,$CL162)*$C162)+$F162+$G162)),0))</f>
        <v> </v>
      </c>
      <c r="CR162" s="340" t="str">
        <f aca="false">IF(A162="N/A"," ",IF(CC=2,(IF(OR(Dayrun=2,Dayrun=3,Dayrun=5,Dayrun=6,Dayrun=8,Dayrun=9),IF(AND(Dayrun&gt;=2,Dayrun&lt;=6),L162,(VLOOKUP(A162,ScaledPrice,5))*(2-(VLOOKUP(A162,ScaledPrice,3)))),0)-((IF(V162&lt;&gt;0,$D162,$CL162)*$C162)+$F162+$G162)),0))</f>
        <v> </v>
      </c>
      <c r="CS162" s="340" t="str">
        <f aca="false">IF(A162="N/A"," ",IF(CC=2,(VLOOKUP(A162,ScaledPrice,9)-((IF(W162&lt;&gt;0,$D162,$CL162)*$C162)+$F162+$G162)),0))</f>
        <v> </v>
      </c>
      <c r="CT162" s="340" t="str">
        <f aca="false">IF(A162="N/A"," ",IF(CC=2,(IF(OR(Dayrun=3,Dayrun=6,Dayrun=9),(VLOOKUP(A162,ScaledPrice,IF(AND(Dayrun&gt;=3,Dayrun&lt;=6),7,8))),0)-((IF(X162&lt;&gt;0,$D162,$CL162)*$C162)+$F162+$G162)),0))</f>
        <v> </v>
      </c>
      <c r="CU162" s="340" t="str">
        <f aca="false">IF(A162="N/A"," ",IF(CC=2,(IF(OR(Dayrun=3,Dayrun=6,Dayrun=9),IF(AND(Dayrun&gt;=3,Dayrun&lt;=6),O162,(VLOOKUP(A162,ScaledPrice,7))*(2-(VLOOKUP(A162,ScaledPrice,3)))),0)-((IF(Y162&lt;&gt;0,$D162,$CL162)*$C162)+$F162+$G162)),0))</f>
        <v> </v>
      </c>
      <c r="CV162" s="340" t="str">
        <f aca="false">IF(A162="N/A"," ",IF(CC=2,(VLOOKUP(A162,ScaledPrice,9)-((IF(Z162&lt;&gt;0,$D162,$CL162)*$C162)+$F162+$G162)),0))</f>
        <v> </v>
      </c>
      <c r="CW162" s="318" t="str">
        <f aca="false">IF($A162="N/A"," ",IF(0&lt;&gt;CN162,IF(CC=2,8*$HD162,0),0))</f>
        <v> </v>
      </c>
      <c r="CX162" s="318" t="str">
        <f aca="false">IF($A162="N/A"," ",IF(0&lt;&gt;CO162,IF(CC=2,8*$HD162,0),0))</f>
        <v> </v>
      </c>
      <c r="CY162" s="318" t="str">
        <f aca="false">IF($A162="N/A"," ",IF(0&lt;&gt;CP162,IF(CC=2,8*$HD162,0),0))</f>
        <v> </v>
      </c>
      <c r="CZ162" s="318" t="str">
        <f aca="false">IF($A162="N/A"," ",IF(0&lt;&gt;CQ162,IF(CC=2,8*$HE162,0),0))</f>
        <v> </v>
      </c>
      <c r="DA162" s="318" t="str">
        <f aca="false">IF($A162="N/A"," ",IF(0&lt;&gt;CR162,IF(CC=2,8*$HE162,0),0))</f>
        <v> </v>
      </c>
      <c r="DB162" s="318" t="str">
        <f aca="false">IF($A162="N/A"," ",IF(0&lt;&gt;CS162,IF(CC=2,8*$HE162,0),0))</f>
        <v> </v>
      </c>
      <c r="DC162" s="318" t="str">
        <f aca="false">IF($A162="N/A"," ",IF(0&lt;&gt;CT162,IF(CC=2,8*$HF162,0),0))</f>
        <v> </v>
      </c>
      <c r="DD162" s="318" t="str">
        <f aca="false">IF($A162="N/A"," ",IF(0&lt;&gt;CU162,IF(CC=2,8*$HF162,0),0))</f>
        <v> </v>
      </c>
      <c r="DE162" s="318" t="str">
        <f aca="false">IF($A162="N/A"," ",IF(0&lt;&gt;CV162,IF(CC=2,8*$HF162,0),0))</f>
        <v> </v>
      </c>
      <c r="DF162" s="341" t="str">
        <f aca="false">IF($A162="N/A"," ",IF(CC=2,(IF(MONTH(A162)&gt;=4,IF(MONTH(A162)&lt;=10,Inputs!$G$13,Inputs!$G$14),Inputs!$G$14))*$CK162,0))</f>
        <v> </v>
      </c>
      <c r="DG162" s="342" t="str">
        <f aca="false">IF($A162="N/A"," ",IF(CC=2,$DF162*CW162*CN162,0))</f>
        <v> </v>
      </c>
      <c r="DH162" s="342" t="str">
        <f aca="false">IF($A162="N/A"," ",IF(CC=2,$DF162*CX162*CO162,0))</f>
        <v> </v>
      </c>
      <c r="DI162" s="342" t="str">
        <f aca="false">IF($A162="N/A"," ",IF(CC=2,$DF162*CY162*CP162,0))</f>
        <v> </v>
      </c>
      <c r="DJ162" s="342" t="str">
        <f aca="false">IF($A162="N/A"," ",IF(CC=2,$DF162*CZ162*CQ162,0))</f>
        <v> </v>
      </c>
      <c r="DK162" s="342" t="str">
        <f aca="false">IF($A162="N/A"," ",IF(CC=2,$DF162*DA162*CR162,0))</f>
        <v> </v>
      </c>
      <c r="DL162" s="342" t="str">
        <f aca="false">IF($A162="N/A"," ",IF(CC=2,$DF162*DB162*CS162,0))</f>
        <v> </v>
      </c>
      <c r="DM162" s="342" t="str">
        <f aca="false">IF($A162="N/A"," ",IF(CC=2,$DF162*DC162*CT162,0))</f>
        <v> </v>
      </c>
      <c r="DN162" s="342" t="str">
        <f aca="false">IF($A162="N/A"," ",IF(CC=2,$DF162*DD162*CU162,0))</f>
        <v> </v>
      </c>
      <c r="DO162" s="342" t="str">
        <f aca="false">IF($A162="N/A"," ",IF(CC=2,$DF162*DE162*CV162,0))</f>
        <v> </v>
      </c>
      <c r="DP162" s="343" t="str">
        <f aca="false">IF($A162="N/A"," ",IF(CC=2,SUM(DG162:DO162),0))</f>
        <v> </v>
      </c>
      <c r="DQ162" s="0" t="str">
        <f aca="false">IF(A162="N/A"," ",Perstart)</f>
        <v> </v>
      </c>
      <c r="HD162" s="0" t="str">
        <f aca="false">IF($A162="N/A"," ",VLOOKUP($A162,NumberofDaysTable,2))</f>
        <v> </v>
      </c>
      <c r="HE162" s="0" t="str">
        <f aca="false">IF($A162="N/A"," ",VLOOKUP($A162,NumberofDaysTable,3))</f>
        <v> </v>
      </c>
      <c r="HF162" s="0" t="str">
        <f aca="false">IF($A162="N/A"," ",VLOOKUP($A162,NumberofDaysTable,4))</f>
        <v> </v>
      </c>
    </row>
    <row r="163" customFormat="false" ht="12.75" hidden="false" customHeight="false" outlineLevel="0" collapsed="false">
      <c r="A163" s="308" t="str">
        <f aca="false">IF(A162="N/A","N/A",IF(EDATE(A162,1)&gt;Inputs!$K$3,"N/A",EDATE(A162,1)))</f>
        <v>N/A</v>
      </c>
      <c r="B163" s="309" t="str">
        <f aca="false">IF(A163="N/A"," ",YEAR(A163))</f>
        <v> </v>
      </c>
      <c r="C163" s="310" t="str">
        <f aca="false">IF(A163="N/A"," ",VLOOKUP(A163,ScaledPrice,10))</f>
        <v> </v>
      </c>
      <c r="D163" s="311" t="str">
        <f aca="false">IF(A163="N/A"," ",(VLOOKUP(MONTH($A163),Hrtable,2))/1000)</f>
        <v> </v>
      </c>
      <c r="E163" s="312" t="str">
        <f aca="false">IF($A163="N/A"," ",(C163-'Pricing Inputs'!T196)*D163)</f>
        <v> </v>
      </c>
      <c r="F163" s="313" t="str">
        <f aca="false">IF(A163="N/A"," ",$F151*(1+VOMesc))</f>
        <v> </v>
      </c>
      <c r="G163" s="313" t="str">
        <f aca="false">IF(A163="N/A"," ",Perstart/IF(AND(Dayrun&gt;=4,Dayrun&lt;=6),16,IF(AND(Dayrun&gt;=7,Dayrun&lt;=9),8,24))/(BM163/CK163))</f>
        <v> </v>
      </c>
      <c r="H163" s="314" t="str">
        <f aca="false">IF(A163="N/A"," ",(C163*D163)+F163+G163)</f>
        <v> </v>
      </c>
      <c r="I163" s="315" t="str">
        <f aca="false">VLOOKUP(A163,ScaledPrice,(IF(AND(Dayrun&gt;=1,Dayrun&lt;=6),2,4)))</f>
        <v> </v>
      </c>
      <c r="J163" s="315" t="str">
        <f aca="false">IF(A163="N/A"," ",IF(AND(Dayrun&gt;=1,Dayrun&lt;=6),I163,(VLOOKUP(A163,ScaledPrice,2))*(2-(VLOOKUP(A163,ScaledPrice,3)))))</f>
        <v> </v>
      </c>
      <c r="K163" s="315" t="str">
        <f aca="false">IF(A163="N/A"," ",IF(AND(Dayrun&gt;=1,Dayrun&lt;=3),VLOOKUP(A163,ScaledPrice,9),0))</f>
        <v> </v>
      </c>
      <c r="L163" s="315" t="str">
        <f aca="false">IF(A163="N/A"," ",IF(OR(Dayrun=2,Dayrun=3,Dayrun=5,Dayrun=6,Dayrun=8,Dayrun=9),VLOOKUP(A163,ScaledPrice,IF(AND(Dayrun&gt;=2,Dayrun&lt;=6),5,6)),0))</f>
        <v> </v>
      </c>
      <c r="M163" s="315" t="str">
        <f aca="false">IF(A163="N/A"," ",IF(OR(Dayrun=2,Dayrun=3,Dayrun=5,Dayrun=6,Dayrun=8,Dayrun=9),IF(AND(Dayrun&gt;=2,Dayrun&lt;=6),L163,(VLOOKUP(A163,ScaledPrice,5))*(2-(VLOOKUP(A163,ScaledPrice,3)))),0))</f>
        <v> </v>
      </c>
      <c r="N163" s="315" t="str">
        <f aca="false">IF(A163="N/A"," ",IF(AND(Dayrun&gt;1,Dayrun&lt;=3),VLOOKUP(A163,ScaledPrice,9),0))</f>
        <v> </v>
      </c>
      <c r="O163" s="315" t="str">
        <f aca="false">IF(A163="N/A"," ",IF(OR(Dayrun=3,Dayrun=6,Dayrun=9),(VLOOKUP(A163,ScaledPrice,IF(AND(Dayrun&gt;=3,Dayrun&lt;=6),7,8))),0))</f>
        <v> </v>
      </c>
      <c r="P163" s="315" t="str">
        <f aca="false">IF(A163="N/A"," ",IF(OR(Dayrun=3,Dayrun=6,Dayrun=9),IF(AND(Dayrun&gt;=3,Dayrun&lt;=6),O163,(VLOOKUP(A163,ScaledPrice,7))*(2-(VLOOKUP(A163,ScaledPrice,3)))),0))</f>
        <v> </v>
      </c>
      <c r="Q163" s="315" t="str">
        <f aca="false">IF(A163="N/A"," ",IF(AND(Dayrun&gt;2,Dayrun&lt;=3),VLOOKUP(A163,ScaledPrice,9),0))</f>
        <v> </v>
      </c>
      <c r="R163" s="316" t="str">
        <f aca="false">IF($A163="N/A"," ",IF(Pricetype=2,MAX(I163-$H163,0),IF(Pricetype=1,(xSPRDOPT(I163,$E163,$CI163,0,($CD163+IF(Smile=TRUE(),VLOOKUP(MAX(-5,$H163-I163),Volsmile,2),0)),$CG163,$CH163,($A163-DateToday)+15,1,0)),I163-$H163)))</f>
        <v> </v>
      </c>
      <c r="S163" s="316" t="str">
        <f aca="false">IF($A163="N/A"," ",IF(Pricetype=2,MAX(J163-$H163,0),IF(Pricetype=1,(xSPRDOPT(J163,$E163,$CI163,0,($CD163+IF(Smile=TRUE(),VLOOKUP(MAX(-5,$H163-J163),Volsmile,2),0)),$CG163,$CH163,($A163-DateToday)+15,1,0)),J163-$H163)))</f>
        <v> </v>
      </c>
      <c r="T163" s="317" t="str">
        <f aca="false">IF($A163="N/A"," ",(IF(Pricetype=2,IF((K163-$H163)&lt;=0,0,(K163-$H163)),IF(K163&lt;&gt;0,(K163-$H163),0))))</f>
        <v> </v>
      </c>
      <c r="U163" s="316" t="str">
        <f aca="false">IF($A163="N/A"," ",IF(Pricetype=2,MAX(L163-$H163,0),IF(L163&lt;&gt;0,IF(Pricetype=1,(xSPRDOPT(L163,$E163,$CI163,0,($CD163+IF(Smile=TRUE(),VLOOKUP(MAX(-5,$H163-L163),Volsmile,2),0)),$CG163,$CH163,($A163-DateToday)+15,1,0)),L163-$H163),0)))</f>
        <v> </v>
      </c>
      <c r="V163" s="316" t="str">
        <f aca="false">IF($A163="N/A"," ",IF(Pricetype=2,MAX(M163-$H163,0),IF(M163&lt;&gt;0,IF(Pricetype=1,(xSPRDOPT(M163,$E163,$CI163,0,($CD163+IF(Smile=TRUE(),VLOOKUP(MAX(-5,$H163-M163),Volsmile,2),0)),$CG163,$CH163,($A163-DateToday)+15,1,0)),M163-$H163),0)))</f>
        <v> </v>
      </c>
      <c r="W163" s="317" t="str">
        <f aca="false">IF($A163="N/A"," ",(IF(Pricetype=2,IF((N163-$H163)&lt;=0,0,(N163-$H163)),IF(N163&lt;&gt;0,(N163-$H163),0))))</f>
        <v> </v>
      </c>
      <c r="X163" s="316" t="str">
        <f aca="false">IF($A163="N/A"," ",IF(Pricetype=2,MAX(O163-$H163,0),IF(O163&lt;&gt;0,IF(Pricetype=1,(xSPRDOPT(O163,$E163,$CI163,0,($CD163+IF(Smile=TRUE(),VLOOKUP(MAX(-5,$H163-O163),Volsmile,2),0)),$CG163,$CH163,($A163-DateToday)+15,1,0)),O163-$H163),0)))</f>
        <v> </v>
      </c>
      <c r="Y163" s="316" t="str">
        <f aca="false">IF($A163="N/A"," ",IF(Pricetype=2,MAX(P163-$H163,0),IF(P163&lt;&gt;0,IF(Pricetype=1,(xSPRDOPT(P163,$E163,$CI163,0,($CD163+IF(Smile=TRUE(),VLOOKUP(MAX(-5,$H163-P163),Volsmile,2),0)),$CG163,$CH163,($A163-DateToday)+15,1,0)),P163-$H163),0)))</f>
        <v> </v>
      </c>
      <c r="Z163" s="317" t="str">
        <f aca="false">IF($A163="N/A"," ",(IF(Pricetype=2,IF((Q163-$H163)&lt;=0,0,(Q163-$H163)),IF(Q163&lt;&gt;0,(Q163-$H163),0))))</f>
        <v> </v>
      </c>
      <c r="AA163" s="318" t="str">
        <f aca="false">IF($A163="N/A"," ",IF(VLOOKUP(MONTH(A163),ManualTable,2)=1,(IF(0&lt;&gt;R163,IF(Pricetype=1,(xSPRDOPT(I163,$E163,$CI163,0,($CD163+IF(Smile=TRUE(),VLOOKUP(MAX(-5,$H163-I163),Volsmile,2),0)),$CG163,$CH163,($A163-DateToday)+15,1,1))*(8*$HD163),8*$HD163),0)),0))</f>
        <v> </v>
      </c>
      <c r="AB163" s="318" t="str">
        <f aca="false">IF($A163="N/A"," ",IF(VLOOKUP(MONTH(A163),ManualTable,3)=1,(IF(S163&lt;&gt;0,IF(Pricetype=1,(xSPRDOPT(J163,$E163,$CI163,0,($CD163+IF(Smile=TRUE(),VLOOKUP(MAX(-5,$H163-J163),Volsmile,2),0)),$CG163,$CH163,($A163-DateToday)+15,1,1))*(8*$HD163),8*$HD163),0)),0))</f>
        <v> </v>
      </c>
      <c r="AC163" s="318" t="str">
        <f aca="false">IF($A163="N/A"," ",IF(VLOOKUP(MONTH(A163),ManualTable,4)=1,(IF(T163&lt;&gt;0,(8*$HD163),0)),0))</f>
        <v> </v>
      </c>
      <c r="AD163" s="318" t="str">
        <f aca="false">IF($A163="N/A"," ",IF(VLOOKUP(MONTH(A163),ManualTable,5)=1,(IF(U163&lt;&gt;0,IF(Pricetype=1,(xSPRDOPT(L163,$E163,$CI163,0,($CD163+IF(Smile=TRUE(),VLOOKUP(MAX(-5,$H163-L163),Volsmile,2),0)),$CG163,$CH163,($A163-DateToday)+15,1,1))*(8*$HE163),8*$HE163),0)),0))</f>
        <v> </v>
      </c>
      <c r="AE163" s="318" t="str">
        <f aca="false">IF($A163="N/A"," ",IF(VLOOKUP(MONTH(A163),ManualTable,6)=1,(IF(V163&lt;&gt;0,IF(Pricetype=1,(xSPRDOPT(M163,$E163,$CI163,0,($CD163+IF(Smile=TRUE(),VLOOKUP(MAX(-5,$H163-M163),Volsmile,2),0)),$CG163,$CH163,($A163-DateToday)+15,1,1))*(8*$HE163),8*$HE163),0)),0))</f>
        <v> </v>
      </c>
      <c r="AF163" s="318" t="str">
        <f aca="false">IF($A163="N/A"," ",IF(VLOOKUP(MONTH(A163),ManualTable,7)=1,(IF(W163&lt;&gt;0,(8*$HE163),0)),0))</f>
        <v> </v>
      </c>
      <c r="AG163" s="318" t="str">
        <f aca="false">IF($A163="N/A"," ",IF(VLOOKUP(MONTH(A163),ManualTable,8)=1,(IF(X163&lt;&gt;0,IF(Pricetype=1,(xSPRDOPT(O163,$E163,$CI163,0,($CD163+IF(Smile=TRUE(),VLOOKUP(MAX(-5,$H163-O163),Volsmile,2),0)),$CG163,$CH163,($A163-DateToday)+15,1,1))*(8*$HF163),8*$HF163),0)),0))</f>
        <v> </v>
      </c>
      <c r="AH163" s="318" t="str">
        <f aca="false">IF($A163="N/A"," ",IF(VLOOKUP(MONTH(A163),ManualTable,9)=1,(IF(Y163&lt;&gt;0,IF(Pricetype=1,(xSPRDOPT(P163,$E163,$CI163,0,($CD163+IF(Smile=TRUE(),VLOOKUP(MAX(-5,$H163-P163),Volsmile,2),0)),$CG163,$CH163,($A163-DateToday)+15,1,1))*(8*$HF163),8*$HF163),0)),0))</f>
        <v> </v>
      </c>
      <c r="AI163" s="318" t="str">
        <f aca="false">IF($A163="N/A"," ",IF(VLOOKUP(MONTH(A163),ManualTable,10)=1,(IF(Z163&lt;&gt;0,(8*($HF163)),0)),0))</f>
        <v> </v>
      </c>
      <c r="AJ163" s="344" t="str">
        <f aca="false">IF($A163="N/A"," ",RANK(R163,$R$160:$Z$171))</f>
        <v> </v>
      </c>
      <c r="AK163" s="321" t="str">
        <f aca="false">IF($A163="N/A"," ",RANK(S163,$R$160:$Z$171))</f>
        <v> </v>
      </c>
      <c r="AL163" s="321" t="str">
        <f aca="false">IF($A163="N/A"," ",RANK(T163,$R$160:$Z$171))</f>
        <v> </v>
      </c>
      <c r="AM163" s="321" t="str">
        <f aca="false">IF($A163="N/A"," ",RANK(U163,$R$160:$Z$171))</f>
        <v> </v>
      </c>
      <c r="AN163" s="321" t="str">
        <f aca="false">IF($A163="N/A"," ",RANK(V163,$R$160:$Z$171))</f>
        <v> </v>
      </c>
      <c r="AO163" s="321" t="str">
        <f aca="false">IF($A163="N/A"," ",RANK(W163,$R$160:$Z$171))</f>
        <v> </v>
      </c>
      <c r="AP163" s="321" t="str">
        <f aca="false">IF($A163="N/A"," ",RANK(X163,$R$160:$Z$171))</f>
        <v> </v>
      </c>
      <c r="AQ163" s="321" t="str">
        <f aca="false">IF($A163="N/A"," ",RANK(Y163,$R$160:$Z$171))</f>
        <v> </v>
      </c>
      <c r="AR163" s="345" t="str">
        <f aca="false">IF($A163="N/A"," ",RANK(Z163,$R$160:$Z$171))</f>
        <v> </v>
      </c>
      <c r="AS163" s="323" t="str">
        <f aca="false">IF($A163="N/A"," ",IF(AJ163&lt;=$AR$2,AA163,0))</f>
        <v> </v>
      </c>
      <c r="AT163" s="325" t="str">
        <f aca="false">IF($A163="N/A"," ",IF(AK163&lt;=$AR$2,AB163,0))</f>
        <v> </v>
      </c>
      <c r="AU163" s="325" t="str">
        <f aca="false">IF($A163="N/A"," ",IF(AL163&lt;=$AR$2,AC163,0))</f>
        <v> </v>
      </c>
      <c r="AV163" s="325" t="str">
        <f aca="false">IF($A163="N/A"," ",IF(AM163&lt;=$AR$2,AD163,0))</f>
        <v> </v>
      </c>
      <c r="AW163" s="325" t="str">
        <f aca="false">IF($A163="N/A"," ",IF(AN163&lt;=$AR$2,AE163,0))</f>
        <v> </v>
      </c>
      <c r="AX163" s="325" t="str">
        <f aca="false">IF($A163="N/A"," ",IF(AO163&lt;=$AR$2,AF163,0))</f>
        <v> </v>
      </c>
      <c r="AY163" s="325" t="str">
        <f aca="false">IF($A163="N/A"," ",IF(AP163&lt;=$AR$2,AG163,0))</f>
        <v> </v>
      </c>
      <c r="AZ163" s="325" t="str">
        <f aca="false">IF($A163="N/A"," ",IF(AQ163&lt;=$AR$2,AH163,0))</f>
        <v> </v>
      </c>
      <c r="BA163" s="325" t="str">
        <f aca="false">IF($A163="N/A"," ",IF(AR163&lt;=$AR$2,AI163,0))</f>
        <v> </v>
      </c>
      <c r="BB163" s="345"/>
      <c r="BC163" s="326" t="str">
        <f aca="false">IF($A163="N/A"," ",IF(AND(AJ163=$AR$2+1,AS163=0),MIN($BB$171,AA163),0))</f>
        <v> </v>
      </c>
      <c r="BD163" s="346" t="str">
        <f aca="false">IF($A163="N/A"," ",IF(AND(AK163=$AR$2+1,AT163=0),MIN($BB$171,AB163),0))</f>
        <v> </v>
      </c>
      <c r="BE163" s="346" t="str">
        <f aca="false">IF($A163="N/A"," ",IF(AND(AL163=$AR$2+1,AU163=0),MIN($BB$171,AC163),0))</f>
        <v> </v>
      </c>
      <c r="BF163" s="346" t="str">
        <f aca="false">IF($A163="N/A"," ",IF(AND(AM163=$AR$2+1,AV163=0),MIN($BB$171,AD163),0))</f>
        <v> </v>
      </c>
      <c r="BG163" s="346" t="str">
        <f aca="false">IF($A163="N/A"," ",IF(AND(AN163=$AR$2+1,AW163=0),MIN($BB$171,AE163),0))</f>
        <v> </v>
      </c>
      <c r="BH163" s="346" t="str">
        <f aca="false">IF($A163="N/A"," ",IF(AND(AO163=$AR$2+1,AX163=0),MIN($BB$171,AF163),0))</f>
        <v> </v>
      </c>
      <c r="BI163" s="346" t="str">
        <f aca="false">IF($A163="N/A"," ",IF(AND(AP163=$AR$2+1,AY163=0),MIN($BB$171,AG163),0))</f>
        <v> </v>
      </c>
      <c r="BJ163" s="346" t="str">
        <f aca="false">IF($A163="N/A"," ",IF(AND(AQ163=$AR$2+1,AZ163=0),MIN($BB$171,AH163),0))</f>
        <v> </v>
      </c>
      <c r="BK163" s="346" t="str">
        <f aca="false">IF($A163="N/A"," ",IF(AND(AR163=$AR$2+1,BA163=0),MIN($BB$171,AI163),0))</f>
        <v> </v>
      </c>
      <c r="BL163" s="345"/>
      <c r="BM163" s="329" t="str">
        <f aca="false">IF($A163="N/A"," ",(IF(MONTH(A163)&gt;=4,IF(MONTH(A163)&lt;=10,Inputs!$F$13-Inputs!$G$13,Inputs!$F$14-Inputs!$G$14),Inputs!$F$14-Inputs!$G$14))*$CK163*Availability)</f>
        <v> </v>
      </c>
      <c r="BN163" s="330" t="str">
        <f aca="false">IF($A163="N/A"," ",(IF(AS163&gt;0,($BM163*(8*($HD163))*R163),0)+IF(BC163&gt;0,($BM163*((BC163/AA163)*8*$HD163)*R163),0)))</f>
        <v> </v>
      </c>
      <c r="BO163" s="330" t="str">
        <f aca="false">IF($A163="N/A"," ",(IF(AT163&gt;0,($BM163*(8*($HD163))*S163),0)+IF(BD163&gt;0,($BM163*((BD163/AB163)*8*$HD163)*S163),0)))</f>
        <v> </v>
      </c>
      <c r="BP163" s="330" t="str">
        <f aca="false">IF($A163="N/A"," ",(IF(AU163&gt;0,($BM163*(8*($HD163))*T163),0)+IF(BE163&gt;0,($BM163*((BE163))*T163),0)))</f>
        <v> </v>
      </c>
      <c r="BQ163" s="330" t="str">
        <f aca="false">IF($A163="N/A"," ",(IF(AV163&gt;0,($BM163*(8*($HE163))*U163),0)+IF(BF163&gt;0,($BM163*((BF163/AD163)*8*$HE163)*U163),0)))</f>
        <v> </v>
      </c>
      <c r="BR163" s="330" t="str">
        <f aca="false">IF($A163="N/A"," ",(IF(AW163&gt;0,($BM163*(8*($HE163))*V163),0)+IF(BG163&gt;0,($BM163*((BG163/AE163)*8*$HE163)*V163),0)))</f>
        <v> </v>
      </c>
      <c r="BS163" s="330" t="str">
        <f aca="false">IF($A163="N/A"," ",(IF(AX163&gt;0,($BM163*(8*($HE163))*W163),0)+IF(BH163&gt;0,($BM163*((BH163))*W163),0)))</f>
        <v> </v>
      </c>
      <c r="BT163" s="330" t="str">
        <f aca="false">IF($A163="N/A"," ",(IF(AY163&gt;0,($BM163*(8*($HF163))*X163),0)+IF(BI163&gt;0,($BM163*((BI163/AG163)*8*$HF163)*X163),0)))</f>
        <v> </v>
      </c>
      <c r="BU163" s="330" t="str">
        <f aca="false">IF($A163="N/A"," ",(IF(AZ163&gt;0,($BM163*(8*($HF163))*Y163),0)+IF(BJ163&gt;0,($BM163*((BJ163/AH163)*8*$HF163)*Y163),0)))</f>
        <v> </v>
      </c>
      <c r="BV163" s="330" t="str">
        <f aca="false">IF($A163="N/A"," ",(IF(BA163&gt;0,($BM163*(8*($HF163))*Z163),0)+IF(BK163&gt;0,($BM163*((BK163))*Z163),0)))</f>
        <v> </v>
      </c>
      <c r="BW163" s="330" t="str">
        <f aca="false">IF($A163="N/A"," ",SUM(BN163:BV163))</f>
        <v> </v>
      </c>
      <c r="BX163" s="331" t="str">
        <f aca="false">IF($A163="N/A"," ",(H163*(SUM(AS163:BA163)+SUM(BC163:BK163))*BM163))</f>
        <v> </v>
      </c>
      <c r="BY163" s="332" t="str">
        <f aca="false">IF($A163="N/A"," ",((C163*D163)*(SUM($AS163:$BA163)+SUM($BC163:$BK163))*$BM163))</f>
        <v> </v>
      </c>
      <c r="BZ163" s="332" t="str">
        <f aca="false">IF($A163="N/A"," ",(F163*(SUM($AS163:$BA163)+SUM($BC163:$BK163))*$BM163))</f>
        <v> </v>
      </c>
      <c r="CA163" s="333" t="str">
        <f aca="false">IF($A163="N/A"," ",(G163*(SUM($AS163:$BA163)+SUM($BC163:$BK163))*$BM163))</f>
        <v> </v>
      </c>
      <c r="CB163" s="334" t="str">
        <f aca="false">IF(A163="N/A"," ",(VLOOKUP(A163,PowerVolTable,(IF(BMO=2,7,IF(BMO=1,6,8))),FALSE())))</f>
        <v> </v>
      </c>
      <c r="CC163" s="334" t="str">
        <f aca="false">IF(A163="N/A"," ",(VLOOKUP(A163,IntraPowerVol,(IF(BMO=2,3,IF(BMO=1,2,4))),FALSE())*VLOOKUP(MONTH($A163),Volscale,2)))</f>
        <v> </v>
      </c>
      <c r="CD163" s="335" t="str">
        <f aca="false">IF($A163="N/A"," ",(IF(DateToday&gt;$A163,$CC163,((($CB163^2)*((($A163-1)-DateToday)/((EOMONTH($A163,0)+1)-DateToday-15)))+((($CC163)^2)*((15)/((EOMONTH($A163,0)+1)-DateToday-15))))^0.5)))</f>
        <v> </v>
      </c>
      <c r="CE163" s="334" t="str">
        <f aca="false">IF($A163="N/A"," ",(VLOOKUP($A163,GasVolTable,(IF(BMO=2,6,IF(BMO=1,7,5))),FALSE())))</f>
        <v> </v>
      </c>
      <c r="CF163" s="334" t="str">
        <f aca="false">IF($A163="N/A"," ",(VLOOKUP($A163,OmicronVol,(IF(BMO=2,3,IF(BMO=1,4,2))),FALSE())))</f>
        <v> </v>
      </c>
      <c r="CG163" s="335" t="str">
        <f aca="false">IF($A163="N/A"," ",(IF(DateToday&gt;$A163,$CF163,((($CE163^2)*((($A163-1)-DateToday)/((EOMONTH($A163,0)+1)-DateToday-15)))+((($CF163)^2)*((15)/((EOMONTH($A163,0)+1)-DateToday-15))))^0.5)))</f>
        <v> </v>
      </c>
      <c r="CH163" s="334" t="str">
        <f aca="false">IF($A163="N/A"," ",VLOOKUP($A163,CorrelationTable,2,FALSE()))</f>
        <v> </v>
      </c>
      <c r="CI163" s="336" t="str">
        <f aca="false">IF($A163="N/A"," ",F163+G163+(D163*('Pricing Inputs'!T196)))</f>
        <v> </v>
      </c>
      <c r="CJ163" s="334" t="str">
        <f aca="false">IF($A163="N/A"," ",IF(PV=1,0,'Pricing Inputs'!U196))</f>
        <v> </v>
      </c>
      <c r="CK163" s="337" t="str">
        <f aca="false">IF($A163="N/A"," ",(1+CJ163/2)^(-2*((EOMONTH(A163,0)+20)-DateToday)/365.25))</f>
        <v> </v>
      </c>
      <c r="CL163" s="338" t="str">
        <f aca="false">IF(A163="N/A"," ",IF(CC=2,(VLOOKUP(MONTH($A163),Hrtable,3))/1000,0))</f>
        <v> </v>
      </c>
      <c r="CM163" s="339" t="str">
        <f aca="false">IF(A163="N/A"," ",IF(CC=2,(CL163*C163)+F163,0))</f>
        <v> </v>
      </c>
      <c r="CN163" s="340" t="str">
        <f aca="false">IF($A163="N/A"," ",IF(CC=2,(VLOOKUP(A163,ScaledPrice,(IF(AND(Dayrun&gt;=1,Dayrun&lt;=6),2,4)))-((IF(R163&lt;&gt;0,$D163,$CL163)*$C163)+$F163+$G163)),0))</f>
        <v> </v>
      </c>
      <c r="CO163" s="340" t="str">
        <f aca="false">IF($A163="N/A"," ",IF(CC=2,(IF(AND(Dayrun&gt;=1,Dayrun&lt;=6),I163,(VLOOKUP(A163,ScaledPrice,2))*(2-(VLOOKUP(A163,ScaledPrice,3))))-((IF(S163&lt;&gt;0,$D163,$CL163)*$C163)+$F163+$G163)),0))</f>
        <v> </v>
      </c>
      <c r="CP163" s="340" t="str">
        <f aca="false">IF(A163="N/A"," ",IF(CC=2,(VLOOKUP(A163,ScaledPrice,9)-((IF(T163&lt;&gt;0,$D163,$CL163)*$C163)+$F163+$G163)),0))</f>
        <v> </v>
      </c>
      <c r="CQ163" s="340" t="str">
        <f aca="false">IF(A163="N/A"," ",IF(CC=2,(IF(OR(Dayrun=2,Dayrun=3,Dayrun=5,Dayrun=6,Dayrun=8,Dayrun=9),VLOOKUP(A163,ScaledPrice,IF(AND(Dayrun&gt;=2,Dayrun&lt;=6),5,6)),0)-((IF(U163&lt;&gt;0,$D163,$CL163)*$C163)+$F163+$G163)),0))</f>
        <v> </v>
      </c>
      <c r="CR163" s="340" t="str">
        <f aca="false">IF(A163="N/A"," ",IF(CC=2,(IF(OR(Dayrun=2,Dayrun=3,Dayrun=5,Dayrun=6,Dayrun=8,Dayrun=9),IF(AND(Dayrun&gt;=2,Dayrun&lt;=6),L163,(VLOOKUP(A163,ScaledPrice,5))*(2-(VLOOKUP(A163,ScaledPrice,3)))),0)-((IF(V163&lt;&gt;0,$D163,$CL163)*$C163)+$F163+$G163)),0))</f>
        <v> </v>
      </c>
      <c r="CS163" s="340" t="str">
        <f aca="false">IF(A163="N/A"," ",IF(CC=2,(VLOOKUP(A163,ScaledPrice,9)-((IF(W163&lt;&gt;0,$D163,$CL163)*$C163)+$F163+$G163)),0))</f>
        <v> </v>
      </c>
      <c r="CT163" s="340" t="str">
        <f aca="false">IF(A163="N/A"," ",IF(CC=2,(IF(OR(Dayrun=3,Dayrun=6,Dayrun=9),(VLOOKUP(A163,ScaledPrice,IF(AND(Dayrun&gt;=3,Dayrun&lt;=6),7,8))),0)-((IF(X163&lt;&gt;0,$D163,$CL163)*$C163)+$F163+$G163)),0))</f>
        <v> </v>
      </c>
      <c r="CU163" s="340" t="str">
        <f aca="false">IF(A163="N/A"," ",IF(CC=2,(IF(OR(Dayrun=3,Dayrun=6,Dayrun=9),IF(AND(Dayrun&gt;=3,Dayrun&lt;=6),O163,(VLOOKUP(A163,ScaledPrice,7))*(2-(VLOOKUP(A163,ScaledPrice,3)))),0)-((IF(Y163&lt;&gt;0,$D163,$CL163)*$C163)+$F163+$G163)),0))</f>
        <v> </v>
      </c>
      <c r="CV163" s="340" t="str">
        <f aca="false">IF(A163="N/A"," ",IF(CC=2,(VLOOKUP(A163,ScaledPrice,9)-((IF(Z163&lt;&gt;0,$D163,$CL163)*$C163)+$F163+$G163)),0))</f>
        <v> </v>
      </c>
      <c r="CW163" s="318" t="str">
        <f aca="false">IF($A163="N/A"," ",IF(0&lt;&gt;CN163,IF(CC=2,8*$HD163,0),0))</f>
        <v> </v>
      </c>
      <c r="CX163" s="318" t="str">
        <f aca="false">IF($A163="N/A"," ",IF(0&lt;&gt;CO163,IF(CC=2,8*$HD163,0),0))</f>
        <v> </v>
      </c>
      <c r="CY163" s="318" t="str">
        <f aca="false">IF($A163="N/A"," ",IF(0&lt;&gt;CP163,IF(CC=2,8*$HD163,0),0))</f>
        <v> </v>
      </c>
      <c r="CZ163" s="318" t="str">
        <f aca="false">IF($A163="N/A"," ",IF(0&lt;&gt;CQ163,IF(CC=2,8*$HE163,0),0))</f>
        <v> </v>
      </c>
      <c r="DA163" s="318" t="str">
        <f aca="false">IF($A163="N/A"," ",IF(0&lt;&gt;CR163,IF(CC=2,8*$HE163,0),0))</f>
        <v> </v>
      </c>
      <c r="DB163" s="318" t="str">
        <f aca="false">IF($A163="N/A"," ",IF(0&lt;&gt;CS163,IF(CC=2,8*$HE163,0),0))</f>
        <v> </v>
      </c>
      <c r="DC163" s="318" t="str">
        <f aca="false">IF($A163="N/A"," ",IF(0&lt;&gt;CT163,IF(CC=2,8*$HF163,0),0))</f>
        <v> </v>
      </c>
      <c r="DD163" s="318" t="str">
        <f aca="false">IF($A163="N/A"," ",IF(0&lt;&gt;CU163,IF(CC=2,8*$HF163,0),0))</f>
        <v> </v>
      </c>
      <c r="DE163" s="318" t="str">
        <f aca="false">IF($A163="N/A"," ",IF(0&lt;&gt;CV163,IF(CC=2,8*$HF163,0),0))</f>
        <v> </v>
      </c>
      <c r="DF163" s="341" t="str">
        <f aca="false">IF($A163="N/A"," ",IF(CC=2,(IF(MONTH(A163)&gt;=4,IF(MONTH(A163)&lt;=10,Inputs!$G$13,Inputs!$G$14),Inputs!$G$14))*$CK163,0))</f>
        <v> </v>
      </c>
      <c r="DG163" s="342" t="str">
        <f aca="false">IF($A163="N/A"," ",IF(CC=2,$DF163*CW163*CN163,0))</f>
        <v> </v>
      </c>
      <c r="DH163" s="342" t="str">
        <f aca="false">IF($A163="N/A"," ",IF(CC=2,$DF163*CX163*CO163,0))</f>
        <v> </v>
      </c>
      <c r="DI163" s="342" t="str">
        <f aca="false">IF($A163="N/A"," ",IF(CC=2,$DF163*CY163*CP163,0))</f>
        <v> </v>
      </c>
      <c r="DJ163" s="342" t="str">
        <f aca="false">IF($A163="N/A"," ",IF(CC=2,$DF163*CZ163*CQ163,0))</f>
        <v> </v>
      </c>
      <c r="DK163" s="342" t="str">
        <f aca="false">IF($A163="N/A"," ",IF(CC=2,$DF163*DA163*CR163,0))</f>
        <v> </v>
      </c>
      <c r="DL163" s="342" t="str">
        <f aca="false">IF($A163="N/A"," ",IF(CC=2,$DF163*DB163*CS163,0))</f>
        <v> </v>
      </c>
      <c r="DM163" s="342" t="str">
        <f aca="false">IF($A163="N/A"," ",IF(CC=2,$DF163*DC163*CT163,0))</f>
        <v> </v>
      </c>
      <c r="DN163" s="342" t="str">
        <f aca="false">IF($A163="N/A"," ",IF(CC=2,$DF163*DD163*CU163,0))</f>
        <v> </v>
      </c>
      <c r="DO163" s="342" t="str">
        <f aca="false">IF($A163="N/A"," ",IF(CC=2,$DF163*DE163*CV163,0))</f>
        <v> </v>
      </c>
      <c r="DP163" s="343" t="str">
        <f aca="false">IF($A163="N/A"," ",IF(CC=2,SUM(DG163:DO163),0))</f>
        <v> </v>
      </c>
      <c r="DQ163" s="0" t="str">
        <f aca="false">IF(A163="N/A"," ",Perstart)</f>
        <v> </v>
      </c>
      <c r="HD163" s="0" t="str">
        <f aca="false">IF($A163="N/A"," ",VLOOKUP($A163,NumberofDaysTable,2))</f>
        <v> </v>
      </c>
      <c r="HE163" s="0" t="str">
        <f aca="false">IF($A163="N/A"," ",VLOOKUP($A163,NumberofDaysTable,3))</f>
        <v> </v>
      </c>
      <c r="HF163" s="0" t="str">
        <f aca="false">IF($A163="N/A"," ",VLOOKUP($A163,NumberofDaysTable,4))</f>
        <v> </v>
      </c>
    </row>
    <row r="164" customFormat="false" ht="12.75" hidden="false" customHeight="false" outlineLevel="0" collapsed="false">
      <c r="A164" s="308" t="str">
        <f aca="false">IF(A163="N/A","N/A",IF(EDATE(A163,1)&gt;Inputs!$K$3,"N/A",EDATE(A163,1)))</f>
        <v>N/A</v>
      </c>
      <c r="B164" s="309" t="str">
        <f aca="false">IF(A164="N/A"," ",YEAR(A164))</f>
        <v> </v>
      </c>
      <c r="C164" s="310" t="str">
        <f aca="false">IF(A164="N/A"," ",VLOOKUP(A164,ScaledPrice,10))</f>
        <v> </v>
      </c>
      <c r="D164" s="311" t="str">
        <f aca="false">IF(A164="N/A"," ",(VLOOKUP(MONTH($A164),Hrtable,2))/1000)</f>
        <v> </v>
      </c>
      <c r="E164" s="312" t="str">
        <f aca="false">IF($A164="N/A"," ",(C164-'Pricing Inputs'!T197)*D164)</f>
        <v> </v>
      </c>
      <c r="F164" s="313" t="str">
        <f aca="false">IF(A164="N/A"," ",$F152*(1+VOMesc))</f>
        <v> </v>
      </c>
      <c r="G164" s="313" t="str">
        <f aca="false">IF(A164="N/A"," ",Perstart/IF(AND(Dayrun&gt;=4,Dayrun&lt;=6),16,IF(AND(Dayrun&gt;=7,Dayrun&lt;=9),8,24))/(BM164/CK164))</f>
        <v> </v>
      </c>
      <c r="H164" s="314" t="str">
        <f aca="false">IF(A164="N/A"," ",(C164*D164)+F164+G164)</f>
        <v> </v>
      </c>
      <c r="I164" s="315" t="str">
        <f aca="false">VLOOKUP(A164,ScaledPrice,(IF(AND(Dayrun&gt;=1,Dayrun&lt;=6),2,4)))</f>
        <v> </v>
      </c>
      <c r="J164" s="315" t="str">
        <f aca="false">IF(A164="N/A"," ",IF(AND(Dayrun&gt;=1,Dayrun&lt;=6),I164,(VLOOKUP(A164,ScaledPrice,2))*(2-(VLOOKUP(A164,ScaledPrice,3)))))</f>
        <v> </v>
      </c>
      <c r="K164" s="315" t="str">
        <f aca="false">IF(A164="N/A"," ",IF(AND(Dayrun&gt;=1,Dayrun&lt;=3),VLOOKUP(A164,ScaledPrice,9),0))</f>
        <v> </v>
      </c>
      <c r="L164" s="315" t="str">
        <f aca="false">IF(A164="N/A"," ",IF(OR(Dayrun=2,Dayrun=3,Dayrun=5,Dayrun=6,Dayrun=8,Dayrun=9),VLOOKUP(A164,ScaledPrice,IF(AND(Dayrun&gt;=2,Dayrun&lt;=6),5,6)),0))</f>
        <v> </v>
      </c>
      <c r="M164" s="315" t="str">
        <f aca="false">IF(A164="N/A"," ",IF(OR(Dayrun=2,Dayrun=3,Dayrun=5,Dayrun=6,Dayrun=8,Dayrun=9),IF(AND(Dayrun&gt;=2,Dayrun&lt;=6),L164,(VLOOKUP(A164,ScaledPrice,5))*(2-(VLOOKUP(A164,ScaledPrice,3)))),0))</f>
        <v> </v>
      </c>
      <c r="N164" s="315" t="str">
        <f aca="false">IF(A164="N/A"," ",IF(AND(Dayrun&gt;1,Dayrun&lt;=3),VLOOKUP(A164,ScaledPrice,9),0))</f>
        <v> </v>
      </c>
      <c r="O164" s="315" t="str">
        <f aca="false">IF(A164="N/A"," ",IF(OR(Dayrun=3,Dayrun=6,Dayrun=9),(VLOOKUP(A164,ScaledPrice,IF(AND(Dayrun&gt;=3,Dayrun&lt;=6),7,8))),0))</f>
        <v> </v>
      </c>
      <c r="P164" s="315" t="str">
        <f aca="false">IF(A164="N/A"," ",IF(OR(Dayrun=3,Dayrun=6,Dayrun=9),IF(AND(Dayrun&gt;=3,Dayrun&lt;=6),O164,(VLOOKUP(A164,ScaledPrice,7))*(2-(VLOOKUP(A164,ScaledPrice,3)))),0))</f>
        <v> </v>
      </c>
      <c r="Q164" s="315" t="str">
        <f aca="false">IF(A164="N/A"," ",IF(AND(Dayrun&gt;2,Dayrun&lt;=3),VLOOKUP(A164,ScaledPrice,9),0))</f>
        <v> </v>
      </c>
      <c r="R164" s="316" t="str">
        <f aca="false">IF($A164="N/A"," ",IF(Pricetype=2,MAX(I164-$H164,0),IF(Pricetype=1,(xSPRDOPT(I164,$E164,$CI164,0,($CD164+IF(Smile=TRUE(),VLOOKUP(MAX(-5,$H164-I164),Volsmile,2),0)),$CG164,$CH164,($A164-DateToday)+15,1,0)),I164-$H164)))</f>
        <v> </v>
      </c>
      <c r="S164" s="316" t="str">
        <f aca="false">IF($A164="N/A"," ",IF(Pricetype=2,MAX(J164-$H164,0),IF(Pricetype=1,(xSPRDOPT(J164,$E164,$CI164,0,($CD164+IF(Smile=TRUE(),VLOOKUP(MAX(-5,$H164-J164),Volsmile,2),0)),$CG164,$CH164,($A164-DateToday)+15,1,0)),J164-$H164)))</f>
        <v> </v>
      </c>
      <c r="T164" s="317" t="str">
        <f aca="false">IF($A164="N/A"," ",(IF(Pricetype=2,IF((K164-$H164)&lt;=0,0,(K164-$H164)),IF(K164&lt;&gt;0,(K164-$H164),0))))</f>
        <v> </v>
      </c>
      <c r="U164" s="316" t="str">
        <f aca="false">IF($A164="N/A"," ",IF(Pricetype=2,MAX(L164-$H164,0),IF(L164&lt;&gt;0,IF(Pricetype=1,(xSPRDOPT(L164,$E164,$CI164,0,($CD164+IF(Smile=TRUE(),VLOOKUP(MAX(-5,$H164-L164),Volsmile,2),0)),$CG164,$CH164,($A164-DateToday)+15,1,0)),L164-$H164),0)))</f>
        <v> </v>
      </c>
      <c r="V164" s="316" t="str">
        <f aca="false">IF($A164="N/A"," ",IF(Pricetype=2,MAX(M164-$H164,0),IF(M164&lt;&gt;0,IF(Pricetype=1,(xSPRDOPT(M164,$E164,$CI164,0,($CD164+IF(Smile=TRUE(),VLOOKUP(MAX(-5,$H164-M164),Volsmile,2),0)),$CG164,$CH164,($A164-DateToday)+15,1,0)),M164-$H164),0)))</f>
        <v> </v>
      </c>
      <c r="W164" s="317" t="str">
        <f aca="false">IF($A164="N/A"," ",(IF(Pricetype=2,IF((N164-$H164)&lt;=0,0,(N164-$H164)),IF(N164&lt;&gt;0,(N164-$H164),0))))</f>
        <v> </v>
      </c>
      <c r="X164" s="316" t="str">
        <f aca="false">IF($A164="N/A"," ",IF(Pricetype=2,MAX(O164-$H164,0),IF(O164&lt;&gt;0,IF(Pricetype=1,(xSPRDOPT(O164,$E164,$CI164,0,($CD164+IF(Smile=TRUE(),VLOOKUP(MAX(-5,$H164-O164),Volsmile,2),0)),$CG164,$CH164,($A164-DateToday)+15,1,0)),O164-$H164),0)))</f>
        <v> </v>
      </c>
      <c r="Y164" s="316" t="str">
        <f aca="false">IF($A164="N/A"," ",IF(Pricetype=2,MAX(P164-$H164,0),IF(P164&lt;&gt;0,IF(Pricetype=1,(xSPRDOPT(P164,$E164,$CI164,0,($CD164+IF(Smile=TRUE(),VLOOKUP(MAX(-5,$H164-P164),Volsmile,2),0)),$CG164,$CH164,($A164-DateToday)+15,1,0)),P164-$H164),0)))</f>
        <v> </v>
      </c>
      <c r="Z164" s="317" t="str">
        <f aca="false">IF($A164="N/A"," ",(IF(Pricetype=2,IF((Q164-$H164)&lt;=0,0,(Q164-$H164)),IF(Q164&lt;&gt;0,(Q164-$H164),0))))</f>
        <v> </v>
      </c>
      <c r="AA164" s="318" t="str">
        <f aca="false">IF($A164="N/A"," ",IF(VLOOKUP(MONTH(A164),ManualTable,2)=1,(IF(0&lt;&gt;R164,IF(Pricetype=1,(xSPRDOPT(I164,$E164,$CI164,0,($CD164+IF(Smile=TRUE(),VLOOKUP(MAX(-5,$H164-I164),Volsmile,2),0)),$CG164,$CH164,($A164-DateToday)+15,1,1))*(8*$HD164),8*$HD164),0)),0))</f>
        <v> </v>
      </c>
      <c r="AB164" s="318" t="str">
        <f aca="false">IF($A164="N/A"," ",IF(VLOOKUP(MONTH(A164),ManualTable,3)=1,(IF(S164&lt;&gt;0,IF(Pricetype=1,(xSPRDOPT(J164,$E164,$CI164,0,($CD164+IF(Smile=TRUE(),VLOOKUP(MAX(-5,$H164-J164),Volsmile,2),0)),$CG164,$CH164,($A164-DateToday)+15,1,1))*(8*$HD164),8*$HD164),0)),0))</f>
        <v> </v>
      </c>
      <c r="AC164" s="318" t="str">
        <f aca="false">IF($A164="N/A"," ",IF(VLOOKUP(MONTH(A164),ManualTable,4)=1,(IF(T164&lt;&gt;0,(8*$HD164),0)),0))</f>
        <v> </v>
      </c>
      <c r="AD164" s="318" t="str">
        <f aca="false">IF($A164="N/A"," ",IF(VLOOKUP(MONTH(A164),ManualTable,5)=1,(IF(U164&lt;&gt;0,IF(Pricetype=1,(xSPRDOPT(L164,$E164,$CI164,0,($CD164+IF(Smile=TRUE(),VLOOKUP(MAX(-5,$H164-L164),Volsmile,2),0)),$CG164,$CH164,($A164-DateToday)+15,1,1))*(8*$HE164),8*$HE164),0)),0))</f>
        <v> </v>
      </c>
      <c r="AE164" s="318" t="str">
        <f aca="false">IF($A164="N/A"," ",IF(VLOOKUP(MONTH(A164),ManualTable,6)=1,(IF(V164&lt;&gt;0,IF(Pricetype=1,(xSPRDOPT(M164,$E164,$CI164,0,($CD164+IF(Smile=TRUE(),VLOOKUP(MAX(-5,$H164-M164),Volsmile,2),0)),$CG164,$CH164,($A164-DateToday)+15,1,1))*(8*$HE164),8*$HE164),0)),0))</f>
        <v> </v>
      </c>
      <c r="AF164" s="318" t="str">
        <f aca="false">IF($A164="N/A"," ",IF(VLOOKUP(MONTH(A164),ManualTable,7)=1,(IF(W164&lt;&gt;0,(8*$HE164),0)),0))</f>
        <v> </v>
      </c>
      <c r="AG164" s="318" t="str">
        <f aca="false">IF($A164="N/A"," ",IF(VLOOKUP(MONTH(A164),ManualTable,8)=1,(IF(X164&lt;&gt;0,IF(Pricetype=1,(xSPRDOPT(O164,$E164,$CI164,0,($CD164+IF(Smile=TRUE(),VLOOKUP(MAX(-5,$H164-O164),Volsmile,2),0)),$CG164,$CH164,($A164-DateToday)+15,1,1))*(8*$HF164),8*$HF164),0)),0))</f>
        <v> </v>
      </c>
      <c r="AH164" s="318" t="str">
        <f aca="false">IF($A164="N/A"," ",IF(VLOOKUP(MONTH(A164),ManualTable,9)=1,(IF(Y164&lt;&gt;0,IF(Pricetype=1,(xSPRDOPT(P164,$E164,$CI164,0,($CD164+IF(Smile=TRUE(),VLOOKUP(MAX(-5,$H164-P164),Volsmile,2),0)),$CG164,$CH164,($A164-DateToday)+15,1,1))*(8*$HF164),8*$HF164),0)),0))</f>
        <v> </v>
      </c>
      <c r="AI164" s="318" t="str">
        <f aca="false">IF($A164="N/A"," ",IF(VLOOKUP(MONTH(A164),ManualTable,10)=1,(IF(Z164&lt;&gt;0,(8*($HF164)),0)),0))</f>
        <v> </v>
      </c>
      <c r="AJ164" s="344" t="str">
        <f aca="false">IF($A164="N/A"," ",RANK(R164,$R$160:$Z$171))</f>
        <v> </v>
      </c>
      <c r="AK164" s="321" t="str">
        <f aca="false">IF($A164="N/A"," ",RANK(S164,$R$160:$Z$171))</f>
        <v> </v>
      </c>
      <c r="AL164" s="321" t="str">
        <f aca="false">IF($A164="N/A"," ",RANK(T164,$R$160:$Z$171))</f>
        <v> </v>
      </c>
      <c r="AM164" s="321" t="str">
        <f aca="false">IF($A164="N/A"," ",RANK(U164,$R$160:$Z$171))</f>
        <v> </v>
      </c>
      <c r="AN164" s="321" t="str">
        <f aca="false">IF($A164="N/A"," ",RANK(V164,$R$160:$Z$171))</f>
        <v> </v>
      </c>
      <c r="AO164" s="321" t="str">
        <f aca="false">IF($A164="N/A"," ",RANK(W164,$R$160:$Z$171))</f>
        <v> </v>
      </c>
      <c r="AP164" s="321" t="str">
        <f aca="false">IF($A164="N/A"," ",RANK(X164,$R$160:$Z$171))</f>
        <v> </v>
      </c>
      <c r="AQ164" s="321" t="str">
        <f aca="false">IF($A164="N/A"," ",RANK(Y164,$R$160:$Z$171))</f>
        <v> </v>
      </c>
      <c r="AR164" s="345" t="str">
        <f aca="false">IF($A164="N/A"," ",RANK(Z164,$R$160:$Z$171))</f>
        <v> </v>
      </c>
      <c r="AS164" s="323" t="str">
        <f aca="false">IF($A164="N/A"," ",IF(AJ164&lt;=$AR$2,AA164,0))</f>
        <v> </v>
      </c>
      <c r="AT164" s="325" t="str">
        <f aca="false">IF($A164="N/A"," ",IF(AK164&lt;=$AR$2,AB164,0))</f>
        <v> </v>
      </c>
      <c r="AU164" s="325" t="str">
        <f aca="false">IF($A164="N/A"," ",IF(AL164&lt;=$AR$2,AC164,0))</f>
        <v> </v>
      </c>
      <c r="AV164" s="325" t="str">
        <f aca="false">IF($A164="N/A"," ",IF(AM164&lt;=$AR$2,AD164,0))</f>
        <v> </v>
      </c>
      <c r="AW164" s="325" t="str">
        <f aca="false">IF($A164="N/A"," ",IF(AN164&lt;=$AR$2,AE164,0))</f>
        <v> </v>
      </c>
      <c r="AX164" s="325" t="str">
        <f aca="false">IF($A164="N/A"," ",IF(AO164&lt;=$AR$2,AF164,0))</f>
        <v> </v>
      </c>
      <c r="AY164" s="325" t="str">
        <f aca="false">IF($A164="N/A"," ",IF(AP164&lt;=$AR$2,AG164,0))</f>
        <v> </v>
      </c>
      <c r="AZ164" s="325" t="str">
        <f aca="false">IF($A164="N/A"," ",IF(AQ164&lt;=$AR$2,AH164,0))</f>
        <v> </v>
      </c>
      <c r="BA164" s="325" t="str">
        <f aca="false">IF($A164="N/A"," ",IF(AR164&lt;=$AR$2,AI164,0))</f>
        <v> </v>
      </c>
      <c r="BB164" s="345"/>
      <c r="BC164" s="326" t="str">
        <f aca="false">IF($A164="N/A"," ",IF(AND(AJ164=$AR$2+1,AS164=0),MIN($BB$171,AA164),0))</f>
        <v> </v>
      </c>
      <c r="BD164" s="346" t="str">
        <f aca="false">IF($A164="N/A"," ",IF(AND(AK164=$AR$2+1,AT164=0),MIN($BB$171,AB164),0))</f>
        <v> </v>
      </c>
      <c r="BE164" s="346" t="str">
        <f aca="false">IF($A164="N/A"," ",IF(AND(AL164=$AR$2+1,AU164=0),MIN($BB$171,AC164),0))</f>
        <v> </v>
      </c>
      <c r="BF164" s="346" t="str">
        <f aca="false">IF($A164="N/A"," ",IF(AND(AM164=$AR$2+1,AV164=0),MIN($BB$171,AD164),0))</f>
        <v> </v>
      </c>
      <c r="BG164" s="346" t="str">
        <f aca="false">IF($A164="N/A"," ",IF(AND(AN164=$AR$2+1,AW164=0),MIN($BB$171,AE164),0))</f>
        <v> </v>
      </c>
      <c r="BH164" s="346" t="str">
        <f aca="false">IF($A164="N/A"," ",IF(AND(AO164=$AR$2+1,AX164=0),MIN($BB$171,AF164),0))</f>
        <v> </v>
      </c>
      <c r="BI164" s="346" t="str">
        <f aca="false">IF($A164="N/A"," ",IF(AND(AP164=$AR$2+1,AY164=0),MIN($BB$171,AG164),0))</f>
        <v> </v>
      </c>
      <c r="BJ164" s="346" t="str">
        <f aca="false">IF($A164="N/A"," ",IF(AND(AQ164=$AR$2+1,AZ164=0),MIN($BB$171,AH164),0))</f>
        <v> </v>
      </c>
      <c r="BK164" s="346" t="str">
        <f aca="false">IF($A164="N/A"," ",IF(AND(AR164=$AR$2+1,BA164=0),MIN($BB$171,AI164),0))</f>
        <v> </v>
      </c>
      <c r="BL164" s="345"/>
      <c r="BM164" s="329" t="str">
        <f aca="false">IF($A164="N/A"," ",(IF(MONTH(A164)&gt;=4,IF(MONTH(A164)&lt;=10,Inputs!$F$13-Inputs!$G$13,Inputs!$F$14-Inputs!$G$14),Inputs!$F$14-Inputs!$G$14))*$CK164*Availability)</f>
        <v> </v>
      </c>
      <c r="BN164" s="330" t="str">
        <f aca="false">IF($A164="N/A"," ",(IF(AS164&gt;0,($BM164*(8*($HD164))*R164),0)+IF(BC164&gt;0,($BM164*((BC164/AA164)*8*$HD164)*R164),0)))</f>
        <v> </v>
      </c>
      <c r="BO164" s="330" t="str">
        <f aca="false">IF($A164="N/A"," ",(IF(AT164&gt;0,($BM164*(8*($HD164))*S164),0)+IF(BD164&gt;0,($BM164*((BD164/AB164)*8*$HD164)*S164),0)))</f>
        <v> </v>
      </c>
      <c r="BP164" s="330" t="str">
        <f aca="false">IF($A164="N/A"," ",(IF(AU164&gt;0,($BM164*(8*($HD164))*T164),0)+IF(BE164&gt;0,($BM164*((BE164))*T164),0)))</f>
        <v> </v>
      </c>
      <c r="BQ164" s="330" t="str">
        <f aca="false">IF($A164="N/A"," ",(IF(AV164&gt;0,($BM164*(8*($HE164))*U164),0)+IF(BF164&gt;0,($BM164*((BF164/AD164)*8*$HE164)*U164),0)))</f>
        <v> </v>
      </c>
      <c r="BR164" s="330" t="str">
        <f aca="false">IF($A164="N/A"," ",(IF(AW164&gt;0,($BM164*(8*($HE164))*V164),0)+IF(BG164&gt;0,($BM164*((BG164/AE164)*8*$HE164)*V164),0)))</f>
        <v> </v>
      </c>
      <c r="BS164" s="330" t="str">
        <f aca="false">IF($A164="N/A"," ",(IF(AX164&gt;0,($BM164*(8*($HE164))*W164),0)+IF(BH164&gt;0,($BM164*((BH164))*W164),0)))</f>
        <v> </v>
      </c>
      <c r="BT164" s="330" t="str">
        <f aca="false">IF($A164="N/A"," ",(IF(AY164&gt;0,($BM164*(8*($HF164))*X164),0)+IF(BI164&gt;0,($BM164*((BI164/AG164)*8*$HF164)*X164),0)))</f>
        <v> </v>
      </c>
      <c r="BU164" s="330" t="str">
        <f aca="false">IF($A164="N/A"," ",(IF(AZ164&gt;0,($BM164*(8*($HF164))*Y164),0)+IF(BJ164&gt;0,($BM164*((BJ164/AH164)*8*$HF164)*Y164),0)))</f>
        <v> </v>
      </c>
      <c r="BV164" s="330" t="str">
        <f aca="false">IF($A164="N/A"," ",(IF(BA164&gt;0,($BM164*(8*($HF164))*Z164),0)+IF(BK164&gt;0,($BM164*((BK164))*Z164),0)))</f>
        <v> </v>
      </c>
      <c r="BW164" s="330" t="str">
        <f aca="false">IF($A164="N/A"," ",SUM(BN164:BV164))</f>
        <v> </v>
      </c>
      <c r="BX164" s="331" t="str">
        <f aca="false">IF($A164="N/A"," ",(H164*(SUM(AS164:BA164)+SUM(BC164:BK164))*BM164))</f>
        <v> </v>
      </c>
      <c r="BY164" s="332" t="str">
        <f aca="false">IF($A164="N/A"," ",((C164*D164)*(SUM($AS164:$BA164)+SUM($BC164:$BK164))*$BM164))</f>
        <v> </v>
      </c>
      <c r="BZ164" s="332" t="str">
        <f aca="false">IF($A164="N/A"," ",(F164*(SUM($AS164:$BA164)+SUM($BC164:$BK164))*$BM164))</f>
        <v> </v>
      </c>
      <c r="CA164" s="333" t="str">
        <f aca="false">IF($A164="N/A"," ",(G164*(SUM($AS164:$BA164)+SUM($BC164:$BK164))*$BM164))</f>
        <v> </v>
      </c>
      <c r="CB164" s="334" t="str">
        <f aca="false">IF(A164="N/A"," ",(VLOOKUP(A164,PowerVolTable,(IF(BMO=2,7,IF(BMO=1,6,8))),FALSE())))</f>
        <v> </v>
      </c>
      <c r="CC164" s="334" t="str">
        <f aca="false">IF(A164="N/A"," ",(VLOOKUP(A164,IntraPowerVol,(IF(BMO=2,3,IF(BMO=1,2,4))),FALSE())*VLOOKUP(MONTH($A164),Volscale,2)))</f>
        <v> </v>
      </c>
      <c r="CD164" s="335" t="str">
        <f aca="false">IF($A164="N/A"," ",(IF(DateToday&gt;$A164,$CC164,((($CB164^2)*((($A164-1)-DateToday)/((EOMONTH($A164,0)+1)-DateToday-15)))+((($CC164)^2)*((15)/((EOMONTH($A164,0)+1)-DateToday-15))))^0.5)))</f>
        <v> </v>
      </c>
      <c r="CE164" s="334" t="str">
        <f aca="false">IF($A164="N/A"," ",(VLOOKUP($A164,GasVolTable,(IF(BMO=2,6,IF(BMO=1,7,5))),FALSE())))</f>
        <v> </v>
      </c>
      <c r="CF164" s="334" t="str">
        <f aca="false">IF($A164="N/A"," ",(VLOOKUP($A164,OmicronVol,(IF(BMO=2,3,IF(BMO=1,4,2))),FALSE())))</f>
        <v> </v>
      </c>
      <c r="CG164" s="335" t="str">
        <f aca="false">IF($A164="N/A"," ",(IF(DateToday&gt;$A164,$CF164,((($CE164^2)*((($A164-1)-DateToday)/((EOMONTH($A164,0)+1)-DateToday-15)))+((($CF164)^2)*((15)/((EOMONTH($A164,0)+1)-DateToday-15))))^0.5)))</f>
        <v> </v>
      </c>
      <c r="CH164" s="334" t="str">
        <f aca="false">IF($A164="N/A"," ",VLOOKUP($A164,CorrelationTable,2,FALSE()))</f>
        <v> </v>
      </c>
      <c r="CI164" s="336" t="str">
        <f aca="false">IF($A164="N/A"," ",F164+G164+(D164*('Pricing Inputs'!T197)))</f>
        <v> </v>
      </c>
      <c r="CJ164" s="334" t="str">
        <f aca="false">IF($A164="N/A"," ",IF(PV=1,0,'Pricing Inputs'!U197))</f>
        <v> </v>
      </c>
      <c r="CK164" s="337" t="str">
        <f aca="false">IF($A164="N/A"," ",(1+CJ164/2)^(-2*((EOMONTH(A164,0)+20)-DateToday)/365.25))</f>
        <v> </v>
      </c>
      <c r="CL164" s="338" t="str">
        <f aca="false">IF(A164="N/A"," ",IF(CC=2,(VLOOKUP(MONTH($A164),Hrtable,3))/1000,0))</f>
        <v> </v>
      </c>
      <c r="CM164" s="339" t="str">
        <f aca="false">IF(A164="N/A"," ",IF(CC=2,(CL164*C164)+F164,0))</f>
        <v> </v>
      </c>
      <c r="CN164" s="340" t="str">
        <f aca="false">IF($A164="N/A"," ",IF(CC=2,(VLOOKUP(A164,ScaledPrice,(IF(AND(Dayrun&gt;=1,Dayrun&lt;=6),2,4)))-((IF(R164&lt;&gt;0,$D164,$CL164)*$C164)+$F164+$G164)),0))</f>
        <v> </v>
      </c>
      <c r="CO164" s="340" t="str">
        <f aca="false">IF($A164="N/A"," ",IF(CC=2,(IF(AND(Dayrun&gt;=1,Dayrun&lt;=6),I164,(VLOOKUP(A164,ScaledPrice,2))*(2-(VLOOKUP(A164,ScaledPrice,3))))-((IF(S164&lt;&gt;0,$D164,$CL164)*$C164)+$F164+$G164)),0))</f>
        <v> </v>
      </c>
      <c r="CP164" s="340" t="str">
        <f aca="false">IF(A164="N/A"," ",IF(CC=2,(VLOOKUP(A164,ScaledPrice,9)-((IF(T164&lt;&gt;0,$D164,$CL164)*$C164)+$F164+$G164)),0))</f>
        <v> </v>
      </c>
      <c r="CQ164" s="340" t="str">
        <f aca="false">IF(A164="N/A"," ",IF(CC=2,(IF(OR(Dayrun=2,Dayrun=3,Dayrun=5,Dayrun=6,Dayrun=8,Dayrun=9),VLOOKUP(A164,ScaledPrice,IF(AND(Dayrun&gt;=2,Dayrun&lt;=6),5,6)),0)-((IF(U164&lt;&gt;0,$D164,$CL164)*$C164)+$F164+$G164)),0))</f>
        <v> </v>
      </c>
      <c r="CR164" s="340" t="str">
        <f aca="false">IF(A164="N/A"," ",IF(CC=2,(IF(OR(Dayrun=2,Dayrun=3,Dayrun=5,Dayrun=6,Dayrun=8,Dayrun=9),IF(AND(Dayrun&gt;=2,Dayrun&lt;=6),L164,(VLOOKUP(A164,ScaledPrice,5))*(2-(VLOOKUP(A164,ScaledPrice,3)))),0)-((IF(V164&lt;&gt;0,$D164,$CL164)*$C164)+$F164+$G164)),0))</f>
        <v> </v>
      </c>
      <c r="CS164" s="340" t="str">
        <f aca="false">IF(A164="N/A"," ",IF(CC=2,(VLOOKUP(A164,ScaledPrice,9)-((IF(W164&lt;&gt;0,$D164,$CL164)*$C164)+$F164+$G164)),0))</f>
        <v> </v>
      </c>
      <c r="CT164" s="340" t="str">
        <f aca="false">IF(A164="N/A"," ",IF(CC=2,(IF(OR(Dayrun=3,Dayrun=6,Dayrun=9),(VLOOKUP(A164,ScaledPrice,IF(AND(Dayrun&gt;=3,Dayrun&lt;=6),7,8))),0)-((IF(X164&lt;&gt;0,$D164,$CL164)*$C164)+$F164+$G164)),0))</f>
        <v> </v>
      </c>
      <c r="CU164" s="340" t="str">
        <f aca="false">IF(A164="N/A"," ",IF(CC=2,(IF(OR(Dayrun=3,Dayrun=6,Dayrun=9),IF(AND(Dayrun&gt;=3,Dayrun&lt;=6),O164,(VLOOKUP(A164,ScaledPrice,7))*(2-(VLOOKUP(A164,ScaledPrice,3)))),0)-((IF(Y164&lt;&gt;0,$D164,$CL164)*$C164)+$F164+$G164)),0))</f>
        <v> </v>
      </c>
      <c r="CV164" s="340" t="str">
        <f aca="false">IF(A164="N/A"," ",IF(CC=2,(VLOOKUP(A164,ScaledPrice,9)-((IF(Z164&lt;&gt;0,$D164,$CL164)*$C164)+$F164+$G164)),0))</f>
        <v> </v>
      </c>
      <c r="CW164" s="318" t="str">
        <f aca="false">IF($A164="N/A"," ",IF(0&lt;&gt;CN164,IF(CC=2,8*$HD164,0),0))</f>
        <v> </v>
      </c>
      <c r="CX164" s="318" t="str">
        <f aca="false">IF($A164="N/A"," ",IF(0&lt;&gt;CO164,IF(CC=2,8*$HD164,0),0))</f>
        <v> </v>
      </c>
      <c r="CY164" s="318" t="str">
        <f aca="false">IF($A164="N/A"," ",IF(0&lt;&gt;CP164,IF(CC=2,8*$HD164,0),0))</f>
        <v> </v>
      </c>
      <c r="CZ164" s="318" t="str">
        <f aca="false">IF($A164="N/A"," ",IF(0&lt;&gt;CQ164,IF(CC=2,8*$HE164,0),0))</f>
        <v> </v>
      </c>
      <c r="DA164" s="318" t="str">
        <f aca="false">IF($A164="N/A"," ",IF(0&lt;&gt;CR164,IF(CC=2,8*$HE164,0),0))</f>
        <v> </v>
      </c>
      <c r="DB164" s="318" t="str">
        <f aca="false">IF($A164="N/A"," ",IF(0&lt;&gt;CS164,IF(CC=2,8*$HE164,0),0))</f>
        <v> </v>
      </c>
      <c r="DC164" s="318" t="str">
        <f aca="false">IF($A164="N/A"," ",IF(0&lt;&gt;CT164,IF(CC=2,8*$HF164,0),0))</f>
        <v> </v>
      </c>
      <c r="DD164" s="318" t="str">
        <f aca="false">IF($A164="N/A"," ",IF(0&lt;&gt;CU164,IF(CC=2,8*$HF164,0),0))</f>
        <v> </v>
      </c>
      <c r="DE164" s="318" t="str">
        <f aca="false">IF($A164="N/A"," ",IF(0&lt;&gt;CV164,IF(CC=2,8*$HF164,0),0))</f>
        <v> </v>
      </c>
      <c r="DF164" s="341" t="str">
        <f aca="false">IF($A164="N/A"," ",IF(CC=2,(IF(MONTH(A164)&gt;=4,IF(MONTH(A164)&lt;=10,Inputs!$G$13,Inputs!$G$14),Inputs!$G$14))*$CK164,0))</f>
        <v> </v>
      </c>
      <c r="DG164" s="342" t="str">
        <f aca="false">IF($A164="N/A"," ",IF(CC=2,$DF164*CW164*CN164,0))</f>
        <v> </v>
      </c>
      <c r="DH164" s="342" t="str">
        <f aca="false">IF($A164="N/A"," ",IF(CC=2,$DF164*CX164*CO164,0))</f>
        <v> </v>
      </c>
      <c r="DI164" s="342" t="str">
        <f aca="false">IF($A164="N/A"," ",IF(CC=2,$DF164*CY164*CP164,0))</f>
        <v> </v>
      </c>
      <c r="DJ164" s="342" t="str">
        <f aca="false">IF($A164="N/A"," ",IF(CC=2,$DF164*CZ164*CQ164,0))</f>
        <v> </v>
      </c>
      <c r="DK164" s="342" t="str">
        <f aca="false">IF($A164="N/A"," ",IF(CC=2,$DF164*DA164*CR164,0))</f>
        <v> </v>
      </c>
      <c r="DL164" s="342" t="str">
        <f aca="false">IF($A164="N/A"," ",IF(CC=2,$DF164*DB164*CS164,0))</f>
        <v> </v>
      </c>
      <c r="DM164" s="342" t="str">
        <f aca="false">IF($A164="N/A"," ",IF(CC=2,$DF164*DC164*CT164,0))</f>
        <v> </v>
      </c>
      <c r="DN164" s="342" t="str">
        <f aca="false">IF($A164="N/A"," ",IF(CC=2,$DF164*DD164*CU164,0))</f>
        <v> </v>
      </c>
      <c r="DO164" s="342" t="str">
        <f aca="false">IF($A164="N/A"," ",IF(CC=2,$DF164*DE164*CV164,0))</f>
        <v> </v>
      </c>
      <c r="DP164" s="343" t="str">
        <f aca="false">IF($A164="N/A"," ",IF(CC=2,SUM(DG164:DO164),0))</f>
        <v> </v>
      </c>
      <c r="DQ164" s="0" t="str">
        <f aca="false">IF(A164="N/A"," ",Perstart)</f>
        <v> </v>
      </c>
      <c r="HD164" s="0" t="str">
        <f aca="false">IF($A164="N/A"," ",VLOOKUP($A164,NumberofDaysTable,2))</f>
        <v> </v>
      </c>
      <c r="HE164" s="0" t="str">
        <f aca="false">IF($A164="N/A"," ",VLOOKUP($A164,NumberofDaysTable,3))</f>
        <v> </v>
      </c>
      <c r="HF164" s="0" t="str">
        <f aca="false">IF($A164="N/A"," ",VLOOKUP($A164,NumberofDaysTable,4))</f>
        <v> </v>
      </c>
    </row>
    <row r="165" customFormat="false" ht="12.75" hidden="false" customHeight="false" outlineLevel="0" collapsed="false">
      <c r="A165" s="308" t="str">
        <f aca="false">IF(A164="N/A","N/A",IF(EDATE(A164,1)&gt;Inputs!$K$3,"N/A",EDATE(A164,1)))</f>
        <v>N/A</v>
      </c>
      <c r="B165" s="309" t="str">
        <f aca="false">IF(A165="N/A"," ",YEAR(A165))</f>
        <v> </v>
      </c>
      <c r="C165" s="310" t="str">
        <f aca="false">IF(A165="N/A"," ",VLOOKUP(A165,ScaledPrice,10))</f>
        <v> </v>
      </c>
      <c r="D165" s="311" t="str">
        <f aca="false">IF(A165="N/A"," ",(VLOOKUP(MONTH($A165),Hrtable,2))/1000)</f>
        <v> </v>
      </c>
      <c r="E165" s="312" t="str">
        <f aca="false">IF($A165="N/A"," ",(C165-'Pricing Inputs'!T198)*D165)</f>
        <v> </v>
      </c>
      <c r="F165" s="313" t="str">
        <f aca="false">IF(A165="N/A"," ",$F153*(1+VOMesc))</f>
        <v> </v>
      </c>
      <c r="G165" s="313" t="str">
        <f aca="false">IF(A165="N/A"," ",Perstart/IF(AND(Dayrun&gt;=4,Dayrun&lt;=6),16,IF(AND(Dayrun&gt;=7,Dayrun&lt;=9),8,24))/(BM165/CK165))</f>
        <v> </v>
      </c>
      <c r="H165" s="314" t="str">
        <f aca="false">IF(A165="N/A"," ",(C165*D165)+F165+G165)</f>
        <v> </v>
      </c>
      <c r="I165" s="315" t="str">
        <f aca="false">VLOOKUP(A165,ScaledPrice,(IF(AND(Dayrun&gt;=1,Dayrun&lt;=6),2,4)))</f>
        <v> </v>
      </c>
      <c r="J165" s="315" t="str">
        <f aca="false">IF(A165="N/A"," ",IF(AND(Dayrun&gt;=1,Dayrun&lt;=6),I165,(VLOOKUP(A165,ScaledPrice,2))*(2-(VLOOKUP(A165,ScaledPrice,3)))))</f>
        <v> </v>
      </c>
      <c r="K165" s="315" t="str">
        <f aca="false">IF(A165="N/A"," ",IF(AND(Dayrun&gt;=1,Dayrun&lt;=3),VLOOKUP(A165,ScaledPrice,9),0))</f>
        <v> </v>
      </c>
      <c r="L165" s="315" t="str">
        <f aca="false">IF(A165="N/A"," ",IF(OR(Dayrun=2,Dayrun=3,Dayrun=5,Dayrun=6,Dayrun=8,Dayrun=9),VLOOKUP(A165,ScaledPrice,IF(AND(Dayrun&gt;=2,Dayrun&lt;=6),5,6)),0))</f>
        <v> </v>
      </c>
      <c r="M165" s="315" t="str">
        <f aca="false">IF(A165="N/A"," ",IF(OR(Dayrun=2,Dayrun=3,Dayrun=5,Dayrun=6,Dayrun=8,Dayrun=9),IF(AND(Dayrun&gt;=2,Dayrun&lt;=6),L165,(VLOOKUP(A165,ScaledPrice,5))*(2-(VLOOKUP(A165,ScaledPrice,3)))),0))</f>
        <v> </v>
      </c>
      <c r="N165" s="315" t="str">
        <f aca="false">IF(A165="N/A"," ",IF(AND(Dayrun&gt;1,Dayrun&lt;=3),VLOOKUP(A165,ScaledPrice,9),0))</f>
        <v> </v>
      </c>
      <c r="O165" s="315" t="str">
        <f aca="false">IF(A165="N/A"," ",IF(OR(Dayrun=3,Dayrun=6,Dayrun=9),(VLOOKUP(A165,ScaledPrice,IF(AND(Dayrun&gt;=3,Dayrun&lt;=6),7,8))),0))</f>
        <v> </v>
      </c>
      <c r="P165" s="315" t="str">
        <f aca="false">IF(A165="N/A"," ",IF(OR(Dayrun=3,Dayrun=6,Dayrun=9),IF(AND(Dayrun&gt;=3,Dayrun&lt;=6),O165,(VLOOKUP(A165,ScaledPrice,7))*(2-(VLOOKUP(A165,ScaledPrice,3)))),0))</f>
        <v> </v>
      </c>
      <c r="Q165" s="315" t="str">
        <f aca="false">IF(A165="N/A"," ",IF(AND(Dayrun&gt;2,Dayrun&lt;=3),VLOOKUP(A165,ScaledPrice,9),0))</f>
        <v> </v>
      </c>
      <c r="R165" s="316" t="str">
        <f aca="false">IF($A165="N/A"," ",IF(Pricetype=2,MAX(I165-$H165,0),IF(Pricetype=1,(xSPRDOPT(I165,$E165,$CI165,0,($CD165+IF(Smile=TRUE(),VLOOKUP(MAX(-5,$H165-I165),Volsmile,2),0)),$CG165,$CH165,($A165-DateToday)+15,1,0)),I165-$H165)))</f>
        <v> </v>
      </c>
      <c r="S165" s="316" t="str">
        <f aca="false">IF($A165="N/A"," ",IF(Pricetype=2,MAX(J165-$H165,0),IF(Pricetype=1,(xSPRDOPT(J165,$E165,$CI165,0,($CD165+IF(Smile=TRUE(),VLOOKUP(MAX(-5,$H165-J165),Volsmile,2),0)),$CG165,$CH165,($A165-DateToday)+15,1,0)),J165-$H165)))</f>
        <v> </v>
      </c>
      <c r="T165" s="317" t="str">
        <f aca="false">IF($A165="N/A"," ",(IF(Pricetype=2,IF((K165-$H165)&lt;=0,0,(K165-$H165)),IF(K165&lt;&gt;0,(K165-$H165),0))))</f>
        <v> </v>
      </c>
      <c r="U165" s="316" t="str">
        <f aca="false">IF($A165="N/A"," ",IF(Pricetype=2,MAX(L165-$H165,0),IF(L165&lt;&gt;0,IF(Pricetype=1,(xSPRDOPT(L165,$E165,$CI165,0,($CD165+IF(Smile=TRUE(),VLOOKUP(MAX(-5,$H165-L165),Volsmile,2),0)),$CG165,$CH165,($A165-DateToday)+15,1,0)),L165-$H165),0)))</f>
        <v> </v>
      </c>
      <c r="V165" s="316" t="str">
        <f aca="false">IF($A165="N/A"," ",IF(Pricetype=2,MAX(M165-$H165,0),IF(M165&lt;&gt;0,IF(Pricetype=1,(xSPRDOPT(M165,$E165,$CI165,0,($CD165+IF(Smile=TRUE(),VLOOKUP(MAX(-5,$H165-M165),Volsmile,2),0)),$CG165,$CH165,($A165-DateToday)+15,1,0)),M165-$H165),0)))</f>
        <v> </v>
      </c>
      <c r="W165" s="317" t="str">
        <f aca="false">IF($A165="N/A"," ",(IF(Pricetype=2,IF((N165-$H165)&lt;=0,0,(N165-$H165)),IF(N165&lt;&gt;0,(N165-$H165),0))))</f>
        <v> </v>
      </c>
      <c r="X165" s="316" t="str">
        <f aca="false">IF($A165="N/A"," ",IF(Pricetype=2,MAX(O165-$H165,0),IF(O165&lt;&gt;0,IF(Pricetype=1,(xSPRDOPT(O165,$E165,$CI165,0,($CD165+IF(Smile=TRUE(),VLOOKUP(MAX(-5,$H165-O165),Volsmile,2),0)),$CG165,$CH165,($A165-DateToday)+15,1,0)),O165-$H165),0)))</f>
        <v> </v>
      </c>
      <c r="Y165" s="316" t="str">
        <f aca="false">IF($A165="N/A"," ",IF(Pricetype=2,MAX(P165-$H165,0),IF(P165&lt;&gt;0,IF(Pricetype=1,(xSPRDOPT(P165,$E165,$CI165,0,($CD165+IF(Smile=TRUE(),VLOOKUP(MAX(-5,$H165-P165),Volsmile,2),0)),$CG165,$CH165,($A165-DateToday)+15,1,0)),P165-$H165),0)))</f>
        <v> </v>
      </c>
      <c r="Z165" s="317" t="str">
        <f aca="false">IF($A165="N/A"," ",(IF(Pricetype=2,IF((Q165-$H165)&lt;=0,0,(Q165-$H165)),IF(Q165&lt;&gt;0,(Q165-$H165),0))))</f>
        <v> </v>
      </c>
      <c r="AA165" s="318" t="str">
        <f aca="false">IF($A165="N/A"," ",IF(VLOOKUP(MONTH(A165),ManualTable,2)=1,(IF(0&lt;&gt;R165,IF(Pricetype=1,(xSPRDOPT(I165,$E165,$CI165,0,($CD165+IF(Smile=TRUE(),VLOOKUP(MAX(-5,$H165-I165),Volsmile,2),0)),$CG165,$CH165,($A165-DateToday)+15,1,1))*(8*$HD165),8*$HD165),0)),0))</f>
        <v> </v>
      </c>
      <c r="AB165" s="318" t="str">
        <f aca="false">IF($A165="N/A"," ",IF(VLOOKUP(MONTH(A165),ManualTable,3)=1,(IF(S165&lt;&gt;0,IF(Pricetype=1,(xSPRDOPT(J165,$E165,$CI165,0,($CD165+IF(Smile=TRUE(),VLOOKUP(MAX(-5,$H165-J165),Volsmile,2),0)),$CG165,$CH165,($A165-DateToday)+15,1,1))*(8*$HD165),8*$HD165),0)),0))</f>
        <v> </v>
      </c>
      <c r="AC165" s="318" t="str">
        <f aca="false">IF($A165="N/A"," ",IF(VLOOKUP(MONTH(A165),ManualTable,4)=1,(IF(T165&lt;&gt;0,(8*$HD165),0)),0))</f>
        <v> </v>
      </c>
      <c r="AD165" s="318" t="str">
        <f aca="false">IF($A165="N/A"," ",IF(VLOOKUP(MONTH(A165),ManualTable,5)=1,(IF(U165&lt;&gt;0,IF(Pricetype=1,(xSPRDOPT(L165,$E165,$CI165,0,($CD165+IF(Smile=TRUE(),VLOOKUP(MAX(-5,$H165-L165),Volsmile,2),0)),$CG165,$CH165,($A165-DateToday)+15,1,1))*(8*$HE165),8*$HE165),0)),0))</f>
        <v> </v>
      </c>
      <c r="AE165" s="318" t="str">
        <f aca="false">IF($A165="N/A"," ",IF(VLOOKUP(MONTH(A165),ManualTable,6)=1,(IF(V165&lt;&gt;0,IF(Pricetype=1,(xSPRDOPT(M165,$E165,$CI165,0,($CD165+IF(Smile=TRUE(),VLOOKUP(MAX(-5,$H165-M165),Volsmile,2),0)),$CG165,$CH165,($A165-DateToday)+15,1,1))*(8*$HE165),8*$HE165),0)),0))</f>
        <v> </v>
      </c>
      <c r="AF165" s="318" t="str">
        <f aca="false">IF($A165="N/A"," ",IF(VLOOKUP(MONTH(A165),ManualTable,7)=1,(IF(W165&lt;&gt;0,(8*$HE165),0)),0))</f>
        <v> </v>
      </c>
      <c r="AG165" s="318" t="str">
        <f aca="false">IF($A165="N/A"," ",IF(VLOOKUP(MONTH(A165),ManualTable,8)=1,(IF(X165&lt;&gt;0,IF(Pricetype=1,(xSPRDOPT(O165,$E165,$CI165,0,($CD165+IF(Smile=TRUE(),VLOOKUP(MAX(-5,$H165-O165),Volsmile,2),0)),$CG165,$CH165,($A165-DateToday)+15,1,1))*(8*$HF165),8*$HF165),0)),0))</f>
        <v> </v>
      </c>
      <c r="AH165" s="318" t="str">
        <f aca="false">IF($A165="N/A"," ",IF(VLOOKUP(MONTH(A165),ManualTable,9)=1,(IF(Y165&lt;&gt;0,IF(Pricetype=1,(xSPRDOPT(P165,$E165,$CI165,0,($CD165+IF(Smile=TRUE(),VLOOKUP(MAX(-5,$H165-P165),Volsmile,2),0)),$CG165,$CH165,($A165-DateToday)+15,1,1))*(8*$HF165),8*$HF165),0)),0))</f>
        <v> </v>
      </c>
      <c r="AI165" s="318" t="str">
        <f aca="false">IF($A165="N/A"," ",IF(VLOOKUP(MONTH(A165),ManualTable,10)=1,(IF(Z165&lt;&gt;0,(8*($HF165)),0)),0))</f>
        <v> </v>
      </c>
      <c r="AJ165" s="344" t="str">
        <f aca="false">IF($A165="N/A"," ",RANK(R165,$R$160:$Z$171))</f>
        <v> </v>
      </c>
      <c r="AK165" s="321" t="str">
        <f aca="false">IF($A165="N/A"," ",RANK(S165,$R$160:$Z$171))</f>
        <v> </v>
      </c>
      <c r="AL165" s="321" t="str">
        <f aca="false">IF($A165="N/A"," ",RANK(T165,$R$160:$Z$171))</f>
        <v> </v>
      </c>
      <c r="AM165" s="321" t="str">
        <f aca="false">IF($A165="N/A"," ",RANK(U165,$R$160:$Z$171))</f>
        <v> </v>
      </c>
      <c r="AN165" s="321" t="str">
        <f aca="false">IF($A165="N/A"," ",RANK(V165,$R$160:$Z$171))</f>
        <v> </v>
      </c>
      <c r="AO165" s="321" t="str">
        <f aca="false">IF($A165="N/A"," ",RANK(W165,$R$160:$Z$171))</f>
        <v> </v>
      </c>
      <c r="AP165" s="321" t="str">
        <f aca="false">IF($A165="N/A"," ",RANK(X165,$R$160:$Z$171))</f>
        <v> </v>
      </c>
      <c r="AQ165" s="321" t="str">
        <f aca="false">IF($A165="N/A"," ",RANK(Y165,$R$160:$Z$171))</f>
        <v> </v>
      </c>
      <c r="AR165" s="345" t="str">
        <f aca="false">IF($A165="N/A"," ",RANK(Z165,$R$160:$Z$171))</f>
        <v> </v>
      </c>
      <c r="AS165" s="323" t="str">
        <f aca="false">IF($A165="N/A"," ",IF(AJ165&lt;=$AR$2,AA165,0))</f>
        <v> </v>
      </c>
      <c r="AT165" s="325" t="str">
        <f aca="false">IF($A165="N/A"," ",IF(AK165&lt;=$AR$2,AB165,0))</f>
        <v> </v>
      </c>
      <c r="AU165" s="325" t="str">
        <f aca="false">IF($A165="N/A"," ",IF(AL165&lt;=$AR$2,AC165,0))</f>
        <v> </v>
      </c>
      <c r="AV165" s="325" t="str">
        <f aca="false">IF($A165="N/A"," ",IF(AM165&lt;=$AR$2,AD165,0))</f>
        <v> </v>
      </c>
      <c r="AW165" s="325" t="str">
        <f aca="false">IF($A165="N/A"," ",IF(AN165&lt;=$AR$2,AE165,0))</f>
        <v> </v>
      </c>
      <c r="AX165" s="325" t="str">
        <f aca="false">IF($A165="N/A"," ",IF(AO165&lt;=$AR$2,AF165,0))</f>
        <v> </v>
      </c>
      <c r="AY165" s="325" t="str">
        <f aca="false">IF($A165="N/A"," ",IF(AP165&lt;=$AR$2,AG165,0))</f>
        <v> </v>
      </c>
      <c r="AZ165" s="325" t="str">
        <f aca="false">IF($A165="N/A"," ",IF(AQ165&lt;=$AR$2,AH165,0))</f>
        <v> </v>
      </c>
      <c r="BA165" s="325" t="str">
        <f aca="false">IF($A165="N/A"," ",IF(AR165&lt;=$AR$2,AI165,0))</f>
        <v> </v>
      </c>
      <c r="BB165" s="345"/>
      <c r="BC165" s="326" t="str">
        <f aca="false">IF($A165="N/A"," ",IF(AND(AJ165=$AR$2+1,AS165=0),MIN($BB$171,AA165),0))</f>
        <v> </v>
      </c>
      <c r="BD165" s="346" t="str">
        <f aca="false">IF($A165="N/A"," ",IF(AND(AK165=$AR$2+1,AT165=0),MIN($BB$171,AB165),0))</f>
        <v> </v>
      </c>
      <c r="BE165" s="346" t="str">
        <f aca="false">IF($A165="N/A"," ",IF(AND(AL165=$AR$2+1,AU165=0),MIN($BB$171,AC165),0))</f>
        <v> </v>
      </c>
      <c r="BF165" s="346" t="str">
        <f aca="false">IF($A165="N/A"," ",IF(AND(AM165=$AR$2+1,AV165=0),MIN($BB$171,AD165),0))</f>
        <v> </v>
      </c>
      <c r="BG165" s="346" t="str">
        <f aca="false">IF($A165="N/A"," ",IF(AND(AN165=$AR$2+1,AW165=0),MIN($BB$171,AE165),0))</f>
        <v> </v>
      </c>
      <c r="BH165" s="346" t="str">
        <f aca="false">IF($A165="N/A"," ",IF(AND(AO165=$AR$2+1,AX165=0),MIN($BB$171,AF165),0))</f>
        <v> </v>
      </c>
      <c r="BI165" s="346" t="str">
        <f aca="false">IF($A165="N/A"," ",IF(AND(AP165=$AR$2+1,AY165=0),MIN($BB$171,AG165),0))</f>
        <v> </v>
      </c>
      <c r="BJ165" s="346" t="str">
        <f aca="false">IF($A165="N/A"," ",IF(AND(AQ165=$AR$2+1,AZ165=0),MIN($BB$171,AH165),0))</f>
        <v> </v>
      </c>
      <c r="BK165" s="346" t="str">
        <f aca="false">IF($A165="N/A"," ",IF(AND(AR165=$AR$2+1,BA165=0),MIN($BB$171,AI165),0))</f>
        <v> </v>
      </c>
      <c r="BL165" s="345"/>
      <c r="BM165" s="329" t="str">
        <f aca="false">IF($A165="N/A"," ",(IF(MONTH(A165)&gt;=4,IF(MONTH(A165)&lt;=10,Inputs!$F$13-Inputs!$G$13,Inputs!$F$14-Inputs!$G$14),Inputs!$F$14-Inputs!$G$14))*$CK165*Availability)</f>
        <v> </v>
      </c>
      <c r="BN165" s="330" t="str">
        <f aca="false">IF($A165="N/A"," ",(IF(AS165&gt;0,($BM165*(8*($HD165))*R165),0)+IF(BC165&gt;0,($BM165*((BC165/AA165)*8*$HD165)*R165),0)))</f>
        <v> </v>
      </c>
      <c r="BO165" s="330" t="str">
        <f aca="false">IF($A165="N/A"," ",(IF(AT165&gt;0,($BM165*(8*($HD165))*S165),0)+IF(BD165&gt;0,($BM165*((BD165/AB165)*8*$HD165)*S165),0)))</f>
        <v> </v>
      </c>
      <c r="BP165" s="330" t="str">
        <f aca="false">IF($A165="N/A"," ",(IF(AU165&gt;0,($BM165*(8*($HD165))*T165),0)+IF(BE165&gt;0,($BM165*((BE165))*T165),0)))</f>
        <v> </v>
      </c>
      <c r="BQ165" s="330" t="str">
        <f aca="false">IF($A165="N/A"," ",(IF(AV165&gt;0,($BM165*(8*($HE165))*U165),0)+IF(BF165&gt;0,($BM165*((BF165/AD165)*8*$HE165)*U165),0)))</f>
        <v> </v>
      </c>
      <c r="BR165" s="330" t="str">
        <f aca="false">IF($A165="N/A"," ",(IF(AW165&gt;0,($BM165*(8*($HE165))*V165),0)+IF(BG165&gt;0,($BM165*((BG165/AE165)*8*$HE165)*V165),0)))</f>
        <v> </v>
      </c>
      <c r="BS165" s="330" t="str">
        <f aca="false">IF($A165="N/A"," ",(IF(AX165&gt;0,($BM165*(8*($HE165))*W165),0)+IF(BH165&gt;0,($BM165*((BH165))*W165),0)))</f>
        <v> </v>
      </c>
      <c r="BT165" s="330" t="str">
        <f aca="false">IF($A165="N/A"," ",(IF(AY165&gt;0,($BM165*(8*($HF165))*X165),0)+IF(BI165&gt;0,($BM165*((BI165/AG165)*8*$HF165)*X165),0)))</f>
        <v> </v>
      </c>
      <c r="BU165" s="330" t="str">
        <f aca="false">IF($A165="N/A"," ",(IF(AZ165&gt;0,($BM165*(8*($HF165))*Y165),0)+IF(BJ165&gt;0,($BM165*((BJ165/AH165)*8*$HF165)*Y165),0)))</f>
        <v> </v>
      </c>
      <c r="BV165" s="330" t="str">
        <f aca="false">IF($A165="N/A"," ",(IF(BA165&gt;0,($BM165*(8*($HF165))*Z165),0)+IF(BK165&gt;0,($BM165*((BK165))*Z165),0)))</f>
        <v> </v>
      </c>
      <c r="BW165" s="330" t="str">
        <f aca="false">IF($A165="N/A"," ",SUM(BN165:BV165))</f>
        <v> </v>
      </c>
      <c r="BX165" s="331" t="str">
        <f aca="false">IF($A165="N/A"," ",(H165*(SUM(AS165:BA165)+SUM(BC165:BK165))*BM165))</f>
        <v> </v>
      </c>
      <c r="BY165" s="332" t="str">
        <f aca="false">IF($A165="N/A"," ",((C165*D165)*(SUM($AS165:$BA165)+SUM($BC165:$BK165))*$BM165))</f>
        <v> </v>
      </c>
      <c r="BZ165" s="332" t="str">
        <f aca="false">IF($A165="N/A"," ",(F165*(SUM($AS165:$BA165)+SUM($BC165:$BK165))*$BM165))</f>
        <v> </v>
      </c>
      <c r="CA165" s="333" t="str">
        <f aca="false">IF($A165="N/A"," ",(G165*(SUM($AS165:$BA165)+SUM($BC165:$BK165))*$BM165))</f>
        <v> </v>
      </c>
      <c r="CB165" s="334" t="str">
        <f aca="false">IF(A165="N/A"," ",(VLOOKUP(A165,PowerVolTable,(IF(BMO=2,7,IF(BMO=1,6,8))),FALSE())))</f>
        <v> </v>
      </c>
      <c r="CC165" s="334" t="str">
        <f aca="false">IF(A165="N/A"," ",(VLOOKUP(A165,IntraPowerVol,(IF(BMO=2,3,IF(BMO=1,2,4))),FALSE())*VLOOKUP(MONTH($A165),Volscale,2)))</f>
        <v> </v>
      </c>
      <c r="CD165" s="335" t="str">
        <f aca="false">IF($A165="N/A"," ",(IF(DateToday&gt;$A165,$CC165,((($CB165^2)*((($A165-1)-DateToday)/((EOMONTH($A165,0)+1)-DateToday-15)))+((($CC165)^2)*((15)/((EOMONTH($A165,0)+1)-DateToday-15))))^0.5)))</f>
        <v> </v>
      </c>
      <c r="CE165" s="334" t="str">
        <f aca="false">IF($A165="N/A"," ",(VLOOKUP($A165,GasVolTable,(IF(BMO=2,6,IF(BMO=1,7,5))),FALSE())))</f>
        <v> </v>
      </c>
      <c r="CF165" s="334" t="str">
        <f aca="false">IF($A165="N/A"," ",(VLOOKUP($A165,OmicronVol,(IF(BMO=2,3,IF(BMO=1,4,2))),FALSE())))</f>
        <v> </v>
      </c>
      <c r="CG165" s="335" t="str">
        <f aca="false">IF($A165="N/A"," ",(IF(DateToday&gt;$A165,$CF165,((($CE165^2)*((($A165-1)-DateToday)/((EOMONTH($A165,0)+1)-DateToday-15)))+((($CF165)^2)*((15)/((EOMONTH($A165,0)+1)-DateToday-15))))^0.5)))</f>
        <v> </v>
      </c>
      <c r="CH165" s="334" t="str">
        <f aca="false">IF($A165="N/A"," ",VLOOKUP($A165,CorrelationTable,2,FALSE()))</f>
        <v> </v>
      </c>
      <c r="CI165" s="336" t="str">
        <f aca="false">IF($A165="N/A"," ",F165+G165+(D165*('Pricing Inputs'!T198)))</f>
        <v> </v>
      </c>
      <c r="CJ165" s="334" t="str">
        <f aca="false">IF($A165="N/A"," ",IF(PV=1,0,'Pricing Inputs'!U198))</f>
        <v> </v>
      </c>
      <c r="CK165" s="337" t="str">
        <f aca="false">IF($A165="N/A"," ",(1+CJ165/2)^(-2*((EOMONTH(A165,0)+20)-DateToday)/365.25))</f>
        <v> </v>
      </c>
      <c r="CL165" s="338" t="str">
        <f aca="false">IF(A165="N/A"," ",IF(CC=2,(VLOOKUP(MONTH($A165),Hrtable,3))/1000,0))</f>
        <v> </v>
      </c>
      <c r="CM165" s="339" t="str">
        <f aca="false">IF(A165="N/A"," ",IF(CC=2,(CL165*C165)+F165,0))</f>
        <v> </v>
      </c>
      <c r="CN165" s="340" t="str">
        <f aca="false">IF($A165="N/A"," ",IF(CC=2,(VLOOKUP(A165,ScaledPrice,(IF(AND(Dayrun&gt;=1,Dayrun&lt;=6),2,4)))-((IF(R165&lt;&gt;0,$D165,$CL165)*$C165)+$F165+$G165)),0))</f>
        <v> </v>
      </c>
      <c r="CO165" s="340" t="str">
        <f aca="false">IF($A165="N/A"," ",IF(CC=2,(IF(AND(Dayrun&gt;=1,Dayrun&lt;=6),I165,(VLOOKUP(A165,ScaledPrice,2))*(2-(VLOOKUP(A165,ScaledPrice,3))))-((IF(S165&lt;&gt;0,$D165,$CL165)*$C165)+$F165+$G165)),0))</f>
        <v> </v>
      </c>
      <c r="CP165" s="340" t="str">
        <f aca="false">IF(A165="N/A"," ",IF(CC=2,(VLOOKUP(A165,ScaledPrice,9)-((IF(T165&lt;&gt;0,$D165,$CL165)*$C165)+$F165+$G165)),0))</f>
        <v> </v>
      </c>
      <c r="CQ165" s="340" t="str">
        <f aca="false">IF(A165="N/A"," ",IF(CC=2,(IF(OR(Dayrun=2,Dayrun=3,Dayrun=5,Dayrun=6,Dayrun=8,Dayrun=9),VLOOKUP(A165,ScaledPrice,IF(AND(Dayrun&gt;=2,Dayrun&lt;=6),5,6)),0)-((IF(U165&lt;&gt;0,$D165,$CL165)*$C165)+$F165+$G165)),0))</f>
        <v> </v>
      </c>
      <c r="CR165" s="340" t="str">
        <f aca="false">IF(A165="N/A"," ",IF(CC=2,(IF(OR(Dayrun=2,Dayrun=3,Dayrun=5,Dayrun=6,Dayrun=8,Dayrun=9),IF(AND(Dayrun&gt;=2,Dayrun&lt;=6),L165,(VLOOKUP(A165,ScaledPrice,5))*(2-(VLOOKUP(A165,ScaledPrice,3)))),0)-((IF(V165&lt;&gt;0,$D165,$CL165)*$C165)+$F165+$G165)),0))</f>
        <v> </v>
      </c>
      <c r="CS165" s="340" t="str">
        <f aca="false">IF(A165="N/A"," ",IF(CC=2,(VLOOKUP(A165,ScaledPrice,9)-((IF(W165&lt;&gt;0,$D165,$CL165)*$C165)+$F165+$G165)),0))</f>
        <v> </v>
      </c>
      <c r="CT165" s="340" t="str">
        <f aca="false">IF(A165="N/A"," ",IF(CC=2,(IF(OR(Dayrun=3,Dayrun=6,Dayrun=9),(VLOOKUP(A165,ScaledPrice,IF(AND(Dayrun&gt;=3,Dayrun&lt;=6),7,8))),0)-((IF(X165&lt;&gt;0,$D165,$CL165)*$C165)+$F165+$G165)),0))</f>
        <v> </v>
      </c>
      <c r="CU165" s="340" t="str">
        <f aca="false">IF(A165="N/A"," ",IF(CC=2,(IF(OR(Dayrun=3,Dayrun=6,Dayrun=9),IF(AND(Dayrun&gt;=3,Dayrun&lt;=6),O165,(VLOOKUP(A165,ScaledPrice,7))*(2-(VLOOKUP(A165,ScaledPrice,3)))),0)-((IF(Y165&lt;&gt;0,$D165,$CL165)*$C165)+$F165+$G165)),0))</f>
        <v> </v>
      </c>
      <c r="CV165" s="340" t="str">
        <f aca="false">IF(A165="N/A"," ",IF(CC=2,(VLOOKUP(A165,ScaledPrice,9)-((IF(Z165&lt;&gt;0,$D165,$CL165)*$C165)+$F165+$G165)),0))</f>
        <v> </v>
      </c>
      <c r="CW165" s="318" t="str">
        <f aca="false">IF($A165="N/A"," ",IF(0&lt;&gt;CN165,IF(CC=2,8*$HD165,0),0))</f>
        <v> </v>
      </c>
      <c r="CX165" s="318" t="str">
        <f aca="false">IF($A165="N/A"," ",IF(0&lt;&gt;CO165,IF(CC=2,8*$HD165,0),0))</f>
        <v> </v>
      </c>
      <c r="CY165" s="318" t="str">
        <f aca="false">IF($A165="N/A"," ",IF(0&lt;&gt;CP165,IF(CC=2,8*$HD165,0),0))</f>
        <v> </v>
      </c>
      <c r="CZ165" s="318" t="str">
        <f aca="false">IF($A165="N/A"," ",IF(0&lt;&gt;CQ165,IF(CC=2,8*$HE165,0),0))</f>
        <v> </v>
      </c>
      <c r="DA165" s="318" t="str">
        <f aca="false">IF($A165="N/A"," ",IF(0&lt;&gt;CR165,IF(CC=2,8*$HE165,0),0))</f>
        <v> </v>
      </c>
      <c r="DB165" s="318" t="str">
        <f aca="false">IF($A165="N/A"," ",IF(0&lt;&gt;CS165,IF(CC=2,8*$HE165,0),0))</f>
        <v> </v>
      </c>
      <c r="DC165" s="318" t="str">
        <f aca="false">IF($A165="N/A"," ",IF(0&lt;&gt;CT165,IF(CC=2,8*$HF165,0),0))</f>
        <v> </v>
      </c>
      <c r="DD165" s="318" t="str">
        <f aca="false">IF($A165="N/A"," ",IF(0&lt;&gt;CU165,IF(CC=2,8*$HF165,0),0))</f>
        <v> </v>
      </c>
      <c r="DE165" s="318" t="str">
        <f aca="false">IF($A165="N/A"," ",IF(0&lt;&gt;CV165,IF(CC=2,8*$HF165,0),0))</f>
        <v> </v>
      </c>
      <c r="DF165" s="341" t="str">
        <f aca="false">IF($A165="N/A"," ",IF(CC=2,(IF(MONTH(A165)&gt;=4,IF(MONTH(A165)&lt;=10,Inputs!$G$13,Inputs!$G$14),Inputs!$G$14))*$CK165,0))</f>
        <v> </v>
      </c>
      <c r="DG165" s="342" t="str">
        <f aca="false">IF($A165="N/A"," ",IF(CC=2,$DF165*CW165*CN165,0))</f>
        <v> </v>
      </c>
      <c r="DH165" s="342" t="str">
        <f aca="false">IF($A165="N/A"," ",IF(CC=2,$DF165*CX165*CO165,0))</f>
        <v> </v>
      </c>
      <c r="DI165" s="342" t="str">
        <f aca="false">IF($A165="N/A"," ",IF(CC=2,$DF165*CY165*CP165,0))</f>
        <v> </v>
      </c>
      <c r="DJ165" s="342" t="str">
        <f aca="false">IF($A165="N/A"," ",IF(CC=2,$DF165*CZ165*CQ165,0))</f>
        <v> </v>
      </c>
      <c r="DK165" s="342" t="str">
        <f aca="false">IF($A165="N/A"," ",IF(CC=2,$DF165*DA165*CR165,0))</f>
        <v> </v>
      </c>
      <c r="DL165" s="342" t="str">
        <f aca="false">IF($A165="N/A"," ",IF(CC=2,$DF165*DB165*CS165,0))</f>
        <v> </v>
      </c>
      <c r="DM165" s="342" t="str">
        <f aca="false">IF($A165="N/A"," ",IF(CC=2,$DF165*DC165*CT165,0))</f>
        <v> </v>
      </c>
      <c r="DN165" s="342" t="str">
        <f aca="false">IF($A165="N/A"," ",IF(CC=2,$DF165*DD165*CU165,0))</f>
        <v> </v>
      </c>
      <c r="DO165" s="342" t="str">
        <f aca="false">IF($A165="N/A"," ",IF(CC=2,$DF165*DE165*CV165,0))</f>
        <v> </v>
      </c>
      <c r="DP165" s="343" t="str">
        <f aca="false">IF($A165="N/A"," ",IF(CC=2,SUM(DG165:DO165),0))</f>
        <v> </v>
      </c>
      <c r="DQ165" s="0" t="str">
        <f aca="false">IF(A165="N/A"," ",Perstart)</f>
        <v> </v>
      </c>
      <c r="HD165" s="0" t="str">
        <f aca="false">IF($A165="N/A"," ",VLOOKUP($A165,NumberofDaysTable,2))</f>
        <v> </v>
      </c>
      <c r="HE165" s="0" t="str">
        <f aca="false">IF($A165="N/A"," ",VLOOKUP($A165,NumberofDaysTable,3))</f>
        <v> </v>
      </c>
      <c r="HF165" s="0" t="str">
        <f aca="false">IF($A165="N/A"," ",VLOOKUP($A165,NumberofDaysTable,4))</f>
        <v> </v>
      </c>
    </row>
    <row r="166" customFormat="false" ht="12.75" hidden="false" customHeight="false" outlineLevel="0" collapsed="false">
      <c r="A166" s="308" t="str">
        <f aca="false">IF(A165="N/A","N/A",IF(EDATE(A165,1)&gt;Inputs!$K$3,"N/A",EDATE(A165,1)))</f>
        <v>N/A</v>
      </c>
      <c r="B166" s="309" t="str">
        <f aca="false">IF(A166="N/A"," ",YEAR(A166))</f>
        <v> </v>
      </c>
      <c r="C166" s="310" t="str">
        <f aca="false">IF(A166="N/A"," ",VLOOKUP(A166,ScaledPrice,10))</f>
        <v> </v>
      </c>
      <c r="D166" s="311" t="str">
        <f aca="false">IF(A166="N/A"," ",(VLOOKUP(MONTH($A166),Hrtable,2))/1000)</f>
        <v> </v>
      </c>
      <c r="E166" s="312" t="str">
        <f aca="false">IF($A166="N/A"," ",(C166-'Pricing Inputs'!T199)*D166)</f>
        <v> </v>
      </c>
      <c r="F166" s="313" t="str">
        <f aca="false">IF(A166="N/A"," ",$F154*(1+VOMesc))</f>
        <v> </v>
      </c>
      <c r="G166" s="313" t="str">
        <f aca="false">IF(A166="N/A"," ",Perstart/IF(AND(Dayrun&gt;=4,Dayrun&lt;=6),16,IF(AND(Dayrun&gt;=7,Dayrun&lt;=9),8,24))/(BM166/CK166))</f>
        <v> </v>
      </c>
      <c r="H166" s="314" t="str">
        <f aca="false">IF(A166="N/A"," ",(C166*D166)+F166+G166)</f>
        <v> </v>
      </c>
      <c r="I166" s="315" t="str">
        <f aca="false">VLOOKUP(A166,ScaledPrice,(IF(AND(Dayrun&gt;=1,Dayrun&lt;=6),2,4)))</f>
        <v> </v>
      </c>
      <c r="J166" s="315" t="str">
        <f aca="false">IF(A166="N/A"," ",IF(AND(Dayrun&gt;=1,Dayrun&lt;=6),I166,(VLOOKUP(A166,ScaledPrice,2))*(2-(VLOOKUP(A166,ScaledPrice,3)))))</f>
        <v> </v>
      </c>
      <c r="K166" s="315" t="str">
        <f aca="false">IF(A166="N/A"," ",IF(AND(Dayrun&gt;=1,Dayrun&lt;=3),VLOOKUP(A166,ScaledPrice,9),0))</f>
        <v> </v>
      </c>
      <c r="L166" s="315" t="str">
        <f aca="false">IF(A166="N/A"," ",IF(OR(Dayrun=2,Dayrun=3,Dayrun=5,Dayrun=6,Dayrun=8,Dayrun=9),VLOOKUP(A166,ScaledPrice,IF(AND(Dayrun&gt;=2,Dayrun&lt;=6),5,6)),0))</f>
        <v> </v>
      </c>
      <c r="M166" s="315" t="str">
        <f aca="false">IF(A166="N/A"," ",IF(OR(Dayrun=2,Dayrun=3,Dayrun=5,Dayrun=6,Dayrun=8,Dayrun=9),IF(AND(Dayrun&gt;=2,Dayrun&lt;=6),L166,(VLOOKUP(A166,ScaledPrice,5))*(2-(VLOOKUP(A166,ScaledPrice,3)))),0))</f>
        <v> </v>
      </c>
      <c r="N166" s="315" t="str">
        <f aca="false">IF(A166="N/A"," ",IF(AND(Dayrun&gt;1,Dayrun&lt;=3),VLOOKUP(A166,ScaledPrice,9),0))</f>
        <v> </v>
      </c>
      <c r="O166" s="315" t="str">
        <f aca="false">IF(A166="N/A"," ",IF(OR(Dayrun=3,Dayrun=6,Dayrun=9),(VLOOKUP(A166,ScaledPrice,IF(AND(Dayrun&gt;=3,Dayrun&lt;=6),7,8))),0))</f>
        <v> </v>
      </c>
      <c r="P166" s="315" t="str">
        <f aca="false">IF(A166="N/A"," ",IF(OR(Dayrun=3,Dayrun=6,Dayrun=9),IF(AND(Dayrun&gt;=3,Dayrun&lt;=6),O166,(VLOOKUP(A166,ScaledPrice,7))*(2-(VLOOKUP(A166,ScaledPrice,3)))),0))</f>
        <v> </v>
      </c>
      <c r="Q166" s="315" t="str">
        <f aca="false">IF(A166="N/A"," ",IF(AND(Dayrun&gt;2,Dayrun&lt;=3),VLOOKUP(A166,ScaledPrice,9),0))</f>
        <v> </v>
      </c>
      <c r="R166" s="316" t="str">
        <f aca="false">IF($A166="N/A"," ",IF(Pricetype=2,MAX(I166-$H166,0),IF(Pricetype=1,(xSPRDOPT(I166,$E166,$CI166,0,($CD166+IF(Smile=TRUE(),VLOOKUP(MAX(-5,$H166-I166),Volsmile,2),0)),$CG166,$CH166,($A166-DateToday)+15,1,0)),I166-$H166)))</f>
        <v> </v>
      </c>
      <c r="S166" s="316" t="str">
        <f aca="false">IF($A166="N/A"," ",IF(Pricetype=2,MAX(J166-$H166,0),IF(Pricetype=1,(xSPRDOPT(J166,$E166,$CI166,0,($CD166+IF(Smile=TRUE(),VLOOKUP(MAX(-5,$H166-J166),Volsmile,2),0)),$CG166,$CH166,($A166-DateToday)+15,1,0)),J166-$H166)))</f>
        <v> </v>
      </c>
      <c r="T166" s="317" t="str">
        <f aca="false">IF($A166="N/A"," ",(IF(Pricetype=2,IF((K166-$H166)&lt;=0,0,(K166-$H166)),IF(K166&lt;&gt;0,(K166-$H166),0))))</f>
        <v> </v>
      </c>
      <c r="U166" s="316" t="str">
        <f aca="false">IF($A166="N/A"," ",IF(Pricetype=2,MAX(L166-$H166,0),IF(L166&lt;&gt;0,IF(Pricetype=1,(xSPRDOPT(L166,$E166,$CI166,0,($CD166+IF(Smile=TRUE(),VLOOKUP(MAX(-5,$H166-L166),Volsmile,2),0)),$CG166,$CH166,($A166-DateToday)+15,1,0)),L166-$H166),0)))</f>
        <v> </v>
      </c>
      <c r="V166" s="316" t="str">
        <f aca="false">IF($A166="N/A"," ",IF(Pricetype=2,MAX(M166-$H166,0),IF(M166&lt;&gt;0,IF(Pricetype=1,(xSPRDOPT(M166,$E166,$CI166,0,($CD166+IF(Smile=TRUE(),VLOOKUP(MAX(-5,$H166-M166),Volsmile,2),0)),$CG166,$CH166,($A166-DateToday)+15,1,0)),M166-$H166),0)))</f>
        <v> </v>
      </c>
      <c r="W166" s="317" t="str">
        <f aca="false">IF($A166="N/A"," ",(IF(Pricetype=2,IF((N166-$H166)&lt;=0,0,(N166-$H166)),IF(N166&lt;&gt;0,(N166-$H166),0))))</f>
        <v> </v>
      </c>
      <c r="X166" s="316" t="str">
        <f aca="false">IF($A166="N/A"," ",IF(Pricetype=2,MAX(O166-$H166,0),IF(O166&lt;&gt;0,IF(Pricetype=1,(xSPRDOPT(O166,$E166,$CI166,0,($CD166+IF(Smile=TRUE(),VLOOKUP(MAX(-5,$H166-O166),Volsmile,2),0)),$CG166,$CH166,($A166-DateToday)+15,1,0)),O166-$H166),0)))</f>
        <v> </v>
      </c>
      <c r="Y166" s="316" t="str">
        <f aca="false">IF($A166="N/A"," ",IF(Pricetype=2,MAX(P166-$H166,0),IF(P166&lt;&gt;0,IF(Pricetype=1,(xSPRDOPT(P166,$E166,$CI166,0,($CD166+IF(Smile=TRUE(),VLOOKUP(MAX(-5,$H166-P166),Volsmile,2),0)),$CG166,$CH166,($A166-DateToday)+15,1,0)),P166-$H166),0)))</f>
        <v> </v>
      </c>
      <c r="Z166" s="317" t="str">
        <f aca="false">IF($A166="N/A"," ",(IF(Pricetype=2,IF((Q166-$H166)&lt;=0,0,(Q166-$H166)),IF(Q166&lt;&gt;0,(Q166-$H166),0))))</f>
        <v> </v>
      </c>
      <c r="AA166" s="318" t="str">
        <f aca="false">IF($A166="N/A"," ",IF(VLOOKUP(MONTH(A166),ManualTable,2)=1,(IF(0&lt;&gt;R166,IF(Pricetype=1,(xSPRDOPT(I166,$E166,$CI166,0,($CD166+IF(Smile=TRUE(),VLOOKUP(MAX(-5,$H166-I166),Volsmile,2),0)),$CG166,$CH166,($A166-DateToday)+15,1,1))*(8*$HD166),8*$HD166),0)),0))</f>
        <v> </v>
      </c>
      <c r="AB166" s="318" t="str">
        <f aca="false">IF($A166="N/A"," ",IF(VLOOKUP(MONTH(A166),ManualTable,3)=1,(IF(S166&lt;&gt;0,IF(Pricetype=1,(xSPRDOPT(J166,$E166,$CI166,0,($CD166+IF(Smile=TRUE(),VLOOKUP(MAX(-5,$H166-J166),Volsmile,2),0)),$CG166,$CH166,($A166-DateToday)+15,1,1))*(8*$HD166),8*$HD166),0)),0))</f>
        <v> </v>
      </c>
      <c r="AC166" s="318" t="str">
        <f aca="false">IF($A166="N/A"," ",IF(VLOOKUP(MONTH(A166),ManualTable,4)=1,(IF(T166&lt;&gt;0,(8*$HD166),0)),0))</f>
        <v> </v>
      </c>
      <c r="AD166" s="318" t="str">
        <f aca="false">IF($A166="N/A"," ",IF(VLOOKUP(MONTH(A166),ManualTable,5)=1,(IF(U166&lt;&gt;0,IF(Pricetype=1,(xSPRDOPT(L166,$E166,$CI166,0,($CD166+IF(Smile=TRUE(),VLOOKUP(MAX(-5,$H166-L166),Volsmile,2),0)),$CG166,$CH166,($A166-DateToday)+15,1,1))*(8*$HE166),8*$HE166),0)),0))</f>
        <v> </v>
      </c>
      <c r="AE166" s="318" t="str">
        <f aca="false">IF($A166="N/A"," ",IF(VLOOKUP(MONTH(A166),ManualTable,6)=1,(IF(V166&lt;&gt;0,IF(Pricetype=1,(xSPRDOPT(M166,$E166,$CI166,0,($CD166+IF(Smile=TRUE(),VLOOKUP(MAX(-5,$H166-M166),Volsmile,2),0)),$CG166,$CH166,($A166-DateToday)+15,1,1))*(8*$HE166),8*$HE166),0)),0))</f>
        <v> </v>
      </c>
      <c r="AF166" s="318" t="str">
        <f aca="false">IF($A166="N/A"," ",IF(VLOOKUP(MONTH(A166),ManualTable,7)=1,(IF(W166&lt;&gt;0,(8*$HE166),0)),0))</f>
        <v> </v>
      </c>
      <c r="AG166" s="318" t="str">
        <f aca="false">IF($A166="N/A"," ",IF(VLOOKUP(MONTH(A166),ManualTable,8)=1,(IF(X166&lt;&gt;0,IF(Pricetype=1,(xSPRDOPT(O166,$E166,$CI166,0,($CD166+IF(Smile=TRUE(),VLOOKUP(MAX(-5,$H166-O166),Volsmile,2),0)),$CG166,$CH166,($A166-DateToday)+15,1,1))*(8*$HF166),8*$HF166),0)),0))</f>
        <v> </v>
      </c>
      <c r="AH166" s="318" t="str">
        <f aca="false">IF($A166="N/A"," ",IF(VLOOKUP(MONTH(A166),ManualTable,9)=1,(IF(Y166&lt;&gt;0,IF(Pricetype=1,(xSPRDOPT(P166,$E166,$CI166,0,($CD166+IF(Smile=TRUE(),VLOOKUP(MAX(-5,$H166-P166),Volsmile,2),0)),$CG166,$CH166,($A166-DateToday)+15,1,1))*(8*$HF166),8*$HF166),0)),0))</f>
        <v> </v>
      </c>
      <c r="AI166" s="318" t="str">
        <f aca="false">IF($A166="N/A"," ",IF(VLOOKUP(MONTH(A166),ManualTable,10)=1,(IF(Z166&lt;&gt;0,(8*($HF166)),0)),0))</f>
        <v> </v>
      </c>
      <c r="AJ166" s="344" t="str">
        <f aca="false">IF($A166="N/A"," ",RANK(R166,$R$160:$Z$171))</f>
        <v> </v>
      </c>
      <c r="AK166" s="321" t="str">
        <f aca="false">IF($A166="N/A"," ",RANK(S166,$R$160:$Z$171))</f>
        <v> </v>
      </c>
      <c r="AL166" s="321" t="str">
        <f aca="false">IF($A166="N/A"," ",RANK(T166,$R$160:$Z$171))</f>
        <v> </v>
      </c>
      <c r="AM166" s="321" t="str">
        <f aca="false">IF($A166="N/A"," ",RANK(U166,$R$160:$Z$171))</f>
        <v> </v>
      </c>
      <c r="AN166" s="321" t="str">
        <f aca="false">IF($A166="N/A"," ",RANK(V166,$R$160:$Z$171))</f>
        <v> </v>
      </c>
      <c r="AO166" s="321" t="str">
        <f aca="false">IF($A166="N/A"," ",RANK(W166,$R$160:$Z$171))</f>
        <v> </v>
      </c>
      <c r="AP166" s="321" t="str">
        <f aca="false">IF($A166="N/A"," ",RANK(X166,$R$160:$Z$171))</f>
        <v> </v>
      </c>
      <c r="AQ166" s="321" t="str">
        <f aca="false">IF($A166="N/A"," ",RANK(Y166,$R$160:$Z$171))</f>
        <v> </v>
      </c>
      <c r="AR166" s="345" t="str">
        <f aca="false">IF($A166="N/A"," ",RANK(Z166,$R$160:$Z$171))</f>
        <v> </v>
      </c>
      <c r="AS166" s="323" t="str">
        <f aca="false">IF($A166="N/A"," ",IF(AJ166&lt;=$AR$2,AA166,0))</f>
        <v> </v>
      </c>
      <c r="AT166" s="325" t="str">
        <f aca="false">IF($A166="N/A"," ",IF(AK166&lt;=$AR$2,AB166,0))</f>
        <v> </v>
      </c>
      <c r="AU166" s="325" t="str">
        <f aca="false">IF($A166="N/A"," ",IF(AL166&lt;=$AR$2,AC166,0))</f>
        <v> </v>
      </c>
      <c r="AV166" s="325" t="str">
        <f aca="false">IF($A166="N/A"," ",IF(AM166&lt;=$AR$2,AD166,0))</f>
        <v> </v>
      </c>
      <c r="AW166" s="325" t="str">
        <f aca="false">IF($A166="N/A"," ",IF(AN166&lt;=$AR$2,AE166,0))</f>
        <v> </v>
      </c>
      <c r="AX166" s="325" t="str">
        <f aca="false">IF($A166="N/A"," ",IF(AO166&lt;=$AR$2,AF166,0))</f>
        <v> </v>
      </c>
      <c r="AY166" s="325" t="str">
        <f aca="false">IF($A166="N/A"," ",IF(AP166&lt;=$AR$2,AG166,0))</f>
        <v> </v>
      </c>
      <c r="AZ166" s="325" t="str">
        <f aca="false">IF($A166="N/A"," ",IF(AQ166&lt;=$AR$2,AH166,0))</f>
        <v> </v>
      </c>
      <c r="BA166" s="325" t="str">
        <f aca="false">IF($A166="N/A"," ",IF(AR166&lt;=$AR$2,AI166,0))</f>
        <v> </v>
      </c>
      <c r="BB166" s="345"/>
      <c r="BC166" s="326" t="str">
        <f aca="false">IF($A166="N/A"," ",IF(AND(AJ166=$AR$2+1,AS166=0),MIN($BB$171,AA166),0))</f>
        <v> </v>
      </c>
      <c r="BD166" s="346" t="str">
        <f aca="false">IF($A166="N/A"," ",IF(AND(AK166=$AR$2+1,AT166=0),MIN($BB$171,AB166),0))</f>
        <v> </v>
      </c>
      <c r="BE166" s="346" t="str">
        <f aca="false">IF($A166="N/A"," ",IF(AND(AL166=$AR$2+1,AU166=0),MIN($BB$171,AC166),0))</f>
        <v> </v>
      </c>
      <c r="BF166" s="346" t="str">
        <f aca="false">IF($A166="N/A"," ",IF(AND(AM166=$AR$2+1,AV166=0),MIN($BB$171,AD166),0))</f>
        <v> </v>
      </c>
      <c r="BG166" s="346" t="str">
        <f aca="false">IF($A166="N/A"," ",IF(AND(AN166=$AR$2+1,AW166=0),MIN($BB$171,AE166),0))</f>
        <v> </v>
      </c>
      <c r="BH166" s="346" t="str">
        <f aca="false">IF($A166="N/A"," ",IF(AND(AO166=$AR$2+1,AX166=0),MIN($BB$171,AF166),0))</f>
        <v> </v>
      </c>
      <c r="BI166" s="346" t="str">
        <f aca="false">IF($A166="N/A"," ",IF(AND(AP166=$AR$2+1,AY166=0),MIN($BB$171,AG166),0))</f>
        <v> </v>
      </c>
      <c r="BJ166" s="346" t="str">
        <f aca="false">IF($A166="N/A"," ",IF(AND(AQ166=$AR$2+1,AZ166=0),MIN($BB$171,AH166),0))</f>
        <v> </v>
      </c>
      <c r="BK166" s="346" t="str">
        <f aca="false">IF($A166="N/A"," ",IF(AND(AR166=$AR$2+1,BA166=0),MIN($BB$171,AI166),0))</f>
        <v> </v>
      </c>
      <c r="BL166" s="345"/>
      <c r="BM166" s="329" t="str">
        <f aca="false">IF($A166="N/A"," ",(IF(MONTH(A166)&gt;=4,IF(MONTH(A166)&lt;=10,Inputs!$F$13-Inputs!$G$13,Inputs!$F$14-Inputs!$G$14),Inputs!$F$14-Inputs!$G$14))*$CK166*Availability)</f>
        <v> </v>
      </c>
      <c r="BN166" s="330" t="str">
        <f aca="false">IF($A166="N/A"," ",(IF(AS166&gt;0,($BM166*(8*($HD166))*R166),0)+IF(BC166&gt;0,($BM166*((BC166/AA166)*8*$HD166)*R166),0)))</f>
        <v> </v>
      </c>
      <c r="BO166" s="330" t="str">
        <f aca="false">IF($A166="N/A"," ",(IF(AT166&gt;0,($BM166*(8*($HD166))*S166),0)+IF(BD166&gt;0,($BM166*((BD166/AB166)*8*$HD166)*S166),0)))</f>
        <v> </v>
      </c>
      <c r="BP166" s="330" t="str">
        <f aca="false">IF($A166="N/A"," ",(IF(AU166&gt;0,($BM166*(8*($HD166))*T166),0)+IF(BE166&gt;0,($BM166*((BE166))*T166),0)))</f>
        <v> </v>
      </c>
      <c r="BQ166" s="330" t="str">
        <f aca="false">IF($A166="N/A"," ",(IF(AV166&gt;0,($BM166*(8*($HE166))*U166),0)+IF(BF166&gt;0,($BM166*((BF166/AD166)*8*$HE166)*U166),0)))</f>
        <v> </v>
      </c>
      <c r="BR166" s="330" t="str">
        <f aca="false">IF($A166="N/A"," ",(IF(AW166&gt;0,($BM166*(8*($HE166))*V166),0)+IF(BG166&gt;0,($BM166*((BG166/AE166)*8*$HE166)*V166),0)))</f>
        <v> </v>
      </c>
      <c r="BS166" s="330" t="str">
        <f aca="false">IF($A166="N/A"," ",(IF(AX166&gt;0,($BM166*(8*($HE166))*W166),0)+IF(BH166&gt;0,($BM166*((BH166))*W166),0)))</f>
        <v> </v>
      </c>
      <c r="BT166" s="330" t="str">
        <f aca="false">IF($A166="N/A"," ",(IF(AY166&gt;0,($BM166*(8*($HF166))*X166),0)+IF(BI166&gt;0,($BM166*((BI166/AG166)*8*$HF166)*X166),0)))</f>
        <v> </v>
      </c>
      <c r="BU166" s="330" t="str">
        <f aca="false">IF($A166="N/A"," ",(IF(AZ166&gt;0,($BM166*(8*($HF166))*Y166),0)+IF(BJ166&gt;0,($BM166*((BJ166/AH166)*8*$HF166)*Y166),0)))</f>
        <v> </v>
      </c>
      <c r="BV166" s="330" t="str">
        <f aca="false">IF($A166="N/A"," ",(IF(BA166&gt;0,($BM166*(8*($HF166))*Z166),0)+IF(BK166&gt;0,($BM166*((BK166))*Z166),0)))</f>
        <v> </v>
      </c>
      <c r="BW166" s="330" t="str">
        <f aca="false">IF($A166="N/A"," ",SUM(BN166:BV166))</f>
        <v> </v>
      </c>
      <c r="BX166" s="331" t="str">
        <f aca="false">IF($A166="N/A"," ",(H166*(SUM(AS166:BA166)+SUM(BC166:BK166))*BM166))</f>
        <v> </v>
      </c>
      <c r="BY166" s="332" t="str">
        <f aca="false">IF($A166="N/A"," ",((C166*D166)*(SUM($AS166:$BA166)+SUM($BC166:$BK166))*$BM166))</f>
        <v> </v>
      </c>
      <c r="BZ166" s="332" t="str">
        <f aca="false">IF($A166="N/A"," ",(F166*(SUM($AS166:$BA166)+SUM($BC166:$BK166))*$BM166))</f>
        <v> </v>
      </c>
      <c r="CA166" s="333" t="str">
        <f aca="false">IF($A166="N/A"," ",(G166*(SUM($AS166:$BA166)+SUM($BC166:$BK166))*$BM166))</f>
        <v> </v>
      </c>
      <c r="CB166" s="334" t="str">
        <f aca="false">IF(A166="N/A"," ",(VLOOKUP(A166,PowerVolTable,(IF(BMO=2,7,IF(BMO=1,6,8))),FALSE())))</f>
        <v> </v>
      </c>
      <c r="CC166" s="334" t="str">
        <f aca="false">IF(A166="N/A"," ",(VLOOKUP(A166,IntraPowerVol,(IF(BMO=2,3,IF(BMO=1,2,4))),FALSE())*VLOOKUP(MONTH($A166),Volscale,2)))</f>
        <v> </v>
      </c>
      <c r="CD166" s="335" t="str">
        <f aca="false">IF($A166="N/A"," ",(IF(DateToday&gt;$A166,$CC166,((($CB166^2)*((($A166-1)-DateToday)/((EOMONTH($A166,0)+1)-DateToday-15)))+((($CC166)^2)*((15)/((EOMONTH($A166,0)+1)-DateToday-15))))^0.5)))</f>
        <v> </v>
      </c>
      <c r="CE166" s="334" t="str">
        <f aca="false">IF($A166="N/A"," ",(VLOOKUP($A166,GasVolTable,(IF(BMO=2,6,IF(BMO=1,7,5))),FALSE())))</f>
        <v> </v>
      </c>
      <c r="CF166" s="334" t="str">
        <f aca="false">IF($A166="N/A"," ",(VLOOKUP($A166,OmicronVol,(IF(BMO=2,3,IF(BMO=1,4,2))),FALSE())))</f>
        <v> </v>
      </c>
      <c r="CG166" s="335" t="str">
        <f aca="false">IF($A166="N/A"," ",(IF(DateToday&gt;$A166,$CF166,((($CE166^2)*((($A166-1)-DateToday)/((EOMONTH($A166,0)+1)-DateToday-15)))+((($CF166)^2)*((15)/((EOMONTH($A166,0)+1)-DateToday-15))))^0.5)))</f>
        <v> </v>
      </c>
      <c r="CH166" s="334" t="str">
        <f aca="false">IF($A166="N/A"," ",VLOOKUP($A166,CorrelationTable,2,FALSE()))</f>
        <v> </v>
      </c>
      <c r="CI166" s="336" t="str">
        <f aca="false">IF($A166="N/A"," ",F166+G166+(D166*('Pricing Inputs'!T199)))</f>
        <v> </v>
      </c>
      <c r="CJ166" s="334" t="str">
        <f aca="false">IF($A166="N/A"," ",IF(PV=1,0,'Pricing Inputs'!U199))</f>
        <v> </v>
      </c>
      <c r="CK166" s="337" t="str">
        <f aca="false">IF($A166="N/A"," ",(1+CJ166/2)^(-2*((EOMONTH(A166,0)+20)-DateToday)/365.25))</f>
        <v> </v>
      </c>
      <c r="CL166" s="338" t="str">
        <f aca="false">IF(A166="N/A"," ",IF(CC=2,(VLOOKUP(MONTH($A166),Hrtable,3))/1000,0))</f>
        <v> </v>
      </c>
      <c r="CM166" s="339" t="str">
        <f aca="false">IF(A166="N/A"," ",IF(CC=2,(CL166*C166)+F166,0))</f>
        <v> </v>
      </c>
      <c r="CN166" s="340" t="str">
        <f aca="false">IF($A166="N/A"," ",IF(CC=2,(VLOOKUP(A166,ScaledPrice,(IF(AND(Dayrun&gt;=1,Dayrun&lt;=6),2,4)))-((IF(R166&lt;&gt;0,$D166,$CL166)*$C166)+$F166+$G166)),0))</f>
        <v> </v>
      </c>
      <c r="CO166" s="340" t="str">
        <f aca="false">IF($A166="N/A"," ",IF(CC=2,(IF(AND(Dayrun&gt;=1,Dayrun&lt;=6),I166,(VLOOKUP(A166,ScaledPrice,2))*(2-(VLOOKUP(A166,ScaledPrice,3))))-((IF(S166&lt;&gt;0,$D166,$CL166)*$C166)+$F166+$G166)),0))</f>
        <v> </v>
      </c>
      <c r="CP166" s="340" t="str">
        <f aca="false">IF(A166="N/A"," ",IF(CC=2,(VLOOKUP(A166,ScaledPrice,9)-((IF(T166&lt;&gt;0,$D166,$CL166)*$C166)+$F166+$G166)),0))</f>
        <v> </v>
      </c>
      <c r="CQ166" s="340" t="str">
        <f aca="false">IF(A166="N/A"," ",IF(CC=2,(IF(OR(Dayrun=2,Dayrun=3,Dayrun=5,Dayrun=6,Dayrun=8,Dayrun=9),VLOOKUP(A166,ScaledPrice,IF(AND(Dayrun&gt;=2,Dayrun&lt;=6),5,6)),0)-((IF(U166&lt;&gt;0,$D166,$CL166)*$C166)+$F166+$G166)),0))</f>
        <v> </v>
      </c>
      <c r="CR166" s="340" t="str">
        <f aca="false">IF(A166="N/A"," ",IF(CC=2,(IF(OR(Dayrun=2,Dayrun=3,Dayrun=5,Dayrun=6,Dayrun=8,Dayrun=9),IF(AND(Dayrun&gt;=2,Dayrun&lt;=6),L166,(VLOOKUP(A166,ScaledPrice,5))*(2-(VLOOKUP(A166,ScaledPrice,3)))),0)-((IF(V166&lt;&gt;0,$D166,$CL166)*$C166)+$F166+$G166)),0))</f>
        <v> </v>
      </c>
      <c r="CS166" s="340" t="str">
        <f aca="false">IF(A166="N/A"," ",IF(CC=2,(VLOOKUP(A166,ScaledPrice,9)-((IF(W166&lt;&gt;0,$D166,$CL166)*$C166)+$F166+$G166)),0))</f>
        <v> </v>
      </c>
      <c r="CT166" s="340" t="str">
        <f aca="false">IF(A166="N/A"," ",IF(CC=2,(IF(OR(Dayrun=3,Dayrun=6,Dayrun=9),(VLOOKUP(A166,ScaledPrice,IF(AND(Dayrun&gt;=3,Dayrun&lt;=6),7,8))),0)-((IF(X166&lt;&gt;0,$D166,$CL166)*$C166)+$F166+$G166)),0))</f>
        <v> </v>
      </c>
      <c r="CU166" s="340" t="str">
        <f aca="false">IF(A166="N/A"," ",IF(CC=2,(IF(OR(Dayrun=3,Dayrun=6,Dayrun=9),IF(AND(Dayrun&gt;=3,Dayrun&lt;=6),O166,(VLOOKUP(A166,ScaledPrice,7))*(2-(VLOOKUP(A166,ScaledPrice,3)))),0)-((IF(Y166&lt;&gt;0,$D166,$CL166)*$C166)+$F166+$G166)),0))</f>
        <v> </v>
      </c>
      <c r="CV166" s="340" t="str">
        <f aca="false">IF(A166="N/A"," ",IF(CC=2,(VLOOKUP(A166,ScaledPrice,9)-((IF(Z166&lt;&gt;0,$D166,$CL166)*$C166)+$F166+$G166)),0))</f>
        <v> </v>
      </c>
      <c r="CW166" s="318" t="str">
        <f aca="false">IF($A166="N/A"," ",IF(0&lt;&gt;CN166,IF(CC=2,8*$HD166,0),0))</f>
        <v> </v>
      </c>
      <c r="CX166" s="318" t="str">
        <f aca="false">IF($A166="N/A"," ",IF(0&lt;&gt;CO166,IF(CC=2,8*$HD166,0),0))</f>
        <v> </v>
      </c>
      <c r="CY166" s="318" t="str">
        <f aca="false">IF($A166="N/A"," ",IF(0&lt;&gt;CP166,IF(CC=2,8*$HD166,0),0))</f>
        <v> </v>
      </c>
      <c r="CZ166" s="318" t="str">
        <f aca="false">IF($A166="N/A"," ",IF(0&lt;&gt;CQ166,IF(CC=2,8*$HE166,0),0))</f>
        <v> </v>
      </c>
      <c r="DA166" s="318" t="str">
        <f aca="false">IF($A166="N/A"," ",IF(0&lt;&gt;CR166,IF(CC=2,8*$HE166,0),0))</f>
        <v> </v>
      </c>
      <c r="DB166" s="318" t="str">
        <f aca="false">IF($A166="N/A"," ",IF(0&lt;&gt;CS166,IF(CC=2,8*$HE166,0),0))</f>
        <v> </v>
      </c>
      <c r="DC166" s="318" t="str">
        <f aca="false">IF($A166="N/A"," ",IF(0&lt;&gt;CT166,IF(CC=2,8*$HF166,0),0))</f>
        <v> </v>
      </c>
      <c r="DD166" s="318" t="str">
        <f aca="false">IF($A166="N/A"," ",IF(0&lt;&gt;CU166,IF(CC=2,8*$HF166,0),0))</f>
        <v> </v>
      </c>
      <c r="DE166" s="318" t="str">
        <f aca="false">IF($A166="N/A"," ",IF(0&lt;&gt;CV166,IF(CC=2,8*$HF166,0),0))</f>
        <v> </v>
      </c>
      <c r="DF166" s="341" t="str">
        <f aca="false">IF($A166="N/A"," ",IF(CC=2,(IF(MONTH(A166)&gt;=4,IF(MONTH(A166)&lt;=10,Inputs!$G$13,Inputs!$G$14),Inputs!$G$14))*$CK166,0))</f>
        <v> </v>
      </c>
      <c r="DG166" s="342" t="str">
        <f aca="false">IF($A166="N/A"," ",IF(CC=2,$DF166*CW166*CN166,0))</f>
        <v> </v>
      </c>
      <c r="DH166" s="342" t="str">
        <f aca="false">IF($A166="N/A"," ",IF(CC=2,$DF166*CX166*CO166,0))</f>
        <v> </v>
      </c>
      <c r="DI166" s="342" t="str">
        <f aca="false">IF($A166="N/A"," ",IF(CC=2,$DF166*CY166*CP166,0))</f>
        <v> </v>
      </c>
      <c r="DJ166" s="342" t="str">
        <f aca="false">IF($A166="N/A"," ",IF(CC=2,$DF166*CZ166*CQ166,0))</f>
        <v> </v>
      </c>
      <c r="DK166" s="342" t="str">
        <f aca="false">IF($A166="N/A"," ",IF(CC=2,$DF166*DA166*CR166,0))</f>
        <v> </v>
      </c>
      <c r="DL166" s="342" t="str">
        <f aca="false">IF($A166="N/A"," ",IF(CC=2,$DF166*DB166*CS166,0))</f>
        <v> </v>
      </c>
      <c r="DM166" s="342" t="str">
        <f aca="false">IF($A166="N/A"," ",IF(CC=2,$DF166*DC166*CT166,0))</f>
        <v> </v>
      </c>
      <c r="DN166" s="342" t="str">
        <f aca="false">IF($A166="N/A"," ",IF(CC=2,$DF166*DD166*CU166,0))</f>
        <v> </v>
      </c>
      <c r="DO166" s="342" t="str">
        <f aca="false">IF($A166="N/A"," ",IF(CC=2,$DF166*DE166*CV166,0))</f>
        <v> </v>
      </c>
      <c r="DP166" s="343" t="str">
        <f aca="false">IF($A166="N/A"," ",IF(CC=2,SUM(DG166:DO166),0))</f>
        <v> </v>
      </c>
      <c r="DQ166" s="0" t="str">
        <f aca="false">IF(A166="N/A"," ",Perstart)</f>
        <v> </v>
      </c>
      <c r="HD166" s="0" t="str">
        <f aca="false">IF($A166="N/A"," ",VLOOKUP($A166,NumberofDaysTable,2))</f>
        <v> </v>
      </c>
      <c r="HE166" s="0" t="str">
        <f aca="false">IF($A166="N/A"," ",VLOOKUP($A166,NumberofDaysTable,3))</f>
        <v> </v>
      </c>
      <c r="HF166" s="0" t="str">
        <f aca="false">IF($A166="N/A"," ",VLOOKUP($A166,NumberofDaysTable,4))</f>
        <v> </v>
      </c>
    </row>
    <row r="167" customFormat="false" ht="12.75" hidden="false" customHeight="false" outlineLevel="0" collapsed="false">
      <c r="A167" s="308" t="str">
        <f aca="false">IF(A166="N/A","N/A",IF(EDATE(A166,1)&gt;Inputs!$K$3,"N/A",EDATE(A166,1)))</f>
        <v>N/A</v>
      </c>
      <c r="B167" s="309" t="str">
        <f aca="false">IF(A167="N/A"," ",YEAR(A167))</f>
        <v> </v>
      </c>
      <c r="C167" s="310" t="str">
        <f aca="false">IF(A167="N/A"," ",VLOOKUP(A167,ScaledPrice,10))</f>
        <v> </v>
      </c>
      <c r="D167" s="311" t="str">
        <f aca="false">IF(A167="N/A"," ",(VLOOKUP(MONTH($A167),Hrtable,2))/1000)</f>
        <v> </v>
      </c>
      <c r="E167" s="312" t="str">
        <f aca="false">IF($A167="N/A"," ",(C167-'Pricing Inputs'!T200)*D167)</f>
        <v> </v>
      </c>
      <c r="F167" s="313" t="str">
        <f aca="false">IF(A167="N/A"," ",$F155*(1+VOMesc))</f>
        <v> </v>
      </c>
      <c r="G167" s="313" t="str">
        <f aca="false">IF(A167="N/A"," ",Perstart/IF(AND(Dayrun&gt;=4,Dayrun&lt;=6),16,IF(AND(Dayrun&gt;=7,Dayrun&lt;=9),8,24))/(BM167/CK167))</f>
        <v> </v>
      </c>
      <c r="H167" s="314" t="str">
        <f aca="false">IF(A167="N/A"," ",(C167*D167)+F167+G167)</f>
        <v> </v>
      </c>
      <c r="I167" s="315" t="str">
        <f aca="false">VLOOKUP(A167,ScaledPrice,(IF(AND(Dayrun&gt;=1,Dayrun&lt;=6),2,4)))</f>
        <v> </v>
      </c>
      <c r="J167" s="315" t="str">
        <f aca="false">IF(A167="N/A"," ",IF(AND(Dayrun&gt;=1,Dayrun&lt;=6),I167,(VLOOKUP(A167,ScaledPrice,2))*(2-(VLOOKUP(A167,ScaledPrice,3)))))</f>
        <v> </v>
      </c>
      <c r="K167" s="315" t="str">
        <f aca="false">IF(A167="N/A"," ",IF(AND(Dayrun&gt;=1,Dayrun&lt;=3),VLOOKUP(A167,ScaledPrice,9),0))</f>
        <v> </v>
      </c>
      <c r="L167" s="315" t="str">
        <f aca="false">IF(A167="N/A"," ",IF(OR(Dayrun=2,Dayrun=3,Dayrun=5,Dayrun=6,Dayrun=8,Dayrun=9),VLOOKUP(A167,ScaledPrice,IF(AND(Dayrun&gt;=2,Dayrun&lt;=6),5,6)),0))</f>
        <v> </v>
      </c>
      <c r="M167" s="315" t="str">
        <f aca="false">IF(A167="N/A"," ",IF(OR(Dayrun=2,Dayrun=3,Dayrun=5,Dayrun=6,Dayrun=8,Dayrun=9),IF(AND(Dayrun&gt;=2,Dayrun&lt;=6),L167,(VLOOKUP(A167,ScaledPrice,5))*(2-(VLOOKUP(A167,ScaledPrice,3)))),0))</f>
        <v> </v>
      </c>
      <c r="N167" s="315" t="str">
        <f aca="false">IF(A167="N/A"," ",IF(AND(Dayrun&gt;1,Dayrun&lt;=3),VLOOKUP(A167,ScaledPrice,9),0))</f>
        <v> </v>
      </c>
      <c r="O167" s="315" t="str">
        <f aca="false">IF(A167="N/A"," ",IF(OR(Dayrun=3,Dayrun=6,Dayrun=9),(VLOOKUP(A167,ScaledPrice,IF(AND(Dayrun&gt;=3,Dayrun&lt;=6),7,8))),0))</f>
        <v> </v>
      </c>
      <c r="P167" s="315" t="str">
        <f aca="false">IF(A167="N/A"," ",IF(OR(Dayrun=3,Dayrun=6,Dayrun=9),IF(AND(Dayrun&gt;=3,Dayrun&lt;=6),O167,(VLOOKUP(A167,ScaledPrice,7))*(2-(VLOOKUP(A167,ScaledPrice,3)))),0))</f>
        <v> </v>
      </c>
      <c r="Q167" s="315" t="str">
        <f aca="false">IF(A167="N/A"," ",IF(AND(Dayrun&gt;2,Dayrun&lt;=3),VLOOKUP(A167,ScaledPrice,9),0))</f>
        <v> </v>
      </c>
      <c r="R167" s="316" t="str">
        <f aca="false">IF($A167="N/A"," ",IF(Pricetype=2,MAX(I167-$H167,0),IF(Pricetype=1,(xSPRDOPT(I167,$E167,$CI167,0,($CD167+IF(Smile=TRUE(),VLOOKUP(MAX(-5,$H167-I167),Volsmile,2),0)),$CG167,$CH167,($A167-DateToday)+15,1,0)),I167-$H167)))</f>
        <v> </v>
      </c>
      <c r="S167" s="316" t="str">
        <f aca="false">IF($A167="N/A"," ",IF(Pricetype=2,MAX(J167-$H167,0),IF(Pricetype=1,(xSPRDOPT(J167,$E167,$CI167,0,($CD167+IF(Smile=TRUE(),VLOOKUP(MAX(-5,$H167-J167),Volsmile,2),0)),$CG167,$CH167,($A167-DateToday)+15,1,0)),J167-$H167)))</f>
        <v> </v>
      </c>
      <c r="T167" s="317" t="str">
        <f aca="false">IF($A167="N/A"," ",(IF(Pricetype=2,IF((K167-$H167)&lt;=0,0,(K167-$H167)),IF(K167&lt;&gt;0,(K167-$H167),0))))</f>
        <v> </v>
      </c>
      <c r="U167" s="316" t="str">
        <f aca="false">IF($A167="N/A"," ",IF(Pricetype=2,MAX(L167-$H167,0),IF(L167&lt;&gt;0,IF(Pricetype=1,(xSPRDOPT(L167,$E167,$CI167,0,($CD167+IF(Smile=TRUE(),VLOOKUP(MAX(-5,$H167-L167),Volsmile,2),0)),$CG167,$CH167,($A167-DateToday)+15,1,0)),L167-$H167),0)))</f>
        <v> </v>
      </c>
      <c r="V167" s="316" t="str">
        <f aca="false">IF($A167="N/A"," ",IF(Pricetype=2,MAX(M167-$H167,0),IF(M167&lt;&gt;0,IF(Pricetype=1,(xSPRDOPT(M167,$E167,$CI167,0,($CD167+IF(Smile=TRUE(),VLOOKUP(MAX(-5,$H167-M167),Volsmile,2),0)),$CG167,$CH167,($A167-DateToday)+15,1,0)),M167-$H167),0)))</f>
        <v> </v>
      </c>
      <c r="W167" s="317" t="str">
        <f aca="false">IF($A167="N/A"," ",(IF(Pricetype=2,IF((N167-$H167)&lt;=0,0,(N167-$H167)),IF(N167&lt;&gt;0,(N167-$H167),0))))</f>
        <v> </v>
      </c>
      <c r="X167" s="316" t="str">
        <f aca="false">IF($A167="N/A"," ",IF(Pricetype=2,MAX(O167-$H167,0),IF(O167&lt;&gt;0,IF(Pricetype=1,(xSPRDOPT(O167,$E167,$CI167,0,($CD167+IF(Smile=TRUE(),VLOOKUP(MAX(-5,$H167-O167),Volsmile,2),0)),$CG167,$CH167,($A167-DateToday)+15,1,0)),O167-$H167),0)))</f>
        <v> </v>
      </c>
      <c r="Y167" s="316" t="str">
        <f aca="false">IF($A167="N/A"," ",IF(Pricetype=2,MAX(P167-$H167,0),IF(P167&lt;&gt;0,IF(Pricetype=1,(xSPRDOPT(P167,$E167,$CI167,0,($CD167+IF(Smile=TRUE(),VLOOKUP(MAX(-5,$H167-P167),Volsmile,2),0)),$CG167,$CH167,($A167-DateToday)+15,1,0)),P167-$H167),0)))</f>
        <v> </v>
      </c>
      <c r="Z167" s="317" t="str">
        <f aca="false">IF($A167="N/A"," ",(IF(Pricetype=2,IF((Q167-$H167)&lt;=0,0,(Q167-$H167)),IF(Q167&lt;&gt;0,(Q167-$H167),0))))</f>
        <v> </v>
      </c>
      <c r="AA167" s="318" t="str">
        <f aca="false">IF($A167="N/A"," ",IF(VLOOKUP(MONTH(A167),ManualTable,2)=1,(IF(0&lt;&gt;R167,IF(Pricetype=1,(xSPRDOPT(I167,$E167,$CI167,0,($CD167+IF(Smile=TRUE(),VLOOKUP(MAX(-5,$H167-I167),Volsmile,2),0)),$CG167,$CH167,($A167-DateToday)+15,1,1))*(8*$HD167),8*$HD167),0)),0))</f>
        <v> </v>
      </c>
      <c r="AB167" s="318" t="str">
        <f aca="false">IF($A167="N/A"," ",IF(VLOOKUP(MONTH(A167),ManualTable,3)=1,(IF(S167&lt;&gt;0,IF(Pricetype=1,(xSPRDOPT(J167,$E167,$CI167,0,($CD167+IF(Smile=TRUE(),VLOOKUP(MAX(-5,$H167-J167),Volsmile,2),0)),$CG167,$CH167,($A167-DateToday)+15,1,1))*(8*$HD167),8*$HD167),0)),0))</f>
        <v> </v>
      </c>
      <c r="AC167" s="318" t="str">
        <f aca="false">IF($A167="N/A"," ",IF(VLOOKUP(MONTH(A167),ManualTable,4)=1,(IF(T167&lt;&gt;0,(8*$HD167),0)),0))</f>
        <v> </v>
      </c>
      <c r="AD167" s="318" t="str">
        <f aca="false">IF($A167="N/A"," ",IF(VLOOKUP(MONTH(A167),ManualTable,5)=1,(IF(U167&lt;&gt;0,IF(Pricetype=1,(xSPRDOPT(L167,$E167,$CI167,0,($CD167+IF(Smile=TRUE(),VLOOKUP(MAX(-5,$H167-L167),Volsmile,2),0)),$CG167,$CH167,($A167-DateToday)+15,1,1))*(8*$HE167),8*$HE167),0)),0))</f>
        <v> </v>
      </c>
      <c r="AE167" s="318" t="str">
        <f aca="false">IF($A167="N/A"," ",IF(VLOOKUP(MONTH(A167),ManualTable,6)=1,(IF(V167&lt;&gt;0,IF(Pricetype=1,(xSPRDOPT(M167,$E167,$CI167,0,($CD167+IF(Smile=TRUE(),VLOOKUP(MAX(-5,$H167-M167),Volsmile,2),0)),$CG167,$CH167,($A167-DateToday)+15,1,1))*(8*$HE167),8*$HE167),0)),0))</f>
        <v> </v>
      </c>
      <c r="AF167" s="318" t="str">
        <f aca="false">IF($A167="N/A"," ",IF(VLOOKUP(MONTH(A167),ManualTable,7)=1,(IF(W167&lt;&gt;0,(8*$HE167),0)),0))</f>
        <v> </v>
      </c>
      <c r="AG167" s="318" t="str">
        <f aca="false">IF($A167="N/A"," ",IF(VLOOKUP(MONTH(A167),ManualTable,8)=1,(IF(X167&lt;&gt;0,IF(Pricetype=1,(xSPRDOPT(O167,$E167,$CI167,0,($CD167+IF(Smile=TRUE(),VLOOKUP(MAX(-5,$H167-O167),Volsmile,2),0)),$CG167,$CH167,($A167-DateToday)+15,1,1))*(8*$HF167),8*$HF167),0)),0))</f>
        <v> </v>
      </c>
      <c r="AH167" s="318" t="str">
        <f aca="false">IF($A167="N/A"," ",IF(VLOOKUP(MONTH(A167),ManualTable,9)=1,(IF(Y167&lt;&gt;0,IF(Pricetype=1,(xSPRDOPT(P167,$E167,$CI167,0,($CD167+IF(Smile=TRUE(),VLOOKUP(MAX(-5,$H167-P167),Volsmile,2),0)),$CG167,$CH167,($A167-DateToday)+15,1,1))*(8*$HF167),8*$HF167),0)),0))</f>
        <v> </v>
      </c>
      <c r="AI167" s="318" t="str">
        <f aca="false">IF($A167="N/A"," ",IF(VLOOKUP(MONTH(A167),ManualTable,10)=1,(IF(Z167&lt;&gt;0,(8*($HF167)),0)),0))</f>
        <v> </v>
      </c>
      <c r="AJ167" s="344" t="str">
        <f aca="false">IF($A167="N/A"," ",RANK(R167,$R$160:$Z$171))</f>
        <v> </v>
      </c>
      <c r="AK167" s="321" t="str">
        <f aca="false">IF($A167="N/A"," ",RANK(S167,$R$160:$Z$171))</f>
        <v> </v>
      </c>
      <c r="AL167" s="321" t="str">
        <f aca="false">IF($A167="N/A"," ",RANK(T167,$R$160:$Z$171))</f>
        <v> </v>
      </c>
      <c r="AM167" s="321" t="str">
        <f aca="false">IF($A167="N/A"," ",RANK(U167,$R$160:$Z$171))</f>
        <v> </v>
      </c>
      <c r="AN167" s="321" t="str">
        <f aca="false">IF($A167="N/A"," ",RANK(V167,$R$160:$Z$171))</f>
        <v> </v>
      </c>
      <c r="AO167" s="321" t="str">
        <f aca="false">IF($A167="N/A"," ",RANK(W167,$R$160:$Z$171))</f>
        <v> </v>
      </c>
      <c r="AP167" s="321" t="str">
        <f aca="false">IF($A167="N/A"," ",RANK(X167,$R$160:$Z$171))</f>
        <v> </v>
      </c>
      <c r="AQ167" s="321" t="str">
        <f aca="false">IF($A167="N/A"," ",RANK(Y167,$R$160:$Z$171))</f>
        <v> </v>
      </c>
      <c r="AR167" s="345" t="str">
        <f aca="false">IF($A167="N/A"," ",RANK(Z167,$R$160:$Z$171))</f>
        <v> </v>
      </c>
      <c r="AS167" s="323" t="str">
        <f aca="false">IF($A167="N/A"," ",IF(AJ167&lt;=$AR$2,AA167,0))</f>
        <v> </v>
      </c>
      <c r="AT167" s="325" t="str">
        <f aca="false">IF($A167="N/A"," ",IF(AK167&lt;=$AR$2,AB167,0))</f>
        <v> </v>
      </c>
      <c r="AU167" s="325" t="str">
        <f aca="false">IF($A167="N/A"," ",IF(AL167&lt;=$AR$2,AC167,0))</f>
        <v> </v>
      </c>
      <c r="AV167" s="325" t="str">
        <f aca="false">IF($A167="N/A"," ",IF(AM167&lt;=$AR$2,AD167,0))</f>
        <v> </v>
      </c>
      <c r="AW167" s="325" t="str">
        <f aca="false">IF($A167="N/A"," ",IF(AN167&lt;=$AR$2,AE167,0))</f>
        <v> </v>
      </c>
      <c r="AX167" s="325" t="str">
        <f aca="false">IF($A167="N/A"," ",IF(AO167&lt;=$AR$2,AF167,0))</f>
        <v> </v>
      </c>
      <c r="AY167" s="325" t="str">
        <f aca="false">IF($A167="N/A"," ",IF(AP167&lt;=$AR$2,AG167,0))</f>
        <v> </v>
      </c>
      <c r="AZ167" s="325" t="str">
        <f aca="false">IF($A167="N/A"," ",IF(AQ167&lt;=$AR$2,AH167,0))</f>
        <v> </v>
      </c>
      <c r="BA167" s="325" t="str">
        <f aca="false">IF($A167="N/A"," ",IF(AR167&lt;=$AR$2,AI167,0))</f>
        <v> </v>
      </c>
      <c r="BB167" s="345"/>
      <c r="BC167" s="326" t="str">
        <f aca="false">IF($A167="N/A"," ",IF(AND(AJ167=$AR$2+1,AS167=0),MIN($BB$171,AA167),0))</f>
        <v> </v>
      </c>
      <c r="BD167" s="346" t="str">
        <f aca="false">IF($A167="N/A"," ",IF(AND(AK167=$AR$2+1,AT167=0),MIN($BB$171,AB167),0))</f>
        <v> </v>
      </c>
      <c r="BE167" s="346" t="str">
        <f aca="false">IF($A167="N/A"," ",IF(AND(AL167=$AR$2+1,AU167=0),MIN($BB$171,AC167),0))</f>
        <v> </v>
      </c>
      <c r="BF167" s="346" t="str">
        <f aca="false">IF($A167="N/A"," ",IF(AND(AM167=$AR$2+1,AV167=0),MIN($BB$171,AD167),0))</f>
        <v> </v>
      </c>
      <c r="BG167" s="346" t="str">
        <f aca="false">IF($A167="N/A"," ",IF(AND(AN167=$AR$2+1,AW167=0),MIN($BB$171,AE167),0))</f>
        <v> </v>
      </c>
      <c r="BH167" s="346" t="str">
        <f aca="false">IF($A167="N/A"," ",IF(AND(AO167=$AR$2+1,AX167=0),MIN($BB$171,AF167),0))</f>
        <v> </v>
      </c>
      <c r="BI167" s="346" t="str">
        <f aca="false">IF($A167="N/A"," ",IF(AND(AP167=$AR$2+1,AY167=0),MIN($BB$171,AG167),0))</f>
        <v> </v>
      </c>
      <c r="BJ167" s="346" t="str">
        <f aca="false">IF($A167="N/A"," ",IF(AND(AQ167=$AR$2+1,AZ167=0),MIN($BB$171,AH167),0))</f>
        <v> </v>
      </c>
      <c r="BK167" s="346" t="str">
        <f aca="false">IF($A167="N/A"," ",IF(AND(AR167=$AR$2+1,BA167=0),MIN($BB$171,AI167),0))</f>
        <v> </v>
      </c>
      <c r="BL167" s="345"/>
      <c r="BM167" s="329" t="str">
        <f aca="false">IF($A167="N/A"," ",(IF(MONTH(A167)&gt;=4,IF(MONTH(A167)&lt;=10,Inputs!$F$13-Inputs!$G$13,Inputs!$F$14-Inputs!$G$14),Inputs!$F$14-Inputs!$G$14))*$CK167*Availability)</f>
        <v> </v>
      </c>
      <c r="BN167" s="330" t="str">
        <f aca="false">IF($A167="N/A"," ",(IF(AS167&gt;0,($BM167*(8*($HD167))*R167),0)+IF(BC167&gt;0,($BM167*((BC167/AA167)*8*$HD167)*R167),0)))</f>
        <v> </v>
      </c>
      <c r="BO167" s="330" t="str">
        <f aca="false">IF($A167="N/A"," ",(IF(AT167&gt;0,($BM167*(8*($HD167))*S167),0)+IF(BD167&gt;0,($BM167*((BD167/AB167)*8*$HD167)*S167),0)))</f>
        <v> </v>
      </c>
      <c r="BP167" s="330" t="str">
        <f aca="false">IF($A167="N/A"," ",(IF(AU167&gt;0,($BM167*(8*($HD167))*T167),0)+IF(BE167&gt;0,($BM167*((BE167))*T167),0)))</f>
        <v> </v>
      </c>
      <c r="BQ167" s="330" t="str">
        <f aca="false">IF($A167="N/A"," ",(IF(AV167&gt;0,($BM167*(8*($HE167))*U167),0)+IF(BF167&gt;0,($BM167*((BF167/AD167)*8*$HE167)*U167),0)))</f>
        <v> </v>
      </c>
      <c r="BR167" s="330" t="str">
        <f aca="false">IF($A167="N/A"," ",(IF(AW167&gt;0,($BM167*(8*($HE167))*V167),0)+IF(BG167&gt;0,($BM167*((BG167/AE167)*8*$HE167)*V167),0)))</f>
        <v> </v>
      </c>
      <c r="BS167" s="330" t="str">
        <f aca="false">IF($A167="N/A"," ",(IF(AX167&gt;0,($BM167*(8*($HE167))*W167),0)+IF(BH167&gt;0,($BM167*((BH167))*W167),0)))</f>
        <v> </v>
      </c>
      <c r="BT167" s="330" t="str">
        <f aca="false">IF($A167="N/A"," ",(IF(AY167&gt;0,($BM167*(8*($HF167))*X167),0)+IF(BI167&gt;0,($BM167*((BI167/AG167)*8*$HF167)*X167),0)))</f>
        <v> </v>
      </c>
      <c r="BU167" s="330" t="str">
        <f aca="false">IF($A167="N/A"," ",(IF(AZ167&gt;0,($BM167*(8*($HF167))*Y167),0)+IF(BJ167&gt;0,($BM167*((BJ167/AH167)*8*$HF167)*Y167),0)))</f>
        <v> </v>
      </c>
      <c r="BV167" s="330" t="str">
        <f aca="false">IF($A167="N/A"," ",(IF(BA167&gt;0,($BM167*(8*($HF167))*Z167),0)+IF(BK167&gt;0,($BM167*((BK167))*Z167),0)))</f>
        <v> </v>
      </c>
      <c r="BW167" s="330" t="str">
        <f aca="false">IF($A167="N/A"," ",SUM(BN167:BV167))</f>
        <v> </v>
      </c>
      <c r="BX167" s="331" t="str">
        <f aca="false">IF($A167="N/A"," ",(H167*(SUM(AS167:BA167)+SUM(BC167:BK167))*BM167))</f>
        <v> </v>
      </c>
      <c r="BY167" s="332" t="str">
        <f aca="false">IF($A167="N/A"," ",((C167*D167)*(SUM($AS167:$BA167)+SUM($BC167:$BK167))*$BM167))</f>
        <v> </v>
      </c>
      <c r="BZ167" s="332" t="str">
        <f aca="false">IF($A167="N/A"," ",(F167*(SUM($AS167:$BA167)+SUM($BC167:$BK167))*$BM167))</f>
        <v> </v>
      </c>
      <c r="CA167" s="333" t="str">
        <f aca="false">IF($A167="N/A"," ",(G167*(SUM($AS167:$BA167)+SUM($BC167:$BK167))*$BM167))</f>
        <v> </v>
      </c>
      <c r="CB167" s="334" t="str">
        <f aca="false">IF(A167="N/A"," ",(VLOOKUP(A167,PowerVolTable,(IF(BMO=2,7,IF(BMO=1,6,8))),FALSE())))</f>
        <v> </v>
      </c>
      <c r="CC167" s="334" t="str">
        <f aca="false">IF(A167="N/A"," ",(VLOOKUP(A167,IntraPowerVol,(IF(BMO=2,3,IF(BMO=1,2,4))),FALSE())*VLOOKUP(MONTH($A167),Volscale,2)))</f>
        <v> </v>
      </c>
      <c r="CD167" s="335" t="str">
        <f aca="false">IF($A167="N/A"," ",(IF(DateToday&gt;$A167,$CC167,((($CB167^2)*((($A167-1)-DateToday)/((EOMONTH($A167,0)+1)-DateToday-15)))+((($CC167)^2)*((15)/((EOMONTH($A167,0)+1)-DateToday-15))))^0.5)))</f>
        <v> </v>
      </c>
      <c r="CE167" s="334" t="str">
        <f aca="false">IF($A167="N/A"," ",(VLOOKUP($A167,GasVolTable,(IF(BMO=2,6,IF(BMO=1,7,5))),FALSE())))</f>
        <v> </v>
      </c>
      <c r="CF167" s="334" t="str">
        <f aca="false">IF($A167="N/A"," ",(VLOOKUP($A167,OmicronVol,(IF(BMO=2,3,IF(BMO=1,4,2))),FALSE())))</f>
        <v> </v>
      </c>
      <c r="CG167" s="335" t="str">
        <f aca="false">IF($A167="N/A"," ",(IF(DateToday&gt;$A167,$CF167,((($CE167^2)*((($A167-1)-DateToday)/((EOMONTH($A167,0)+1)-DateToday-15)))+((($CF167)^2)*((15)/((EOMONTH($A167,0)+1)-DateToday-15))))^0.5)))</f>
        <v> </v>
      </c>
      <c r="CH167" s="334" t="str">
        <f aca="false">IF($A167="N/A"," ",VLOOKUP($A167,CorrelationTable,2,FALSE()))</f>
        <v> </v>
      </c>
      <c r="CI167" s="336" t="str">
        <f aca="false">IF($A167="N/A"," ",F167+G167+(D167*('Pricing Inputs'!T200)))</f>
        <v> </v>
      </c>
      <c r="CJ167" s="334" t="str">
        <f aca="false">IF($A167="N/A"," ",IF(PV=1,0,'Pricing Inputs'!U200))</f>
        <v> </v>
      </c>
      <c r="CK167" s="337" t="str">
        <f aca="false">IF($A167="N/A"," ",(1+CJ167/2)^(-2*((EOMONTH(A167,0)+20)-DateToday)/365.25))</f>
        <v> </v>
      </c>
      <c r="CL167" s="338" t="str">
        <f aca="false">IF(A167="N/A"," ",IF(CC=2,(VLOOKUP(MONTH($A167),Hrtable,3))/1000,0))</f>
        <v> </v>
      </c>
      <c r="CM167" s="339" t="str">
        <f aca="false">IF(A167="N/A"," ",IF(CC=2,(CL167*C167)+F167,0))</f>
        <v> </v>
      </c>
      <c r="CN167" s="340" t="str">
        <f aca="false">IF($A167="N/A"," ",IF(CC=2,(VLOOKUP(A167,ScaledPrice,(IF(AND(Dayrun&gt;=1,Dayrun&lt;=6),2,4)))-((IF(R167&lt;&gt;0,$D167,$CL167)*$C167)+$F167+$G167)),0))</f>
        <v> </v>
      </c>
      <c r="CO167" s="340" t="str">
        <f aca="false">IF($A167="N/A"," ",IF(CC=2,(IF(AND(Dayrun&gt;=1,Dayrun&lt;=6),I167,(VLOOKUP(A167,ScaledPrice,2))*(2-(VLOOKUP(A167,ScaledPrice,3))))-((IF(S167&lt;&gt;0,$D167,$CL167)*$C167)+$F167+$G167)),0))</f>
        <v> </v>
      </c>
      <c r="CP167" s="340" t="str">
        <f aca="false">IF(A167="N/A"," ",IF(CC=2,(VLOOKUP(A167,ScaledPrice,9)-((IF(T167&lt;&gt;0,$D167,$CL167)*$C167)+$F167+$G167)),0))</f>
        <v> </v>
      </c>
      <c r="CQ167" s="340" t="str">
        <f aca="false">IF(A167="N/A"," ",IF(CC=2,(IF(OR(Dayrun=2,Dayrun=3,Dayrun=5,Dayrun=6,Dayrun=8,Dayrun=9),VLOOKUP(A167,ScaledPrice,IF(AND(Dayrun&gt;=2,Dayrun&lt;=6),5,6)),0)-((IF(U167&lt;&gt;0,$D167,$CL167)*$C167)+$F167+$G167)),0))</f>
        <v> </v>
      </c>
      <c r="CR167" s="340" t="str">
        <f aca="false">IF(A167="N/A"," ",IF(CC=2,(IF(OR(Dayrun=2,Dayrun=3,Dayrun=5,Dayrun=6,Dayrun=8,Dayrun=9),IF(AND(Dayrun&gt;=2,Dayrun&lt;=6),L167,(VLOOKUP(A167,ScaledPrice,5))*(2-(VLOOKUP(A167,ScaledPrice,3)))),0)-((IF(V167&lt;&gt;0,$D167,$CL167)*$C167)+$F167+$G167)),0))</f>
        <v> </v>
      </c>
      <c r="CS167" s="340" t="str">
        <f aca="false">IF(A167="N/A"," ",IF(CC=2,(VLOOKUP(A167,ScaledPrice,9)-((IF(W167&lt;&gt;0,$D167,$CL167)*$C167)+$F167+$G167)),0))</f>
        <v> </v>
      </c>
      <c r="CT167" s="340" t="str">
        <f aca="false">IF(A167="N/A"," ",IF(CC=2,(IF(OR(Dayrun=3,Dayrun=6,Dayrun=9),(VLOOKUP(A167,ScaledPrice,IF(AND(Dayrun&gt;=3,Dayrun&lt;=6),7,8))),0)-((IF(X167&lt;&gt;0,$D167,$CL167)*$C167)+$F167+$G167)),0))</f>
        <v> </v>
      </c>
      <c r="CU167" s="340" t="str">
        <f aca="false">IF(A167="N/A"," ",IF(CC=2,(IF(OR(Dayrun=3,Dayrun=6,Dayrun=9),IF(AND(Dayrun&gt;=3,Dayrun&lt;=6),O167,(VLOOKUP(A167,ScaledPrice,7))*(2-(VLOOKUP(A167,ScaledPrice,3)))),0)-((IF(Y167&lt;&gt;0,$D167,$CL167)*$C167)+$F167+$G167)),0))</f>
        <v> </v>
      </c>
      <c r="CV167" s="340" t="str">
        <f aca="false">IF(A167="N/A"," ",IF(CC=2,(VLOOKUP(A167,ScaledPrice,9)-((IF(Z167&lt;&gt;0,$D167,$CL167)*$C167)+$F167+$G167)),0))</f>
        <v> </v>
      </c>
      <c r="CW167" s="318" t="str">
        <f aca="false">IF($A167="N/A"," ",IF(0&lt;&gt;CN167,IF(CC=2,8*$HD167,0),0))</f>
        <v> </v>
      </c>
      <c r="CX167" s="318" t="str">
        <f aca="false">IF($A167="N/A"," ",IF(0&lt;&gt;CO167,IF(CC=2,8*$HD167,0),0))</f>
        <v> </v>
      </c>
      <c r="CY167" s="318" t="str">
        <f aca="false">IF($A167="N/A"," ",IF(0&lt;&gt;CP167,IF(CC=2,8*$HD167,0),0))</f>
        <v> </v>
      </c>
      <c r="CZ167" s="318" t="str">
        <f aca="false">IF($A167="N/A"," ",IF(0&lt;&gt;CQ167,IF(CC=2,8*$HE167,0),0))</f>
        <v> </v>
      </c>
      <c r="DA167" s="318" t="str">
        <f aca="false">IF($A167="N/A"," ",IF(0&lt;&gt;CR167,IF(CC=2,8*$HE167,0),0))</f>
        <v> </v>
      </c>
      <c r="DB167" s="318" t="str">
        <f aca="false">IF($A167="N/A"," ",IF(0&lt;&gt;CS167,IF(CC=2,8*$HE167,0),0))</f>
        <v> </v>
      </c>
      <c r="DC167" s="318" t="str">
        <f aca="false">IF($A167="N/A"," ",IF(0&lt;&gt;CT167,IF(CC=2,8*$HF167,0),0))</f>
        <v> </v>
      </c>
      <c r="DD167" s="318" t="str">
        <f aca="false">IF($A167="N/A"," ",IF(0&lt;&gt;CU167,IF(CC=2,8*$HF167,0),0))</f>
        <v> </v>
      </c>
      <c r="DE167" s="318" t="str">
        <f aca="false">IF($A167="N/A"," ",IF(0&lt;&gt;CV167,IF(CC=2,8*$HF167,0),0))</f>
        <v> </v>
      </c>
      <c r="DF167" s="341" t="str">
        <f aca="false">IF($A167="N/A"," ",IF(CC=2,(IF(MONTH(A167)&gt;=4,IF(MONTH(A167)&lt;=10,Inputs!$G$13,Inputs!$G$14),Inputs!$G$14))*$CK167,0))</f>
        <v> </v>
      </c>
      <c r="DG167" s="342" t="str">
        <f aca="false">IF($A167="N/A"," ",IF(CC=2,$DF167*CW167*CN167,0))</f>
        <v> </v>
      </c>
      <c r="DH167" s="342" t="str">
        <f aca="false">IF($A167="N/A"," ",IF(CC=2,$DF167*CX167*CO167,0))</f>
        <v> </v>
      </c>
      <c r="DI167" s="342" t="str">
        <f aca="false">IF($A167="N/A"," ",IF(CC=2,$DF167*CY167*CP167,0))</f>
        <v> </v>
      </c>
      <c r="DJ167" s="342" t="str">
        <f aca="false">IF($A167="N/A"," ",IF(CC=2,$DF167*CZ167*CQ167,0))</f>
        <v> </v>
      </c>
      <c r="DK167" s="342" t="str">
        <f aca="false">IF($A167="N/A"," ",IF(CC=2,$DF167*DA167*CR167,0))</f>
        <v> </v>
      </c>
      <c r="DL167" s="342" t="str">
        <f aca="false">IF($A167="N/A"," ",IF(CC=2,$DF167*DB167*CS167,0))</f>
        <v> </v>
      </c>
      <c r="DM167" s="342" t="str">
        <f aca="false">IF($A167="N/A"," ",IF(CC=2,$DF167*DC167*CT167,0))</f>
        <v> </v>
      </c>
      <c r="DN167" s="342" t="str">
        <f aca="false">IF($A167="N/A"," ",IF(CC=2,$DF167*DD167*CU167,0))</f>
        <v> </v>
      </c>
      <c r="DO167" s="342" t="str">
        <f aca="false">IF($A167="N/A"," ",IF(CC=2,$DF167*DE167*CV167,0))</f>
        <v> </v>
      </c>
      <c r="DP167" s="343" t="str">
        <f aca="false">IF($A167="N/A"," ",IF(CC=2,SUM(DG167:DO167),0))</f>
        <v> </v>
      </c>
      <c r="DQ167" s="0" t="str">
        <f aca="false">IF(A167="N/A"," ",Perstart)</f>
        <v> </v>
      </c>
      <c r="HD167" s="0" t="str">
        <f aca="false">IF($A167="N/A"," ",VLOOKUP($A167,NumberofDaysTable,2))</f>
        <v> </v>
      </c>
      <c r="HE167" s="0" t="str">
        <f aca="false">IF($A167="N/A"," ",VLOOKUP($A167,NumberofDaysTable,3))</f>
        <v> </v>
      </c>
      <c r="HF167" s="0" t="str">
        <f aca="false">IF($A167="N/A"," ",VLOOKUP($A167,NumberofDaysTable,4))</f>
        <v> </v>
      </c>
    </row>
    <row r="168" customFormat="false" ht="12.75" hidden="false" customHeight="false" outlineLevel="0" collapsed="false">
      <c r="A168" s="308" t="str">
        <f aca="false">IF(A167="N/A","N/A",IF(EDATE(A167,1)&gt;Inputs!$K$3,"N/A",EDATE(A167,1)))</f>
        <v>N/A</v>
      </c>
      <c r="B168" s="309" t="str">
        <f aca="false">IF(A168="N/A"," ",YEAR(A168))</f>
        <v> </v>
      </c>
      <c r="C168" s="310" t="str">
        <f aca="false">IF(A168="N/A"," ",VLOOKUP(A168,ScaledPrice,10))</f>
        <v> </v>
      </c>
      <c r="D168" s="311" t="str">
        <f aca="false">IF(A168="N/A"," ",(VLOOKUP(MONTH($A168),Hrtable,2))/1000)</f>
        <v> </v>
      </c>
      <c r="E168" s="312" t="str">
        <f aca="false">IF($A168="N/A"," ",(C168-'Pricing Inputs'!T201)*D168)</f>
        <v> </v>
      </c>
      <c r="F168" s="313" t="str">
        <f aca="false">IF(A168="N/A"," ",$F156*(1+VOMesc))</f>
        <v> </v>
      </c>
      <c r="G168" s="313" t="str">
        <f aca="false">IF(A168="N/A"," ",Perstart/IF(AND(Dayrun&gt;=4,Dayrun&lt;=6),16,IF(AND(Dayrun&gt;=7,Dayrun&lt;=9),8,24))/(BM168/CK168))</f>
        <v> </v>
      </c>
      <c r="H168" s="314" t="str">
        <f aca="false">IF(A168="N/A"," ",(C168*D168)+F168+G168)</f>
        <v> </v>
      </c>
      <c r="I168" s="315" t="str">
        <f aca="false">VLOOKUP(A168,ScaledPrice,(IF(AND(Dayrun&gt;=1,Dayrun&lt;=6),2,4)))</f>
        <v> </v>
      </c>
      <c r="J168" s="315" t="str">
        <f aca="false">IF(A168="N/A"," ",IF(AND(Dayrun&gt;=1,Dayrun&lt;=6),I168,(VLOOKUP(A168,ScaledPrice,2))*(2-(VLOOKUP(A168,ScaledPrice,3)))))</f>
        <v> </v>
      </c>
      <c r="K168" s="315" t="str">
        <f aca="false">IF(A168="N/A"," ",IF(AND(Dayrun&gt;=1,Dayrun&lt;=3),VLOOKUP(A168,ScaledPrice,9),0))</f>
        <v> </v>
      </c>
      <c r="L168" s="315" t="str">
        <f aca="false">IF(A168="N/A"," ",IF(OR(Dayrun=2,Dayrun=3,Dayrun=5,Dayrun=6,Dayrun=8,Dayrun=9),VLOOKUP(A168,ScaledPrice,IF(AND(Dayrun&gt;=2,Dayrun&lt;=6),5,6)),0))</f>
        <v> </v>
      </c>
      <c r="M168" s="315" t="str">
        <f aca="false">IF(A168="N/A"," ",IF(OR(Dayrun=2,Dayrun=3,Dayrun=5,Dayrun=6,Dayrun=8,Dayrun=9),IF(AND(Dayrun&gt;=2,Dayrun&lt;=6),L168,(VLOOKUP(A168,ScaledPrice,5))*(2-(VLOOKUP(A168,ScaledPrice,3)))),0))</f>
        <v> </v>
      </c>
      <c r="N168" s="315" t="str">
        <f aca="false">IF(A168="N/A"," ",IF(AND(Dayrun&gt;1,Dayrun&lt;=3),VLOOKUP(A168,ScaledPrice,9),0))</f>
        <v> </v>
      </c>
      <c r="O168" s="315" t="str">
        <f aca="false">IF(A168="N/A"," ",IF(OR(Dayrun=3,Dayrun=6,Dayrun=9),(VLOOKUP(A168,ScaledPrice,IF(AND(Dayrun&gt;=3,Dayrun&lt;=6),7,8))),0))</f>
        <v> </v>
      </c>
      <c r="P168" s="315" t="str">
        <f aca="false">IF(A168="N/A"," ",IF(OR(Dayrun=3,Dayrun=6,Dayrun=9),IF(AND(Dayrun&gt;=3,Dayrun&lt;=6),O168,(VLOOKUP(A168,ScaledPrice,7))*(2-(VLOOKUP(A168,ScaledPrice,3)))),0))</f>
        <v> </v>
      </c>
      <c r="Q168" s="315" t="str">
        <f aca="false">IF(A168="N/A"," ",IF(AND(Dayrun&gt;2,Dayrun&lt;=3),VLOOKUP(A168,ScaledPrice,9),0))</f>
        <v> </v>
      </c>
      <c r="R168" s="316" t="str">
        <f aca="false">IF($A168="N/A"," ",IF(Pricetype=2,MAX(I168-$H168,0),IF(Pricetype=1,(xSPRDOPT(I168,$E168,$CI168,0,($CD168+IF(Smile=TRUE(),VLOOKUP(MAX(-5,$H168-I168),Volsmile,2),0)),$CG168,$CH168,($A168-DateToday)+15,1,0)),I168-$H168)))</f>
        <v> </v>
      </c>
      <c r="S168" s="316" t="str">
        <f aca="false">IF($A168="N/A"," ",IF(Pricetype=2,MAX(J168-$H168,0),IF(Pricetype=1,(xSPRDOPT(J168,$E168,$CI168,0,($CD168+IF(Smile=TRUE(),VLOOKUP(MAX(-5,$H168-J168),Volsmile,2),0)),$CG168,$CH168,($A168-DateToday)+15,1,0)),J168-$H168)))</f>
        <v> </v>
      </c>
      <c r="T168" s="317" t="str">
        <f aca="false">IF($A168="N/A"," ",(IF(Pricetype=2,IF((K168-$H168)&lt;=0,0,(K168-$H168)),IF(K168&lt;&gt;0,(K168-$H168),0))))</f>
        <v> </v>
      </c>
      <c r="U168" s="316" t="str">
        <f aca="false">IF($A168="N/A"," ",IF(Pricetype=2,MAX(L168-$H168,0),IF(L168&lt;&gt;0,IF(Pricetype=1,(xSPRDOPT(L168,$E168,$CI168,0,($CD168+IF(Smile=TRUE(),VLOOKUP(MAX(-5,$H168-L168),Volsmile,2),0)),$CG168,$CH168,($A168-DateToday)+15,1,0)),L168-$H168),0)))</f>
        <v> </v>
      </c>
      <c r="V168" s="316" t="str">
        <f aca="false">IF($A168="N/A"," ",IF(Pricetype=2,MAX(M168-$H168,0),IF(M168&lt;&gt;0,IF(Pricetype=1,(xSPRDOPT(M168,$E168,$CI168,0,($CD168+IF(Smile=TRUE(),VLOOKUP(MAX(-5,$H168-M168),Volsmile,2),0)),$CG168,$CH168,($A168-DateToday)+15,1,0)),M168-$H168),0)))</f>
        <v> </v>
      </c>
      <c r="W168" s="317" t="str">
        <f aca="false">IF($A168="N/A"," ",(IF(Pricetype=2,IF((N168-$H168)&lt;=0,0,(N168-$H168)),IF(N168&lt;&gt;0,(N168-$H168),0))))</f>
        <v> </v>
      </c>
      <c r="X168" s="316" t="str">
        <f aca="false">IF($A168="N/A"," ",IF(Pricetype=2,MAX(O168-$H168,0),IF(O168&lt;&gt;0,IF(Pricetype=1,(xSPRDOPT(O168,$E168,$CI168,0,($CD168+IF(Smile=TRUE(),VLOOKUP(MAX(-5,$H168-O168),Volsmile,2),0)),$CG168,$CH168,($A168-DateToday)+15,1,0)),O168-$H168),0)))</f>
        <v> </v>
      </c>
      <c r="Y168" s="316" t="str">
        <f aca="false">IF($A168="N/A"," ",IF(Pricetype=2,MAX(P168-$H168,0),IF(P168&lt;&gt;0,IF(Pricetype=1,(xSPRDOPT(P168,$E168,$CI168,0,($CD168+IF(Smile=TRUE(),VLOOKUP(MAX(-5,$H168-P168),Volsmile,2),0)),$CG168,$CH168,($A168-DateToday)+15,1,0)),P168-$H168),0)))</f>
        <v> </v>
      </c>
      <c r="Z168" s="317" t="str">
        <f aca="false">IF($A168="N/A"," ",(IF(Pricetype=2,IF((Q168-$H168)&lt;=0,0,(Q168-$H168)),IF(Q168&lt;&gt;0,(Q168-$H168),0))))</f>
        <v> </v>
      </c>
      <c r="AA168" s="318" t="str">
        <f aca="false">IF($A168="N/A"," ",IF(VLOOKUP(MONTH(A168),ManualTable,2)=1,(IF(0&lt;&gt;R168,IF(Pricetype=1,(xSPRDOPT(I168,$E168,$CI168,0,($CD168+IF(Smile=TRUE(),VLOOKUP(MAX(-5,$H168-I168),Volsmile,2),0)),$CG168,$CH168,($A168-DateToday)+15,1,1))*(8*$HD168),8*$HD168),0)),0))</f>
        <v> </v>
      </c>
      <c r="AB168" s="318" t="str">
        <f aca="false">IF($A168="N/A"," ",IF(VLOOKUP(MONTH(A168),ManualTable,3)=1,(IF(S168&lt;&gt;0,IF(Pricetype=1,(xSPRDOPT(J168,$E168,$CI168,0,($CD168+IF(Smile=TRUE(),VLOOKUP(MAX(-5,$H168-J168),Volsmile,2),0)),$CG168,$CH168,($A168-DateToday)+15,1,1))*(8*$HD168),8*$HD168),0)),0))</f>
        <v> </v>
      </c>
      <c r="AC168" s="318" t="str">
        <f aca="false">IF($A168="N/A"," ",IF(VLOOKUP(MONTH(A168),ManualTable,4)=1,(IF(T168&lt;&gt;0,(8*$HD168),0)),0))</f>
        <v> </v>
      </c>
      <c r="AD168" s="318" t="str">
        <f aca="false">IF($A168="N/A"," ",IF(VLOOKUP(MONTH(A168),ManualTable,5)=1,(IF(U168&lt;&gt;0,IF(Pricetype=1,(xSPRDOPT(L168,$E168,$CI168,0,($CD168+IF(Smile=TRUE(),VLOOKUP(MAX(-5,$H168-L168),Volsmile,2),0)),$CG168,$CH168,($A168-DateToday)+15,1,1))*(8*$HE168),8*$HE168),0)),0))</f>
        <v> </v>
      </c>
      <c r="AE168" s="318" t="str">
        <f aca="false">IF($A168="N/A"," ",IF(VLOOKUP(MONTH(A168),ManualTable,6)=1,(IF(V168&lt;&gt;0,IF(Pricetype=1,(xSPRDOPT(M168,$E168,$CI168,0,($CD168+IF(Smile=TRUE(),VLOOKUP(MAX(-5,$H168-M168),Volsmile,2),0)),$CG168,$CH168,($A168-DateToday)+15,1,1))*(8*$HE168),8*$HE168),0)),0))</f>
        <v> </v>
      </c>
      <c r="AF168" s="318" t="str">
        <f aca="false">IF($A168="N/A"," ",IF(VLOOKUP(MONTH(A168),ManualTable,7)=1,(IF(W168&lt;&gt;0,(8*$HE168),0)),0))</f>
        <v> </v>
      </c>
      <c r="AG168" s="318" t="str">
        <f aca="false">IF($A168="N/A"," ",IF(VLOOKUP(MONTH(A168),ManualTable,8)=1,(IF(X168&lt;&gt;0,IF(Pricetype=1,(xSPRDOPT(O168,$E168,$CI168,0,($CD168+IF(Smile=TRUE(),VLOOKUP(MAX(-5,$H168-O168),Volsmile,2),0)),$CG168,$CH168,($A168-DateToday)+15,1,1))*(8*$HF168),8*$HF168),0)),0))</f>
        <v> </v>
      </c>
      <c r="AH168" s="318" t="str">
        <f aca="false">IF($A168="N/A"," ",IF(VLOOKUP(MONTH(A168),ManualTable,9)=1,(IF(Y168&lt;&gt;0,IF(Pricetype=1,(xSPRDOPT(P168,$E168,$CI168,0,($CD168+IF(Smile=TRUE(),VLOOKUP(MAX(-5,$H168-P168),Volsmile,2),0)),$CG168,$CH168,($A168-DateToday)+15,1,1))*(8*$HF168),8*$HF168),0)),0))</f>
        <v> </v>
      </c>
      <c r="AI168" s="318" t="str">
        <f aca="false">IF($A168="N/A"," ",IF(VLOOKUP(MONTH(A168),ManualTable,10)=1,(IF(Z168&lt;&gt;0,(8*($HF168)),0)),0))</f>
        <v> </v>
      </c>
      <c r="AJ168" s="344" t="str">
        <f aca="false">IF($A168="N/A"," ",RANK(R168,$R$160:$Z$171))</f>
        <v> </v>
      </c>
      <c r="AK168" s="321" t="str">
        <f aca="false">IF($A168="N/A"," ",RANK(S168,$R$160:$Z$171))</f>
        <v> </v>
      </c>
      <c r="AL168" s="321" t="str">
        <f aca="false">IF($A168="N/A"," ",RANK(T168,$R$160:$Z$171))</f>
        <v> </v>
      </c>
      <c r="AM168" s="321" t="str">
        <f aca="false">IF($A168="N/A"," ",RANK(U168,$R$160:$Z$171))</f>
        <v> </v>
      </c>
      <c r="AN168" s="321" t="str">
        <f aca="false">IF($A168="N/A"," ",RANK(V168,$R$160:$Z$171))</f>
        <v> </v>
      </c>
      <c r="AO168" s="321" t="str">
        <f aca="false">IF($A168="N/A"," ",RANK(W168,$R$160:$Z$171))</f>
        <v> </v>
      </c>
      <c r="AP168" s="321" t="str">
        <f aca="false">IF($A168="N/A"," ",RANK(X168,$R$160:$Z$171))</f>
        <v> </v>
      </c>
      <c r="AQ168" s="321" t="str">
        <f aca="false">IF($A168="N/A"," ",RANK(Y168,$R$160:$Z$171))</f>
        <v> </v>
      </c>
      <c r="AR168" s="345" t="str">
        <f aca="false">IF($A168="N/A"," ",RANK(Z168,$R$160:$Z$171))</f>
        <v> </v>
      </c>
      <c r="AS168" s="323" t="str">
        <f aca="false">IF($A168="N/A"," ",IF(AJ168&lt;=$AR$2,AA168,0))</f>
        <v> </v>
      </c>
      <c r="AT168" s="325" t="str">
        <f aca="false">IF($A168="N/A"," ",IF(AK168&lt;=$AR$2,AB168,0))</f>
        <v> </v>
      </c>
      <c r="AU168" s="325" t="str">
        <f aca="false">IF($A168="N/A"," ",IF(AL168&lt;=$AR$2,AC168,0))</f>
        <v> </v>
      </c>
      <c r="AV168" s="325" t="str">
        <f aca="false">IF($A168="N/A"," ",IF(AM168&lt;=$AR$2,AD168,0))</f>
        <v> </v>
      </c>
      <c r="AW168" s="325" t="str">
        <f aca="false">IF($A168="N/A"," ",IF(AN168&lt;=$AR$2,AE168,0))</f>
        <v> </v>
      </c>
      <c r="AX168" s="325" t="str">
        <f aca="false">IF($A168="N/A"," ",IF(AO168&lt;=$AR$2,AF168,0))</f>
        <v> </v>
      </c>
      <c r="AY168" s="325" t="str">
        <f aca="false">IF($A168="N/A"," ",IF(AP168&lt;=$AR$2,AG168,0))</f>
        <v> </v>
      </c>
      <c r="AZ168" s="325" t="str">
        <f aca="false">IF($A168="N/A"," ",IF(AQ168&lt;=$AR$2,AH168,0))</f>
        <v> </v>
      </c>
      <c r="BA168" s="325" t="str">
        <f aca="false">IF($A168="N/A"," ",IF(AR168&lt;=$AR$2,AI168,0))</f>
        <v> </v>
      </c>
      <c r="BB168" s="345"/>
      <c r="BC168" s="326" t="str">
        <f aca="false">IF($A168="N/A"," ",IF(AND(AJ168=$AR$2+1,AS168=0),MIN($BB$171,AA168),0))</f>
        <v> </v>
      </c>
      <c r="BD168" s="346" t="str">
        <f aca="false">IF($A168="N/A"," ",IF(AND(AK168=$AR$2+1,AT168=0),MIN($BB$171,AB168),0))</f>
        <v> </v>
      </c>
      <c r="BE168" s="346" t="str">
        <f aca="false">IF($A168="N/A"," ",IF(AND(AL168=$AR$2+1,AU168=0),MIN($BB$171,AC168),0))</f>
        <v> </v>
      </c>
      <c r="BF168" s="346" t="str">
        <f aca="false">IF($A168="N/A"," ",IF(AND(AM168=$AR$2+1,AV168=0),MIN($BB$171,AD168),0))</f>
        <v> </v>
      </c>
      <c r="BG168" s="346" t="str">
        <f aca="false">IF($A168="N/A"," ",IF(AND(AN168=$AR$2+1,AW168=0),MIN($BB$171,AE168),0))</f>
        <v> </v>
      </c>
      <c r="BH168" s="346" t="str">
        <f aca="false">IF($A168="N/A"," ",IF(AND(AO168=$AR$2+1,AX168=0),MIN($BB$171,AF168),0))</f>
        <v> </v>
      </c>
      <c r="BI168" s="346" t="str">
        <f aca="false">IF($A168="N/A"," ",IF(AND(AP168=$AR$2+1,AY168=0),MIN($BB$171,AG168),0))</f>
        <v> </v>
      </c>
      <c r="BJ168" s="346" t="str">
        <f aca="false">IF($A168="N/A"," ",IF(AND(AQ168=$AR$2+1,AZ168=0),MIN($BB$171,AH168),0))</f>
        <v> </v>
      </c>
      <c r="BK168" s="346" t="str">
        <f aca="false">IF($A168="N/A"," ",IF(AND(AR168=$AR$2+1,BA168=0),MIN($BB$171,AI168),0))</f>
        <v> </v>
      </c>
      <c r="BL168" s="345"/>
      <c r="BM168" s="329" t="str">
        <f aca="false">IF($A168="N/A"," ",(IF(MONTH(A168)&gt;=4,IF(MONTH(A168)&lt;=10,Inputs!$F$13-Inputs!$G$13,Inputs!$F$14-Inputs!$G$14),Inputs!$F$14-Inputs!$G$14))*$CK168*Availability)</f>
        <v> </v>
      </c>
      <c r="BN168" s="330" t="str">
        <f aca="false">IF($A168="N/A"," ",(IF(AS168&gt;0,($BM168*(8*($HD168))*R168),0)+IF(BC168&gt;0,($BM168*((BC168/AA168)*8*$HD168)*R168),0)))</f>
        <v> </v>
      </c>
      <c r="BO168" s="330" t="str">
        <f aca="false">IF($A168="N/A"," ",(IF(AT168&gt;0,($BM168*(8*($HD168))*S168),0)+IF(BD168&gt;0,($BM168*((BD168/AB168)*8*$HD168)*S168),0)))</f>
        <v> </v>
      </c>
      <c r="BP168" s="330" t="str">
        <f aca="false">IF($A168="N/A"," ",(IF(AU168&gt;0,($BM168*(8*($HD168))*T168),0)+IF(BE168&gt;0,($BM168*((BE168))*T168),0)))</f>
        <v> </v>
      </c>
      <c r="BQ168" s="330" t="str">
        <f aca="false">IF($A168="N/A"," ",(IF(AV168&gt;0,($BM168*(8*($HE168))*U168),0)+IF(BF168&gt;0,($BM168*((BF168/AD168)*8*$HE168)*U168),0)))</f>
        <v> </v>
      </c>
      <c r="BR168" s="330" t="str">
        <f aca="false">IF($A168="N/A"," ",(IF(AW168&gt;0,($BM168*(8*($HE168))*V168),0)+IF(BG168&gt;0,($BM168*((BG168/AE168)*8*$HE168)*V168),0)))</f>
        <v> </v>
      </c>
      <c r="BS168" s="330" t="str">
        <f aca="false">IF($A168="N/A"," ",(IF(AX168&gt;0,($BM168*(8*($HE168))*W168),0)+IF(BH168&gt;0,($BM168*((BH168))*W168),0)))</f>
        <v> </v>
      </c>
      <c r="BT168" s="330" t="str">
        <f aca="false">IF($A168="N/A"," ",(IF(AY168&gt;0,($BM168*(8*($HF168))*X168),0)+IF(BI168&gt;0,($BM168*((BI168/AG168)*8*$HF168)*X168),0)))</f>
        <v> </v>
      </c>
      <c r="BU168" s="330" t="str">
        <f aca="false">IF($A168="N/A"," ",(IF(AZ168&gt;0,($BM168*(8*($HF168))*Y168),0)+IF(BJ168&gt;0,($BM168*((BJ168/AH168)*8*$HF168)*Y168),0)))</f>
        <v> </v>
      </c>
      <c r="BV168" s="330" t="str">
        <f aca="false">IF($A168="N/A"," ",(IF(BA168&gt;0,($BM168*(8*($HF168))*Z168),0)+IF(BK168&gt;0,($BM168*((BK168))*Z168),0)))</f>
        <v> </v>
      </c>
      <c r="BW168" s="330" t="str">
        <f aca="false">IF($A168="N/A"," ",SUM(BN168:BV168))</f>
        <v> </v>
      </c>
      <c r="BX168" s="331" t="str">
        <f aca="false">IF($A168="N/A"," ",(H168*(SUM(AS168:BA168)+SUM(BC168:BK168))*BM168))</f>
        <v> </v>
      </c>
      <c r="BY168" s="332" t="str">
        <f aca="false">IF($A168="N/A"," ",((C168*D168)*(SUM($AS168:$BA168)+SUM($BC168:$BK168))*$BM168))</f>
        <v> </v>
      </c>
      <c r="BZ168" s="332" t="str">
        <f aca="false">IF($A168="N/A"," ",(F168*(SUM($AS168:$BA168)+SUM($BC168:$BK168))*$BM168))</f>
        <v> </v>
      </c>
      <c r="CA168" s="333" t="str">
        <f aca="false">IF($A168="N/A"," ",(G168*(SUM($AS168:$BA168)+SUM($BC168:$BK168))*$BM168))</f>
        <v> </v>
      </c>
      <c r="CB168" s="334" t="str">
        <f aca="false">IF(A168="N/A"," ",(VLOOKUP(A168,PowerVolTable,(IF(BMO=2,7,IF(BMO=1,6,8))),FALSE())))</f>
        <v> </v>
      </c>
      <c r="CC168" s="334" t="str">
        <f aca="false">IF(A168="N/A"," ",(VLOOKUP(A168,IntraPowerVol,(IF(BMO=2,3,IF(BMO=1,2,4))),FALSE())*VLOOKUP(MONTH($A168),Volscale,2)))</f>
        <v> </v>
      </c>
      <c r="CD168" s="335" t="str">
        <f aca="false">IF($A168="N/A"," ",(IF(DateToday&gt;$A168,$CC168,((($CB168^2)*((($A168-1)-DateToday)/((EOMONTH($A168,0)+1)-DateToday-15)))+((($CC168)^2)*((15)/((EOMONTH($A168,0)+1)-DateToday-15))))^0.5)))</f>
        <v> </v>
      </c>
      <c r="CE168" s="334" t="str">
        <f aca="false">IF($A168="N/A"," ",(VLOOKUP($A168,GasVolTable,(IF(BMO=2,6,IF(BMO=1,7,5))),FALSE())))</f>
        <v> </v>
      </c>
      <c r="CF168" s="334" t="str">
        <f aca="false">IF($A168="N/A"," ",(VLOOKUP($A168,OmicronVol,(IF(BMO=2,3,IF(BMO=1,4,2))),FALSE())))</f>
        <v> </v>
      </c>
      <c r="CG168" s="335" t="str">
        <f aca="false">IF($A168="N/A"," ",(IF(DateToday&gt;$A168,$CF168,((($CE168^2)*((($A168-1)-DateToday)/((EOMONTH($A168,0)+1)-DateToday-15)))+((($CF168)^2)*((15)/((EOMONTH($A168,0)+1)-DateToday-15))))^0.5)))</f>
        <v> </v>
      </c>
      <c r="CH168" s="334" t="str">
        <f aca="false">IF($A168="N/A"," ",VLOOKUP($A168,CorrelationTable,2,FALSE()))</f>
        <v> </v>
      </c>
      <c r="CI168" s="336" t="str">
        <f aca="false">IF($A168="N/A"," ",F168+G168+(D168*('Pricing Inputs'!T201)))</f>
        <v> </v>
      </c>
      <c r="CJ168" s="334" t="str">
        <f aca="false">IF($A168="N/A"," ",IF(PV=1,0,'Pricing Inputs'!U201))</f>
        <v> </v>
      </c>
      <c r="CK168" s="337" t="str">
        <f aca="false">IF($A168="N/A"," ",(1+CJ168/2)^(-2*((EOMONTH(A168,0)+20)-DateToday)/365.25))</f>
        <v> </v>
      </c>
      <c r="CL168" s="338" t="str">
        <f aca="false">IF(A168="N/A"," ",IF(CC=2,(VLOOKUP(MONTH($A168),Hrtable,3))/1000,0))</f>
        <v> </v>
      </c>
      <c r="CM168" s="339" t="str">
        <f aca="false">IF(A168="N/A"," ",IF(CC=2,(CL168*C168)+F168,0))</f>
        <v> </v>
      </c>
      <c r="CN168" s="340" t="str">
        <f aca="false">IF($A168="N/A"," ",IF(CC=2,(VLOOKUP(A168,ScaledPrice,(IF(AND(Dayrun&gt;=1,Dayrun&lt;=6),2,4)))-((IF(R168&lt;&gt;0,$D168,$CL168)*$C168)+$F168+$G168)),0))</f>
        <v> </v>
      </c>
      <c r="CO168" s="340" t="str">
        <f aca="false">IF($A168="N/A"," ",IF(CC=2,(IF(AND(Dayrun&gt;=1,Dayrun&lt;=6),I168,(VLOOKUP(A168,ScaledPrice,2))*(2-(VLOOKUP(A168,ScaledPrice,3))))-((IF(S168&lt;&gt;0,$D168,$CL168)*$C168)+$F168+$G168)),0))</f>
        <v> </v>
      </c>
      <c r="CP168" s="340" t="str">
        <f aca="false">IF(A168="N/A"," ",IF(CC=2,(VLOOKUP(A168,ScaledPrice,9)-((IF(T168&lt;&gt;0,$D168,$CL168)*$C168)+$F168+$G168)),0))</f>
        <v> </v>
      </c>
      <c r="CQ168" s="340" t="str">
        <f aca="false">IF(A168="N/A"," ",IF(CC=2,(IF(OR(Dayrun=2,Dayrun=3,Dayrun=5,Dayrun=6,Dayrun=8,Dayrun=9),VLOOKUP(A168,ScaledPrice,IF(AND(Dayrun&gt;=2,Dayrun&lt;=6),5,6)),0)-((IF(U168&lt;&gt;0,$D168,$CL168)*$C168)+$F168+$G168)),0))</f>
        <v> </v>
      </c>
      <c r="CR168" s="340" t="str">
        <f aca="false">IF(A168="N/A"," ",IF(CC=2,(IF(OR(Dayrun=2,Dayrun=3,Dayrun=5,Dayrun=6,Dayrun=8,Dayrun=9),IF(AND(Dayrun&gt;=2,Dayrun&lt;=6),L168,(VLOOKUP(A168,ScaledPrice,5))*(2-(VLOOKUP(A168,ScaledPrice,3)))),0)-((IF(V168&lt;&gt;0,$D168,$CL168)*$C168)+$F168+$G168)),0))</f>
        <v> </v>
      </c>
      <c r="CS168" s="340" t="str">
        <f aca="false">IF(A168="N/A"," ",IF(CC=2,(VLOOKUP(A168,ScaledPrice,9)-((IF(W168&lt;&gt;0,$D168,$CL168)*$C168)+$F168+$G168)),0))</f>
        <v> </v>
      </c>
      <c r="CT168" s="340" t="str">
        <f aca="false">IF(A168="N/A"," ",IF(CC=2,(IF(OR(Dayrun=3,Dayrun=6,Dayrun=9),(VLOOKUP(A168,ScaledPrice,IF(AND(Dayrun&gt;=3,Dayrun&lt;=6),7,8))),0)-((IF(X168&lt;&gt;0,$D168,$CL168)*$C168)+$F168+$G168)),0))</f>
        <v> </v>
      </c>
      <c r="CU168" s="340" t="str">
        <f aca="false">IF(A168="N/A"," ",IF(CC=2,(IF(OR(Dayrun=3,Dayrun=6,Dayrun=9),IF(AND(Dayrun&gt;=3,Dayrun&lt;=6),O168,(VLOOKUP(A168,ScaledPrice,7))*(2-(VLOOKUP(A168,ScaledPrice,3)))),0)-((IF(Y168&lt;&gt;0,$D168,$CL168)*$C168)+$F168+$G168)),0))</f>
        <v> </v>
      </c>
      <c r="CV168" s="340" t="str">
        <f aca="false">IF(A168="N/A"," ",IF(CC=2,(VLOOKUP(A168,ScaledPrice,9)-((IF(Z168&lt;&gt;0,$D168,$CL168)*$C168)+$F168+$G168)),0))</f>
        <v> </v>
      </c>
      <c r="CW168" s="318" t="str">
        <f aca="false">IF($A168="N/A"," ",IF(0&lt;&gt;CN168,IF(CC=2,8*$HD168,0),0))</f>
        <v> </v>
      </c>
      <c r="CX168" s="318" t="str">
        <f aca="false">IF($A168="N/A"," ",IF(0&lt;&gt;CO168,IF(CC=2,8*$HD168,0),0))</f>
        <v> </v>
      </c>
      <c r="CY168" s="318" t="str">
        <f aca="false">IF($A168="N/A"," ",IF(0&lt;&gt;CP168,IF(CC=2,8*$HD168,0),0))</f>
        <v> </v>
      </c>
      <c r="CZ168" s="318" t="str">
        <f aca="false">IF($A168="N/A"," ",IF(0&lt;&gt;CQ168,IF(CC=2,8*$HE168,0),0))</f>
        <v> </v>
      </c>
      <c r="DA168" s="318" t="str">
        <f aca="false">IF($A168="N/A"," ",IF(0&lt;&gt;CR168,IF(CC=2,8*$HE168,0),0))</f>
        <v> </v>
      </c>
      <c r="DB168" s="318" t="str">
        <f aca="false">IF($A168="N/A"," ",IF(0&lt;&gt;CS168,IF(CC=2,8*$HE168,0),0))</f>
        <v> </v>
      </c>
      <c r="DC168" s="318" t="str">
        <f aca="false">IF($A168="N/A"," ",IF(0&lt;&gt;CT168,IF(CC=2,8*$HF168,0),0))</f>
        <v> </v>
      </c>
      <c r="DD168" s="318" t="str">
        <f aca="false">IF($A168="N/A"," ",IF(0&lt;&gt;CU168,IF(CC=2,8*$HF168,0),0))</f>
        <v> </v>
      </c>
      <c r="DE168" s="318" t="str">
        <f aca="false">IF($A168="N/A"," ",IF(0&lt;&gt;CV168,IF(CC=2,8*$HF168,0),0))</f>
        <v> </v>
      </c>
      <c r="DF168" s="341" t="str">
        <f aca="false">IF($A168="N/A"," ",IF(CC=2,(IF(MONTH(A168)&gt;=4,IF(MONTH(A168)&lt;=10,Inputs!$G$13,Inputs!$G$14),Inputs!$G$14))*$CK168,0))</f>
        <v> </v>
      </c>
      <c r="DG168" s="342" t="str">
        <f aca="false">IF($A168="N/A"," ",IF(CC=2,$DF168*CW168*CN168,0))</f>
        <v> </v>
      </c>
      <c r="DH168" s="342" t="str">
        <f aca="false">IF($A168="N/A"," ",IF(CC=2,$DF168*CX168*CO168,0))</f>
        <v> </v>
      </c>
      <c r="DI168" s="342" t="str">
        <f aca="false">IF($A168="N/A"," ",IF(CC=2,$DF168*CY168*CP168,0))</f>
        <v> </v>
      </c>
      <c r="DJ168" s="342" t="str">
        <f aca="false">IF($A168="N/A"," ",IF(CC=2,$DF168*CZ168*CQ168,0))</f>
        <v> </v>
      </c>
      <c r="DK168" s="342" t="str">
        <f aca="false">IF($A168="N/A"," ",IF(CC=2,$DF168*DA168*CR168,0))</f>
        <v> </v>
      </c>
      <c r="DL168" s="342" t="str">
        <f aca="false">IF($A168="N/A"," ",IF(CC=2,$DF168*DB168*CS168,0))</f>
        <v> </v>
      </c>
      <c r="DM168" s="342" t="str">
        <f aca="false">IF($A168="N/A"," ",IF(CC=2,$DF168*DC168*CT168,0))</f>
        <v> </v>
      </c>
      <c r="DN168" s="342" t="str">
        <f aca="false">IF($A168="N/A"," ",IF(CC=2,$DF168*DD168*CU168,0))</f>
        <v> </v>
      </c>
      <c r="DO168" s="342" t="str">
        <f aca="false">IF($A168="N/A"," ",IF(CC=2,$DF168*DE168*CV168,0))</f>
        <v> </v>
      </c>
      <c r="DP168" s="343" t="str">
        <f aca="false">IF($A168="N/A"," ",IF(CC=2,SUM(DG168:DO168),0))</f>
        <v> </v>
      </c>
      <c r="DQ168" s="0" t="str">
        <f aca="false">IF(A168="N/A"," ",Perstart)</f>
        <v> </v>
      </c>
      <c r="HD168" s="0" t="str">
        <f aca="false">IF($A168="N/A"," ",VLOOKUP($A168,NumberofDaysTable,2))</f>
        <v> </v>
      </c>
      <c r="HE168" s="0" t="str">
        <f aca="false">IF($A168="N/A"," ",VLOOKUP($A168,NumberofDaysTable,3))</f>
        <v> </v>
      </c>
      <c r="HF168" s="0" t="str">
        <f aca="false">IF($A168="N/A"," ",VLOOKUP($A168,NumberofDaysTable,4))</f>
        <v> </v>
      </c>
    </row>
    <row r="169" customFormat="false" ht="12.75" hidden="false" customHeight="false" outlineLevel="0" collapsed="false">
      <c r="A169" s="308" t="str">
        <f aca="false">IF(A168="N/A","N/A",IF(EDATE(A168,1)&gt;Inputs!$K$3,"N/A",EDATE(A168,1)))</f>
        <v>N/A</v>
      </c>
      <c r="B169" s="309" t="str">
        <f aca="false">IF(A169="N/A"," ",YEAR(A169))</f>
        <v> </v>
      </c>
      <c r="C169" s="310" t="str">
        <f aca="false">IF(A169="N/A"," ",VLOOKUP(A169,ScaledPrice,10))</f>
        <v> </v>
      </c>
      <c r="D169" s="311" t="str">
        <f aca="false">IF(A169="N/A"," ",(VLOOKUP(MONTH($A169),Hrtable,2))/1000)</f>
        <v> </v>
      </c>
      <c r="E169" s="312" t="str">
        <f aca="false">IF($A169="N/A"," ",(C169-'Pricing Inputs'!T202)*D169)</f>
        <v> </v>
      </c>
      <c r="F169" s="313" t="str">
        <f aca="false">IF(A169="N/A"," ",$F157*(1+VOMesc))</f>
        <v> </v>
      </c>
      <c r="G169" s="313" t="str">
        <f aca="false">IF(A169="N/A"," ",Perstart/IF(AND(Dayrun&gt;=4,Dayrun&lt;=6),16,IF(AND(Dayrun&gt;=7,Dayrun&lt;=9),8,24))/(BM169/CK169))</f>
        <v> </v>
      </c>
      <c r="H169" s="314" t="str">
        <f aca="false">IF(A169="N/A"," ",(C169*D169)+F169+G169)</f>
        <v> </v>
      </c>
      <c r="I169" s="315" t="str">
        <f aca="false">VLOOKUP(A169,ScaledPrice,(IF(AND(Dayrun&gt;=1,Dayrun&lt;=6),2,4)))</f>
        <v> </v>
      </c>
      <c r="J169" s="315" t="str">
        <f aca="false">IF(A169="N/A"," ",IF(AND(Dayrun&gt;=1,Dayrun&lt;=6),I169,(VLOOKUP(A169,ScaledPrice,2))*(2-(VLOOKUP(A169,ScaledPrice,3)))))</f>
        <v> </v>
      </c>
      <c r="K169" s="315" t="str">
        <f aca="false">IF(A169="N/A"," ",IF(AND(Dayrun&gt;=1,Dayrun&lt;=3),VLOOKUP(A169,ScaledPrice,9),0))</f>
        <v> </v>
      </c>
      <c r="L169" s="315" t="str">
        <f aca="false">IF(A169="N/A"," ",IF(OR(Dayrun=2,Dayrun=3,Dayrun=5,Dayrun=6,Dayrun=8,Dayrun=9),VLOOKUP(A169,ScaledPrice,IF(AND(Dayrun&gt;=2,Dayrun&lt;=6),5,6)),0))</f>
        <v> </v>
      </c>
      <c r="M169" s="315" t="str">
        <f aca="false">IF(A169="N/A"," ",IF(OR(Dayrun=2,Dayrun=3,Dayrun=5,Dayrun=6,Dayrun=8,Dayrun=9),IF(AND(Dayrun&gt;=2,Dayrun&lt;=6),L169,(VLOOKUP(A169,ScaledPrice,5))*(2-(VLOOKUP(A169,ScaledPrice,3)))),0))</f>
        <v> </v>
      </c>
      <c r="N169" s="315" t="str">
        <f aca="false">IF(A169="N/A"," ",IF(AND(Dayrun&gt;1,Dayrun&lt;=3),VLOOKUP(A169,ScaledPrice,9),0))</f>
        <v> </v>
      </c>
      <c r="O169" s="315" t="str">
        <f aca="false">IF(A169="N/A"," ",IF(OR(Dayrun=3,Dayrun=6,Dayrun=9),(VLOOKUP(A169,ScaledPrice,IF(AND(Dayrun&gt;=3,Dayrun&lt;=6),7,8))),0))</f>
        <v> </v>
      </c>
      <c r="P169" s="315" t="str">
        <f aca="false">IF(A169="N/A"," ",IF(OR(Dayrun=3,Dayrun=6,Dayrun=9),IF(AND(Dayrun&gt;=3,Dayrun&lt;=6),O169,(VLOOKUP(A169,ScaledPrice,7))*(2-(VLOOKUP(A169,ScaledPrice,3)))),0))</f>
        <v> </v>
      </c>
      <c r="Q169" s="315" t="str">
        <f aca="false">IF(A169="N/A"," ",IF(AND(Dayrun&gt;2,Dayrun&lt;=3),VLOOKUP(A169,ScaledPrice,9),0))</f>
        <v> </v>
      </c>
      <c r="R169" s="316" t="str">
        <f aca="false">IF($A169="N/A"," ",IF(Pricetype=2,MAX(I169-$H169,0),IF(Pricetype=1,(xSPRDOPT(I169,$E169,$CI169,0,($CD169+IF(Smile=TRUE(),VLOOKUP(MAX(-5,$H169-I169),Volsmile,2),0)),$CG169,$CH169,($A169-DateToday)+15,1,0)),I169-$H169)))</f>
        <v> </v>
      </c>
      <c r="S169" s="316" t="str">
        <f aca="false">IF($A169="N/A"," ",IF(Pricetype=2,MAX(J169-$H169,0),IF(Pricetype=1,(xSPRDOPT(J169,$E169,$CI169,0,($CD169+IF(Smile=TRUE(),VLOOKUP(MAX(-5,$H169-J169),Volsmile,2),0)),$CG169,$CH169,($A169-DateToday)+15,1,0)),J169-$H169)))</f>
        <v> </v>
      </c>
      <c r="T169" s="317" t="str">
        <f aca="false">IF($A169="N/A"," ",(IF(Pricetype=2,IF((K169-$H169)&lt;=0,0,(K169-$H169)),IF(K169&lt;&gt;0,(K169-$H169),0))))</f>
        <v> </v>
      </c>
      <c r="U169" s="316" t="str">
        <f aca="false">IF($A169="N/A"," ",IF(Pricetype=2,MAX(L169-$H169,0),IF(L169&lt;&gt;0,IF(Pricetype=1,(xSPRDOPT(L169,$E169,$CI169,0,($CD169+IF(Smile=TRUE(),VLOOKUP(MAX(-5,$H169-L169),Volsmile,2),0)),$CG169,$CH169,($A169-DateToday)+15,1,0)),L169-$H169),0)))</f>
        <v> </v>
      </c>
      <c r="V169" s="316" t="str">
        <f aca="false">IF($A169="N/A"," ",IF(Pricetype=2,MAX(M169-$H169,0),IF(M169&lt;&gt;0,IF(Pricetype=1,(xSPRDOPT(M169,$E169,$CI169,0,($CD169+IF(Smile=TRUE(),VLOOKUP(MAX(-5,$H169-M169),Volsmile,2),0)),$CG169,$CH169,($A169-DateToday)+15,1,0)),M169-$H169),0)))</f>
        <v> </v>
      </c>
      <c r="W169" s="317" t="str">
        <f aca="false">IF($A169="N/A"," ",(IF(Pricetype=2,IF((N169-$H169)&lt;=0,0,(N169-$H169)),IF(N169&lt;&gt;0,(N169-$H169),0))))</f>
        <v> </v>
      </c>
      <c r="X169" s="316" t="str">
        <f aca="false">IF($A169="N/A"," ",IF(Pricetype=2,MAX(O169-$H169,0),IF(O169&lt;&gt;0,IF(Pricetype=1,(xSPRDOPT(O169,$E169,$CI169,0,($CD169+IF(Smile=TRUE(),VLOOKUP(MAX(-5,$H169-O169),Volsmile,2),0)),$CG169,$CH169,($A169-DateToday)+15,1,0)),O169-$H169),0)))</f>
        <v> </v>
      </c>
      <c r="Y169" s="316" t="str">
        <f aca="false">IF($A169="N/A"," ",IF(Pricetype=2,MAX(P169-$H169,0),IF(P169&lt;&gt;0,IF(Pricetype=1,(xSPRDOPT(P169,$E169,$CI169,0,($CD169+IF(Smile=TRUE(),VLOOKUP(MAX(-5,$H169-P169),Volsmile,2),0)),$CG169,$CH169,($A169-DateToday)+15,1,0)),P169-$H169),0)))</f>
        <v> </v>
      </c>
      <c r="Z169" s="317" t="str">
        <f aca="false">IF($A169="N/A"," ",(IF(Pricetype=2,IF((Q169-$H169)&lt;=0,0,(Q169-$H169)),IF(Q169&lt;&gt;0,(Q169-$H169),0))))</f>
        <v> </v>
      </c>
      <c r="AA169" s="318" t="str">
        <f aca="false">IF($A169="N/A"," ",IF(VLOOKUP(MONTH(A169),ManualTable,2)=1,(IF(0&lt;&gt;R169,IF(Pricetype=1,(xSPRDOPT(I169,$E169,$CI169,0,($CD169+IF(Smile=TRUE(),VLOOKUP(MAX(-5,$H169-I169),Volsmile,2),0)),$CG169,$CH169,($A169-DateToday)+15,1,1))*(8*$HD169),8*$HD169),0)),0))</f>
        <v> </v>
      </c>
      <c r="AB169" s="318" t="str">
        <f aca="false">IF($A169="N/A"," ",IF(VLOOKUP(MONTH(A169),ManualTable,3)=1,(IF(S169&lt;&gt;0,IF(Pricetype=1,(xSPRDOPT(J169,$E169,$CI169,0,($CD169+IF(Smile=TRUE(),VLOOKUP(MAX(-5,$H169-J169),Volsmile,2),0)),$CG169,$CH169,($A169-DateToday)+15,1,1))*(8*$HD169),8*$HD169),0)),0))</f>
        <v> </v>
      </c>
      <c r="AC169" s="318" t="str">
        <f aca="false">IF($A169="N/A"," ",IF(VLOOKUP(MONTH(A169),ManualTable,4)=1,(IF(T169&lt;&gt;0,(8*$HD169),0)),0))</f>
        <v> </v>
      </c>
      <c r="AD169" s="318" t="str">
        <f aca="false">IF($A169="N/A"," ",IF(VLOOKUP(MONTH(A169),ManualTable,5)=1,(IF(U169&lt;&gt;0,IF(Pricetype=1,(xSPRDOPT(L169,$E169,$CI169,0,($CD169+IF(Smile=TRUE(),VLOOKUP(MAX(-5,$H169-L169),Volsmile,2),0)),$CG169,$CH169,($A169-DateToday)+15,1,1))*(8*$HE169),8*$HE169),0)),0))</f>
        <v> </v>
      </c>
      <c r="AE169" s="318" t="str">
        <f aca="false">IF($A169="N/A"," ",IF(VLOOKUP(MONTH(A169),ManualTable,6)=1,(IF(V169&lt;&gt;0,IF(Pricetype=1,(xSPRDOPT(M169,$E169,$CI169,0,($CD169+IF(Smile=TRUE(),VLOOKUP(MAX(-5,$H169-M169),Volsmile,2),0)),$CG169,$CH169,($A169-DateToday)+15,1,1))*(8*$HE169),8*$HE169),0)),0))</f>
        <v> </v>
      </c>
      <c r="AF169" s="318" t="str">
        <f aca="false">IF($A169="N/A"," ",IF(VLOOKUP(MONTH(A169),ManualTable,7)=1,(IF(W169&lt;&gt;0,(8*$HE169),0)),0))</f>
        <v> </v>
      </c>
      <c r="AG169" s="318" t="str">
        <f aca="false">IF($A169="N/A"," ",IF(VLOOKUP(MONTH(A169),ManualTable,8)=1,(IF(X169&lt;&gt;0,IF(Pricetype=1,(xSPRDOPT(O169,$E169,$CI169,0,($CD169+IF(Smile=TRUE(),VLOOKUP(MAX(-5,$H169-O169),Volsmile,2),0)),$CG169,$CH169,($A169-DateToday)+15,1,1))*(8*$HF169),8*$HF169),0)),0))</f>
        <v> </v>
      </c>
      <c r="AH169" s="318" t="str">
        <f aca="false">IF($A169="N/A"," ",IF(VLOOKUP(MONTH(A169),ManualTable,9)=1,(IF(Y169&lt;&gt;0,IF(Pricetype=1,(xSPRDOPT(P169,$E169,$CI169,0,($CD169+IF(Smile=TRUE(),VLOOKUP(MAX(-5,$H169-P169),Volsmile,2),0)),$CG169,$CH169,($A169-DateToday)+15,1,1))*(8*$HF169),8*$HF169),0)),0))</f>
        <v> </v>
      </c>
      <c r="AI169" s="318" t="str">
        <f aca="false">IF($A169="N/A"," ",IF(VLOOKUP(MONTH(A169),ManualTable,10)=1,(IF(Z169&lt;&gt;0,(8*($HF169)),0)),0))</f>
        <v> </v>
      </c>
      <c r="AJ169" s="344" t="str">
        <f aca="false">IF($A169="N/A"," ",RANK(R169,$R$160:$Z$171))</f>
        <v> </v>
      </c>
      <c r="AK169" s="321" t="str">
        <f aca="false">IF($A169="N/A"," ",RANK(S169,$R$160:$Z$171))</f>
        <v> </v>
      </c>
      <c r="AL169" s="321" t="str">
        <f aca="false">IF($A169="N/A"," ",RANK(T169,$R$160:$Z$171))</f>
        <v> </v>
      </c>
      <c r="AM169" s="321" t="str">
        <f aca="false">IF($A169="N/A"," ",RANK(U169,$R$160:$Z$171))</f>
        <v> </v>
      </c>
      <c r="AN169" s="321" t="str">
        <f aca="false">IF($A169="N/A"," ",RANK(V169,$R$160:$Z$171))</f>
        <v> </v>
      </c>
      <c r="AO169" s="321" t="str">
        <f aca="false">IF($A169="N/A"," ",RANK(W169,$R$160:$Z$171))</f>
        <v> </v>
      </c>
      <c r="AP169" s="321" t="str">
        <f aca="false">IF($A169="N/A"," ",RANK(X169,$R$160:$Z$171))</f>
        <v> </v>
      </c>
      <c r="AQ169" s="321" t="str">
        <f aca="false">IF($A169="N/A"," ",RANK(Y169,$R$160:$Z$171))</f>
        <v> </v>
      </c>
      <c r="AR169" s="345" t="str">
        <f aca="false">IF($A169="N/A"," ",RANK(Z169,$R$160:$Z$171))</f>
        <v> </v>
      </c>
      <c r="AS169" s="323" t="str">
        <f aca="false">IF($A169="N/A"," ",IF(AJ169&lt;=$AR$2,AA169,0))</f>
        <v> </v>
      </c>
      <c r="AT169" s="325" t="str">
        <f aca="false">IF($A169="N/A"," ",IF(AK169&lt;=$AR$2,AB169,0))</f>
        <v> </v>
      </c>
      <c r="AU169" s="325" t="str">
        <f aca="false">IF($A169="N/A"," ",IF(AL169&lt;=$AR$2,AC169,0))</f>
        <v> </v>
      </c>
      <c r="AV169" s="325" t="str">
        <f aca="false">IF($A169="N/A"," ",IF(AM169&lt;=$AR$2,AD169,0))</f>
        <v> </v>
      </c>
      <c r="AW169" s="325" t="str">
        <f aca="false">IF($A169="N/A"," ",IF(AN169&lt;=$AR$2,AE169,0))</f>
        <v> </v>
      </c>
      <c r="AX169" s="325" t="str">
        <f aca="false">IF($A169="N/A"," ",IF(AO169&lt;=$AR$2,AF169,0))</f>
        <v> </v>
      </c>
      <c r="AY169" s="325" t="str">
        <f aca="false">IF($A169="N/A"," ",IF(AP169&lt;=$AR$2,AG169,0))</f>
        <v> </v>
      </c>
      <c r="AZ169" s="325" t="str">
        <f aca="false">IF($A169="N/A"," ",IF(AQ169&lt;=$AR$2,AH169,0))</f>
        <v> </v>
      </c>
      <c r="BA169" s="325" t="str">
        <f aca="false">IF($A169="N/A"," ",IF(AR169&lt;=$AR$2,AI169,0))</f>
        <v> </v>
      </c>
      <c r="BB169" s="348" t="s">
        <v>1319</v>
      </c>
      <c r="BC169" s="326" t="str">
        <f aca="false">IF($A169="N/A"," ",IF(AND(AJ169=$AR$2+1,AS169=0),MIN($BB$171,AA169),0))</f>
        <v> </v>
      </c>
      <c r="BD169" s="346" t="str">
        <f aca="false">IF($A169="N/A"," ",IF(AND(AK169=$AR$2+1,AT169=0),MIN($BB$171,AB169),0))</f>
        <v> </v>
      </c>
      <c r="BE169" s="346" t="str">
        <f aca="false">IF($A169="N/A"," ",IF(AND(AL169=$AR$2+1,AU169=0),MIN($BB$171,AC169),0))</f>
        <v> </v>
      </c>
      <c r="BF169" s="346" t="str">
        <f aca="false">IF($A169="N/A"," ",IF(AND(AM169=$AR$2+1,AV169=0),MIN($BB$171,AD169),0))</f>
        <v> </v>
      </c>
      <c r="BG169" s="346" t="str">
        <f aca="false">IF($A169="N/A"," ",IF(AND(AN169=$AR$2+1,AW169=0),MIN($BB$171,AE169),0))</f>
        <v> </v>
      </c>
      <c r="BH169" s="346" t="str">
        <f aca="false">IF($A169="N/A"," ",IF(AND(AO169=$AR$2+1,AX169=0),MIN($BB$171,AF169),0))</f>
        <v> </v>
      </c>
      <c r="BI169" s="346" t="str">
        <f aca="false">IF($A169="N/A"," ",IF(AND(AP169=$AR$2+1,AY169=0),MIN($BB$171,AG169),0))</f>
        <v> </v>
      </c>
      <c r="BJ169" s="346" t="str">
        <f aca="false">IF($A169="N/A"," ",IF(AND(AQ169=$AR$2+1,AZ169=0),MIN($BB$171,AH169),0))</f>
        <v> </v>
      </c>
      <c r="BK169" s="346" t="str">
        <f aca="false">IF($A169="N/A"," ",IF(AND(AR169=$AR$2+1,BA169=0),MIN($BB$171,AI169),0))</f>
        <v> </v>
      </c>
      <c r="BL169" s="347" t="s">
        <v>1359</v>
      </c>
      <c r="BM169" s="329" t="str">
        <f aca="false">IF($A169="N/A"," ",(IF(MONTH(A169)&gt;=4,IF(MONTH(A169)&lt;=10,Inputs!$F$13-Inputs!$G$13,Inputs!$F$14-Inputs!$G$14),Inputs!$F$14-Inputs!$G$14))*$CK169*Availability)</f>
        <v> </v>
      </c>
      <c r="BN169" s="330" t="str">
        <f aca="false">IF($A169="N/A"," ",(IF(AS169&gt;0,($BM169*(8*($HD169))*R169),0)+IF(BC169&gt;0,($BM169*((BC169/AA169)*8*$HD169)*R169),0)))</f>
        <v> </v>
      </c>
      <c r="BO169" s="330" t="str">
        <f aca="false">IF($A169="N/A"," ",(IF(AT169&gt;0,($BM169*(8*($HD169))*S169),0)+IF(BD169&gt;0,($BM169*((BD169/AB169)*8*$HD169)*S169),0)))</f>
        <v> </v>
      </c>
      <c r="BP169" s="330" t="str">
        <f aca="false">IF($A169="N/A"," ",(IF(AU169&gt;0,($BM169*(8*($HD169))*T169),0)+IF(BE169&gt;0,($BM169*((BE169))*T169),0)))</f>
        <v> </v>
      </c>
      <c r="BQ169" s="330" t="str">
        <f aca="false">IF($A169="N/A"," ",(IF(AV169&gt;0,($BM169*(8*($HE169))*U169),0)+IF(BF169&gt;0,($BM169*((BF169/AD169)*8*$HE169)*U169),0)))</f>
        <v> </v>
      </c>
      <c r="BR169" s="330" t="str">
        <f aca="false">IF($A169="N/A"," ",(IF(AW169&gt;0,($BM169*(8*($HE169))*V169),0)+IF(BG169&gt;0,($BM169*((BG169/AE169)*8*$HE169)*V169),0)))</f>
        <v> </v>
      </c>
      <c r="BS169" s="330" t="str">
        <f aca="false">IF($A169="N/A"," ",(IF(AX169&gt;0,($BM169*(8*($HE169))*W169),0)+IF(BH169&gt;0,($BM169*((BH169))*W169),0)))</f>
        <v> </v>
      </c>
      <c r="BT169" s="330" t="str">
        <f aca="false">IF($A169="N/A"," ",(IF(AY169&gt;0,($BM169*(8*($HF169))*X169),0)+IF(BI169&gt;0,($BM169*((BI169/AG169)*8*$HF169)*X169),0)))</f>
        <v> </v>
      </c>
      <c r="BU169" s="330" t="str">
        <f aca="false">IF($A169="N/A"," ",(IF(AZ169&gt;0,($BM169*(8*($HF169))*Y169),0)+IF(BJ169&gt;0,($BM169*((BJ169/AH169)*8*$HF169)*Y169),0)))</f>
        <v> </v>
      </c>
      <c r="BV169" s="330" t="str">
        <f aca="false">IF($A169="N/A"," ",(IF(BA169&gt;0,($BM169*(8*($HF169))*Z169),0)+IF(BK169&gt;0,($BM169*((BK169))*Z169),0)))</f>
        <v> </v>
      </c>
      <c r="BW169" s="330" t="str">
        <f aca="false">IF($A169="N/A"," ",SUM(BN169:BV169))</f>
        <v> </v>
      </c>
      <c r="BX169" s="331" t="str">
        <f aca="false">IF($A169="N/A"," ",(H169*(SUM(AS169:BA169)+SUM(BC169:BK169))*BM169))</f>
        <v> </v>
      </c>
      <c r="BY169" s="332" t="str">
        <f aca="false">IF($A169="N/A"," ",((C169*D169)*(SUM($AS169:$BA169)+SUM($BC169:$BK169))*$BM169))</f>
        <v> </v>
      </c>
      <c r="BZ169" s="332" t="str">
        <f aca="false">IF($A169="N/A"," ",(F169*(SUM($AS169:$BA169)+SUM($BC169:$BK169))*$BM169))</f>
        <v> </v>
      </c>
      <c r="CA169" s="333" t="str">
        <f aca="false">IF($A169="N/A"," ",(G169*(SUM($AS169:$BA169)+SUM($BC169:$BK169))*$BM169))</f>
        <v> </v>
      </c>
      <c r="CB169" s="334" t="str">
        <f aca="false">IF(A169="N/A"," ",(VLOOKUP(A169,PowerVolTable,(IF(BMO=2,7,IF(BMO=1,6,8))),FALSE())))</f>
        <v> </v>
      </c>
      <c r="CC169" s="334" t="str">
        <f aca="false">IF(A169="N/A"," ",(VLOOKUP(A169,IntraPowerVol,(IF(BMO=2,3,IF(BMO=1,2,4))),FALSE())*VLOOKUP(MONTH($A169),Volscale,2)))</f>
        <v> </v>
      </c>
      <c r="CD169" s="335" t="str">
        <f aca="false">IF($A169="N/A"," ",(IF(DateToday&gt;$A169,$CC169,((($CB169^2)*((($A169-1)-DateToday)/((EOMONTH($A169,0)+1)-DateToday-15)))+((($CC169)^2)*((15)/((EOMONTH($A169,0)+1)-DateToday-15))))^0.5)))</f>
        <v> </v>
      </c>
      <c r="CE169" s="334" t="str">
        <f aca="false">IF($A169="N/A"," ",(VLOOKUP($A169,GasVolTable,(IF(BMO=2,6,IF(BMO=1,7,5))),FALSE())))</f>
        <v> </v>
      </c>
      <c r="CF169" s="334" t="str">
        <f aca="false">IF($A169="N/A"," ",(VLOOKUP($A169,OmicronVol,(IF(BMO=2,3,IF(BMO=1,4,2))),FALSE())))</f>
        <v> </v>
      </c>
      <c r="CG169" s="335" t="str">
        <f aca="false">IF($A169="N/A"," ",(IF(DateToday&gt;$A169,$CF169,((($CE169^2)*((($A169-1)-DateToday)/((EOMONTH($A169,0)+1)-DateToday-15)))+((($CF169)^2)*((15)/((EOMONTH($A169,0)+1)-DateToday-15))))^0.5)))</f>
        <v> </v>
      </c>
      <c r="CH169" s="334" t="str">
        <f aca="false">IF($A169="N/A"," ",VLOOKUP($A169,CorrelationTable,2,FALSE()))</f>
        <v> </v>
      </c>
      <c r="CI169" s="336" t="str">
        <f aca="false">IF($A169="N/A"," ",F169+G169+(D169*('Pricing Inputs'!T202)))</f>
        <v> </v>
      </c>
      <c r="CJ169" s="334" t="str">
        <f aca="false">IF($A169="N/A"," ",IF(PV=1,0,'Pricing Inputs'!U202))</f>
        <v> </v>
      </c>
      <c r="CK169" s="337" t="str">
        <f aca="false">IF($A169="N/A"," ",(1+CJ169/2)^(-2*((EOMONTH(A169,0)+20)-DateToday)/365.25))</f>
        <v> </v>
      </c>
      <c r="CL169" s="338" t="str">
        <f aca="false">IF(A169="N/A"," ",IF(CC=2,(VLOOKUP(MONTH($A169),Hrtable,3))/1000,0))</f>
        <v> </v>
      </c>
      <c r="CM169" s="339" t="str">
        <f aca="false">IF(A169="N/A"," ",IF(CC=2,(CL169*C169)+F169,0))</f>
        <v> </v>
      </c>
      <c r="CN169" s="340" t="str">
        <f aca="false">IF($A169="N/A"," ",IF(CC=2,(VLOOKUP(A169,ScaledPrice,(IF(AND(Dayrun&gt;=1,Dayrun&lt;=6),2,4)))-((IF(R169&lt;&gt;0,$D169,$CL169)*$C169)+$F169+$G169)),0))</f>
        <v> </v>
      </c>
      <c r="CO169" s="340" t="str">
        <f aca="false">IF($A169="N/A"," ",IF(CC=2,(IF(AND(Dayrun&gt;=1,Dayrun&lt;=6),I169,(VLOOKUP(A169,ScaledPrice,2))*(2-(VLOOKUP(A169,ScaledPrice,3))))-((IF(S169&lt;&gt;0,$D169,$CL169)*$C169)+$F169+$G169)),0))</f>
        <v> </v>
      </c>
      <c r="CP169" s="340" t="str">
        <f aca="false">IF(A169="N/A"," ",IF(CC=2,(VLOOKUP(A169,ScaledPrice,9)-((IF(T169&lt;&gt;0,$D169,$CL169)*$C169)+$F169+$G169)),0))</f>
        <v> </v>
      </c>
      <c r="CQ169" s="340" t="str">
        <f aca="false">IF(A169="N/A"," ",IF(CC=2,(IF(OR(Dayrun=2,Dayrun=3,Dayrun=5,Dayrun=6,Dayrun=8,Dayrun=9),VLOOKUP(A169,ScaledPrice,IF(AND(Dayrun&gt;=2,Dayrun&lt;=6),5,6)),0)-((IF(U169&lt;&gt;0,$D169,$CL169)*$C169)+$F169+$G169)),0))</f>
        <v> </v>
      </c>
      <c r="CR169" s="340" t="str">
        <f aca="false">IF(A169="N/A"," ",IF(CC=2,(IF(OR(Dayrun=2,Dayrun=3,Dayrun=5,Dayrun=6,Dayrun=8,Dayrun=9),IF(AND(Dayrun&gt;=2,Dayrun&lt;=6),L169,(VLOOKUP(A169,ScaledPrice,5))*(2-(VLOOKUP(A169,ScaledPrice,3)))),0)-((IF(V169&lt;&gt;0,$D169,$CL169)*$C169)+$F169+$G169)),0))</f>
        <v> </v>
      </c>
      <c r="CS169" s="340" t="str">
        <f aca="false">IF(A169="N/A"," ",IF(CC=2,(VLOOKUP(A169,ScaledPrice,9)-((IF(W169&lt;&gt;0,$D169,$CL169)*$C169)+$F169+$G169)),0))</f>
        <v> </v>
      </c>
      <c r="CT169" s="340" t="str">
        <f aca="false">IF(A169="N/A"," ",IF(CC=2,(IF(OR(Dayrun=3,Dayrun=6,Dayrun=9),(VLOOKUP(A169,ScaledPrice,IF(AND(Dayrun&gt;=3,Dayrun&lt;=6),7,8))),0)-((IF(X169&lt;&gt;0,$D169,$CL169)*$C169)+$F169+$G169)),0))</f>
        <v> </v>
      </c>
      <c r="CU169" s="340" t="str">
        <f aca="false">IF(A169="N/A"," ",IF(CC=2,(IF(OR(Dayrun=3,Dayrun=6,Dayrun=9),IF(AND(Dayrun&gt;=3,Dayrun&lt;=6),O169,(VLOOKUP(A169,ScaledPrice,7))*(2-(VLOOKUP(A169,ScaledPrice,3)))),0)-((IF(Y169&lt;&gt;0,$D169,$CL169)*$C169)+$F169+$G169)),0))</f>
        <v> </v>
      </c>
      <c r="CV169" s="340" t="str">
        <f aca="false">IF(A169="N/A"," ",IF(CC=2,(VLOOKUP(A169,ScaledPrice,9)-((IF(Z169&lt;&gt;0,$D169,$CL169)*$C169)+$F169+$G169)),0))</f>
        <v> </v>
      </c>
      <c r="CW169" s="318" t="str">
        <f aca="false">IF($A169="N/A"," ",IF(0&lt;&gt;CN169,IF(CC=2,8*$HD169,0),0))</f>
        <v> </v>
      </c>
      <c r="CX169" s="318" t="str">
        <f aca="false">IF($A169="N/A"," ",IF(0&lt;&gt;CO169,IF(CC=2,8*$HD169,0),0))</f>
        <v> </v>
      </c>
      <c r="CY169" s="318" t="str">
        <f aca="false">IF($A169="N/A"," ",IF(0&lt;&gt;CP169,IF(CC=2,8*$HD169,0),0))</f>
        <v> </v>
      </c>
      <c r="CZ169" s="318" t="str">
        <f aca="false">IF($A169="N/A"," ",IF(0&lt;&gt;CQ169,IF(CC=2,8*$HE169,0),0))</f>
        <v> </v>
      </c>
      <c r="DA169" s="318" t="str">
        <f aca="false">IF($A169="N/A"," ",IF(0&lt;&gt;CR169,IF(CC=2,8*$HE169,0),0))</f>
        <v> </v>
      </c>
      <c r="DB169" s="318" t="str">
        <f aca="false">IF($A169="N/A"," ",IF(0&lt;&gt;CS169,IF(CC=2,8*$HE169,0),0))</f>
        <v> </v>
      </c>
      <c r="DC169" s="318" t="str">
        <f aca="false">IF($A169="N/A"," ",IF(0&lt;&gt;CT169,IF(CC=2,8*$HF169,0),0))</f>
        <v> </v>
      </c>
      <c r="DD169" s="318" t="str">
        <f aca="false">IF($A169="N/A"," ",IF(0&lt;&gt;CU169,IF(CC=2,8*$HF169,0),0))</f>
        <v> </v>
      </c>
      <c r="DE169" s="318" t="str">
        <f aca="false">IF($A169="N/A"," ",IF(0&lt;&gt;CV169,IF(CC=2,8*$HF169,0),0))</f>
        <v> </v>
      </c>
      <c r="DF169" s="341" t="str">
        <f aca="false">IF($A169="N/A"," ",IF(CC=2,(IF(MONTH(A169)&gt;=4,IF(MONTH(A169)&lt;=10,Inputs!$G$13,Inputs!$G$14),Inputs!$G$14))*$CK169,0))</f>
        <v> </v>
      </c>
      <c r="DG169" s="342" t="str">
        <f aca="false">IF($A169="N/A"," ",IF(CC=2,$DF169*CW169*CN169,0))</f>
        <v> </v>
      </c>
      <c r="DH169" s="342" t="str">
        <f aca="false">IF($A169="N/A"," ",IF(CC=2,$DF169*CX169*CO169,0))</f>
        <v> </v>
      </c>
      <c r="DI169" s="342" t="str">
        <f aca="false">IF($A169="N/A"," ",IF(CC=2,$DF169*CY169*CP169,0))</f>
        <v> </v>
      </c>
      <c r="DJ169" s="342" t="str">
        <f aca="false">IF($A169="N/A"," ",IF(CC=2,$DF169*CZ169*CQ169,0))</f>
        <v> </v>
      </c>
      <c r="DK169" s="342" t="str">
        <f aca="false">IF($A169="N/A"," ",IF(CC=2,$DF169*DA169*CR169,0))</f>
        <v> </v>
      </c>
      <c r="DL169" s="342" t="str">
        <f aca="false">IF($A169="N/A"," ",IF(CC=2,$DF169*DB169*CS169,0))</f>
        <v> </v>
      </c>
      <c r="DM169" s="342" t="str">
        <f aca="false">IF($A169="N/A"," ",IF(CC=2,$DF169*DC169*CT169,0))</f>
        <v> </v>
      </c>
      <c r="DN169" s="342" t="str">
        <f aca="false">IF($A169="N/A"," ",IF(CC=2,$DF169*DD169*CU169,0))</f>
        <v> </v>
      </c>
      <c r="DO169" s="342" t="str">
        <f aca="false">IF($A169="N/A"," ",IF(CC=2,$DF169*DE169*CV169,0))</f>
        <v> </v>
      </c>
      <c r="DP169" s="343" t="str">
        <f aca="false">IF($A169="N/A"," ",IF(CC=2,SUM(DG169:DO169),0))</f>
        <v> </v>
      </c>
      <c r="DQ169" s="0" t="str">
        <f aca="false">IF(A169="N/A"," ",Perstart)</f>
        <v> </v>
      </c>
      <c r="HD169" s="0" t="str">
        <f aca="false">IF($A169="N/A"," ",VLOOKUP($A169,NumberofDaysTable,2))</f>
        <v> </v>
      </c>
      <c r="HE169" s="0" t="str">
        <f aca="false">IF($A169="N/A"," ",VLOOKUP($A169,NumberofDaysTable,3))</f>
        <v> </v>
      </c>
      <c r="HF169" s="0" t="str">
        <f aca="false">IF($A169="N/A"," ",VLOOKUP($A169,NumberofDaysTable,4))</f>
        <v> </v>
      </c>
    </row>
    <row r="170" customFormat="false" ht="12.75" hidden="false" customHeight="false" outlineLevel="0" collapsed="false">
      <c r="A170" s="308" t="str">
        <f aca="false">IF(A169="N/A","N/A",IF(EDATE(A169,1)&gt;Inputs!$K$3,"N/A",EDATE(A169,1)))</f>
        <v>N/A</v>
      </c>
      <c r="B170" s="309" t="str">
        <f aca="false">IF(A170="N/A"," ",YEAR(A170))</f>
        <v> </v>
      </c>
      <c r="C170" s="310" t="str">
        <f aca="false">IF(A170="N/A"," ",VLOOKUP(A170,ScaledPrice,10))</f>
        <v> </v>
      </c>
      <c r="D170" s="311" t="str">
        <f aca="false">IF(A170="N/A"," ",(VLOOKUP(MONTH($A170),Hrtable,2))/1000)</f>
        <v> </v>
      </c>
      <c r="E170" s="312" t="str">
        <f aca="false">IF($A170="N/A"," ",(C170-'Pricing Inputs'!T203)*D170)</f>
        <v> </v>
      </c>
      <c r="F170" s="313" t="str">
        <f aca="false">IF(A170="N/A"," ",$F158*(1+VOMesc))</f>
        <v> </v>
      </c>
      <c r="G170" s="313" t="str">
        <f aca="false">IF(A170="N/A"," ",Perstart/IF(AND(Dayrun&gt;=4,Dayrun&lt;=6),16,IF(AND(Dayrun&gt;=7,Dayrun&lt;=9),8,24))/(BM170/CK170))</f>
        <v> </v>
      </c>
      <c r="H170" s="314" t="str">
        <f aca="false">IF(A170="N/A"," ",(C170*D170)+F170+G170)</f>
        <v> </v>
      </c>
      <c r="I170" s="315" t="str">
        <f aca="false">VLOOKUP(A170,ScaledPrice,(IF(AND(Dayrun&gt;=1,Dayrun&lt;=6),2,4)))</f>
        <v> </v>
      </c>
      <c r="J170" s="315" t="str">
        <f aca="false">IF(A170="N/A"," ",IF(AND(Dayrun&gt;=1,Dayrun&lt;=6),I170,(VLOOKUP(A170,ScaledPrice,2))*(2-(VLOOKUP(A170,ScaledPrice,3)))))</f>
        <v> </v>
      </c>
      <c r="K170" s="315" t="str">
        <f aca="false">IF(A170="N/A"," ",IF(AND(Dayrun&gt;=1,Dayrun&lt;=3),VLOOKUP(A170,ScaledPrice,9),0))</f>
        <v> </v>
      </c>
      <c r="L170" s="315" t="str">
        <f aca="false">IF(A170="N/A"," ",IF(OR(Dayrun=2,Dayrun=3,Dayrun=5,Dayrun=6,Dayrun=8,Dayrun=9),VLOOKUP(A170,ScaledPrice,IF(AND(Dayrun&gt;=2,Dayrun&lt;=6),5,6)),0))</f>
        <v> </v>
      </c>
      <c r="M170" s="315" t="str">
        <f aca="false">IF(A170="N/A"," ",IF(OR(Dayrun=2,Dayrun=3,Dayrun=5,Dayrun=6,Dayrun=8,Dayrun=9),IF(AND(Dayrun&gt;=2,Dayrun&lt;=6),L170,(VLOOKUP(A170,ScaledPrice,5))*(2-(VLOOKUP(A170,ScaledPrice,3)))),0))</f>
        <v> </v>
      </c>
      <c r="N170" s="315" t="str">
        <f aca="false">IF(A170="N/A"," ",IF(AND(Dayrun&gt;1,Dayrun&lt;=3),VLOOKUP(A170,ScaledPrice,9),0))</f>
        <v> </v>
      </c>
      <c r="O170" s="315" t="str">
        <f aca="false">IF(A170="N/A"," ",IF(OR(Dayrun=3,Dayrun=6,Dayrun=9),(VLOOKUP(A170,ScaledPrice,IF(AND(Dayrun&gt;=3,Dayrun&lt;=6),7,8))),0))</f>
        <v> </v>
      </c>
      <c r="P170" s="315" t="str">
        <f aca="false">IF(A170="N/A"," ",IF(OR(Dayrun=3,Dayrun=6,Dayrun=9),IF(AND(Dayrun&gt;=3,Dayrun&lt;=6),O170,(VLOOKUP(A170,ScaledPrice,7))*(2-(VLOOKUP(A170,ScaledPrice,3)))),0))</f>
        <v> </v>
      </c>
      <c r="Q170" s="315" t="str">
        <f aca="false">IF(A170="N/A"," ",IF(AND(Dayrun&gt;2,Dayrun&lt;=3),VLOOKUP(A170,ScaledPrice,9),0))</f>
        <v> </v>
      </c>
      <c r="R170" s="316" t="str">
        <f aca="false">IF($A170="N/A"," ",IF(Pricetype=2,MAX(I170-$H170,0),IF(Pricetype=1,(xSPRDOPT(I170,$E170,$CI170,0,($CD170+IF(Smile=TRUE(),VLOOKUP(MAX(-5,$H170-I170),Volsmile,2),0)),$CG170,$CH170,($A170-DateToday)+15,1,0)),I170-$H170)))</f>
        <v> </v>
      </c>
      <c r="S170" s="316" t="str">
        <f aca="false">IF($A170="N/A"," ",IF(Pricetype=2,MAX(J170-$H170,0),IF(Pricetype=1,(xSPRDOPT(J170,$E170,$CI170,0,($CD170+IF(Smile=TRUE(),VLOOKUP(MAX(-5,$H170-J170),Volsmile,2),0)),$CG170,$CH170,($A170-DateToday)+15,1,0)),J170-$H170)))</f>
        <v> </v>
      </c>
      <c r="T170" s="317" t="str">
        <f aca="false">IF($A170="N/A"," ",(IF(Pricetype=2,IF((K170-$H170)&lt;=0,0,(K170-$H170)),IF(K170&lt;&gt;0,(K170-$H170),0))))</f>
        <v> </v>
      </c>
      <c r="U170" s="316" t="str">
        <f aca="false">IF($A170="N/A"," ",IF(Pricetype=2,MAX(L170-$H170,0),IF(L170&lt;&gt;0,IF(Pricetype=1,(xSPRDOPT(L170,$E170,$CI170,0,($CD170+IF(Smile=TRUE(),VLOOKUP(MAX(-5,$H170-L170),Volsmile,2),0)),$CG170,$CH170,($A170-DateToday)+15,1,0)),L170-$H170),0)))</f>
        <v> </v>
      </c>
      <c r="V170" s="316" t="str">
        <f aca="false">IF($A170="N/A"," ",IF(Pricetype=2,MAX(M170-$H170,0),IF(M170&lt;&gt;0,IF(Pricetype=1,(xSPRDOPT(M170,$E170,$CI170,0,($CD170+IF(Smile=TRUE(),VLOOKUP(MAX(-5,$H170-M170),Volsmile,2),0)),$CG170,$CH170,($A170-DateToday)+15,1,0)),M170-$H170),0)))</f>
        <v> </v>
      </c>
      <c r="W170" s="317" t="str">
        <f aca="false">IF($A170="N/A"," ",(IF(Pricetype=2,IF((N170-$H170)&lt;=0,0,(N170-$H170)),IF(N170&lt;&gt;0,(N170-$H170),0))))</f>
        <v> </v>
      </c>
      <c r="X170" s="316" t="str">
        <f aca="false">IF($A170="N/A"," ",IF(Pricetype=2,MAX(O170-$H170,0),IF(O170&lt;&gt;0,IF(Pricetype=1,(xSPRDOPT(O170,$E170,$CI170,0,($CD170+IF(Smile=TRUE(),VLOOKUP(MAX(-5,$H170-O170),Volsmile,2),0)),$CG170,$CH170,($A170-DateToday)+15,1,0)),O170-$H170),0)))</f>
        <v> </v>
      </c>
      <c r="Y170" s="316" t="str">
        <f aca="false">IF($A170="N/A"," ",IF(Pricetype=2,MAX(P170-$H170,0),IF(P170&lt;&gt;0,IF(Pricetype=1,(xSPRDOPT(P170,$E170,$CI170,0,($CD170+IF(Smile=TRUE(),VLOOKUP(MAX(-5,$H170-P170),Volsmile,2),0)),$CG170,$CH170,($A170-DateToday)+15,1,0)),P170-$H170),0)))</f>
        <v> </v>
      </c>
      <c r="Z170" s="317" t="str">
        <f aca="false">IF($A170="N/A"," ",(IF(Pricetype=2,IF((Q170-$H170)&lt;=0,0,(Q170-$H170)),IF(Q170&lt;&gt;0,(Q170-$H170),0))))</f>
        <v> </v>
      </c>
      <c r="AA170" s="318" t="str">
        <f aca="false">IF($A170="N/A"," ",IF(VLOOKUP(MONTH(A170),ManualTable,2)=1,(IF(0&lt;&gt;R170,IF(Pricetype=1,(xSPRDOPT(I170,$E170,$CI170,0,($CD170+IF(Smile=TRUE(),VLOOKUP(MAX(-5,$H170-I170),Volsmile,2),0)),$CG170,$CH170,($A170-DateToday)+15,1,1))*(8*$HD170),8*$HD170),0)),0))</f>
        <v> </v>
      </c>
      <c r="AB170" s="318" t="str">
        <f aca="false">IF($A170="N/A"," ",IF(VLOOKUP(MONTH(A170),ManualTable,3)=1,(IF(S170&lt;&gt;0,IF(Pricetype=1,(xSPRDOPT(J170,$E170,$CI170,0,($CD170+IF(Smile=TRUE(),VLOOKUP(MAX(-5,$H170-J170),Volsmile,2),0)),$CG170,$CH170,($A170-DateToday)+15,1,1))*(8*$HD170),8*$HD170),0)),0))</f>
        <v> </v>
      </c>
      <c r="AC170" s="318" t="str">
        <f aca="false">IF($A170="N/A"," ",IF(VLOOKUP(MONTH(A170),ManualTable,4)=1,(IF(T170&lt;&gt;0,(8*$HD170),0)),0))</f>
        <v> </v>
      </c>
      <c r="AD170" s="318" t="str">
        <f aca="false">IF($A170="N/A"," ",IF(VLOOKUP(MONTH(A170),ManualTable,5)=1,(IF(U170&lt;&gt;0,IF(Pricetype=1,(xSPRDOPT(L170,$E170,$CI170,0,($CD170+IF(Smile=TRUE(),VLOOKUP(MAX(-5,$H170-L170),Volsmile,2),0)),$CG170,$CH170,($A170-DateToday)+15,1,1))*(8*$HE170),8*$HE170),0)),0))</f>
        <v> </v>
      </c>
      <c r="AE170" s="318" t="str">
        <f aca="false">IF($A170="N/A"," ",IF(VLOOKUP(MONTH(A170),ManualTable,6)=1,(IF(V170&lt;&gt;0,IF(Pricetype=1,(xSPRDOPT(M170,$E170,$CI170,0,($CD170+IF(Smile=TRUE(),VLOOKUP(MAX(-5,$H170-M170),Volsmile,2),0)),$CG170,$CH170,($A170-DateToday)+15,1,1))*(8*$HE170),8*$HE170),0)),0))</f>
        <v> </v>
      </c>
      <c r="AF170" s="318" t="str">
        <f aca="false">IF($A170="N/A"," ",IF(VLOOKUP(MONTH(A170),ManualTable,7)=1,(IF(W170&lt;&gt;0,(8*$HE170),0)),0))</f>
        <v> </v>
      </c>
      <c r="AG170" s="318" t="str">
        <f aca="false">IF($A170="N/A"," ",IF(VLOOKUP(MONTH(A170),ManualTable,8)=1,(IF(X170&lt;&gt;0,IF(Pricetype=1,(xSPRDOPT(O170,$E170,$CI170,0,($CD170+IF(Smile=TRUE(),VLOOKUP(MAX(-5,$H170-O170),Volsmile,2),0)),$CG170,$CH170,($A170-DateToday)+15,1,1))*(8*$HF170),8*$HF170),0)),0))</f>
        <v> </v>
      </c>
      <c r="AH170" s="318" t="str">
        <f aca="false">IF($A170="N/A"," ",IF(VLOOKUP(MONTH(A170),ManualTable,9)=1,(IF(Y170&lt;&gt;0,IF(Pricetype=1,(xSPRDOPT(P170,$E170,$CI170,0,($CD170+IF(Smile=TRUE(),VLOOKUP(MAX(-5,$H170-P170),Volsmile,2),0)),$CG170,$CH170,($A170-DateToday)+15,1,1))*(8*$HF170),8*$HF170),0)),0))</f>
        <v> </v>
      </c>
      <c r="AI170" s="318" t="str">
        <f aca="false">IF($A170="N/A"," ",IF(VLOOKUP(MONTH(A170),ManualTable,10)=1,(IF(Z170&lt;&gt;0,(8*($HF170)),0)),0))</f>
        <v> </v>
      </c>
      <c r="AJ170" s="344" t="str">
        <f aca="false">IF($A170="N/A"," ",RANK(R170,$R$160:$Z$171))</f>
        <v> </v>
      </c>
      <c r="AK170" s="321" t="str">
        <f aca="false">IF($A170="N/A"," ",RANK(S170,$R$160:$Z$171))</f>
        <v> </v>
      </c>
      <c r="AL170" s="321" t="str">
        <f aca="false">IF($A170="N/A"," ",RANK(T170,$R$160:$Z$171))</f>
        <v> </v>
      </c>
      <c r="AM170" s="321" t="str">
        <f aca="false">IF($A170="N/A"," ",RANK(U170,$R$160:$Z$171))</f>
        <v> </v>
      </c>
      <c r="AN170" s="321" t="str">
        <f aca="false">IF($A170="N/A"," ",RANK(V170,$R$160:$Z$171))</f>
        <v> </v>
      </c>
      <c r="AO170" s="321" t="str">
        <f aca="false">IF($A170="N/A"," ",RANK(W170,$R$160:$Z$171))</f>
        <v> </v>
      </c>
      <c r="AP170" s="321" t="str">
        <f aca="false">IF($A170="N/A"," ",RANK(X170,$R$160:$Z$171))</f>
        <v> </v>
      </c>
      <c r="AQ170" s="321" t="str">
        <f aca="false">IF($A170="N/A"," ",RANK(Y170,$R$160:$Z$171))</f>
        <v> </v>
      </c>
      <c r="AR170" s="345" t="str">
        <f aca="false">IF($A170="N/A"," ",RANK(Z170,$R$160:$Z$171))</f>
        <v> </v>
      </c>
      <c r="AS170" s="323" t="str">
        <f aca="false">IF($A170="N/A"," ",IF(AJ170&lt;=$AR$2,AA170,0))</f>
        <v> </v>
      </c>
      <c r="AT170" s="325" t="str">
        <f aca="false">IF($A170="N/A"," ",IF(AK170&lt;=$AR$2,AB170,0))</f>
        <v> </v>
      </c>
      <c r="AU170" s="325" t="str">
        <f aca="false">IF($A170="N/A"," ",IF(AL170&lt;=$AR$2,AC170,0))</f>
        <v> </v>
      </c>
      <c r="AV170" s="325" t="str">
        <f aca="false">IF($A170="N/A"," ",IF(AM170&lt;=$AR$2,AD170,0))</f>
        <v> </v>
      </c>
      <c r="AW170" s="325" t="str">
        <f aca="false">IF($A170="N/A"," ",IF(AN170&lt;=$AR$2,AE170,0))</f>
        <v> </v>
      </c>
      <c r="AX170" s="325" t="str">
        <f aca="false">IF($A170="N/A"," ",IF(AO170&lt;=$AR$2,AF170,0))</f>
        <v> </v>
      </c>
      <c r="AY170" s="325" t="str">
        <f aca="false">IF($A170="N/A"," ",IF(AP170&lt;=$AR$2,AG170,0))</f>
        <v> </v>
      </c>
      <c r="AZ170" s="325" t="str">
        <f aca="false">IF($A170="N/A"," ",IF(AQ170&lt;=$AR$2,AH170,0))</f>
        <v> </v>
      </c>
      <c r="BA170" s="325" t="str">
        <f aca="false">IF($A170="N/A"," ",IF(AR170&lt;=$AR$2,AI170,0))</f>
        <v> </v>
      </c>
      <c r="BB170" s="345" t="n">
        <f aca="false">SUM(AS160:BA171)</f>
        <v>0</v>
      </c>
      <c r="BC170" s="326" t="str">
        <f aca="false">IF($A170="N/A"," ",IF(AND(AJ170=$AR$2+1,AS170=0),MIN($BB$171,AA170),0))</f>
        <v> </v>
      </c>
      <c r="BD170" s="346" t="str">
        <f aca="false">IF($A170="N/A"," ",IF(AND(AK170=$AR$2+1,AT170=0),MIN($BB$171,AB170),0))</f>
        <v> </v>
      </c>
      <c r="BE170" s="346" t="str">
        <f aca="false">IF($A170="N/A"," ",IF(AND(AL170=$AR$2+1,AU170=0),MIN($BB$171,AC170),0))</f>
        <v> </v>
      </c>
      <c r="BF170" s="346" t="str">
        <f aca="false">IF($A170="N/A"," ",IF(AND(AM170=$AR$2+1,AV170=0),MIN($BB$171,AD170),0))</f>
        <v> </v>
      </c>
      <c r="BG170" s="346" t="str">
        <f aca="false">IF($A170="N/A"," ",IF(AND(AN170=$AR$2+1,AW170=0),MIN($BB$171,AE170),0))</f>
        <v> </v>
      </c>
      <c r="BH170" s="346" t="str">
        <f aca="false">IF($A170="N/A"," ",IF(AND(AO170=$AR$2+1,AX170=0),MIN($BB$171,AF170),0))</f>
        <v> </v>
      </c>
      <c r="BI170" s="346" t="str">
        <f aca="false">IF($A170="N/A"," ",IF(AND(AP170=$AR$2+1,AY170=0),MIN($BB$171,AG170),0))</f>
        <v> </v>
      </c>
      <c r="BJ170" s="346" t="str">
        <f aca="false">IF($A170="N/A"," ",IF(AND(AQ170=$AR$2+1,AZ170=0),MIN($BB$171,AH170),0))</f>
        <v> </v>
      </c>
      <c r="BK170" s="346" t="str">
        <f aca="false">IF($A170="N/A"," ",IF(AND(AR170=$AR$2+1,BA170=0),MIN($BB$171,AI170),0))</f>
        <v> </v>
      </c>
      <c r="BL170" s="345" t="n">
        <f aca="false">SUM(BC160:BK171)</f>
        <v>0</v>
      </c>
      <c r="BM170" s="329" t="str">
        <f aca="false">IF($A170="N/A"," ",(IF(MONTH(A170)&gt;=4,IF(MONTH(A170)&lt;=10,Inputs!$F$13-Inputs!$G$13,Inputs!$F$14-Inputs!$G$14),Inputs!$F$14-Inputs!$G$14))*$CK170*Availability)</f>
        <v> </v>
      </c>
      <c r="BN170" s="330" t="str">
        <f aca="false">IF($A170="N/A"," ",(IF(AS170&gt;0,($BM170*(8*($HD170))*R170),0)+IF(BC170&gt;0,($BM170*((BC170/AA170)*8*$HD170)*R170),0)))</f>
        <v> </v>
      </c>
      <c r="BO170" s="330" t="str">
        <f aca="false">IF($A170="N/A"," ",(IF(AT170&gt;0,($BM170*(8*($HD170))*S170),0)+IF(BD170&gt;0,($BM170*((BD170/AB170)*8*$HD170)*S170),0)))</f>
        <v> </v>
      </c>
      <c r="BP170" s="330" t="str">
        <f aca="false">IF($A170="N/A"," ",(IF(AU170&gt;0,($BM170*(8*($HD170))*T170),0)+IF(BE170&gt;0,($BM170*((BE170))*T170),0)))</f>
        <v> </v>
      </c>
      <c r="BQ170" s="330" t="str">
        <f aca="false">IF($A170="N/A"," ",(IF(AV170&gt;0,($BM170*(8*($HE170))*U170),0)+IF(BF170&gt;0,($BM170*((BF170/AD170)*8*$HE170)*U170),0)))</f>
        <v> </v>
      </c>
      <c r="BR170" s="330" t="str">
        <f aca="false">IF($A170="N/A"," ",(IF(AW170&gt;0,($BM170*(8*($HE170))*V170),0)+IF(BG170&gt;0,($BM170*((BG170/AE170)*8*$HE170)*V170),0)))</f>
        <v> </v>
      </c>
      <c r="BS170" s="330" t="str">
        <f aca="false">IF($A170="N/A"," ",(IF(AX170&gt;0,($BM170*(8*($HE170))*W170),0)+IF(BH170&gt;0,($BM170*((BH170))*W170),0)))</f>
        <v> </v>
      </c>
      <c r="BT170" s="330" t="str">
        <f aca="false">IF($A170="N/A"," ",(IF(AY170&gt;0,($BM170*(8*($HF170))*X170),0)+IF(BI170&gt;0,($BM170*((BI170/AG170)*8*$HF170)*X170),0)))</f>
        <v> </v>
      </c>
      <c r="BU170" s="330" t="str">
        <f aca="false">IF($A170="N/A"," ",(IF(AZ170&gt;0,($BM170*(8*($HF170))*Y170),0)+IF(BJ170&gt;0,($BM170*((BJ170/AH170)*8*$HF170)*Y170),0)))</f>
        <v> </v>
      </c>
      <c r="BV170" s="330" t="str">
        <f aca="false">IF($A170="N/A"," ",(IF(BA170&gt;0,($BM170*(8*($HF170))*Z170),0)+IF(BK170&gt;0,($BM170*((BK170))*Z170),0)))</f>
        <v> </v>
      </c>
      <c r="BW170" s="330" t="str">
        <f aca="false">IF($A170="N/A"," ",SUM(BN170:BV170))</f>
        <v> </v>
      </c>
      <c r="BX170" s="331" t="str">
        <f aca="false">IF($A170="N/A"," ",(H170*(SUM(AS170:BA170)+SUM(BC170:BK170))*BM170))</f>
        <v> </v>
      </c>
      <c r="BY170" s="332" t="str">
        <f aca="false">IF($A170="N/A"," ",((C170*D170)*(SUM($AS170:$BA170)+SUM($BC170:$BK170))*$BM170))</f>
        <v> </v>
      </c>
      <c r="BZ170" s="332" t="str">
        <f aca="false">IF($A170="N/A"," ",(F170*(SUM($AS170:$BA170)+SUM($BC170:$BK170))*$BM170))</f>
        <v> </v>
      </c>
      <c r="CA170" s="333" t="str">
        <f aca="false">IF($A170="N/A"," ",(G170*(SUM($AS170:$BA170)+SUM($BC170:$BK170))*$BM170))</f>
        <v> </v>
      </c>
      <c r="CB170" s="334" t="str">
        <f aca="false">IF(A170="N/A"," ",(VLOOKUP(A170,PowerVolTable,(IF(BMO=2,7,IF(BMO=1,6,8))),FALSE())))</f>
        <v> </v>
      </c>
      <c r="CC170" s="334" t="str">
        <f aca="false">IF(A170="N/A"," ",(VLOOKUP(A170,IntraPowerVol,(IF(BMO=2,3,IF(BMO=1,2,4))),FALSE())*VLOOKUP(MONTH($A170),Volscale,2)))</f>
        <v> </v>
      </c>
      <c r="CD170" s="335" t="str">
        <f aca="false">IF($A170="N/A"," ",(IF(DateToday&gt;$A170,$CC170,((($CB170^2)*((($A170-1)-DateToday)/((EOMONTH($A170,0)+1)-DateToday-15)))+((($CC170)^2)*((15)/((EOMONTH($A170,0)+1)-DateToday-15))))^0.5)))</f>
        <v> </v>
      </c>
      <c r="CE170" s="334" t="str">
        <f aca="false">IF($A170="N/A"," ",(VLOOKUP($A170,GasVolTable,(IF(BMO=2,6,IF(BMO=1,7,5))),FALSE())))</f>
        <v> </v>
      </c>
      <c r="CF170" s="334" t="str">
        <f aca="false">IF($A170="N/A"," ",(VLOOKUP($A170,OmicronVol,(IF(BMO=2,3,IF(BMO=1,4,2))),FALSE())))</f>
        <v> </v>
      </c>
      <c r="CG170" s="335" t="str">
        <f aca="false">IF($A170="N/A"," ",(IF(DateToday&gt;$A170,$CF170,((($CE170^2)*((($A170-1)-DateToday)/((EOMONTH($A170,0)+1)-DateToday-15)))+((($CF170)^2)*((15)/((EOMONTH($A170,0)+1)-DateToday-15))))^0.5)))</f>
        <v> </v>
      </c>
      <c r="CH170" s="334" t="str">
        <f aca="false">IF($A170="N/A"," ",VLOOKUP($A170,CorrelationTable,2,FALSE()))</f>
        <v> </v>
      </c>
      <c r="CI170" s="336" t="str">
        <f aca="false">IF($A170="N/A"," ",F170+G170+(D170*('Pricing Inputs'!T203)))</f>
        <v> </v>
      </c>
      <c r="CJ170" s="334" t="str">
        <f aca="false">IF($A170="N/A"," ",IF(PV=1,0,'Pricing Inputs'!U203))</f>
        <v> </v>
      </c>
      <c r="CK170" s="337" t="str">
        <f aca="false">IF($A170="N/A"," ",(1+CJ170/2)^(-2*((EOMONTH(A170,0)+20)-DateToday)/365.25))</f>
        <v> </v>
      </c>
      <c r="CL170" s="338" t="str">
        <f aca="false">IF(A170="N/A"," ",IF(CC=2,(VLOOKUP(MONTH($A170),Hrtable,3))/1000,0))</f>
        <v> </v>
      </c>
      <c r="CM170" s="339" t="str">
        <f aca="false">IF(A170="N/A"," ",IF(CC=2,(CL170*C170)+F170,0))</f>
        <v> </v>
      </c>
      <c r="CN170" s="340" t="str">
        <f aca="false">IF($A170="N/A"," ",IF(CC=2,(VLOOKUP(A170,ScaledPrice,(IF(AND(Dayrun&gt;=1,Dayrun&lt;=6),2,4)))-((IF(R170&lt;&gt;0,$D170,$CL170)*$C170)+$F170+$G170)),0))</f>
        <v> </v>
      </c>
      <c r="CO170" s="340" t="str">
        <f aca="false">IF($A170="N/A"," ",IF(CC=2,(IF(AND(Dayrun&gt;=1,Dayrun&lt;=6),I170,(VLOOKUP(A170,ScaledPrice,2))*(2-(VLOOKUP(A170,ScaledPrice,3))))-((IF(S170&lt;&gt;0,$D170,$CL170)*$C170)+$F170+$G170)),0))</f>
        <v> </v>
      </c>
      <c r="CP170" s="340" t="str">
        <f aca="false">IF(A170="N/A"," ",IF(CC=2,(VLOOKUP(A170,ScaledPrice,9)-((IF(T170&lt;&gt;0,$D170,$CL170)*$C170)+$F170+$G170)),0))</f>
        <v> </v>
      </c>
      <c r="CQ170" s="340" t="str">
        <f aca="false">IF(A170="N/A"," ",IF(CC=2,(IF(OR(Dayrun=2,Dayrun=3,Dayrun=5,Dayrun=6,Dayrun=8,Dayrun=9),VLOOKUP(A170,ScaledPrice,IF(AND(Dayrun&gt;=2,Dayrun&lt;=6),5,6)),0)-((IF(U170&lt;&gt;0,$D170,$CL170)*$C170)+$F170+$G170)),0))</f>
        <v> </v>
      </c>
      <c r="CR170" s="340" t="str">
        <f aca="false">IF(A170="N/A"," ",IF(CC=2,(IF(OR(Dayrun=2,Dayrun=3,Dayrun=5,Dayrun=6,Dayrun=8,Dayrun=9),IF(AND(Dayrun&gt;=2,Dayrun&lt;=6),L170,(VLOOKUP(A170,ScaledPrice,5))*(2-(VLOOKUP(A170,ScaledPrice,3)))),0)-((IF(V170&lt;&gt;0,$D170,$CL170)*$C170)+$F170+$G170)),0))</f>
        <v> </v>
      </c>
      <c r="CS170" s="340" t="str">
        <f aca="false">IF(A170="N/A"," ",IF(CC=2,(VLOOKUP(A170,ScaledPrice,9)-((IF(W170&lt;&gt;0,$D170,$CL170)*$C170)+$F170+$G170)),0))</f>
        <v> </v>
      </c>
      <c r="CT170" s="340" t="str">
        <f aca="false">IF(A170="N/A"," ",IF(CC=2,(IF(OR(Dayrun=3,Dayrun=6,Dayrun=9),(VLOOKUP(A170,ScaledPrice,IF(AND(Dayrun&gt;=3,Dayrun&lt;=6),7,8))),0)-((IF(X170&lt;&gt;0,$D170,$CL170)*$C170)+$F170+$G170)),0))</f>
        <v> </v>
      </c>
      <c r="CU170" s="340" t="str">
        <f aca="false">IF(A170="N/A"," ",IF(CC=2,(IF(OR(Dayrun=3,Dayrun=6,Dayrun=9),IF(AND(Dayrun&gt;=3,Dayrun&lt;=6),O170,(VLOOKUP(A170,ScaledPrice,7))*(2-(VLOOKUP(A170,ScaledPrice,3)))),0)-((IF(Y170&lt;&gt;0,$D170,$CL170)*$C170)+$F170+$G170)),0))</f>
        <v> </v>
      </c>
      <c r="CV170" s="340" t="str">
        <f aca="false">IF(A170="N/A"," ",IF(CC=2,(VLOOKUP(A170,ScaledPrice,9)-((IF(Z170&lt;&gt;0,$D170,$CL170)*$C170)+$F170+$G170)),0))</f>
        <v> </v>
      </c>
      <c r="CW170" s="318" t="str">
        <f aca="false">IF($A170="N/A"," ",IF(0&lt;&gt;CN170,IF(CC=2,8*$HD170,0),0))</f>
        <v> </v>
      </c>
      <c r="CX170" s="318" t="str">
        <f aca="false">IF($A170="N/A"," ",IF(0&lt;&gt;CO170,IF(CC=2,8*$HD170,0),0))</f>
        <v> </v>
      </c>
      <c r="CY170" s="318" t="str">
        <f aca="false">IF($A170="N/A"," ",IF(0&lt;&gt;CP170,IF(CC=2,8*$HD170,0),0))</f>
        <v> </v>
      </c>
      <c r="CZ170" s="318" t="str">
        <f aca="false">IF($A170="N/A"," ",IF(0&lt;&gt;CQ170,IF(CC=2,8*$HE170,0),0))</f>
        <v> </v>
      </c>
      <c r="DA170" s="318" t="str">
        <f aca="false">IF($A170="N/A"," ",IF(0&lt;&gt;CR170,IF(CC=2,8*$HE170,0),0))</f>
        <v> </v>
      </c>
      <c r="DB170" s="318" t="str">
        <f aca="false">IF($A170="N/A"," ",IF(0&lt;&gt;CS170,IF(CC=2,8*$HE170,0),0))</f>
        <v> </v>
      </c>
      <c r="DC170" s="318" t="str">
        <f aca="false">IF($A170="N/A"," ",IF(0&lt;&gt;CT170,IF(CC=2,8*$HF170,0),0))</f>
        <v> </v>
      </c>
      <c r="DD170" s="318" t="str">
        <f aca="false">IF($A170="N/A"," ",IF(0&lt;&gt;CU170,IF(CC=2,8*$HF170,0),0))</f>
        <v> </v>
      </c>
      <c r="DE170" s="318" t="str">
        <f aca="false">IF($A170="N/A"," ",IF(0&lt;&gt;CV170,IF(CC=2,8*$HF170,0),0))</f>
        <v> </v>
      </c>
      <c r="DF170" s="341" t="str">
        <f aca="false">IF($A170="N/A"," ",IF(CC=2,(IF(MONTH(A170)&gt;=4,IF(MONTH(A170)&lt;=10,Inputs!$G$13,Inputs!$G$14),Inputs!$G$14))*$CK170,0))</f>
        <v> </v>
      </c>
      <c r="DG170" s="342" t="str">
        <f aca="false">IF($A170="N/A"," ",IF(CC=2,$DF170*CW170*CN170,0))</f>
        <v> </v>
      </c>
      <c r="DH170" s="342" t="str">
        <f aca="false">IF($A170="N/A"," ",IF(CC=2,$DF170*CX170*CO170,0))</f>
        <v> </v>
      </c>
      <c r="DI170" s="342" t="str">
        <f aca="false">IF($A170="N/A"," ",IF(CC=2,$DF170*CY170*CP170,0))</f>
        <v> </v>
      </c>
      <c r="DJ170" s="342" t="str">
        <f aca="false">IF($A170="N/A"," ",IF(CC=2,$DF170*CZ170*CQ170,0))</f>
        <v> </v>
      </c>
      <c r="DK170" s="342" t="str">
        <f aca="false">IF($A170="N/A"," ",IF(CC=2,$DF170*DA170*CR170,0))</f>
        <v> </v>
      </c>
      <c r="DL170" s="342" t="str">
        <f aca="false">IF($A170="N/A"," ",IF(CC=2,$DF170*DB170*CS170,0))</f>
        <v> </v>
      </c>
      <c r="DM170" s="342" t="str">
        <f aca="false">IF($A170="N/A"," ",IF(CC=2,$DF170*DC170*CT170,0))</f>
        <v> </v>
      </c>
      <c r="DN170" s="342" t="str">
        <f aca="false">IF($A170="N/A"," ",IF(CC=2,$DF170*DD170*CU170,0))</f>
        <v> </v>
      </c>
      <c r="DO170" s="342" t="str">
        <f aca="false">IF($A170="N/A"," ",IF(CC=2,$DF170*DE170*CV170,0))</f>
        <v> </v>
      </c>
      <c r="DP170" s="343" t="str">
        <f aca="false">IF($A170="N/A"," ",IF(CC=2,SUM(DG170:DO170),0))</f>
        <v> </v>
      </c>
      <c r="DQ170" s="0" t="str">
        <f aca="false">IF(A170="N/A"," ",Perstart)</f>
        <v> </v>
      </c>
      <c r="HD170" s="0" t="str">
        <f aca="false">IF($A170="N/A"," ",VLOOKUP($A170,NumberofDaysTable,2))</f>
        <v> </v>
      </c>
      <c r="HE170" s="0" t="str">
        <f aca="false">IF($A170="N/A"," ",VLOOKUP($A170,NumberofDaysTable,3))</f>
        <v> </v>
      </c>
      <c r="HF170" s="0" t="str">
        <f aca="false">IF($A170="N/A"," ",VLOOKUP($A170,NumberofDaysTable,4))</f>
        <v> </v>
      </c>
    </row>
    <row r="171" customFormat="false" ht="12.75" hidden="false" customHeight="false" outlineLevel="0" collapsed="false">
      <c r="A171" s="308" t="str">
        <f aca="false">IF(A170="N/A","N/A",IF(EDATE(A170,1)&gt;Inputs!$K$3,"N/A",EDATE(A170,1)))</f>
        <v>N/A</v>
      </c>
      <c r="B171" s="309" t="str">
        <f aca="false">IF(A171="N/A"," ",YEAR(A171))</f>
        <v> </v>
      </c>
      <c r="C171" s="310" t="str">
        <f aca="false">IF(A171="N/A"," ",VLOOKUP(A171,ScaledPrice,10))</f>
        <v> </v>
      </c>
      <c r="D171" s="311" t="str">
        <f aca="false">IF(A171="N/A"," ",(VLOOKUP(MONTH($A171),Hrtable,2))/1000)</f>
        <v> </v>
      </c>
      <c r="E171" s="312" t="str">
        <f aca="false">IF($A171="N/A"," ",(C171-'Pricing Inputs'!T204)*D171)</f>
        <v> </v>
      </c>
      <c r="F171" s="313" t="str">
        <f aca="false">IF(A171="N/A"," ",$F159*(1+VOMesc))</f>
        <v> </v>
      </c>
      <c r="G171" s="313" t="str">
        <f aca="false">IF(A171="N/A"," ",Perstart/IF(AND(Dayrun&gt;=4,Dayrun&lt;=6),16,IF(AND(Dayrun&gt;=7,Dayrun&lt;=9),8,24))/(BM171/CK171))</f>
        <v> </v>
      </c>
      <c r="H171" s="314" t="str">
        <f aca="false">IF(A171="N/A"," ",(C171*D171)+F171+G171)</f>
        <v> </v>
      </c>
      <c r="I171" s="315" t="str">
        <f aca="false">VLOOKUP(A171,ScaledPrice,(IF(AND(Dayrun&gt;=1,Dayrun&lt;=6),2,4)))</f>
        <v> </v>
      </c>
      <c r="J171" s="315" t="str">
        <f aca="false">IF(A171="N/A"," ",IF(AND(Dayrun&gt;=1,Dayrun&lt;=6),I171,(VLOOKUP(A171,ScaledPrice,2))*(2-(VLOOKUP(A171,ScaledPrice,3)))))</f>
        <v> </v>
      </c>
      <c r="K171" s="315" t="str">
        <f aca="false">IF(A171="N/A"," ",IF(AND(Dayrun&gt;=1,Dayrun&lt;=3),VLOOKUP(A171,ScaledPrice,9),0))</f>
        <v> </v>
      </c>
      <c r="L171" s="315" t="str">
        <f aca="false">IF(A171="N/A"," ",IF(OR(Dayrun=2,Dayrun=3,Dayrun=5,Dayrun=6,Dayrun=8,Dayrun=9),VLOOKUP(A171,ScaledPrice,IF(AND(Dayrun&gt;=2,Dayrun&lt;=6),5,6)),0))</f>
        <v> </v>
      </c>
      <c r="M171" s="315" t="str">
        <f aca="false">IF(A171="N/A"," ",IF(OR(Dayrun=2,Dayrun=3,Dayrun=5,Dayrun=6,Dayrun=8,Dayrun=9),IF(AND(Dayrun&gt;=2,Dayrun&lt;=6),L171,(VLOOKUP(A171,ScaledPrice,5))*(2-(VLOOKUP(A171,ScaledPrice,3)))),0))</f>
        <v> </v>
      </c>
      <c r="N171" s="315" t="str">
        <f aca="false">IF(A171="N/A"," ",IF(AND(Dayrun&gt;1,Dayrun&lt;=3),VLOOKUP(A171,ScaledPrice,9),0))</f>
        <v> </v>
      </c>
      <c r="O171" s="315" t="str">
        <f aca="false">IF(A171="N/A"," ",IF(OR(Dayrun=3,Dayrun=6,Dayrun=9),(VLOOKUP(A171,ScaledPrice,IF(AND(Dayrun&gt;=3,Dayrun&lt;=6),7,8))),0))</f>
        <v> </v>
      </c>
      <c r="P171" s="315" t="str">
        <f aca="false">IF(A171="N/A"," ",IF(OR(Dayrun=3,Dayrun=6,Dayrun=9),IF(AND(Dayrun&gt;=3,Dayrun&lt;=6),O171,(VLOOKUP(A171,ScaledPrice,7))*(2-(VLOOKUP(A171,ScaledPrice,3)))),0))</f>
        <v> </v>
      </c>
      <c r="Q171" s="315" t="str">
        <f aca="false">IF(A171="N/A"," ",IF(AND(Dayrun&gt;2,Dayrun&lt;=3),VLOOKUP(A171,ScaledPrice,9),0))</f>
        <v> </v>
      </c>
      <c r="R171" s="316" t="str">
        <f aca="false">IF($A171="N/A"," ",IF(Pricetype=2,MAX(I171-$H171,0),IF(Pricetype=1,(xSPRDOPT(I171,$E171,$CI171,0,($CD171+IF(Smile=TRUE(),VLOOKUP(MAX(-5,$H171-I171),Volsmile,2),0)),$CG171,$CH171,($A171-DateToday)+15,1,0)),I171-$H171)))</f>
        <v> </v>
      </c>
      <c r="S171" s="316" t="str">
        <f aca="false">IF($A171="N/A"," ",IF(Pricetype=2,MAX(J171-$H171,0),IF(Pricetype=1,(xSPRDOPT(J171,$E171,$CI171,0,($CD171+IF(Smile=TRUE(),VLOOKUP(MAX(-5,$H171-J171),Volsmile,2),0)),$CG171,$CH171,($A171-DateToday)+15,1,0)),J171-$H171)))</f>
        <v> </v>
      </c>
      <c r="T171" s="317" t="str">
        <f aca="false">IF($A171="N/A"," ",(IF(Pricetype=2,IF((K171-$H171)&lt;=0,0,(K171-$H171)),IF(K171&lt;&gt;0,(K171-$H171),0))))</f>
        <v> </v>
      </c>
      <c r="U171" s="316" t="str">
        <f aca="false">IF($A171="N/A"," ",IF(Pricetype=2,MAX(L171-$H171,0),IF(L171&lt;&gt;0,IF(Pricetype=1,(xSPRDOPT(L171,$E171,$CI171,0,($CD171+IF(Smile=TRUE(),VLOOKUP(MAX(-5,$H171-L171),Volsmile,2),0)),$CG171,$CH171,($A171-DateToday)+15,1,0)),L171-$H171),0)))</f>
        <v> </v>
      </c>
      <c r="V171" s="316" t="str">
        <f aca="false">IF($A171="N/A"," ",IF(Pricetype=2,MAX(M171-$H171,0),IF(M171&lt;&gt;0,IF(Pricetype=1,(xSPRDOPT(M171,$E171,$CI171,0,($CD171+IF(Smile=TRUE(),VLOOKUP(MAX(-5,$H171-M171),Volsmile,2),0)),$CG171,$CH171,($A171-DateToday)+15,1,0)),M171-$H171),0)))</f>
        <v> </v>
      </c>
      <c r="W171" s="317" t="str">
        <f aca="false">IF($A171="N/A"," ",(IF(Pricetype=2,IF((N171-$H171)&lt;=0,0,(N171-$H171)),IF(N171&lt;&gt;0,(N171-$H171),0))))</f>
        <v> </v>
      </c>
      <c r="X171" s="316" t="str">
        <f aca="false">IF($A171="N/A"," ",IF(Pricetype=2,MAX(O171-$H171,0),IF(O171&lt;&gt;0,IF(Pricetype=1,(xSPRDOPT(O171,$E171,$CI171,0,($CD171+IF(Smile=TRUE(),VLOOKUP(MAX(-5,$H171-O171),Volsmile,2),0)),$CG171,$CH171,($A171-DateToday)+15,1,0)),O171-$H171),0)))</f>
        <v> </v>
      </c>
      <c r="Y171" s="316" t="str">
        <f aca="false">IF($A171="N/A"," ",IF(Pricetype=2,MAX(P171-$H171,0),IF(P171&lt;&gt;0,IF(Pricetype=1,(xSPRDOPT(P171,$E171,$CI171,0,($CD171+IF(Smile=TRUE(),VLOOKUP(MAX(-5,$H171-P171),Volsmile,2),0)),$CG171,$CH171,($A171-DateToday)+15,1,0)),P171-$H171),0)))</f>
        <v> </v>
      </c>
      <c r="Z171" s="317" t="str">
        <f aca="false">IF($A171="N/A"," ",(IF(Pricetype=2,IF((Q171-$H171)&lt;=0,0,(Q171-$H171)),IF(Q171&lt;&gt;0,(Q171-$H171),0))))</f>
        <v> </v>
      </c>
      <c r="AA171" s="318" t="str">
        <f aca="false">IF($A171="N/A"," ",IF(VLOOKUP(MONTH(A171),ManualTable,2)=1,(IF(0&lt;&gt;R171,IF(Pricetype=1,(xSPRDOPT(I171,$E171,$CI171,0,($CD171+IF(Smile=TRUE(),VLOOKUP(MAX(-5,$H171-I171),Volsmile,2),0)),$CG171,$CH171,($A171-DateToday)+15,1,1))*(8*$HD171),8*$HD171),0)),0))</f>
        <v> </v>
      </c>
      <c r="AB171" s="318" t="str">
        <f aca="false">IF($A171="N/A"," ",IF(VLOOKUP(MONTH(A171),ManualTable,3)=1,(IF(S171&lt;&gt;0,IF(Pricetype=1,(xSPRDOPT(J171,$E171,$CI171,0,($CD171+IF(Smile=TRUE(),VLOOKUP(MAX(-5,$H171-J171),Volsmile,2),0)),$CG171,$CH171,($A171-DateToday)+15,1,1))*(8*$HD171),8*$HD171),0)),0))</f>
        <v> </v>
      </c>
      <c r="AC171" s="318" t="str">
        <f aca="false">IF($A171="N/A"," ",IF(VLOOKUP(MONTH(A171),ManualTable,4)=1,(IF(T171&lt;&gt;0,(8*$HD171),0)),0))</f>
        <v> </v>
      </c>
      <c r="AD171" s="318" t="str">
        <f aca="false">IF($A171="N/A"," ",IF(VLOOKUP(MONTH(A171),ManualTable,5)=1,(IF(U171&lt;&gt;0,IF(Pricetype=1,(xSPRDOPT(L171,$E171,$CI171,0,($CD171+IF(Smile=TRUE(),VLOOKUP(MAX(-5,$H171-L171),Volsmile,2),0)),$CG171,$CH171,($A171-DateToday)+15,1,1))*(8*$HE171),8*$HE171),0)),0))</f>
        <v> </v>
      </c>
      <c r="AE171" s="318" t="str">
        <f aca="false">IF($A171="N/A"," ",IF(VLOOKUP(MONTH(A171),ManualTable,6)=1,(IF(V171&lt;&gt;0,IF(Pricetype=1,(xSPRDOPT(M171,$E171,$CI171,0,($CD171+IF(Smile=TRUE(),VLOOKUP(MAX(-5,$H171-M171),Volsmile,2),0)),$CG171,$CH171,($A171-DateToday)+15,1,1))*(8*$HE171),8*$HE171),0)),0))</f>
        <v> </v>
      </c>
      <c r="AF171" s="318" t="str">
        <f aca="false">IF($A171="N/A"," ",IF(VLOOKUP(MONTH(A171),ManualTable,7)=1,(IF(W171&lt;&gt;0,(8*$HE171),0)),0))</f>
        <v> </v>
      </c>
      <c r="AG171" s="318" t="str">
        <f aca="false">IF($A171="N/A"," ",IF(VLOOKUP(MONTH(A171),ManualTable,8)=1,(IF(X171&lt;&gt;0,IF(Pricetype=1,(xSPRDOPT(O171,$E171,$CI171,0,($CD171+IF(Smile=TRUE(),VLOOKUP(MAX(-5,$H171-O171),Volsmile,2),0)),$CG171,$CH171,($A171-DateToday)+15,1,1))*(8*$HF171),8*$HF171),0)),0))</f>
        <v> </v>
      </c>
      <c r="AH171" s="318" t="str">
        <f aca="false">IF($A171="N/A"," ",IF(VLOOKUP(MONTH(A171),ManualTable,9)=1,(IF(Y171&lt;&gt;0,IF(Pricetype=1,(xSPRDOPT(P171,$E171,$CI171,0,($CD171+IF(Smile=TRUE(),VLOOKUP(MAX(-5,$H171-P171),Volsmile,2),0)),$CG171,$CH171,($A171-DateToday)+15,1,1))*(8*$HF171),8*$HF171),0)),0))</f>
        <v> </v>
      </c>
      <c r="AI171" s="318" t="str">
        <f aca="false">IF($A171="N/A"," ",IF(VLOOKUP(MONTH(A171),ManualTable,10)=1,(IF(Z171&lt;&gt;0,(8*($HF171)),0)),0))</f>
        <v> </v>
      </c>
      <c r="AJ171" s="349" t="str">
        <f aca="false">IF($A171="N/A"," ",RANK(R171,$R$160:$Z$171))</f>
        <v> </v>
      </c>
      <c r="AK171" s="350" t="str">
        <f aca="false">IF($A171="N/A"," ",RANK(S171,$R$160:$Z$171))</f>
        <v> </v>
      </c>
      <c r="AL171" s="350" t="str">
        <f aca="false">IF($A171="N/A"," ",RANK(T171,$R$160:$Z$171))</f>
        <v> </v>
      </c>
      <c r="AM171" s="350" t="str">
        <f aca="false">IF($A171="N/A"," ",RANK(U171,$R$160:$Z$171))</f>
        <v> </v>
      </c>
      <c r="AN171" s="350" t="str">
        <f aca="false">IF($A171="N/A"," ",RANK(V171,$R$160:$Z$171))</f>
        <v> </v>
      </c>
      <c r="AO171" s="350" t="str">
        <f aca="false">IF($A171="N/A"," ",RANK(W171,$R$160:$Z$171))</f>
        <v> </v>
      </c>
      <c r="AP171" s="350" t="str">
        <f aca="false">IF($A171="N/A"," ",RANK(X171,$R$160:$Z$171))</f>
        <v> </v>
      </c>
      <c r="AQ171" s="350" t="str">
        <f aca="false">IF($A171="N/A"," ",RANK(Y171,$R$160:$Z$171))</f>
        <v> </v>
      </c>
      <c r="AR171" s="351" t="str">
        <f aca="false">IF($A171="N/A"," ",RANK(Z171,$R$160:$Z$171))</f>
        <v> </v>
      </c>
      <c r="AS171" s="352" t="str">
        <f aca="false">IF($A171="N/A"," ",IF(AJ171&lt;=$AR$2,AA171,0))</f>
        <v> </v>
      </c>
      <c r="AT171" s="353" t="str">
        <f aca="false">IF($A171="N/A"," ",IF(AK171&lt;=$AR$2,AB171,0))</f>
        <v> </v>
      </c>
      <c r="AU171" s="353" t="str">
        <f aca="false">IF($A171="N/A"," ",IF(AL171&lt;=$AR$2,AC171,0))</f>
        <v> </v>
      </c>
      <c r="AV171" s="353" t="str">
        <f aca="false">IF($A171="N/A"," ",IF(AM171&lt;=$AR$2,AD171,0))</f>
        <v> </v>
      </c>
      <c r="AW171" s="353" t="str">
        <f aca="false">IF($A171="N/A"," ",IF(AN171&lt;=$AR$2,AE171,0))</f>
        <v> </v>
      </c>
      <c r="AX171" s="353" t="str">
        <f aca="false">IF($A171="N/A"," ",IF(AO171&lt;=$AR$2,AF171,0))</f>
        <v> </v>
      </c>
      <c r="AY171" s="353" t="str">
        <f aca="false">IF($A171="N/A"," ",IF(AP171&lt;=$AR$2,AG171,0))</f>
        <v> </v>
      </c>
      <c r="AZ171" s="353" t="str">
        <f aca="false">IF($A171="N/A"," ",IF(AQ171&lt;=$AR$2,AH171,0))</f>
        <v> </v>
      </c>
      <c r="BA171" s="353" t="str">
        <f aca="false">IF($A171="N/A"," ",IF(AR171&lt;=$AR$2,AI171,0))</f>
        <v> </v>
      </c>
      <c r="BB171" s="351" t="n">
        <f aca="false">IF(($AZ$2-BB170)&gt;=0,$AZ$2-BB170,0)</f>
        <v>980</v>
      </c>
      <c r="BC171" s="354" t="str">
        <f aca="false">IF($A171="N/A"," ",IF(AND(AJ171=$AR$2+1,AS171=0),MIN($BB$171,AA171),0))</f>
        <v> </v>
      </c>
      <c r="BD171" s="355" t="str">
        <f aca="false">IF($A171="N/A"," ",IF(AND(AK171=$AR$2+1,AT171=0),MIN($BB$171,AB171),0))</f>
        <v> </v>
      </c>
      <c r="BE171" s="346" t="str">
        <f aca="false">IF($A171="N/A"," ",IF(AND(AL171=$AR$2+1,AU171=0),MIN($BB$171,AC171),0))</f>
        <v> </v>
      </c>
      <c r="BF171" s="355" t="str">
        <f aca="false">IF($A171="N/A"," ",IF(AND(AM171=$AR$2+1,AV171=0),MIN($BB$171,AD171),0))</f>
        <v> </v>
      </c>
      <c r="BG171" s="355" t="str">
        <f aca="false">IF($A171="N/A"," ",IF(AND(AN171=$AR$2+1,AW171=0),MIN($BB$171,AE171),0))</f>
        <v> </v>
      </c>
      <c r="BH171" s="346" t="str">
        <f aca="false">IF($A171="N/A"," ",IF(AND(AO171=$AR$2+1,AX171=0),MIN($BB$171,AF171),0))</f>
        <v> </v>
      </c>
      <c r="BI171" s="355" t="str">
        <f aca="false">IF($A171="N/A"," ",IF(AND(AP171=$AR$2+1,AY171=0),MIN($BB$171,AG171),0))</f>
        <v> </v>
      </c>
      <c r="BJ171" s="355" t="str">
        <f aca="false">IF($A171="N/A"," ",IF(AND(AQ171=$AR$2+1,AZ171=0),MIN($BB$171,AH171),0))</f>
        <v> </v>
      </c>
      <c r="BK171" s="355" t="str">
        <f aca="false">IF($A171="N/A"," ",IF(AND(AR171=$AR$2+1,BA171=0),MIN($BB$171,AI171),0))</f>
        <v> </v>
      </c>
      <c r="BL171" s="356" t="n">
        <f aca="false">BB170+BL170</f>
        <v>0</v>
      </c>
      <c r="BM171" s="329" t="str">
        <f aca="false">IF($A171="N/A"," ",(IF(MONTH(A171)&gt;=4,IF(MONTH(A171)&lt;=10,Inputs!$F$13-Inputs!$G$13,Inputs!$F$14-Inputs!$G$14),Inputs!$F$14-Inputs!$G$14))*$CK171*Availability)</f>
        <v> </v>
      </c>
      <c r="BN171" s="330" t="str">
        <f aca="false">IF($A171="N/A"," ",(IF(AS171&gt;0,($BM171*(8*($HD171))*R171),0)+IF(BC171&gt;0,($BM171*((BC171/AA171)*8*$HD171)*R171),0)))</f>
        <v> </v>
      </c>
      <c r="BO171" s="330" t="str">
        <f aca="false">IF($A171="N/A"," ",(IF(AT171&gt;0,($BM171*(8*($HD171))*S171),0)+IF(BD171&gt;0,($BM171*((BD171/AB171)*8*$HD171)*S171),0)))</f>
        <v> </v>
      </c>
      <c r="BP171" s="330" t="str">
        <f aca="false">IF($A171="N/A"," ",(IF(AU171&gt;0,($BM171*(8*($HD171))*T171),0)+IF(BE171&gt;0,($BM171*((BE171))*T171),0)))</f>
        <v> </v>
      </c>
      <c r="BQ171" s="330" t="str">
        <f aca="false">IF($A171="N/A"," ",(IF(AV171&gt;0,($BM171*(8*($HE171))*U171),0)+IF(BF171&gt;0,($BM171*((BF171/AD171)*8*$HE171)*U171),0)))</f>
        <v> </v>
      </c>
      <c r="BR171" s="330" t="str">
        <f aca="false">IF($A171="N/A"," ",(IF(AW171&gt;0,($BM171*(8*($HE171))*V171),0)+IF(BG171&gt;0,($BM171*((BG171/AE171)*8*$HE171)*V171),0)))</f>
        <v> </v>
      </c>
      <c r="BS171" s="330" t="str">
        <f aca="false">IF($A171="N/A"," ",(IF(AX171&gt;0,($BM171*(8*($HE171))*W171),0)+IF(BH171&gt;0,($BM171*((BH171))*W171),0)))</f>
        <v> </v>
      </c>
      <c r="BT171" s="330" t="str">
        <f aca="false">IF($A171="N/A"," ",(IF(AY171&gt;0,($BM171*(8*($HF171))*X171),0)+IF(BI171&gt;0,($BM171*((BI171/AG171)*8*$HF171)*X171),0)))</f>
        <v> </v>
      </c>
      <c r="BU171" s="330" t="str">
        <f aca="false">IF($A171="N/A"," ",(IF(AZ171&gt;0,($BM171*(8*($HF171))*Y171),0)+IF(BJ171&gt;0,($BM171*((BJ171/AH171)*8*$HF171)*Y171),0)))</f>
        <v> </v>
      </c>
      <c r="BV171" s="330" t="str">
        <f aca="false">IF($A171="N/A"," ",(IF(BA171&gt;0,($BM171*(8*($HF171))*Z171),0)+IF(BK171&gt;0,($BM171*((BK171))*Z171),0)))</f>
        <v> </v>
      </c>
      <c r="BW171" s="330" t="str">
        <f aca="false">IF($A171="N/A"," ",SUM(BN171:BV171))</f>
        <v> </v>
      </c>
      <c r="BX171" s="331" t="str">
        <f aca="false">IF($A171="N/A"," ",(H171*(SUM(AS171:BA171)+SUM(BC171:BK171))*BM171))</f>
        <v> </v>
      </c>
      <c r="BY171" s="332" t="str">
        <f aca="false">IF($A171="N/A"," ",((C171*D171)*(SUM($AS171:$BA171)+SUM($BC171:$BK171))*$BM171))</f>
        <v> </v>
      </c>
      <c r="BZ171" s="332" t="str">
        <f aca="false">IF($A171="N/A"," ",(F171*(SUM($AS171:$BA171)+SUM($BC171:$BK171))*$BM171))</f>
        <v> </v>
      </c>
      <c r="CA171" s="333" t="str">
        <f aca="false">IF($A171="N/A"," ",(G171*(SUM($AS171:$BA171)+SUM($BC171:$BK171))*$BM171))</f>
        <v> </v>
      </c>
      <c r="CB171" s="334" t="str">
        <f aca="false">IF(A171="N/A"," ",(VLOOKUP(A171,PowerVolTable,(IF(BMO=2,7,IF(BMO=1,6,8))),FALSE())))</f>
        <v> </v>
      </c>
      <c r="CC171" s="334" t="str">
        <f aca="false">IF(A171="N/A"," ",(VLOOKUP(A171,IntraPowerVol,(IF(BMO=2,3,IF(BMO=1,2,4))),FALSE())*VLOOKUP(MONTH($A171),Volscale,2)))</f>
        <v> </v>
      </c>
      <c r="CD171" s="335" t="str">
        <f aca="false">IF($A171="N/A"," ",(IF(DateToday&gt;$A171,$CC171,((($CB171^2)*((($A171-1)-DateToday)/((EOMONTH($A171,0)+1)-DateToday-15)))+((($CC171)^2)*((15)/((EOMONTH($A171,0)+1)-DateToday-15))))^0.5)))</f>
        <v> </v>
      </c>
      <c r="CE171" s="334" t="str">
        <f aca="false">IF($A171="N/A"," ",(VLOOKUP($A171,GasVolTable,(IF(BMO=2,6,IF(BMO=1,7,5))),FALSE())))</f>
        <v> </v>
      </c>
      <c r="CF171" s="334" t="str">
        <f aca="false">IF($A171="N/A"," ",(VLOOKUP($A171,OmicronVol,(IF(BMO=2,3,IF(BMO=1,4,2))),FALSE())))</f>
        <v> </v>
      </c>
      <c r="CG171" s="335" t="str">
        <f aca="false">IF($A171="N/A"," ",(IF(DateToday&gt;$A171,$CF171,((($CE171^2)*((($A171-1)-DateToday)/((EOMONTH($A171,0)+1)-DateToday-15)))+((($CF171)^2)*((15)/((EOMONTH($A171,0)+1)-DateToday-15))))^0.5)))</f>
        <v> </v>
      </c>
      <c r="CH171" s="334" t="str">
        <f aca="false">IF($A171="N/A"," ",VLOOKUP($A171,CorrelationTable,2,FALSE()))</f>
        <v> </v>
      </c>
      <c r="CI171" s="336" t="str">
        <f aca="false">IF($A171="N/A"," ",F171+G171+(D171*('Pricing Inputs'!T204)))</f>
        <v> </v>
      </c>
      <c r="CJ171" s="334" t="str">
        <f aca="false">IF($A171="N/A"," ",IF(PV=1,0,'Pricing Inputs'!U204))</f>
        <v> </v>
      </c>
      <c r="CK171" s="337" t="str">
        <f aca="false">IF($A171="N/A"," ",(1+CJ171/2)^(-2*((EOMONTH(A171,0)+20)-DateToday)/365.25))</f>
        <v> </v>
      </c>
      <c r="CL171" s="338" t="str">
        <f aca="false">IF(A171="N/A"," ",IF(CC=2,(VLOOKUP(MONTH($A171),Hrtable,3))/1000,0))</f>
        <v> </v>
      </c>
      <c r="CM171" s="339" t="str">
        <f aca="false">IF(A171="N/A"," ",IF(CC=2,(CL171*C171)+F171,0))</f>
        <v> </v>
      </c>
      <c r="CN171" s="340" t="str">
        <f aca="false">IF($A171="N/A"," ",IF(CC=2,(VLOOKUP(A171,ScaledPrice,(IF(AND(Dayrun&gt;=1,Dayrun&lt;=6),2,4)))-((IF(R171&lt;&gt;0,$D171,$CL171)*$C171)+$F171+$G171)),0))</f>
        <v> </v>
      </c>
      <c r="CO171" s="340" t="str">
        <f aca="false">IF($A171="N/A"," ",IF(CC=2,(IF(AND(Dayrun&gt;=1,Dayrun&lt;=6),I171,(VLOOKUP(A171,ScaledPrice,2))*(2-(VLOOKUP(A171,ScaledPrice,3))))-((IF(S171&lt;&gt;0,$D171,$CL171)*$C171)+$F171+$G171)),0))</f>
        <v> </v>
      </c>
      <c r="CP171" s="340" t="str">
        <f aca="false">IF(A171="N/A"," ",IF(CC=2,(VLOOKUP(A171,ScaledPrice,9)-((IF(T171&lt;&gt;0,$D171,$CL171)*$C171)+$F171+$G171)),0))</f>
        <v> </v>
      </c>
      <c r="CQ171" s="340" t="str">
        <f aca="false">IF(A171="N/A"," ",IF(CC=2,(IF(OR(Dayrun=2,Dayrun=3,Dayrun=5,Dayrun=6,Dayrun=8,Dayrun=9),VLOOKUP(A171,ScaledPrice,IF(AND(Dayrun&gt;=2,Dayrun&lt;=6),5,6)),0)-((IF(U171&lt;&gt;0,$D171,$CL171)*$C171)+$F171+$G171)),0))</f>
        <v> </v>
      </c>
      <c r="CR171" s="340" t="str">
        <f aca="false">IF(A171="N/A"," ",IF(CC=2,(IF(OR(Dayrun=2,Dayrun=3,Dayrun=5,Dayrun=6,Dayrun=8,Dayrun=9),IF(AND(Dayrun&gt;=2,Dayrun&lt;=6),L171,(VLOOKUP(A171,ScaledPrice,5))*(2-(VLOOKUP(A171,ScaledPrice,3)))),0)-((IF(V171&lt;&gt;0,$D171,$CL171)*$C171)+$F171+$G171)),0))</f>
        <v> </v>
      </c>
      <c r="CS171" s="340" t="str">
        <f aca="false">IF(A171="N/A"," ",IF(CC=2,(VLOOKUP(A171,ScaledPrice,9)-((IF(W171&lt;&gt;0,$D171,$CL171)*$C171)+$F171+$G171)),0))</f>
        <v> </v>
      </c>
      <c r="CT171" s="340" t="str">
        <f aca="false">IF(A171="N/A"," ",IF(CC=2,(IF(OR(Dayrun=3,Dayrun=6,Dayrun=9),(VLOOKUP(A171,ScaledPrice,IF(AND(Dayrun&gt;=3,Dayrun&lt;=6),7,8))),0)-((IF(X171&lt;&gt;0,$D171,$CL171)*$C171)+$F171+$G171)),0))</f>
        <v> </v>
      </c>
      <c r="CU171" s="340" t="str">
        <f aca="false">IF(A171="N/A"," ",IF(CC=2,(IF(OR(Dayrun=3,Dayrun=6,Dayrun=9),IF(AND(Dayrun&gt;=3,Dayrun&lt;=6),O171,(VLOOKUP(A171,ScaledPrice,7))*(2-(VLOOKUP(A171,ScaledPrice,3)))),0)-((IF(Y171&lt;&gt;0,$D171,$CL171)*$C171)+$F171+$G171)),0))</f>
        <v> </v>
      </c>
      <c r="CV171" s="340" t="str">
        <f aca="false">IF(A171="N/A"," ",IF(CC=2,(VLOOKUP(A171,ScaledPrice,9)-((IF(Z171&lt;&gt;0,$D171,$CL171)*$C171)+$F171+$G171)),0))</f>
        <v> </v>
      </c>
      <c r="CW171" s="318" t="str">
        <f aca="false">IF($A171="N/A"," ",IF(0&lt;&gt;CN171,IF(CC=2,8*$HD171,0),0))</f>
        <v> </v>
      </c>
      <c r="CX171" s="318" t="str">
        <f aca="false">IF($A171="N/A"," ",IF(0&lt;&gt;CO171,IF(CC=2,8*$HD171,0),0))</f>
        <v> </v>
      </c>
      <c r="CY171" s="318" t="str">
        <f aca="false">IF($A171="N/A"," ",IF(0&lt;&gt;CP171,IF(CC=2,8*$HD171,0),0))</f>
        <v> </v>
      </c>
      <c r="CZ171" s="318" t="str">
        <f aca="false">IF($A171="N/A"," ",IF(0&lt;&gt;CQ171,IF(CC=2,8*$HE171,0),0))</f>
        <v> </v>
      </c>
      <c r="DA171" s="318" t="str">
        <f aca="false">IF($A171="N/A"," ",IF(0&lt;&gt;CR171,IF(CC=2,8*$HE171,0),0))</f>
        <v> </v>
      </c>
      <c r="DB171" s="318" t="str">
        <f aca="false">IF($A171="N/A"," ",IF(0&lt;&gt;CS171,IF(CC=2,8*$HE171,0),0))</f>
        <v> </v>
      </c>
      <c r="DC171" s="318" t="str">
        <f aca="false">IF($A171="N/A"," ",IF(0&lt;&gt;CT171,IF(CC=2,8*$HF171,0),0))</f>
        <v> </v>
      </c>
      <c r="DD171" s="318" t="str">
        <f aca="false">IF($A171="N/A"," ",IF(0&lt;&gt;CU171,IF(CC=2,8*$HF171,0),0))</f>
        <v> </v>
      </c>
      <c r="DE171" s="318" t="str">
        <f aca="false">IF($A171="N/A"," ",IF(0&lt;&gt;CV171,IF(CC=2,8*$HF171,0),0))</f>
        <v> </v>
      </c>
      <c r="DF171" s="341" t="str">
        <f aca="false">IF($A171="N/A"," ",IF(CC=2,(IF(MONTH(A171)&gt;=4,IF(MONTH(A171)&lt;=10,Inputs!$G$13,Inputs!$G$14),Inputs!$G$14))*$CK171,0))</f>
        <v> </v>
      </c>
      <c r="DG171" s="342" t="str">
        <f aca="false">IF($A171="N/A"," ",IF(CC=2,$DF171*CW171*CN171,0))</f>
        <v> </v>
      </c>
      <c r="DH171" s="342" t="str">
        <f aca="false">IF($A171="N/A"," ",IF(CC=2,$DF171*CX171*CO171,0))</f>
        <v> </v>
      </c>
      <c r="DI171" s="342" t="str">
        <f aca="false">IF($A171="N/A"," ",IF(CC=2,$DF171*CY171*CP171,0))</f>
        <v> </v>
      </c>
      <c r="DJ171" s="342" t="str">
        <f aca="false">IF($A171="N/A"," ",IF(CC=2,$DF171*CZ171*CQ171,0))</f>
        <v> </v>
      </c>
      <c r="DK171" s="342" t="str">
        <f aca="false">IF($A171="N/A"," ",IF(CC=2,$DF171*DA171*CR171,0))</f>
        <v> </v>
      </c>
      <c r="DL171" s="342" t="str">
        <f aca="false">IF($A171="N/A"," ",IF(CC=2,$DF171*DB171*CS171,0))</f>
        <v> </v>
      </c>
      <c r="DM171" s="342" t="str">
        <f aca="false">IF($A171="N/A"," ",IF(CC=2,$DF171*DC171*CT171,0))</f>
        <v> </v>
      </c>
      <c r="DN171" s="342" t="str">
        <f aca="false">IF($A171="N/A"," ",IF(CC=2,$DF171*DD171*CU171,0))</f>
        <v> </v>
      </c>
      <c r="DO171" s="342" t="str">
        <f aca="false">IF($A171="N/A"," ",IF(CC=2,$DF171*DE171*CV171,0))</f>
        <v> </v>
      </c>
      <c r="DP171" s="343" t="str">
        <f aca="false">IF($A171="N/A"," ",IF(CC=2,SUM(DG171:DO171),0))</f>
        <v> </v>
      </c>
      <c r="DQ171" s="0" t="str">
        <f aca="false">IF(A171="N/A"," ",Perstart)</f>
        <v> </v>
      </c>
      <c r="HD171" s="0" t="str">
        <f aca="false">IF($A171="N/A"," ",VLOOKUP($A171,NumberofDaysTable,2))</f>
        <v> </v>
      </c>
      <c r="HE171" s="0" t="str">
        <f aca="false">IF($A171="N/A"," ",VLOOKUP($A171,NumberofDaysTable,3))</f>
        <v> </v>
      </c>
      <c r="HF171" s="0" t="str">
        <f aca="false">IF($A171="N/A"," ",VLOOKUP($A171,NumberofDaysTable,4))</f>
        <v> </v>
      </c>
    </row>
    <row r="172" customFormat="false" ht="12.75" hidden="false" customHeight="false" outlineLevel="0" collapsed="false">
      <c r="A172" s="308" t="str">
        <f aca="false">IF(A171="N/A","N/A",IF(EDATE(A171,1)&gt;Inputs!$K$3,"N/A",EDATE(A171,1)))</f>
        <v>N/A</v>
      </c>
      <c r="B172" s="309" t="str">
        <f aca="false">IF(A172="N/A"," ",YEAR(A172))</f>
        <v> </v>
      </c>
      <c r="C172" s="310" t="str">
        <f aca="false">IF(A172="N/A"," ",VLOOKUP(A172,ScaledPrice,10))</f>
        <v> </v>
      </c>
      <c r="D172" s="311" t="str">
        <f aca="false">IF(A172="N/A"," ",(VLOOKUP(MONTH($A172),Hrtable,2))/1000)</f>
        <v> </v>
      </c>
      <c r="E172" s="312" t="str">
        <f aca="false">IF($A172="N/A"," ",(C172-'Pricing Inputs'!T205)*D172)</f>
        <v> </v>
      </c>
      <c r="F172" s="313" t="str">
        <f aca="false">IF(A172="N/A"," ",$F160*(1+VOMesc))</f>
        <v> </v>
      </c>
      <c r="G172" s="313" t="str">
        <f aca="false">IF(A172="N/A"," ",Perstart/IF(AND(Dayrun&gt;=4,Dayrun&lt;=6),16,IF(AND(Dayrun&gt;=7,Dayrun&lt;=9),8,24))/(BM172/CK172))</f>
        <v> </v>
      </c>
      <c r="H172" s="314" t="str">
        <f aca="false">IF(A172="N/A"," ",(C172*D172)+F172+G172)</f>
        <v> </v>
      </c>
      <c r="I172" s="315" t="str">
        <f aca="false">VLOOKUP(A172,ScaledPrice,(IF(AND(Dayrun&gt;=1,Dayrun&lt;=6),2,4)))</f>
        <v> </v>
      </c>
      <c r="J172" s="315" t="str">
        <f aca="false">IF(A172="N/A"," ",IF(AND(Dayrun&gt;=1,Dayrun&lt;=6),I172,(VLOOKUP(A172,ScaledPrice,2))*(2-(VLOOKUP(A172,ScaledPrice,3)))))</f>
        <v> </v>
      </c>
      <c r="K172" s="315" t="str">
        <f aca="false">IF(A172="N/A"," ",IF(AND(Dayrun&gt;=1,Dayrun&lt;=3),VLOOKUP(A172,ScaledPrice,9),0))</f>
        <v> </v>
      </c>
      <c r="L172" s="315" t="str">
        <f aca="false">IF(A172="N/A"," ",IF(OR(Dayrun=2,Dayrun=3,Dayrun=5,Dayrun=6,Dayrun=8,Dayrun=9),VLOOKUP(A172,ScaledPrice,IF(AND(Dayrun&gt;=2,Dayrun&lt;=6),5,6)),0))</f>
        <v> </v>
      </c>
      <c r="M172" s="315" t="str">
        <f aca="false">IF(A172="N/A"," ",IF(OR(Dayrun=2,Dayrun=3,Dayrun=5,Dayrun=6,Dayrun=8,Dayrun=9),IF(AND(Dayrun&gt;=2,Dayrun&lt;=6),L172,(VLOOKUP(A172,ScaledPrice,5))*(2-(VLOOKUP(A172,ScaledPrice,3)))),0))</f>
        <v> </v>
      </c>
      <c r="N172" s="315" t="str">
        <f aca="false">IF(A172="N/A"," ",IF(AND(Dayrun&gt;1,Dayrun&lt;=3),VLOOKUP(A172,ScaledPrice,9),0))</f>
        <v> </v>
      </c>
      <c r="O172" s="315" t="str">
        <f aca="false">IF(A172="N/A"," ",IF(OR(Dayrun=3,Dayrun=6,Dayrun=9),(VLOOKUP(A172,ScaledPrice,IF(AND(Dayrun&gt;=3,Dayrun&lt;=6),7,8))),0))</f>
        <v> </v>
      </c>
      <c r="P172" s="315" t="str">
        <f aca="false">IF(A172="N/A"," ",IF(OR(Dayrun=3,Dayrun=6,Dayrun=9),IF(AND(Dayrun&gt;=3,Dayrun&lt;=6),O172,(VLOOKUP(A172,ScaledPrice,7))*(2-(VLOOKUP(A172,ScaledPrice,3)))),0))</f>
        <v> </v>
      </c>
      <c r="Q172" s="315" t="str">
        <f aca="false">IF(A172="N/A"," ",IF(AND(Dayrun&gt;2,Dayrun&lt;=3),VLOOKUP(A172,ScaledPrice,9),0))</f>
        <v> </v>
      </c>
      <c r="R172" s="316" t="str">
        <f aca="false">IF($A172="N/A"," ",IF(Pricetype=2,MAX(I172-$H172,0),IF(Pricetype=1,(xSPRDOPT(I172,$E172,$CI172,0,($CD172+IF(Smile=TRUE(),VLOOKUP(MAX(-5,$H172-I172),Volsmile,2),0)),$CG172,$CH172,($A172-DateToday)+15,1,0)),I172-$H172)))</f>
        <v> </v>
      </c>
      <c r="S172" s="316" t="str">
        <f aca="false">IF($A172="N/A"," ",IF(Pricetype=2,MAX(J172-$H172,0),IF(Pricetype=1,(xSPRDOPT(J172,$E172,$CI172,0,($CD172+IF(Smile=TRUE(),VLOOKUP(MAX(-5,$H172-J172),Volsmile,2),0)),$CG172,$CH172,($A172-DateToday)+15,1,0)),J172-$H172)))</f>
        <v> </v>
      </c>
      <c r="T172" s="317" t="str">
        <f aca="false">IF($A172="N/A"," ",(IF(Pricetype=2,IF((K172-$H172)&lt;=0,0,(K172-$H172)),IF(K172&lt;&gt;0,(K172-$H172),0))))</f>
        <v> </v>
      </c>
      <c r="U172" s="316" t="str">
        <f aca="false">IF($A172="N/A"," ",IF(Pricetype=2,MAX(L172-$H172,0),IF(L172&lt;&gt;0,IF(Pricetype=1,(xSPRDOPT(L172,$E172,$CI172,0,($CD172+IF(Smile=TRUE(),VLOOKUP(MAX(-5,$H172-L172),Volsmile,2),0)),$CG172,$CH172,($A172-DateToday)+15,1,0)),L172-$H172),0)))</f>
        <v> </v>
      </c>
      <c r="V172" s="316" t="str">
        <f aca="false">IF($A172="N/A"," ",IF(Pricetype=2,MAX(M172-$H172,0),IF(M172&lt;&gt;0,IF(Pricetype=1,(xSPRDOPT(M172,$E172,$CI172,0,($CD172+IF(Smile=TRUE(),VLOOKUP(MAX(-5,$H172-M172),Volsmile,2),0)),$CG172,$CH172,($A172-DateToday)+15,1,0)),M172-$H172),0)))</f>
        <v> </v>
      </c>
      <c r="W172" s="317" t="str">
        <f aca="false">IF($A172="N/A"," ",(IF(Pricetype=2,IF((N172-$H172)&lt;=0,0,(N172-$H172)),IF(N172&lt;&gt;0,(N172-$H172),0))))</f>
        <v> </v>
      </c>
      <c r="X172" s="316" t="str">
        <f aca="false">IF($A172="N/A"," ",IF(Pricetype=2,MAX(O172-$H172,0),IF(O172&lt;&gt;0,IF(Pricetype=1,(xSPRDOPT(O172,$E172,$CI172,0,($CD172+IF(Smile=TRUE(),VLOOKUP(MAX(-5,$H172-O172),Volsmile,2),0)),$CG172,$CH172,($A172-DateToday)+15,1,0)),O172-$H172),0)))</f>
        <v> </v>
      </c>
      <c r="Y172" s="316" t="str">
        <f aca="false">IF($A172="N/A"," ",IF(Pricetype=2,MAX(P172-$H172,0),IF(P172&lt;&gt;0,IF(Pricetype=1,(xSPRDOPT(P172,$E172,$CI172,0,($CD172+IF(Smile=TRUE(),VLOOKUP(MAX(-5,$H172-P172),Volsmile,2),0)),$CG172,$CH172,($A172-DateToday)+15,1,0)),P172-$H172),0)))</f>
        <v> </v>
      </c>
      <c r="Z172" s="317" t="str">
        <f aca="false">IF($A172="N/A"," ",(IF(Pricetype=2,IF((Q172-$H172)&lt;=0,0,(Q172-$H172)),IF(Q172&lt;&gt;0,(Q172-$H172),0))))</f>
        <v> </v>
      </c>
      <c r="AA172" s="318" t="str">
        <f aca="false">IF($A172="N/A"," ",IF(VLOOKUP(MONTH(A172),ManualTable,2)=1,(IF(0&lt;&gt;R172,IF(Pricetype=1,(xSPRDOPT(I172,$E172,$CI172,0,($CD172+IF(Smile=TRUE(),VLOOKUP(MAX(-5,$H172-I172),Volsmile,2),0)),$CG172,$CH172,($A172-DateToday)+15,1,1))*(8*$HD172),8*$HD172),0)),0))</f>
        <v> </v>
      </c>
      <c r="AB172" s="318" t="str">
        <f aca="false">IF($A172="N/A"," ",IF(VLOOKUP(MONTH(A172),ManualTable,3)=1,(IF(S172&lt;&gt;0,IF(Pricetype=1,(xSPRDOPT(J172,$E172,$CI172,0,($CD172+IF(Smile=TRUE(),VLOOKUP(MAX(-5,$H172-J172),Volsmile,2),0)),$CG172,$CH172,($A172-DateToday)+15,1,1))*(8*$HD172),8*$HD172),0)),0))</f>
        <v> </v>
      </c>
      <c r="AC172" s="318" t="str">
        <f aca="false">IF($A172="N/A"," ",IF(VLOOKUP(MONTH(A172),ManualTable,4)=1,(IF(T172&lt;&gt;0,(8*$HD172),0)),0))</f>
        <v> </v>
      </c>
      <c r="AD172" s="318" t="str">
        <f aca="false">IF($A172="N/A"," ",IF(VLOOKUP(MONTH(A172),ManualTable,5)=1,(IF(U172&lt;&gt;0,IF(Pricetype=1,(xSPRDOPT(L172,$E172,$CI172,0,($CD172+IF(Smile=TRUE(),VLOOKUP(MAX(-5,$H172-L172),Volsmile,2),0)),$CG172,$CH172,($A172-DateToday)+15,1,1))*(8*$HE172),8*$HE172),0)),0))</f>
        <v> </v>
      </c>
      <c r="AE172" s="318" t="str">
        <f aca="false">IF($A172="N/A"," ",IF(VLOOKUP(MONTH(A172),ManualTable,6)=1,(IF(V172&lt;&gt;0,IF(Pricetype=1,(xSPRDOPT(M172,$E172,$CI172,0,($CD172+IF(Smile=TRUE(),VLOOKUP(MAX(-5,$H172-M172),Volsmile,2),0)),$CG172,$CH172,($A172-DateToday)+15,1,1))*(8*$HE172),8*$HE172),0)),0))</f>
        <v> </v>
      </c>
      <c r="AF172" s="318" t="str">
        <f aca="false">IF($A172="N/A"," ",IF(VLOOKUP(MONTH(A172),ManualTable,7)=1,(IF(W172&lt;&gt;0,(8*$HE172),0)),0))</f>
        <v> </v>
      </c>
      <c r="AG172" s="318" t="str">
        <f aca="false">IF($A172="N/A"," ",IF(VLOOKUP(MONTH(A172),ManualTable,8)=1,(IF(X172&lt;&gt;0,IF(Pricetype=1,(xSPRDOPT(O172,$E172,$CI172,0,($CD172+IF(Smile=TRUE(),VLOOKUP(MAX(-5,$H172-O172),Volsmile,2),0)),$CG172,$CH172,($A172-DateToday)+15,1,1))*(8*$HF172),8*$HF172),0)),0))</f>
        <v> </v>
      </c>
      <c r="AH172" s="318" t="str">
        <f aca="false">IF($A172="N/A"," ",IF(VLOOKUP(MONTH(A172),ManualTable,9)=1,(IF(Y172&lt;&gt;0,IF(Pricetype=1,(xSPRDOPT(P172,$E172,$CI172,0,($CD172+IF(Smile=TRUE(),VLOOKUP(MAX(-5,$H172-P172),Volsmile,2),0)),$CG172,$CH172,($A172-DateToday)+15,1,1))*(8*$HF172),8*$HF172),0)),0))</f>
        <v> </v>
      </c>
      <c r="AI172" s="318" t="str">
        <f aca="false">IF($A172="N/A"," ",IF(VLOOKUP(MONTH(A172),ManualTable,10)=1,(IF(Z172&lt;&gt;0,(8*($HF172)),0)),0))</f>
        <v> </v>
      </c>
      <c r="AJ172" s="319" t="str">
        <f aca="false">IF($A172="N/A"," ",RANK(R172,$R$172:$Z$183))</f>
        <v> </v>
      </c>
      <c r="AK172" s="320" t="str">
        <f aca="false">IF($A172="N/A"," ",RANK(S172,$R$172:$Z$183))</f>
        <v> </v>
      </c>
      <c r="AL172" s="320" t="str">
        <f aca="false">IF($A172="N/A"," ",RANK(T172,$R$172:$Z$183))</f>
        <v> </v>
      </c>
      <c r="AM172" s="320" t="str">
        <f aca="false">IF($A172="N/A"," ",RANK(U172,$R$172:$Z$183))</f>
        <v> </v>
      </c>
      <c r="AN172" s="320" t="str">
        <f aca="false">IF($A172="N/A"," ",RANK(V172,$R$172:$Z$183))</f>
        <v> </v>
      </c>
      <c r="AO172" s="320" t="str">
        <f aca="false">IF($A172="N/A"," ",RANK(W172,$R$172:$Z$183))</f>
        <v> </v>
      </c>
      <c r="AP172" s="320" t="str">
        <f aca="false">IF($A172="N/A"," ",RANK(X172,$R$172:$Z$183))</f>
        <v> </v>
      </c>
      <c r="AQ172" s="320" t="str">
        <f aca="false">IF($A172="N/A"," ",RANK(Y172,$R$172:$Z$183))</f>
        <v> </v>
      </c>
      <c r="AR172" s="322" t="str">
        <f aca="false">IF($A172="N/A"," ",RANK(Z172,$R$172:$Z$183))</f>
        <v> </v>
      </c>
      <c r="AS172" s="357" t="str">
        <f aca="false">IF($A172="N/A"," ",IF(AJ172&lt;=$AR$2,AA172,0))</f>
        <v> </v>
      </c>
      <c r="AT172" s="324" t="str">
        <f aca="false">IF($A172="N/A"," ",IF(AK172&lt;=$AR$2,AB172,0))</f>
        <v> </v>
      </c>
      <c r="AU172" s="325" t="str">
        <f aca="false">IF($A172="N/A"," ",IF(AL172&lt;=$AR$2,AC172,0))</f>
        <v> </v>
      </c>
      <c r="AV172" s="325" t="str">
        <f aca="false">IF($A172="N/A"," ",IF(AM172&lt;=$AR$2,AD172,0))</f>
        <v> </v>
      </c>
      <c r="AW172" s="325" t="str">
        <f aca="false">IF($A172="N/A"," ",IF(AN172&lt;=$AR$2,AE172,0))</f>
        <v> </v>
      </c>
      <c r="AX172" s="325" t="str">
        <f aca="false">IF($A172="N/A"," ",IF(AO172&lt;=$AR$2,AF172,0))</f>
        <v> </v>
      </c>
      <c r="AY172" s="324" t="str">
        <f aca="false">IF($A172="N/A"," ",IF(AP172&lt;=$AR$2,AG172,0))</f>
        <v> </v>
      </c>
      <c r="AZ172" s="324" t="str">
        <f aca="false">IF($A172="N/A"," ",IF(AQ172&lt;=$AR$2,AH172,0))</f>
        <v> </v>
      </c>
      <c r="BA172" s="324" t="str">
        <f aca="false">IF($A172="N/A"," ",IF(AR172&lt;=$AR$2,AI172,0))</f>
        <v> </v>
      </c>
      <c r="BB172" s="322"/>
      <c r="BC172" s="358" t="str">
        <f aca="false">IF($A172="N/A"," ",IF(AND(AJ172=$AR$2+1,AS172=0),MIN($BB$183,AA172),0))</f>
        <v> </v>
      </c>
      <c r="BD172" s="327" t="str">
        <f aca="false">IF($A172="N/A"," ",IF(AND(AK172=$AR$2+1,AT172=0),MIN($BB$183,AB172),0))</f>
        <v> </v>
      </c>
      <c r="BE172" s="327" t="str">
        <f aca="false">IF($A172="N/A"," ",IF(AND(AL172=$AR$2+1,AU172=0),MIN($BB$183,AC172),0))</f>
        <v> </v>
      </c>
      <c r="BF172" s="327" t="str">
        <f aca="false">IF($A172="N/A"," ",IF(AND(AM172=$AR$2+1,AV172=0),MIN($BB$183,AD172),0))</f>
        <v> </v>
      </c>
      <c r="BG172" s="327" t="str">
        <f aca="false">IF($A172="N/A"," ",IF(AND(AN172=$AR$2+1,AW172=0),MIN($BB$183,AE172),0))</f>
        <v> </v>
      </c>
      <c r="BH172" s="327" t="str">
        <f aca="false">IF($A172="N/A"," ",IF(AND(AO172=$AR$2+1,AX172=0),MIN($BB$183,AF172),0))</f>
        <v> </v>
      </c>
      <c r="BI172" s="327" t="str">
        <f aca="false">IF($A172="N/A"," ",IF(AND(AP172=$AR$2+1,AY172=0),MIN($BB$183,AG172),0))</f>
        <v> </v>
      </c>
      <c r="BJ172" s="327" t="str">
        <f aca="false">IF($A172="N/A"," ",IF(AND(AQ172=$AR$2+1,AZ172=0),MIN($BB$183,AH172),0))</f>
        <v> </v>
      </c>
      <c r="BK172" s="327" t="str">
        <f aca="false">IF($A172="N/A"," ",IF(AND(AR172=$AR$2+1,BA172=0),MIN($BB$183,AI172),0))</f>
        <v> </v>
      </c>
      <c r="BL172" s="322"/>
      <c r="BM172" s="329" t="str">
        <f aca="false">IF($A172="N/A"," ",(IF(MONTH(A172)&gt;=4,IF(MONTH(A172)&lt;=10,Inputs!$F$13-Inputs!$G$13,Inputs!$F$14-Inputs!$G$14),Inputs!$F$14-Inputs!$G$14))*$CK172*Availability)</f>
        <v> </v>
      </c>
      <c r="BN172" s="330" t="str">
        <f aca="false">IF($A172="N/A"," ",(IF(AS172&gt;0,($BM172*(8*($HD172))*R172),0)+IF(BC172&gt;0,($BM172*((BC172/AA172)*8*$HD172)*R172),0)))</f>
        <v> </v>
      </c>
      <c r="BO172" s="330" t="str">
        <f aca="false">IF($A172="N/A"," ",(IF(AT172&gt;0,($BM172*(8*($HD172))*S172),0)+IF(BD172&gt;0,($BM172*((BD172/AB172)*8*$HD172)*S172),0)))</f>
        <v> </v>
      </c>
      <c r="BP172" s="330" t="str">
        <f aca="false">IF($A172="N/A"," ",(IF(AU172&gt;0,($BM172*(8*($HD172))*T172),0)+IF(BE172&gt;0,($BM172*((BE172))*T172),0)))</f>
        <v> </v>
      </c>
      <c r="BQ172" s="330" t="str">
        <f aca="false">IF($A172="N/A"," ",(IF(AV172&gt;0,($BM172*(8*($HE172))*U172),0)+IF(BF172&gt;0,($BM172*((BF172/AD172)*8*$HE172)*U172),0)))</f>
        <v> </v>
      </c>
      <c r="BR172" s="330" t="str">
        <f aca="false">IF($A172="N/A"," ",(IF(AW172&gt;0,($BM172*(8*($HE172))*V172),0)+IF(BG172&gt;0,($BM172*((BG172/AE172)*8*$HE172)*V172),0)))</f>
        <v> </v>
      </c>
      <c r="BS172" s="330" t="str">
        <f aca="false">IF($A172="N/A"," ",(IF(AX172&gt;0,($BM172*(8*($HE172))*W172),0)+IF(BH172&gt;0,($BM172*((BH172))*W172),0)))</f>
        <v> </v>
      </c>
      <c r="BT172" s="330" t="str">
        <f aca="false">IF($A172="N/A"," ",(IF(AY172&gt;0,($BM172*(8*($HF172))*X172),0)+IF(BI172&gt;0,($BM172*((BI172/AG172)*8*$HF172)*X172),0)))</f>
        <v> </v>
      </c>
      <c r="BU172" s="330" t="str">
        <f aca="false">IF($A172="N/A"," ",(IF(AZ172&gt;0,($BM172*(8*($HF172))*Y172),0)+IF(BJ172&gt;0,($BM172*((BJ172/AH172)*8*$HF172)*Y172),0)))</f>
        <v> </v>
      </c>
      <c r="BV172" s="330" t="str">
        <f aca="false">IF($A172="N/A"," ",(IF(BA172&gt;0,($BM172*(8*($HF172))*Z172),0)+IF(BK172&gt;0,($BM172*((BK172))*Z172),0)))</f>
        <v> </v>
      </c>
      <c r="BW172" s="330" t="str">
        <f aca="false">IF($A172="N/A"," ",SUM(BN172:BV172))</f>
        <v> </v>
      </c>
      <c r="BX172" s="331" t="str">
        <f aca="false">IF($A172="N/A"," ",(H172*(SUM(AS172:BA172)+SUM(BC172:BK172))*BM172))</f>
        <v> </v>
      </c>
      <c r="BY172" s="332" t="str">
        <f aca="false">IF($A172="N/A"," ",((C172*D172)*(SUM($AS172:$BA172)+SUM($BC172:$BK172))*$BM172))</f>
        <v> </v>
      </c>
      <c r="BZ172" s="332" t="str">
        <f aca="false">IF($A172="N/A"," ",(F172*(SUM($AS172:$BA172)+SUM($BC172:$BK172))*$BM172))</f>
        <v> </v>
      </c>
      <c r="CA172" s="333" t="str">
        <f aca="false">IF($A172="N/A"," ",(G172*(SUM($AS172:$BA172)+SUM($BC172:$BK172))*$BM172))</f>
        <v> </v>
      </c>
      <c r="CB172" s="334" t="str">
        <f aca="false">IF(A172="N/A"," ",(VLOOKUP(A172,PowerVolTable,(IF(BMO=2,7,IF(BMO=1,6,8))),FALSE())))</f>
        <v> </v>
      </c>
      <c r="CC172" s="334" t="str">
        <f aca="false">IF(A172="N/A"," ",(VLOOKUP(A172,IntraPowerVol,(IF(BMO=2,3,IF(BMO=1,2,4))),FALSE())*VLOOKUP(MONTH($A172),Volscale,2)))</f>
        <v> </v>
      </c>
      <c r="CD172" s="335" t="str">
        <f aca="false">IF($A172="N/A"," ",(IF(DateToday&gt;$A172,$CC172,((($CB172^2)*((($A172-1)-DateToday)/((EOMONTH($A172,0)+1)-DateToday-15)))+((($CC172)^2)*((15)/((EOMONTH($A172,0)+1)-DateToday-15))))^0.5)))</f>
        <v> </v>
      </c>
      <c r="CE172" s="334" t="str">
        <f aca="false">IF($A172="N/A"," ",(VLOOKUP($A172,GasVolTable,(IF(BMO=2,6,IF(BMO=1,7,5))),FALSE())))</f>
        <v> </v>
      </c>
      <c r="CF172" s="334" t="str">
        <f aca="false">IF($A172="N/A"," ",(VLOOKUP($A172,OmicronVol,(IF(BMO=2,3,IF(BMO=1,4,2))),FALSE())))</f>
        <v> </v>
      </c>
      <c r="CG172" s="335" t="str">
        <f aca="false">IF($A172="N/A"," ",(IF(DateToday&gt;$A172,$CF172,((($CE172^2)*((($A172-1)-DateToday)/((EOMONTH($A172,0)+1)-DateToday-15)))+((($CF172)^2)*((15)/((EOMONTH($A172,0)+1)-DateToday-15))))^0.5)))</f>
        <v> </v>
      </c>
      <c r="CH172" s="334" t="str">
        <f aca="false">IF($A172="N/A"," ",VLOOKUP($A172,CorrelationTable,2,FALSE()))</f>
        <v> </v>
      </c>
      <c r="CI172" s="336" t="str">
        <f aca="false">IF($A172="N/A"," ",F172+G172+(D172*('Pricing Inputs'!T205)))</f>
        <v> </v>
      </c>
      <c r="CJ172" s="334" t="str">
        <f aca="false">IF($A172="N/A"," ",IF(PV=1,0,'Pricing Inputs'!U205))</f>
        <v> </v>
      </c>
      <c r="CK172" s="337" t="str">
        <f aca="false">IF($A172="N/A"," ",(1+CJ172/2)^(-2*((EOMONTH(A172,0)+20)-DateToday)/365.25))</f>
        <v> </v>
      </c>
      <c r="CL172" s="338" t="str">
        <f aca="false">IF(A172="N/A"," ",IF(CC=2,(VLOOKUP(MONTH($A172),Hrtable,3))/1000,0))</f>
        <v> </v>
      </c>
      <c r="CM172" s="339" t="str">
        <f aca="false">IF(A172="N/A"," ",IF(CC=2,(CL172*C172)+F172,0))</f>
        <v> </v>
      </c>
      <c r="CN172" s="340" t="str">
        <f aca="false">IF($A172="N/A"," ",IF(CC=2,(VLOOKUP(A172,ScaledPrice,(IF(AND(Dayrun&gt;=1,Dayrun&lt;=6),2,4)))-((IF(R172&lt;&gt;0,$D172,$CL172)*$C172)+$F172+$G172)),0))</f>
        <v> </v>
      </c>
      <c r="CO172" s="340" t="str">
        <f aca="false">IF($A172="N/A"," ",IF(CC=2,(IF(AND(Dayrun&gt;=1,Dayrun&lt;=6),I172,(VLOOKUP(A172,ScaledPrice,2))*(2-(VLOOKUP(A172,ScaledPrice,3))))-((IF(S172&lt;&gt;0,$D172,$CL172)*$C172)+$F172+$G172)),0))</f>
        <v> </v>
      </c>
      <c r="CP172" s="340" t="str">
        <f aca="false">IF(A172="N/A"," ",IF(CC=2,(VLOOKUP(A172,ScaledPrice,9)-((IF(T172&lt;&gt;0,$D172,$CL172)*$C172)+$F172+$G172)),0))</f>
        <v> </v>
      </c>
      <c r="CQ172" s="340" t="str">
        <f aca="false">IF(A172="N/A"," ",IF(CC=2,(IF(OR(Dayrun=2,Dayrun=3,Dayrun=5,Dayrun=6,Dayrun=8,Dayrun=9),VLOOKUP(A172,ScaledPrice,IF(AND(Dayrun&gt;=2,Dayrun&lt;=6),5,6)),0)-((IF(U172&lt;&gt;0,$D172,$CL172)*$C172)+$F172+$G172)),0))</f>
        <v> </v>
      </c>
      <c r="CR172" s="340" t="str">
        <f aca="false">IF(A172="N/A"," ",IF(CC=2,(IF(OR(Dayrun=2,Dayrun=3,Dayrun=5,Dayrun=6,Dayrun=8,Dayrun=9),IF(AND(Dayrun&gt;=2,Dayrun&lt;=6),L172,(VLOOKUP(A172,ScaledPrice,5))*(2-(VLOOKUP(A172,ScaledPrice,3)))),0)-((IF(V172&lt;&gt;0,$D172,$CL172)*$C172)+$F172+$G172)),0))</f>
        <v> </v>
      </c>
      <c r="CS172" s="340" t="str">
        <f aca="false">IF(A172="N/A"," ",IF(CC=2,(VLOOKUP(A172,ScaledPrice,9)-((IF(W172&lt;&gt;0,$D172,$CL172)*$C172)+$F172+$G172)),0))</f>
        <v> </v>
      </c>
      <c r="CT172" s="340" t="str">
        <f aca="false">IF(A172="N/A"," ",IF(CC=2,(IF(OR(Dayrun=3,Dayrun=6,Dayrun=9),(VLOOKUP(A172,ScaledPrice,IF(AND(Dayrun&gt;=3,Dayrun&lt;=6),7,8))),0)-((IF(X172&lt;&gt;0,$D172,$CL172)*$C172)+$F172+$G172)),0))</f>
        <v> </v>
      </c>
      <c r="CU172" s="340" t="str">
        <f aca="false">IF(A172="N/A"," ",IF(CC=2,(IF(OR(Dayrun=3,Dayrun=6,Dayrun=9),IF(AND(Dayrun&gt;=3,Dayrun&lt;=6),O172,(VLOOKUP(A172,ScaledPrice,7))*(2-(VLOOKUP(A172,ScaledPrice,3)))),0)-((IF(Y172&lt;&gt;0,$D172,$CL172)*$C172)+$F172+$G172)),0))</f>
        <v> </v>
      </c>
      <c r="CV172" s="340" t="str">
        <f aca="false">IF(A172="N/A"," ",IF(CC=2,(VLOOKUP(A172,ScaledPrice,9)-((IF(Z172&lt;&gt;0,$D172,$CL172)*$C172)+$F172+$G172)),0))</f>
        <v> </v>
      </c>
      <c r="CW172" s="318" t="str">
        <f aca="false">IF($A172="N/A"," ",IF(0&lt;&gt;CN172,IF(CC=2,8*$HD172,0),0))</f>
        <v> </v>
      </c>
      <c r="CX172" s="318" t="str">
        <f aca="false">IF($A172="N/A"," ",IF(0&lt;&gt;CO172,IF(CC=2,8*$HD172,0),0))</f>
        <v> </v>
      </c>
      <c r="CY172" s="318" t="str">
        <f aca="false">IF($A172="N/A"," ",IF(0&lt;&gt;CP172,IF(CC=2,8*$HD172,0),0))</f>
        <v> </v>
      </c>
      <c r="CZ172" s="318" t="str">
        <f aca="false">IF($A172="N/A"," ",IF(0&lt;&gt;CQ172,IF(CC=2,8*$HE172,0),0))</f>
        <v> </v>
      </c>
      <c r="DA172" s="318" t="str">
        <f aca="false">IF($A172="N/A"," ",IF(0&lt;&gt;CR172,IF(CC=2,8*$HE172,0),0))</f>
        <v> </v>
      </c>
      <c r="DB172" s="318" t="str">
        <f aca="false">IF($A172="N/A"," ",IF(0&lt;&gt;CS172,IF(CC=2,8*$HE172,0),0))</f>
        <v> </v>
      </c>
      <c r="DC172" s="318" t="str">
        <f aca="false">IF($A172="N/A"," ",IF(0&lt;&gt;CT172,IF(CC=2,8*$HF172,0),0))</f>
        <v> </v>
      </c>
      <c r="DD172" s="318" t="str">
        <f aca="false">IF($A172="N/A"," ",IF(0&lt;&gt;CU172,IF(CC=2,8*$HF172,0),0))</f>
        <v> </v>
      </c>
      <c r="DE172" s="318" t="str">
        <f aca="false">IF($A172="N/A"," ",IF(0&lt;&gt;CV172,IF(CC=2,8*$HF172,0),0))</f>
        <v> </v>
      </c>
      <c r="DF172" s="341" t="str">
        <f aca="false">IF($A172="N/A"," ",IF(CC=2,(IF(MONTH(A172)&gt;=4,IF(MONTH(A172)&lt;=10,Inputs!$G$13,Inputs!$G$14),Inputs!$G$14))*$CK172,0))</f>
        <v> </v>
      </c>
      <c r="DG172" s="342" t="str">
        <f aca="false">IF($A172="N/A"," ",IF(CC=2,$DF172*CW172*CN172,0))</f>
        <v> </v>
      </c>
      <c r="DH172" s="342" t="str">
        <f aca="false">IF($A172="N/A"," ",IF(CC=2,$DF172*CX172*CO172,0))</f>
        <v> </v>
      </c>
      <c r="DI172" s="342" t="str">
        <f aca="false">IF($A172="N/A"," ",IF(CC=2,$DF172*CY172*CP172,0))</f>
        <v> </v>
      </c>
      <c r="DJ172" s="342" t="str">
        <f aca="false">IF($A172="N/A"," ",IF(CC=2,$DF172*CZ172*CQ172,0))</f>
        <v> </v>
      </c>
      <c r="DK172" s="342" t="str">
        <f aca="false">IF($A172="N/A"," ",IF(CC=2,$DF172*DA172*CR172,0))</f>
        <v> </v>
      </c>
      <c r="DL172" s="342" t="str">
        <f aca="false">IF($A172="N/A"," ",IF(CC=2,$DF172*DB172*CS172,0))</f>
        <v> </v>
      </c>
      <c r="DM172" s="342" t="str">
        <f aca="false">IF($A172="N/A"," ",IF(CC=2,$DF172*DC172*CT172,0))</f>
        <v> </v>
      </c>
      <c r="DN172" s="342" t="str">
        <f aca="false">IF($A172="N/A"," ",IF(CC=2,$DF172*DD172*CU172,0))</f>
        <v> </v>
      </c>
      <c r="DO172" s="342" t="str">
        <f aca="false">IF($A172="N/A"," ",IF(CC=2,$DF172*DE172*CV172,0))</f>
        <v> </v>
      </c>
      <c r="DP172" s="343" t="str">
        <f aca="false">IF($A172="N/A"," ",IF(CC=2,SUM(DG172:DO172),0))</f>
        <v> </v>
      </c>
      <c r="DQ172" s="0" t="str">
        <f aca="false">IF(A172="N/A"," ",Perstart)</f>
        <v> </v>
      </c>
      <c r="HD172" s="0" t="str">
        <f aca="false">IF($A172="N/A"," ",VLOOKUP($A172,NumberofDaysTable,2))</f>
        <v> </v>
      </c>
      <c r="HE172" s="0" t="str">
        <f aca="false">IF($A172="N/A"," ",VLOOKUP($A172,NumberofDaysTable,3))</f>
        <v> </v>
      </c>
      <c r="HF172" s="0" t="str">
        <f aca="false">IF($A172="N/A"," ",VLOOKUP($A172,NumberofDaysTable,4))</f>
        <v> </v>
      </c>
    </row>
    <row r="173" customFormat="false" ht="12.75" hidden="false" customHeight="false" outlineLevel="0" collapsed="false">
      <c r="A173" s="308" t="str">
        <f aca="false">IF(A172="N/A","N/A",IF(EDATE(A172,1)&gt;Inputs!$K$3,"N/A",EDATE(A172,1)))</f>
        <v>N/A</v>
      </c>
      <c r="B173" s="309" t="str">
        <f aca="false">IF(A173="N/A"," ",YEAR(A173))</f>
        <v> </v>
      </c>
      <c r="C173" s="310" t="str">
        <f aca="false">IF(A173="N/A"," ",VLOOKUP(A173,ScaledPrice,10))</f>
        <v> </v>
      </c>
      <c r="D173" s="311" t="str">
        <f aca="false">IF(A173="N/A"," ",(VLOOKUP(MONTH($A173),Hrtable,2))/1000)</f>
        <v> </v>
      </c>
      <c r="E173" s="312" t="str">
        <f aca="false">IF($A173="N/A"," ",(C173-'Pricing Inputs'!T206)*D173)</f>
        <v> </v>
      </c>
      <c r="F173" s="313" t="str">
        <f aca="false">IF(A173="N/A"," ",$F161*(1+VOMesc))</f>
        <v> </v>
      </c>
      <c r="G173" s="313" t="str">
        <f aca="false">IF(A173="N/A"," ",Perstart/IF(AND(Dayrun&gt;=4,Dayrun&lt;=6),16,IF(AND(Dayrun&gt;=7,Dayrun&lt;=9),8,24))/(BM173/CK173))</f>
        <v> </v>
      </c>
      <c r="H173" s="314" t="str">
        <f aca="false">IF(A173="N/A"," ",(C173*D173)+F173+G173)</f>
        <v> </v>
      </c>
      <c r="I173" s="315" t="str">
        <f aca="false">VLOOKUP(A173,ScaledPrice,(IF(AND(Dayrun&gt;=1,Dayrun&lt;=6),2,4)))</f>
        <v> </v>
      </c>
      <c r="J173" s="315" t="str">
        <f aca="false">IF(A173="N/A"," ",IF(AND(Dayrun&gt;=1,Dayrun&lt;=6),I173,(VLOOKUP(A173,ScaledPrice,2))*(2-(VLOOKUP(A173,ScaledPrice,3)))))</f>
        <v> </v>
      </c>
      <c r="K173" s="315" t="str">
        <f aca="false">IF(A173="N/A"," ",IF(AND(Dayrun&gt;=1,Dayrun&lt;=3),VLOOKUP(A173,ScaledPrice,9),0))</f>
        <v> </v>
      </c>
      <c r="L173" s="315" t="str">
        <f aca="false">IF(A173="N/A"," ",IF(OR(Dayrun=2,Dayrun=3,Dayrun=5,Dayrun=6,Dayrun=8,Dayrun=9),VLOOKUP(A173,ScaledPrice,IF(AND(Dayrun&gt;=2,Dayrun&lt;=6),5,6)),0))</f>
        <v> </v>
      </c>
      <c r="M173" s="315" t="str">
        <f aca="false">IF(A173="N/A"," ",IF(OR(Dayrun=2,Dayrun=3,Dayrun=5,Dayrun=6,Dayrun=8,Dayrun=9),IF(AND(Dayrun&gt;=2,Dayrun&lt;=6),L173,(VLOOKUP(A173,ScaledPrice,5))*(2-(VLOOKUP(A173,ScaledPrice,3)))),0))</f>
        <v> </v>
      </c>
      <c r="N173" s="315" t="str">
        <f aca="false">IF(A173="N/A"," ",IF(AND(Dayrun&gt;1,Dayrun&lt;=3),VLOOKUP(A173,ScaledPrice,9),0))</f>
        <v> </v>
      </c>
      <c r="O173" s="315" t="str">
        <f aca="false">IF(A173="N/A"," ",IF(OR(Dayrun=3,Dayrun=6,Dayrun=9),(VLOOKUP(A173,ScaledPrice,IF(AND(Dayrun&gt;=3,Dayrun&lt;=6),7,8))),0))</f>
        <v> </v>
      </c>
      <c r="P173" s="315" t="str">
        <f aca="false">IF(A173="N/A"," ",IF(OR(Dayrun=3,Dayrun=6,Dayrun=9),IF(AND(Dayrun&gt;=3,Dayrun&lt;=6),O173,(VLOOKUP(A173,ScaledPrice,7))*(2-(VLOOKUP(A173,ScaledPrice,3)))),0))</f>
        <v> </v>
      </c>
      <c r="Q173" s="315" t="str">
        <f aca="false">IF(A173="N/A"," ",IF(AND(Dayrun&gt;2,Dayrun&lt;=3),VLOOKUP(A173,ScaledPrice,9),0))</f>
        <v> </v>
      </c>
      <c r="R173" s="316" t="str">
        <f aca="false">IF($A173="N/A"," ",IF(Pricetype=2,MAX(I173-$H173,0),IF(Pricetype=1,(xSPRDOPT(I173,$E173,$CI173,0,($CD173+IF(Smile=TRUE(),VLOOKUP(MAX(-5,$H173-I173),Volsmile,2),0)),$CG173,$CH173,($A173-DateToday)+15,1,0)),I173-$H173)))</f>
        <v> </v>
      </c>
      <c r="S173" s="316" t="str">
        <f aca="false">IF($A173="N/A"," ",IF(Pricetype=2,MAX(J173-$H173,0),IF(Pricetype=1,(xSPRDOPT(J173,$E173,$CI173,0,($CD173+IF(Smile=TRUE(),VLOOKUP(MAX(-5,$H173-J173),Volsmile,2),0)),$CG173,$CH173,($A173-DateToday)+15,1,0)),J173-$H173)))</f>
        <v> </v>
      </c>
      <c r="T173" s="317" t="str">
        <f aca="false">IF($A173="N/A"," ",(IF(Pricetype=2,IF((K173-$H173)&lt;=0,0,(K173-$H173)),IF(K173&lt;&gt;0,(K173-$H173),0))))</f>
        <v> </v>
      </c>
      <c r="U173" s="316" t="str">
        <f aca="false">IF($A173="N/A"," ",IF(Pricetype=2,MAX(L173-$H173,0),IF(L173&lt;&gt;0,IF(Pricetype=1,(xSPRDOPT(L173,$E173,$CI173,0,($CD173+IF(Smile=TRUE(),VLOOKUP(MAX(-5,$H173-L173),Volsmile,2),0)),$CG173,$CH173,($A173-DateToday)+15,1,0)),L173-$H173),0)))</f>
        <v> </v>
      </c>
      <c r="V173" s="316" t="str">
        <f aca="false">IF($A173="N/A"," ",IF(Pricetype=2,MAX(M173-$H173,0),IF(M173&lt;&gt;0,IF(Pricetype=1,(xSPRDOPT(M173,$E173,$CI173,0,($CD173+IF(Smile=TRUE(),VLOOKUP(MAX(-5,$H173-M173),Volsmile,2),0)),$CG173,$CH173,($A173-DateToday)+15,1,0)),M173-$H173),0)))</f>
        <v> </v>
      </c>
      <c r="W173" s="317" t="str">
        <f aca="false">IF($A173="N/A"," ",(IF(Pricetype=2,IF((N173-$H173)&lt;=0,0,(N173-$H173)),IF(N173&lt;&gt;0,(N173-$H173),0))))</f>
        <v> </v>
      </c>
      <c r="X173" s="316" t="str">
        <f aca="false">IF($A173="N/A"," ",IF(Pricetype=2,MAX(O173-$H173,0),IF(O173&lt;&gt;0,IF(Pricetype=1,(xSPRDOPT(O173,$E173,$CI173,0,($CD173+IF(Smile=TRUE(),VLOOKUP(MAX(-5,$H173-O173),Volsmile,2),0)),$CG173,$CH173,($A173-DateToday)+15,1,0)),O173-$H173),0)))</f>
        <v> </v>
      </c>
      <c r="Y173" s="316" t="str">
        <f aca="false">IF($A173="N/A"," ",IF(Pricetype=2,MAX(P173-$H173,0),IF(P173&lt;&gt;0,IF(Pricetype=1,(xSPRDOPT(P173,$E173,$CI173,0,($CD173+IF(Smile=TRUE(),VLOOKUP(MAX(-5,$H173-P173),Volsmile,2),0)),$CG173,$CH173,($A173-DateToday)+15,1,0)),P173-$H173),0)))</f>
        <v> </v>
      </c>
      <c r="Z173" s="317" t="str">
        <f aca="false">IF($A173="N/A"," ",(IF(Pricetype=2,IF((Q173-$H173)&lt;=0,0,(Q173-$H173)),IF(Q173&lt;&gt;0,(Q173-$H173),0))))</f>
        <v> </v>
      </c>
      <c r="AA173" s="318" t="str">
        <f aca="false">IF($A173="N/A"," ",IF(VLOOKUP(MONTH(A173),ManualTable,2)=1,(IF(0&lt;&gt;R173,IF(Pricetype=1,(xSPRDOPT(I173,$E173,$CI173,0,($CD173+IF(Smile=TRUE(),VLOOKUP(MAX(-5,$H173-I173),Volsmile,2),0)),$CG173,$CH173,($A173-DateToday)+15,1,1))*(8*$HD173),8*$HD173),0)),0))</f>
        <v> </v>
      </c>
      <c r="AB173" s="318" t="str">
        <f aca="false">IF($A173="N/A"," ",IF(VLOOKUP(MONTH(A173),ManualTable,3)=1,(IF(S173&lt;&gt;0,IF(Pricetype=1,(xSPRDOPT(J173,$E173,$CI173,0,($CD173+IF(Smile=TRUE(),VLOOKUP(MAX(-5,$H173-J173),Volsmile,2),0)),$CG173,$CH173,($A173-DateToday)+15,1,1))*(8*$HD173),8*$HD173),0)),0))</f>
        <v> </v>
      </c>
      <c r="AC173" s="318" t="str">
        <f aca="false">IF($A173="N/A"," ",IF(VLOOKUP(MONTH(A173),ManualTable,4)=1,(IF(T173&lt;&gt;0,(8*$HD173),0)),0))</f>
        <v> </v>
      </c>
      <c r="AD173" s="318" t="str">
        <f aca="false">IF($A173="N/A"," ",IF(VLOOKUP(MONTH(A173),ManualTable,5)=1,(IF(U173&lt;&gt;0,IF(Pricetype=1,(xSPRDOPT(L173,$E173,$CI173,0,($CD173+IF(Smile=TRUE(),VLOOKUP(MAX(-5,$H173-L173),Volsmile,2),0)),$CG173,$CH173,($A173-DateToday)+15,1,1))*(8*$HE173),8*$HE173),0)),0))</f>
        <v> </v>
      </c>
      <c r="AE173" s="318" t="str">
        <f aca="false">IF($A173="N/A"," ",IF(VLOOKUP(MONTH(A173),ManualTable,6)=1,(IF(V173&lt;&gt;0,IF(Pricetype=1,(xSPRDOPT(M173,$E173,$CI173,0,($CD173+IF(Smile=TRUE(),VLOOKUP(MAX(-5,$H173-M173),Volsmile,2),0)),$CG173,$CH173,($A173-DateToday)+15,1,1))*(8*$HE173),8*$HE173),0)),0))</f>
        <v> </v>
      </c>
      <c r="AF173" s="318" t="str">
        <f aca="false">IF($A173="N/A"," ",IF(VLOOKUP(MONTH(A173),ManualTable,7)=1,(IF(W173&lt;&gt;0,(8*$HE173),0)),0))</f>
        <v> </v>
      </c>
      <c r="AG173" s="318" t="str">
        <f aca="false">IF($A173="N/A"," ",IF(VLOOKUP(MONTH(A173),ManualTable,8)=1,(IF(X173&lt;&gt;0,IF(Pricetype=1,(xSPRDOPT(O173,$E173,$CI173,0,($CD173+IF(Smile=TRUE(),VLOOKUP(MAX(-5,$H173-O173),Volsmile,2),0)),$CG173,$CH173,($A173-DateToday)+15,1,1))*(8*$HF173),8*$HF173),0)),0))</f>
        <v> </v>
      </c>
      <c r="AH173" s="318" t="str">
        <f aca="false">IF($A173="N/A"," ",IF(VLOOKUP(MONTH(A173),ManualTable,9)=1,(IF(Y173&lt;&gt;0,IF(Pricetype=1,(xSPRDOPT(P173,$E173,$CI173,0,($CD173+IF(Smile=TRUE(),VLOOKUP(MAX(-5,$H173-P173),Volsmile,2),0)),$CG173,$CH173,($A173-DateToday)+15,1,1))*(8*$HF173),8*$HF173),0)),0))</f>
        <v> </v>
      </c>
      <c r="AI173" s="318" t="str">
        <f aca="false">IF($A173="N/A"," ",IF(VLOOKUP(MONTH(A173),ManualTable,10)=1,(IF(Z173&lt;&gt;0,(8*($HF173)),0)),0))</f>
        <v> </v>
      </c>
      <c r="AJ173" s="344" t="str">
        <f aca="false">IF($A173="N/A"," ",RANK(R173,$R$172:$Z$183))</f>
        <v> </v>
      </c>
      <c r="AK173" s="321" t="str">
        <f aca="false">IF($A173="N/A"," ",RANK(S173,$R$172:$Z$183))</f>
        <v> </v>
      </c>
      <c r="AL173" s="321" t="str">
        <f aca="false">IF($A173="N/A"," ",RANK(T173,$R$172:$Z$183))</f>
        <v> </v>
      </c>
      <c r="AM173" s="321" t="str">
        <f aca="false">IF($A173="N/A"," ",RANK(U173,$R$172:$Z$183))</f>
        <v> </v>
      </c>
      <c r="AN173" s="321" t="str">
        <f aca="false">IF($A173="N/A"," ",RANK(V173,$R$172:$Z$183))</f>
        <v> </v>
      </c>
      <c r="AO173" s="321" t="str">
        <f aca="false">IF($A173="N/A"," ",RANK(W173,$R$172:$Z$183))</f>
        <v> </v>
      </c>
      <c r="AP173" s="321" t="str">
        <f aca="false">IF($A173="N/A"," ",RANK(X173,$R$172:$Z$183))</f>
        <v> </v>
      </c>
      <c r="AQ173" s="321" t="str">
        <f aca="false">IF($A173="N/A"," ",RANK(Y173,$R$172:$Z$183))</f>
        <v> </v>
      </c>
      <c r="AR173" s="345" t="str">
        <f aca="false">IF($A173="N/A"," ",RANK(Z173,$R$172:$Z$183))</f>
        <v> </v>
      </c>
      <c r="AS173" s="323" t="str">
        <f aca="false">IF($A173="N/A"," ",IF(AJ173&lt;=$AR$2,AA173,0))</f>
        <v> </v>
      </c>
      <c r="AT173" s="325" t="str">
        <f aca="false">IF($A173="N/A"," ",IF(AK173&lt;=$AR$2,AB173,0))</f>
        <v> </v>
      </c>
      <c r="AU173" s="325" t="str">
        <f aca="false">IF($A173="N/A"," ",IF(AL173&lt;=$AR$2,AC173,0))</f>
        <v> </v>
      </c>
      <c r="AV173" s="325" t="str">
        <f aca="false">IF($A173="N/A"," ",IF(AM173&lt;=$AR$2,AD173,0))</f>
        <v> </v>
      </c>
      <c r="AW173" s="325" t="str">
        <f aca="false">IF($A173="N/A"," ",IF(AN173&lt;=$AR$2,AE173,0))</f>
        <v> </v>
      </c>
      <c r="AX173" s="325" t="str">
        <f aca="false">IF($A173="N/A"," ",IF(AO173&lt;=$AR$2,AF173,0))</f>
        <v> </v>
      </c>
      <c r="AY173" s="325" t="str">
        <f aca="false">IF($A173="N/A"," ",IF(AP173&lt;=$AR$2,AG173,0))</f>
        <v> </v>
      </c>
      <c r="AZ173" s="325" t="str">
        <f aca="false">IF($A173="N/A"," ",IF(AQ173&lt;=$AR$2,AH173,0))</f>
        <v> </v>
      </c>
      <c r="BA173" s="325" t="str">
        <f aca="false">IF($A173="N/A"," ",IF(AR173&lt;=$AR$2,AI173,0))</f>
        <v> </v>
      </c>
      <c r="BB173" s="345"/>
      <c r="BC173" s="326" t="str">
        <f aca="false">IF($A173="N/A"," ",IF(AND(AJ173=$AR$2+1,AS173=0),MIN($BB$183,AA173),0))</f>
        <v> </v>
      </c>
      <c r="BD173" s="346" t="str">
        <f aca="false">IF($A173="N/A"," ",IF(AND(AK173=$AR$2+1,AT173=0),MIN($BB$183,AB173),0))</f>
        <v> </v>
      </c>
      <c r="BE173" s="346" t="str">
        <f aca="false">IF($A173="N/A"," ",IF(AND(AL173=$AR$2+1,AU173=0),MIN($BB$183,AC173),0))</f>
        <v> </v>
      </c>
      <c r="BF173" s="346" t="str">
        <f aca="false">IF($A173="N/A"," ",IF(AND(AM173=$AR$2+1,AV173=0),MIN($BB$183,AD173),0))</f>
        <v> </v>
      </c>
      <c r="BG173" s="346" t="str">
        <f aca="false">IF($A173="N/A"," ",IF(AND(AN173=$AR$2+1,AW173=0),MIN($BB$183,AE173),0))</f>
        <v> </v>
      </c>
      <c r="BH173" s="346" t="str">
        <f aca="false">IF($A173="N/A"," ",IF(AND(AO173=$AR$2+1,AX173=0),MIN($BB$183,AF173),0))</f>
        <v> </v>
      </c>
      <c r="BI173" s="346" t="str">
        <f aca="false">IF($A173="N/A"," ",IF(AND(AP173=$AR$2+1,AY173=0),MIN($BB$183,AG173),0))</f>
        <v> </v>
      </c>
      <c r="BJ173" s="346" t="str">
        <f aca="false">IF($A173="N/A"," ",IF(AND(AQ173=$AR$2+1,AZ173=0),MIN($BB$183,AH173),0))</f>
        <v> </v>
      </c>
      <c r="BK173" s="346" t="str">
        <f aca="false">IF($A173="N/A"," ",IF(AND(AR173=$AR$2+1,BA173=0),MIN($BB$183,AI173),0))</f>
        <v> </v>
      </c>
      <c r="BL173" s="345"/>
      <c r="BM173" s="329" t="str">
        <f aca="false">IF($A173="N/A"," ",(IF(MONTH(A173)&gt;=4,IF(MONTH(A173)&lt;=10,Inputs!$F$13-Inputs!$G$13,Inputs!$F$14-Inputs!$G$14),Inputs!$F$14-Inputs!$G$14))*$CK173*Availability)</f>
        <v> </v>
      </c>
      <c r="BN173" s="330" t="str">
        <f aca="false">IF($A173="N/A"," ",(IF(AS173&gt;0,($BM173*(8*($HD173))*R173),0)+IF(BC173&gt;0,($BM173*((BC173/AA173)*8*$HD173)*R173),0)))</f>
        <v> </v>
      </c>
      <c r="BO173" s="330" t="str">
        <f aca="false">IF($A173="N/A"," ",(IF(AT173&gt;0,($BM173*(8*($HD173))*S173),0)+IF(BD173&gt;0,($BM173*((BD173/AB173)*8*$HD173)*S173),0)))</f>
        <v> </v>
      </c>
      <c r="BP173" s="330" t="str">
        <f aca="false">IF($A173="N/A"," ",(IF(AU173&gt;0,($BM173*(8*($HD173))*T173),0)+IF(BE173&gt;0,($BM173*((BE173))*T173),0)))</f>
        <v> </v>
      </c>
      <c r="BQ173" s="330" t="str">
        <f aca="false">IF($A173="N/A"," ",(IF(AV173&gt;0,($BM173*(8*($HE173))*U173),0)+IF(BF173&gt;0,($BM173*((BF173/AD173)*8*$HE173)*U173),0)))</f>
        <v> </v>
      </c>
      <c r="BR173" s="330" t="str">
        <f aca="false">IF($A173="N/A"," ",(IF(AW173&gt;0,($BM173*(8*($HE173))*V173),0)+IF(BG173&gt;0,($BM173*((BG173/AE173)*8*$HE173)*V173),0)))</f>
        <v> </v>
      </c>
      <c r="BS173" s="330" t="str">
        <f aca="false">IF($A173="N/A"," ",(IF(AX173&gt;0,($BM173*(8*($HE173))*W173),0)+IF(BH173&gt;0,($BM173*((BH173))*W173),0)))</f>
        <v> </v>
      </c>
      <c r="BT173" s="330" t="str">
        <f aca="false">IF($A173="N/A"," ",(IF(AY173&gt;0,($BM173*(8*($HF173))*X173),0)+IF(BI173&gt;0,($BM173*((BI173/AG173)*8*$HF173)*X173),0)))</f>
        <v> </v>
      </c>
      <c r="BU173" s="330" t="str">
        <f aca="false">IF($A173="N/A"," ",(IF(AZ173&gt;0,($BM173*(8*($HF173))*Y173),0)+IF(BJ173&gt;0,($BM173*((BJ173/AH173)*8*$HF173)*Y173),0)))</f>
        <v> </v>
      </c>
      <c r="BV173" s="330" t="str">
        <f aca="false">IF($A173="N/A"," ",(IF(BA173&gt;0,($BM173*(8*($HF173))*Z173),0)+IF(BK173&gt;0,($BM173*((BK173))*Z173),0)))</f>
        <v> </v>
      </c>
      <c r="BW173" s="330" t="str">
        <f aca="false">IF($A173="N/A"," ",SUM(BN173:BV173))</f>
        <v> </v>
      </c>
      <c r="BX173" s="331" t="str">
        <f aca="false">IF($A173="N/A"," ",(H173*(SUM(AS173:BA173)+SUM(BC173:BK173))*BM173))</f>
        <v> </v>
      </c>
      <c r="BY173" s="332" t="str">
        <f aca="false">IF($A173="N/A"," ",((C173*D173)*(SUM($AS173:$BA173)+SUM($BC173:$BK173))*$BM173))</f>
        <v> </v>
      </c>
      <c r="BZ173" s="332" t="str">
        <f aca="false">IF($A173="N/A"," ",(F173*(SUM($AS173:$BA173)+SUM($BC173:$BK173))*$BM173))</f>
        <v> </v>
      </c>
      <c r="CA173" s="333" t="str">
        <f aca="false">IF($A173="N/A"," ",(G173*(SUM($AS173:$BA173)+SUM($BC173:$BK173))*$BM173))</f>
        <v> </v>
      </c>
      <c r="CB173" s="334" t="str">
        <f aca="false">IF(A173="N/A"," ",(VLOOKUP(A173,PowerVolTable,(IF(BMO=2,7,IF(BMO=1,6,8))),FALSE())))</f>
        <v> </v>
      </c>
      <c r="CC173" s="334" t="str">
        <f aca="false">IF(A173="N/A"," ",(VLOOKUP(A173,IntraPowerVol,(IF(BMO=2,3,IF(BMO=1,2,4))),FALSE())*VLOOKUP(MONTH($A173),Volscale,2)))</f>
        <v> </v>
      </c>
      <c r="CD173" s="335" t="str">
        <f aca="false">IF($A173="N/A"," ",(IF(DateToday&gt;$A173,$CC173,((($CB173^2)*((($A173-1)-DateToday)/((EOMONTH($A173,0)+1)-DateToday-15)))+((($CC173)^2)*((15)/((EOMONTH($A173,0)+1)-DateToday-15))))^0.5)))</f>
        <v> </v>
      </c>
      <c r="CE173" s="334" t="str">
        <f aca="false">IF($A173="N/A"," ",(VLOOKUP($A173,GasVolTable,(IF(BMO=2,6,IF(BMO=1,7,5))),FALSE())))</f>
        <v> </v>
      </c>
      <c r="CF173" s="334" t="str">
        <f aca="false">IF($A173="N/A"," ",(VLOOKUP($A173,OmicronVol,(IF(BMO=2,3,IF(BMO=1,4,2))),FALSE())))</f>
        <v> </v>
      </c>
      <c r="CG173" s="335" t="str">
        <f aca="false">IF($A173="N/A"," ",(IF(DateToday&gt;$A173,$CF173,((($CE173^2)*((($A173-1)-DateToday)/((EOMONTH($A173,0)+1)-DateToday-15)))+((($CF173)^2)*((15)/((EOMONTH($A173,0)+1)-DateToday-15))))^0.5)))</f>
        <v> </v>
      </c>
      <c r="CH173" s="334" t="str">
        <f aca="false">IF($A173="N/A"," ",VLOOKUP($A173,CorrelationTable,2,FALSE()))</f>
        <v> </v>
      </c>
      <c r="CI173" s="336" t="str">
        <f aca="false">IF($A173="N/A"," ",F173+G173+(D173*('Pricing Inputs'!T206)))</f>
        <v> </v>
      </c>
      <c r="CJ173" s="334" t="str">
        <f aca="false">IF($A173="N/A"," ",IF(PV=1,0,'Pricing Inputs'!U206))</f>
        <v> </v>
      </c>
      <c r="CK173" s="337" t="str">
        <f aca="false">IF($A173="N/A"," ",(1+CJ173/2)^(-2*((EOMONTH(A173,0)+20)-DateToday)/365.25))</f>
        <v> </v>
      </c>
      <c r="CL173" s="338" t="str">
        <f aca="false">IF(A173="N/A"," ",IF(CC=2,(VLOOKUP(MONTH($A173),Hrtable,3))/1000,0))</f>
        <v> </v>
      </c>
      <c r="CM173" s="339" t="str">
        <f aca="false">IF(A173="N/A"," ",IF(CC=2,(CL173*C173)+F173,0))</f>
        <v> </v>
      </c>
      <c r="CN173" s="340" t="str">
        <f aca="false">IF($A173="N/A"," ",IF(CC=2,(VLOOKUP(A173,ScaledPrice,(IF(AND(Dayrun&gt;=1,Dayrun&lt;=6),2,4)))-((IF(R173&lt;&gt;0,$D173,$CL173)*$C173)+$F173+$G173)),0))</f>
        <v> </v>
      </c>
      <c r="CO173" s="340" t="str">
        <f aca="false">IF($A173="N/A"," ",IF(CC=2,(IF(AND(Dayrun&gt;=1,Dayrun&lt;=6),I173,(VLOOKUP(A173,ScaledPrice,2))*(2-(VLOOKUP(A173,ScaledPrice,3))))-((IF(S173&lt;&gt;0,$D173,$CL173)*$C173)+$F173+$G173)),0))</f>
        <v> </v>
      </c>
      <c r="CP173" s="340" t="str">
        <f aca="false">IF(A173="N/A"," ",IF(CC=2,(VLOOKUP(A173,ScaledPrice,9)-((IF(T173&lt;&gt;0,$D173,$CL173)*$C173)+$F173+$G173)),0))</f>
        <v> </v>
      </c>
      <c r="CQ173" s="340" t="str">
        <f aca="false">IF(A173="N/A"," ",IF(CC=2,(IF(OR(Dayrun=2,Dayrun=3,Dayrun=5,Dayrun=6,Dayrun=8,Dayrun=9),VLOOKUP(A173,ScaledPrice,IF(AND(Dayrun&gt;=2,Dayrun&lt;=6),5,6)),0)-((IF(U173&lt;&gt;0,$D173,$CL173)*$C173)+$F173+$G173)),0))</f>
        <v> </v>
      </c>
      <c r="CR173" s="340" t="str">
        <f aca="false">IF(A173="N/A"," ",IF(CC=2,(IF(OR(Dayrun=2,Dayrun=3,Dayrun=5,Dayrun=6,Dayrun=8,Dayrun=9),IF(AND(Dayrun&gt;=2,Dayrun&lt;=6),L173,(VLOOKUP(A173,ScaledPrice,5))*(2-(VLOOKUP(A173,ScaledPrice,3)))),0)-((IF(V173&lt;&gt;0,$D173,$CL173)*$C173)+$F173+$G173)),0))</f>
        <v> </v>
      </c>
      <c r="CS173" s="340" t="str">
        <f aca="false">IF(A173="N/A"," ",IF(CC=2,(VLOOKUP(A173,ScaledPrice,9)-((IF(W173&lt;&gt;0,$D173,$CL173)*$C173)+$F173+$G173)),0))</f>
        <v> </v>
      </c>
      <c r="CT173" s="340" t="str">
        <f aca="false">IF(A173="N/A"," ",IF(CC=2,(IF(OR(Dayrun=3,Dayrun=6,Dayrun=9),(VLOOKUP(A173,ScaledPrice,IF(AND(Dayrun&gt;=3,Dayrun&lt;=6),7,8))),0)-((IF(X173&lt;&gt;0,$D173,$CL173)*$C173)+$F173+$G173)),0))</f>
        <v> </v>
      </c>
      <c r="CU173" s="340" t="str">
        <f aca="false">IF(A173="N/A"," ",IF(CC=2,(IF(OR(Dayrun=3,Dayrun=6,Dayrun=9),IF(AND(Dayrun&gt;=3,Dayrun&lt;=6),O173,(VLOOKUP(A173,ScaledPrice,7))*(2-(VLOOKUP(A173,ScaledPrice,3)))),0)-((IF(Y173&lt;&gt;0,$D173,$CL173)*$C173)+$F173+$G173)),0))</f>
        <v> </v>
      </c>
      <c r="CV173" s="340" t="str">
        <f aca="false">IF(A173="N/A"," ",IF(CC=2,(VLOOKUP(A173,ScaledPrice,9)-((IF(Z173&lt;&gt;0,$D173,$CL173)*$C173)+$F173+$G173)),0))</f>
        <v> </v>
      </c>
      <c r="CW173" s="318" t="str">
        <f aca="false">IF($A173="N/A"," ",IF(0&lt;&gt;CN173,IF(CC=2,8*$HD173,0),0))</f>
        <v> </v>
      </c>
      <c r="CX173" s="318" t="str">
        <f aca="false">IF($A173="N/A"," ",IF(0&lt;&gt;CO173,IF(CC=2,8*$HD173,0),0))</f>
        <v> </v>
      </c>
      <c r="CY173" s="318" t="str">
        <f aca="false">IF($A173="N/A"," ",IF(0&lt;&gt;CP173,IF(CC=2,8*$HD173,0),0))</f>
        <v> </v>
      </c>
      <c r="CZ173" s="318" t="str">
        <f aca="false">IF($A173="N/A"," ",IF(0&lt;&gt;CQ173,IF(CC=2,8*$HE173,0),0))</f>
        <v> </v>
      </c>
      <c r="DA173" s="318" t="str">
        <f aca="false">IF($A173="N/A"," ",IF(0&lt;&gt;CR173,IF(CC=2,8*$HE173,0),0))</f>
        <v> </v>
      </c>
      <c r="DB173" s="318" t="str">
        <f aca="false">IF($A173="N/A"," ",IF(0&lt;&gt;CS173,IF(CC=2,8*$HE173,0),0))</f>
        <v> </v>
      </c>
      <c r="DC173" s="318" t="str">
        <f aca="false">IF($A173="N/A"," ",IF(0&lt;&gt;CT173,IF(CC=2,8*$HF173,0),0))</f>
        <v> </v>
      </c>
      <c r="DD173" s="318" t="str">
        <f aca="false">IF($A173="N/A"," ",IF(0&lt;&gt;CU173,IF(CC=2,8*$HF173,0),0))</f>
        <v> </v>
      </c>
      <c r="DE173" s="318" t="str">
        <f aca="false">IF($A173="N/A"," ",IF(0&lt;&gt;CV173,IF(CC=2,8*$HF173,0),0))</f>
        <v> </v>
      </c>
      <c r="DF173" s="341" t="str">
        <f aca="false">IF($A173="N/A"," ",IF(CC=2,(IF(MONTH(A173)&gt;=4,IF(MONTH(A173)&lt;=10,Inputs!$G$13,Inputs!$G$14),Inputs!$G$14))*$CK173,0))</f>
        <v> </v>
      </c>
      <c r="DG173" s="342" t="str">
        <f aca="false">IF($A173="N/A"," ",IF(CC=2,$DF173*CW173*CN173,0))</f>
        <v> </v>
      </c>
      <c r="DH173" s="342" t="str">
        <f aca="false">IF($A173="N/A"," ",IF(CC=2,$DF173*CX173*CO173,0))</f>
        <v> </v>
      </c>
      <c r="DI173" s="342" t="str">
        <f aca="false">IF($A173="N/A"," ",IF(CC=2,$DF173*CY173*CP173,0))</f>
        <v> </v>
      </c>
      <c r="DJ173" s="342" t="str">
        <f aca="false">IF($A173="N/A"," ",IF(CC=2,$DF173*CZ173*CQ173,0))</f>
        <v> </v>
      </c>
      <c r="DK173" s="342" t="str">
        <f aca="false">IF($A173="N/A"," ",IF(CC=2,$DF173*DA173*CR173,0))</f>
        <v> </v>
      </c>
      <c r="DL173" s="342" t="str">
        <f aca="false">IF($A173="N/A"," ",IF(CC=2,$DF173*DB173*CS173,0))</f>
        <v> </v>
      </c>
      <c r="DM173" s="342" t="str">
        <f aca="false">IF($A173="N/A"," ",IF(CC=2,$DF173*DC173*CT173,0))</f>
        <v> </v>
      </c>
      <c r="DN173" s="342" t="str">
        <f aca="false">IF($A173="N/A"," ",IF(CC=2,$DF173*DD173*CU173,0))</f>
        <v> </v>
      </c>
      <c r="DO173" s="342" t="str">
        <f aca="false">IF($A173="N/A"," ",IF(CC=2,$DF173*DE173*CV173,0))</f>
        <v> </v>
      </c>
      <c r="DP173" s="343" t="str">
        <f aca="false">IF($A173="N/A"," ",IF(CC=2,SUM(DG173:DO173),0))</f>
        <v> </v>
      </c>
      <c r="DQ173" s="0" t="str">
        <f aca="false">IF(A173="N/A"," ",Perstart)</f>
        <v> </v>
      </c>
      <c r="HD173" s="0" t="str">
        <f aca="false">IF($A173="N/A"," ",VLOOKUP($A173,NumberofDaysTable,2))</f>
        <v> </v>
      </c>
      <c r="HE173" s="0" t="str">
        <f aca="false">IF($A173="N/A"," ",VLOOKUP($A173,NumberofDaysTable,3))</f>
        <v> </v>
      </c>
      <c r="HF173" s="0" t="str">
        <f aca="false">IF($A173="N/A"," ",VLOOKUP($A173,NumberofDaysTable,4))</f>
        <v> </v>
      </c>
    </row>
    <row r="174" customFormat="false" ht="12.75" hidden="false" customHeight="false" outlineLevel="0" collapsed="false">
      <c r="A174" s="308" t="str">
        <f aca="false">IF(A173="N/A","N/A",IF(EDATE(A173,1)&gt;Inputs!$K$3,"N/A",EDATE(A173,1)))</f>
        <v>N/A</v>
      </c>
      <c r="B174" s="309" t="str">
        <f aca="false">IF(A174="N/A"," ",YEAR(A174))</f>
        <v> </v>
      </c>
      <c r="C174" s="310" t="str">
        <f aca="false">IF(A174="N/A"," ",VLOOKUP(A174,ScaledPrice,10))</f>
        <v> </v>
      </c>
      <c r="D174" s="311" t="str">
        <f aca="false">IF(A174="N/A"," ",(VLOOKUP(MONTH($A174),Hrtable,2))/1000)</f>
        <v> </v>
      </c>
      <c r="E174" s="312" t="str">
        <f aca="false">IF($A174="N/A"," ",(C174-'Pricing Inputs'!T207)*D174)</f>
        <v> </v>
      </c>
      <c r="F174" s="313" t="str">
        <f aca="false">IF(A174="N/A"," ",$F162*(1+VOMesc))</f>
        <v> </v>
      </c>
      <c r="G174" s="313" t="str">
        <f aca="false">IF(A174="N/A"," ",Perstart/IF(AND(Dayrun&gt;=4,Dayrun&lt;=6),16,IF(AND(Dayrun&gt;=7,Dayrun&lt;=9),8,24))/(BM174/CK174))</f>
        <v> </v>
      </c>
      <c r="H174" s="314" t="str">
        <f aca="false">IF(A174="N/A"," ",(C174*D174)+F174+G174)</f>
        <v> </v>
      </c>
      <c r="I174" s="315" t="str">
        <f aca="false">VLOOKUP(A174,ScaledPrice,(IF(AND(Dayrun&gt;=1,Dayrun&lt;=6),2,4)))</f>
        <v> </v>
      </c>
      <c r="J174" s="315" t="str">
        <f aca="false">IF(A174="N/A"," ",IF(AND(Dayrun&gt;=1,Dayrun&lt;=6),I174,(VLOOKUP(A174,ScaledPrice,2))*(2-(VLOOKUP(A174,ScaledPrice,3)))))</f>
        <v> </v>
      </c>
      <c r="K174" s="315" t="str">
        <f aca="false">IF(A174="N/A"," ",IF(AND(Dayrun&gt;=1,Dayrun&lt;=3),VLOOKUP(A174,ScaledPrice,9),0))</f>
        <v> </v>
      </c>
      <c r="L174" s="315" t="str">
        <f aca="false">IF(A174="N/A"," ",IF(OR(Dayrun=2,Dayrun=3,Dayrun=5,Dayrun=6,Dayrun=8,Dayrun=9),VLOOKUP(A174,ScaledPrice,IF(AND(Dayrun&gt;=2,Dayrun&lt;=6),5,6)),0))</f>
        <v> </v>
      </c>
      <c r="M174" s="315" t="str">
        <f aca="false">IF(A174="N/A"," ",IF(OR(Dayrun=2,Dayrun=3,Dayrun=5,Dayrun=6,Dayrun=8,Dayrun=9),IF(AND(Dayrun&gt;=2,Dayrun&lt;=6),L174,(VLOOKUP(A174,ScaledPrice,5))*(2-(VLOOKUP(A174,ScaledPrice,3)))),0))</f>
        <v> </v>
      </c>
      <c r="N174" s="315" t="str">
        <f aca="false">IF(A174="N/A"," ",IF(AND(Dayrun&gt;1,Dayrun&lt;=3),VLOOKUP(A174,ScaledPrice,9),0))</f>
        <v> </v>
      </c>
      <c r="O174" s="315" t="str">
        <f aca="false">IF(A174="N/A"," ",IF(OR(Dayrun=3,Dayrun=6,Dayrun=9),(VLOOKUP(A174,ScaledPrice,IF(AND(Dayrun&gt;=3,Dayrun&lt;=6),7,8))),0))</f>
        <v> </v>
      </c>
      <c r="P174" s="315" t="str">
        <f aca="false">IF(A174="N/A"," ",IF(OR(Dayrun=3,Dayrun=6,Dayrun=9),IF(AND(Dayrun&gt;=3,Dayrun&lt;=6),O174,(VLOOKUP(A174,ScaledPrice,7))*(2-(VLOOKUP(A174,ScaledPrice,3)))),0))</f>
        <v> </v>
      </c>
      <c r="Q174" s="315" t="str">
        <f aca="false">IF(A174="N/A"," ",IF(AND(Dayrun&gt;2,Dayrun&lt;=3),VLOOKUP(A174,ScaledPrice,9),0))</f>
        <v> </v>
      </c>
      <c r="R174" s="316" t="str">
        <f aca="false">IF($A174="N/A"," ",IF(Pricetype=2,MAX(I174-$H174,0),IF(Pricetype=1,(xSPRDOPT(I174,$E174,$CI174,0,($CD174+IF(Smile=TRUE(),VLOOKUP(MAX(-5,$H174-I174),Volsmile,2),0)),$CG174,$CH174,($A174-DateToday)+15,1,0)),I174-$H174)))</f>
        <v> </v>
      </c>
      <c r="S174" s="316" t="str">
        <f aca="false">IF($A174="N/A"," ",IF(Pricetype=2,MAX(J174-$H174,0),IF(Pricetype=1,(xSPRDOPT(J174,$E174,$CI174,0,($CD174+IF(Smile=TRUE(),VLOOKUP(MAX(-5,$H174-J174),Volsmile,2),0)),$CG174,$CH174,($A174-DateToday)+15,1,0)),J174-$H174)))</f>
        <v> </v>
      </c>
      <c r="T174" s="317" t="str">
        <f aca="false">IF($A174="N/A"," ",(IF(Pricetype=2,IF((K174-$H174)&lt;=0,0,(K174-$H174)),IF(K174&lt;&gt;0,(K174-$H174),0))))</f>
        <v> </v>
      </c>
      <c r="U174" s="316" t="str">
        <f aca="false">IF($A174="N/A"," ",IF(Pricetype=2,MAX(L174-$H174,0),IF(L174&lt;&gt;0,IF(Pricetype=1,(xSPRDOPT(L174,$E174,$CI174,0,($CD174+IF(Smile=TRUE(),VLOOKUP(MAX(-5,$H174-L174),Volsmile,2),0)),$CG174,$CH174,($A174-DateToday)+15,1,0)),L174-$H174),0)))</f>
        <v> </v>
      </c>
      <c r="V174" s="316" t="str">
        <f aca="false">IF($A174="N/A"," ",IF(Pricetype=2,MAX(M174-$H174,0),IF(M174&lt;&gt;0,IF(Pricetype=1,(xSPRDOPT(M174,$E174,$CI174,0,($CD174+IF(Smile=TRUE(),VLOOKUP(MAX(-5,$H174-M174),Volsmile,2),0)),$CG174,$CH174,($A174-DateToday)+15,1,0)),M174-$H174),0)))</f>
        <v> </v>
      </c>
      <c r="W174" s="317" t="str">
        <f aca="false">IF($A174="N/A"," ",(IF(Pricetype=2,IF((N174-$H174)&lt;=0,0,(N174-$H174)),IF(N174&lt;&gt;0,(N174-$H174),0))))</f>
        <v> </v>
      </c>
      <c r="X174" s="316" t="str">
        <f aca="false">IF($A174="N/A"," ",IF(Pricetype=2,MAX(O174-$H174,0),IF(O174&lt;&gt;0,IF(Pricetype=1,(xSPRDOPT(O174,$E174,$CI174,0,($CD174+IF(Smile=TRUE(),VLOOKUP(MAX(-5,$H174-O174),Volsmile,2),0)),$CG174,$CH174,($A174-DateToday)+15,1,0)),O174-$H174),0)))</f>
        <v> </v>
      </c>
      <c r="Y174" s="316" t="str">
        <f aca="false">IF($A174="N/A"," ",IF(Pricetype=2,MAX(P174-$H174,0),IF(P174&lt;&gt;0,IF(Pricetype=1,(xSPRDOPT(P174,$E174,$CI174,0,($CD174+IF(Smile=TRUE(),VLOOKUP(MAX(-5,$H174-P174),Volsmile,2),0)),$CG174,$CH174,($A174-DateToday)+15,1,0)),P174-$H174),0)))</f>
        <v> </v>
      </c>
      <c r="Z174" s="317" t="str">
        <f aca="false">IF($A174="N/A"," ",(IF(Pricetype=2,IF((Q174-$H174)&lt;=0,0,(Q174-$H174)),IF(Q174&lt;&gt;0,(Q174-$H174),0))))</f>
        <v> </v>
      </c>
      <c r="AA174" s="318" t="str">
        <f aca="false">IF($A174="N/A"," ",IF(VLOOKUP(MONTH(A174),ManualTable,2)=1,(IF(0&lt;&gt;R174,IF(Pricetype=1,(xSPRDOPT(I174,$E174,$CI174,0,($CD174+IF(Smile=TRUE(),VLOOKUP(MAX(-5,$H174-I174),Volsmile,2),0)),$CG174,$CH174,($A174-DateToday)+15,1,1))*(8*$HD174),8*$HD174),0)),0))</f>
        <v> </v>
      </c>
      <c r="AB174" s="318" t="str">
        <f aca="false">IF($A174="N/A"," ",IF(VLOOKUP(MONTH(A174),ManualTable,3)=1,(IF(S174&lt;&gt;0,IF(Pricetype=1,(xSPRDOPT(J174,$E174,$CI174,0,($CD174+IF(Smile=TRUE(),VLOOKUP(MAX(-5,$H174-J174),Volsmile,2),0)),$CG174,$CH174,($A174-DateToday)+15,1,1))*(8*$HD174),8*$HD174),0)),0))</f>
        <v> </v>
      </c>
      <c r="AC174" s="318" t="str">
        <f aca="false">IF($A174="N/A"," ",IF(VLOOKUP(MONTH(A174),ManualTable,4)=1,(IF(T174&lt;&gt;0,(8*$HD174),0)),0))</f>
        <v> </v>
      </c>
      <c r="AD174" s="318" t="str">
        <f aca="false">IF($A174="N/A"," ",IF(VLOOKUP(MONTH(A174),ManualTable,5)=1,(IF(U174&lt;&gt;0,IF(Pricetype=1,(xSPRDOPT(L174,$E174,$CI174,0,($CD174+IF(Smile=TRUE(),VLOOKUP(MAX(-5,$H174-L174),Volsmile,2),0)),$CG174,$CH174,($A174-DateToday)+15,1,1))*(8*$HE174),8*$HE174),0)),0))</f>
        <v> </v>
      </c>
      <c r="AE174" s="318" t="str">
        <f aca="false">IF($A174="N/A"," ",IF(VLOOKUP(MONTH(A174),ManualTable,6)=1,(IF(V174&lt;&gt;0,IF(Pricetype=1,(xSPRDOPT(M174,$E174,$CI174,0,($CD174+IF(Smile=TRUE(),VLOOKUP(MAX(-5,$H174-M174),Volsmile,2),0)),$CG174,$CH174,($A174-DateToday)+15,1,1))*(8*$HE174),8*$HE174),0)),0))</f>
        <v> </v>
      </c>
      <c r="AF174" s="318" t="str">
        <f aca="false">IF($A174="N/A"," ",IF(VLOOKUP(MONTH(A174),ManualTable,7)=1,(IF(W174&lt;&gt;0,(8*$HE174),0)),0))</f>
        <v> </v>
      </c>
      <c r="AG174" s="318" t="str">
        <f aca="false">IF($A174="N/A"," ",IF(VLOOKUP(MONTH(A174),ManualTable,8)=1,(IF(X174&lt;&gt;0,IF(Pricetype=1,(xSPRDOPT(O174,$E174,$CI174,0,($CD174+IF(Smile=TRUE(),VLOOKUP(MAX(-5,$H174-O174),Volsmile,2),0)),$CG174,$CH174,($A174-DateToday)+15,1,1))*(8*$HF174),8*$HF174),0)),0))</f>
        <v> </v>
      </c>
      <c r="AH174" s="318" t="str">
        <f aca="false">IF($A174="N/A"," ",IF(VLOOKUP(MONTH(A174),ManualTable,9)=1,(IF(Y174&lt;&gt;0,IF(Pricetype=1,(xSPRDOPT(P174,$E174,$CI174,0,($CD174+IF(Smile=TRUE(),VLOOKUP(MAX(-5,$H174-P174),Volsmile,2),0)),$CG174,$CH174,($A174-DateToday)+15,1,1))*(8*$HF174),8*$HF174),0)),0))</f>
        <v> </v>
      </c>
      <c r="AI174" s="318" t="str">
        <f aca="false">IF($A174="N/A"," ",IF(VLOOKUP(MONTH(A174),ManualTable,10)=1,(IF(Z174&lt;&gt;0,(8*($HF174)),0)),0))</f>
        <v> </v>
      </c>
      <c r="AJ174" s="344" t="str">
        <f aca="false">IF($A174="N/A"," ",RANK(R174,$R$172:$Z$183))</f>
        <v> </v>
      </c>
      <c r="AK174" s="321" t="str">
        <f aca="false">IF($A174="N/A"," ",RANK(S174,$R$172:$Z$183))</f>
        <v> </v>
      </c>
      <c r="AL174" s="321" t="str">
        <f aca="false">IF($A174="N/A"," ",RANK(T174,$R$172:$Z$183))</f>
        <v> </v>
      </c>
      <c r="AM174" s="321" t="str">
        <f aca="false">IF($A174="N/A"," ",RANK(U174,$R$172:$Z$183))</f>
        <v> </v>
      </c>
      <c r="AN174" s="321" t="str">
        <f aca="false">IF($A174="N/A"," ",RANK(V174,$R$172:$Z$183))</f>
        <v> </v>
      </c>
      <c r="AO174" s="321" t="str">
        <f aca="false">IF($A174="N/A"," ",RANK(W174,$R$172:$Z$183))</f>
        <v> </v>
      </c>
      <c r="AP174" s="321" t="str">
        <f aca="false">IF($A174="N/A"," ",RANK(X174,$R$172:$Z$183))</f>
        <v> </v>
      </c>
      <c r="AQ174" s="321" t="str">
        <f aca="false">IF($A174="N/A"," ",RANK(Y174,$R$172:$Z$183))</f>
        <v> </v>
      </c>
      <c r="AR174" s="345" t="str">
        <f aca="false">IF($A174="N/A"," ",RANK(Z174,$R$172:$Z$183))</f>
        <v> </v>
      </c>
      <c r="AS174" s="323" t="str">
        <f aca="false">IF($A174="N/A"," ",IF(AJ174&lt;=$AR$2,AA174,0))</f>
        <v> </v>
      </c>
      <c r="AT174" s="325" t="str">
        <f aca="false">IF($A174="N/A"," ",IF(AK174&lt;=$AR$2,AB174,0))</f>
        <v> </v>
      </c>
      <c r="AU174" s="325" t="str">
        <f aca="false">IF($A174="N/A"," ",IF(AL174&lt;=$AR$2,AC174,0))</f>
        <v> </v>
      </c>
      <c r="AV174" s="325" t="str">
        <f aca="false">IF($A174="N/A"," ",IF(AM174&lt;=$AR$2,AD174,0))</f>
        <v> </v>
      </c>
      <c r="AW174" s="325" t="str">
        <f aca="false">IF($A174="N/A"," ",IF(AN174&lt;=$AR$2,AE174,0))</f>
        <v> </v>
      </c>
      <c r="AX174" s="325" t="str">
        <f aca="false">IF($A174="N/A"," ",IF(AO174&lt;=$AR$2,AF174,0))</f>
        <v> </v>
      </c>
      <c r="AY174" s="325" t="str">
        <f aca="false">IF($A174="N/A"," ",IF(AP174&lt;=$AR$2,AG174,0))</f>
        <v> </v>
      </c>
      <c r="AZ174" s="325" t="str">
        <f aca="false">IF($A174="N/A"," ",IF(AQ174&lt;=$AR$2,AH174,0))</f>
        <v> </v>
      </c>
      <c r="BA174" s="325" t="str">
        <f aca="false">IF($A174="N/A"," ",IF(AR174&lt;=$AR$2,AI174,0))</f>
        <v> </v>
      </c>
      <c r="BB174" s="345"/>
      <c r="BC174" s="326" t="str">
        <f aca="false">IF($A174="N/A"," ",IF(AND(AJ174=$AR$2+1,AS174=0),MIN($BB$183,AA174),0))</f>
        <v> </v>
      </c>
      <c r="BD174" s="346" t="str">
        <f aca="false">IF($A174="N/A"," ",IF(AND(AK174=$AR$2+1,AT174=0),MIN($BB$183,AB174),0))</f>
        <v> </v>
      </c>
      <c r="BE174" s="346" t="str">
        <f aca="false">IF($A174="N/A"," ",IF(AND(AL174=$AR$2+1,AU174=0),MIN($BB$183,AC174),0))</f>
        <v> </v>
      </c>
      <c r="BF174" s="346" t="str">
        <f aca="false">IF($A174="N/A"," ",IF(AND(AM174=$AR$2+1,AV174=0),MIN($BB$183,AD174),0))</f>
        <v> </v>
      </c>
      <c r="BG174" s="346" t="str">
        <f aca="false">IF($A174="N/A"," ",IF(AND(AN174=$AR$2+1,AW174=0),MIN($BB$183,AE174),0))</f>
        <v> </v>
      </c>
      <c r="BH174" s="346" t="str">
        <f aca="false">IF($A174="N/A"," ",IF(AND(AO174=$AR$2+1,AX174=0),MIN($BB$183,AF174),0))</f>
        <v> </v>
      </c>
      <c r="BI174" s="346" t="str">
        <f aca="false">IF($A174="N/A"," ",IF(AND(AP174=$AR$2+1,AY174=0),MIN($BB$183,AG174),0))</f>
        <v> </v>
      </c>
      <c r="BJ174" s="346" t="str">
        <f aca="false">IF($A174="N/A"," ",IF(AND(AQ174=$AR$2+1,AZ174=0),MIN($BB$183,AH174),0))</f>
        <v> </v>
      </c>
      <c r="BK174" s="346" t="str">
        <f aca="false">IF($A174="N/A"," ",IF(AND(AR174=$AR$2+1,BA174=0),MIN($BB$183,AI174),0))</f>
        <v> </v>
      </c>
      <c r="BL174" s="345"/>
      <c r="BM174" s="329" t="str">
        <f aca="false">IF($A174="N/A"," ",(IF(MONTH(A174)&gt;=4,IF(MONTH(A174)&lt;=10,Inputs!$F$13-Inputs!$G$13,Inputs!$F$14-Inputs!$G$14),Inputs!$F$14-Inputs!$G$14))*$CK174*Availability)</f>
        <v> </v>
      </c>
      <c r="BN174" s="330" t="str">
        <f aca="false">IF($A174="N/A"," ",(IF(AS174&gt;0,($BM174*(8*($HD174))*R174),0)+IF(BC174&gt;0,($BM174*((BC174/AA174)*8*$HD174)*R174),0)))</f>
        <v> </v>
      </c>
      <c r="BO174" s="330" t="str">
        <f aca="false">IF($A174="N/A"," ",(IF(AT174&gt;0,($BM174*(8*($HD174))*S174),0)+IF(BD174&gt;0,($BM174*((BD174/AB174)*8*$HD174)*S174),0)))</f>
        <v> </v>
      </c>
      <c r="BP174" s="330" t="str">
        <f aca="false">IF($A174="N/A"," ",(IF(AU174&gt;0,($BM174*(8*($HD174))*T174),0)+IF(BE174&gt;0,($BM174*((BE174))*T174),0)))</f>
        <v> </v>
      </c>
      <c r="BQ174" s="330" t="str">
        <f aca="false">IF($A174="N/A"," ",(IF(AV174&gt;0,($BM174*(8*($HE174))*U174),0)+IF(BF174&gt;0,($BM174*((BF174/AD174)*8*$HE174)*U174),0)))</f>
        <v> </v>
      </c>
      <c r="BR174" s="330" t="str">
        <f aca="false">IF($A174="N/A"," ",(IF(AW174&gt;0,($BM174*(8*($HE174))*V174),0)+IF(BG174&gt;0,($BM174*((BG174/AE174)*8*$HE174)*V174),0)))</f>
        <v> </v>
      </c>
      <c r="BS174" s="330" t="str">
        <f aca="false">IF($A174="N/A"," ",(IF(AX174&gt;0,($BM174*(8*($HE174))*W174),0)+IF(BH174&gt;0,($BM174*((BH174))*W174),0)))</f>
        <v> </v>
      </c>
      <c r="BT174" s="330" t="str">
        <f aca="false">IF($A174="N/A"," ",(IF(AY174&gt;0,($BM174*(8*($HF174))*X174),0)+IF(BI174&gt;0,($BM174*((BI174/AG174)*8*$HF174)*X174),0)))</f>
        <v> </v>
      </c>
      <c r="BU174" s="330" t="str">
        <f aca="false">IF($A174="N/A"," ",(IF(AZ174&gt;0,($BM174*(8*($HF174))*Y174),0)+IF(BJ174&gt;0,($BM174*((BJ174/AH174)*8*$HF174)*Y174),0)))</f>
        <v> </v>
      </c>
      <c r="BV174" s="330" t="str">
        <f aca="false">IF($A174="N/A"," ",(IF(BA174&gt;0,($BM174*(8*($HF174))*Z174),0)+IF(BK174&gt;0,($BM174*((BK174))*Z174),0)))</f>
        <v> </v>
      </c>
      <c r="BW174" s="330" t="str">
        <f aca="false">IF($A174="N/A"," ",SUM(BN174:BV174))</f>
        <v> </v>
      </c>
      <c r="BX174" s="331" t="str">
        <f aca="false">IF($A174="N/A"," ",(H174*(SUM(AS174:BA174)+SUM(BC174:BK174))*BM174))</f>
        <v> </v>
      </c>
      <c r="BY174" s="332" t="str">
        <f aca="false">IF($A174="N/A"," ",((C174*D174)*(SUM($AS174:$BA174)+SUM($BC174:$BK174))*$BM174))</f>
        <v> </v>
      </c>
      <c r="BZ174" s="332" t="str">
        <f aca="false">IF($A174="N/A"," ",(F174*(SUM($AS174:$BA174)+SUM($BC174:$BK174))*$BM174))</f>
        <v> </v>
      </c>
      <c r="CA174" s="333" t="str">
        <f aca="false">IF($A174="N/A"," ",(G174*(SUM($AS174:$BA174)+SUM($BC174:$BK174))*$BM174))</f>
        <v> </v>
      </c>
      <c r="CB174" s="334" t="str">
        <f aca="false">IF(A174="N/A"," ",(VLOOKUP(A174,PowerVolTable,(IF(BMO=2,7,IF(BMO=1,6,8))),FALSE())))</f>
        <v> </v>
      </c>
      <c r="CC174" s="334" t="str">
        <f aca="false">IF(A174="N/A"," ",(VLOOKUP(A174,IntraPowerVol,(IF(BMO=2,3,IF(BMO=1,2,4))),FALSE())*VLOOKUP(MONTH($A174),Volscale,2)))</f>
        <v> </v>
      </c>
      <c r="CD174" s="335" t="str">
        <f aca="false">IF($A174="N/A"," ",(IF(DateToday&gt;$A174,$CC174,((($CB174^2)*((($A174-1)-DateToday)/((EOMONTH($A174,0)+1)-DateToday-15)))+((($CC174)^2)*((15)/((EOMONTH($A174,0)+1)-DateToday-15))))^0.5)))</f>
        <v> </v>
      </c>
      <c r="CE174" s="334" t="str">
        <f aca="false">IF($A174="N/A"," ",(VLOOKUP($A174,GasVolTable,(IF(BMO=2,6,IF(BMO=1,7,5))),FALSE())))</f>
        <v> </v>
      </c>
      <c r="CF174" s="334" t="str">
        <f aca="false">IF($A174="N/A"," ",(VLOOKUP($A174,OmicronVol,(IF(BMO=2,3,IF(BMO=1,4,2))),FALSE())))</f>
        <v> </v>
      </c>
      <c r="CG174" s="335" t="str">
        <f aca="false">IF($A174="N/A"," ",(IF(DateToday&gt;$A174,$CF174,((($CE174^2)*((($A174-1)-DateToday)/((EOMONTH($A174,0)+1)-DateToday-15)))+((($CF174)^2)*((15)/((EOMONTH($A174,0)+1)-DateToday-15))))^0.5)))</f>
        <v> </v>
      </c>
      <c r="CH174" s="334" t="str">
        <f aca="false">IF($A174="N/A"," ",VLOOKUP($A174,CorrelationTable,2,FALSE()))</f>
        <v> </v>
      </c>
      <c r="CI174" s="336" t="str">
        <f aca="false">IF($A174="N/A"," ",F174+G174+(D174*('Pricing Inputs'!T207)))</f>
        <v> </v>
      </c>
      <c r="CJ174" s="334" t="str">
        <f aca="false">IF($A174="N/A"," ",IF(PV=1,0,'Pricing Inputs'!U207))</f>
        <v> </v>
      </c>
      <c r="CK174" s="337" t="str">
        <f aca="false">IF($A174="N/A"," ",(1+CJ174/2)^(-2*((EOMONTH(A174,0)+20)-DateToday)/365.25))</f>
        <v> </v>
      </c>
      <c r="CL174" s="338" t="str">
        <f aca="false">IF(A174="N/A"," ",IF(CC=2,(VLOOKUP(MONTH($A174),Hrtable,3))/1000,0))</f>
        <v> </v>
      </c>
      <c r="CM174" s="339" t="str">
        <f aca="false">IF(A174="N/A"," ",IF(CC=2,(CL174*C174)+F174,0))</f>
        <v> </v>
      </c>
      <c r="CN174" s="340" t="str">
        <f aca="false">IF($A174="N/A"," ",IF(CC=2,(VLOOKUP(A174,ScaledPrice,(IF(AND(Dayrun&gt;=1,Dayrun&lt;=6),2,4)))-((IF(R174&lt;&gt;0,$D174,$CL174)*$C174)+$F174+$G174)),0))</f>
        <v> </v>
      </c>
      <c r="CO174" s="340" t="str">
        <f aca="false">IF($A174="N/A"," ",IF(CC=2,(IF(AND(Dayrun&gt;=1,Dayrun&lt;=6),I174,(VLOOKUP(A174,ScaledPrice,2))*(2-(VLOOKUP(A174,ScaledPrice,3))))-((IF(S174&lt;&gt;0,$D174,$CL174)*$C174)+$F174+$G174)),0))</f>
        <v> </v>
      </c>
      <c r="CP174" s="340" t="str">
        <f aca="false">IF(A174="N/A"," ",IF(CC=2,(VLOOKUP(A174,ScaledPrice,9)-((IF(T174&lt;&gt;0,$D174,$CL174)*$C174)+$F174+$G174)),0))</f>
        <v> </v>
      </c>
      <c r="CQ174" s="340" t="str">
        <f aca="false">IF(A174="N/A"," ",IF(CC=2,(IF(OR(Dayrun=2,Dayrun=3,Dayrun=5,Dayrun=6,Dayrun=8,Dayrun=9),VLOOKUP(A174,ScaledPrice,IF(AND(Dayrun&gt;=2,Dayrun&lt;=6),5,6)),0)-((IF(U174&lt;&gt;0,$D174,$CL174)*$C174)+$F174+$G174)),0))</f>
        <v> </v>
      </c>
      <c r="CR174" s="340" t="str">
        <f aca="false">IF(A174="N/A"," ",IF(CC=2,(IF(OR(Dayrun=2,Dayrun=3,Dayrun=5,Dayrun=6,Dayrun=8,Dayrun=9),IF(AND(Dayrun&gt;=2,Dayrun&lt;=6),L174,(VLOOKUP(A174,ScaledPrice,5))*(2-(VLOOKUP(A174,ScaledPrice,3)))),0)-((IF(V174&lt;&gt;0,$D174,$CL174)*$C174)+$F174+$G174)),0))</f>
        <v> </v>
      </c>
      <c r="CS174" s="340" t="str">
        <f aca="false">IF(A174="N/A"," ",IF(CC=2,(VLOOKUP(A174,ScaledPrice,9)-((IF(W174&lt;&gt;0,$D174,$CL174)*$C174)+$F174+$G174)),0))</f>
        <v> </v>
      </c>
      <c r="CT174" s="340" t="str">
        <f aca="false">IF(A174="N/A"," ",IF(CC=2,(IF(OR(Dayrun=3,Dayrun=6,Dayrun=9),(VLOOKUP(A174,ScaledPrice,IF(AND(Dayrun&gt;=3,Dayrun&lt;=6),7,8))),0)-((IF(X174&lt;&gt;0,$D174,$CL174)*$C174)+$F174+$G174)),0))</f>
        <v> </v>
      </c>
      <c r="CU174" s="340" t="str">
        <f aca="false">IF(A174="N/A"," ",IF(CC=2,(IF(OR(Dayrun=3,Dayrun=6,Dayrun=9),IF(AND(Dayrun&gt;=3,Dayrun&lt;=6),O174,(VLOOKUP(A174,ScaledPrice,7))*(2-(VLOOKUP(A174,ScaledPrice,3)))),0)-((IF(Y174&lt;&gt;0,$D174,$CL174)*$C174)+$F174+$G174)),0))</f>
        <v> </v>
      </c>
      <c r="CV174" s="340" t="str">
        <f aca="false">IF(A174="N/A"," ",IF(CC=2,(VLOOKUP(A174,ScaledPrice,9)-((IF(Z174&lt;&gt;0,$D174,$CL174)*$C174)+$F174+$G174)),0))</f>
        <v> </v>
      </c>
      <c r="CW174" s="318" t="str">
        <f aca="false">IF($A174="N/A"," ",IF(0&lt;&gt;CN174,IF(CC=2,8*$HD174,0),0))</f>
        <v> </v>
      </c>
      <c r="CX174" s="318" t="str">
        <f aca="false">IF($A174="N/A"," ",IF(0&lt;&gt;CO174,IF(CC=2,8*$HD174,0),0))</f>
        <v> </v>
      </c>
      <c r="CY174" s="318" t="str">
        <f aca="false">IF($A174="N/A"," ",IF(0&lt;&gt;CP174,IF(CC=2,8*$HD174,0),0))</f>
        <v> </v>
      </c>
      <c r="CZ174" s="318" t="str">
        <f aca="false">IF($A174="N/A"," ",IF(0&lt;&gt;CQ174,IF(CC=2,8*$HE174,0),0))</f>
        <v> </v>
      </c>
      <c r="DA174" s="318" t="str">
        <f aca="false">IF($A174="N/A"," ",IF(0&lt;&gt;CR174,IF(CC=2,8*$HE174,0),0))</f>
        <v> </v>
      </c>
      <c r="DB174" s="318" t="str">
        <f aca="false">IF($A174="N/A"," ",IF(0&lt;&gt;CS174,IF(CC=2,8*$HE174,0),0))</f>
        <v> </v>
      </c>
      <c r="DC174" s="318" t="str">
        <f aca="false">IF($A174="N/A"," ",IF(0&lt;&gt;CT174,IF(CC=2,8*$HF174,0),0))</f>
        <v> </v>
      </c>
      <c r="DD174" s="318" t="str">
        <f aca="false">IF($A174="N/A"," ",IF(0&lt;&gt;CU174,IF(CC=2,8*$HF174,0),0))</f>
        <v> </v>
      </c>
      <c r="DE174" s="318" t="str">
        <f aca="false">IF($A174="N/A"," ",IF(0&lt;&gt;CV174,IF(CC=2,8*$HF174,0),0))</f>
        <v> </v>
      </c>
      <c r="DF174" s="341" t="str">
        <f aca="false">IF($A174="N/A"," ",IF(CC=2,(IF(MONTH(A174)&gt;=4,IF(MONTH(A174)&lt;=10,Inputs!$G$13,Inputs!$G$14),Inputs!$G$14))*$CK174,0))</f>
        <v> </v>
      </c>
      <c r="DG174" s="342" t="str">
        <f aca="false">IF($A174="N/A"," ",IF(CC=2,$DF174*CW174*CN174,0))</f>
        <v> </v>
      </c>
      <c r="DH174" s="342" t="str">
        <f aca="false">IF($A174="N/A"," ",IF(CC=2,$DF174*CX174*CO174,0))</f>
        <v> </v>
      </c>
      <c r="DI174" s="342" t="str">
        <f aca="false">IF($A174="N/A"," ",IF(CC=2,$DF174*CY174*CP174,0))</f>
        <v> </v>
      </c>
      <c r="DJ174" s="342" t="str">
        <f aca="false">IF($A174="N/A"," ",IF(CC=2,$DF174*CZ174*CQ174,0))</f>
        <v> </v>
      </c>
      <c r="DK174" s="342" t="str">
        <f aca="false">IF($A174="N/A"," ",IF(CC=2,$DF174*DA174*CR174,0))</f>
        <v> </v>
      </c>
      <c r="DL174" s="342" t="str">
        <f aca="false">IF($A174="N/A"," ",IF(CC=2,$DF174*DB174*CS174,0))</f>
        <v> </v>
      </c>
      <c r="DM174" s="342" t="str">
        <f aca="false">IF($A174="N/A"," ",IF(CC=2,$DF174*DC174*CT174,0))</f>
        <v> </v>
      </c>
      <c r="DN174" s="342" t="str">
        <f aca="false">IF($A174="N/A"," ",IF(CC=2,$DF174*DD174*CU174,0))</f>
        <v> </v>
      </c>
      <c r="DO174" s="342" t="str">
        <f aca="false">IF($A174="N/A"," ",IF(CC=2,$DF174*DE174*CV174,0))</f>
        <v> </v>
      </c>
      <c r="DP174" s="343" t="str">
        <f aca="false">IF($A174="N/A"," ",IF(CC=2,SUM(DG174:DO174),0))</f>
        <v> </v>
      </c>
      <c r="DQ174" s="0" t="str">
        <f aca="false">IF(A174="N/A"," ",Perstart)</f>
        <v> </v>
      </c>
      <c r="HD174" s="0" t="str">
        <f aca="false">IF($A174="N/A"," ",VLOOKUP($A174,NumberofDaysTable,2))</f>
        <v> </v>
      </c>
      <c r="HE174" s="0" t="str">
        <f aca="false">IF($A174="N/A"," ",VLOOKUP($A174,NumberofDaysTable,3))</f>
        <v> </v>
      </c>
      <c r="HF174" s="0" t="str">
        <f aca="false">IF($A174="N/A"," ",VLOOKUP($A174,NumberofDaysTable,4))</f>
        <v> </v>
      </c>
    </row>
    <row r="175" customFormat="false" ht="12.75" hidden="false" customHeight="false" outlineLevel="0" collapsed="false">
      <c r="A175" s="308" t="str">
        <f aca="false">IF(A174="N/A","N/A",IF(EDATE(A174,1)&gt;Inputs!$K$3,"N/A",EDATE(A174,1)))</f>
        <v>N/A</v>
      </c>
      <c r="B175" s="309" t="str">
        <f aca="false">IF(A175="N/A"," ",YEAR(A175))</f>
        <v> </v>
      </c>
      <c r="C175" s="310" t="str">
        <f aca="false">IF(A175="N/A"," ",VLOOKUP(A175,ScaledPrice,10))</f>
        <v> </v>
      </c>
      <c r="D175" s="311" t="str">
        <f aca="false">IF(A175="N/A"," ",(VLOOKUP(MONTH($A175),Hrtable,2))/1000)</f>
        <v> </v>
      </c>
      <c r="E175" s="312" t="str">
        <f aca="false">IF($A175="N/A"," ",(C175-'Pricing Inputs'!T208)*D175)</f>
        <v> </v>
      </c>
      <c r="F175" s="313" t="str">
        <f aca="false">IF(A175="N/A"," ",$F163*(1+VOMesc))</f>
        <v> </v>
      </c>
      <c r="G175" s="313" t="str">
        <f aca="false">IF(A175="N/A"," ",Perstart/IF(AND(Dayrun&gt;=4,Dayrun&lt;=6),16,IF(AND(Dayrun&gt;=7,Dayrun&lt;=9),8,24))/(BM175/CK175))</f>
        <v> </v>
      </c>
      <c r="H175" s="314" t="str">
        <f aca="false">IF(A175="N/A"," ",(C175*D175)+F175+G175)</f>
        <v> </v>
      </c>
      <c r="I175" s="315" t="str">
        <f aca="false">VLOOKUP(A175,ScaledPrice,(IF(AND(Dayrun&gt;=1,Dayrun&lt;=6),2,4)))</f>
        <v> </v>
      </c>
      <c r="J175" s="315" t="str">
        <f aca="false">IF(A175="N/A"," ",IF(AND(Dayrun&gt;=1,Dayrun&lt;=6),I175,(VLOOKUP(A175,ScaledPrice,2))*(2-(VLOOKUP(A175,ScaledPrice,3)))))</f>
        <v> </v>
      </c>
      <c r="K175" s="315" t="str">
        <f aca="false">IF(A175="N/A"," ",IF(AND(Dayrun&gt;=1,Dayrun&lt;=3),VLOOKUP(A175,ScaledPrice,9),0))</f>
        <v> </v>
      </c>
      <c r="L175" s="315" t="str">
        <f aca="false">IF(A175="N/A"," ",IF(OR(Dayrun=2,Dayrun=3,Dayrun=5,Dayrun=6,Dayrun=8,Dayrun=9),VLOOKUP(A175,ScaledPrice,IF(AND(Dayrun&gt;=2,Dayrun&lt;=6),5,6)),0))</f>
        <v> </v>
      </c>
      <c r="M175" s="315" t="str">
        <f aca="false">IF(A175="N/A"," ",IF(OR(Dayrun=2,Dayrun=3,Dayrun=5,Dayrun=6,Dayrun=8,Dayrun=9),IF(AND(Dayrun&gt;=2,Dayrun&lt;=6),L175,(VLOOKUP(A175,ScaledPrice,5))*(2-(VLOOKUP(A175,ScaledPrice,3)))),0))</f>
        <v> </v>
      </c>
      <c r="N175" s="315" t="str">
        <f aca="false">IF(A175="N/A"," ",IF(AND(Dayrun&gt;1,Dayrun&lt;=3),VLOOKUP(A175,ScaledPrice,9),0))</f>
        <v> </v>
      </c>
      <c r="O175" s="315" t="str">
        <f aca="false">IF(A175="N/A"," ",IF(OR(Dayrun=3,Dayrun=6,Dayrun=9),(VLOOKUP(A175,ScaledPrice,IF(AND(Dayrun&gt;=3,Dayrun&lt;=6),7,8))),0))</f>
        <v> </v>
      </c>
      <c r="P175" s="315" t="str">
        <f aca="false">IF(A175="N/A"," ",IF(OR(Dayrun=3,Dayrun=6,Dayrun=9),IF(AND(Dayrun&gt;=3,Dayrun&lt;=6),O175,(VLOOKUP(A175,ScaledPrice,7))*(2-(VLOOKUP(A175,ScaledPrice,3)))),0))</f>
        <v> </v>
      </c>
      <c r="Q175" s="315" t="str">
        <f aca="false">IF(A175="N/A"," ",IF(AND(Dayrun&gt;2,Dayrun&lt;=3),VLOOKUP(A175,ScaledPrice,9),0))</f>
        <v> </v>
      </c>
      <c r="R175" s="316" t="str">
        <f aca="false">IF($A175="N/A"," ",IF(Pricetype=2,MAX(I175-$H175,0),IF(Pricetype=1,(xSPRDOPT(I175,$E175,$CI175,0,($CD175+IF(Smile=TRUE(),VLOOKUP(MAX(-5,$H175-I175),Volsmile,2),0)),$CG175,$CH175,($A175-DateToday)+15,1,0)),I175-$H175)))</f>
        <v> </v>
      </c>
      <c r="S175" s="316" t="str">
        <f aca="false">IF($A175="N/A"," ",IF(Pricetype=2,MAX(J175-$H175,0),IF(Pricetype=1,(xSPRDOPT(J175,$E175,$CI175,0,($CD175+IF(Smile=TRUE(),VLOOKUP(MAX(-5,$H175-J175),Volsmile,2),0)),$CG175,$CH175,($A175-DateToday)+15,1,0)),J175-$H175)))</f>
        <v> </v>
      </c>
      <c r="T175" s="317" t="str">
        <f aca="false">IF($A175="N/A"," ",(IF(Pricetype=2,IF((K175-$H175)&lt;=0,0,(K175-$H175)),IF(K175&lt;&gt;0,(K175-$H175),0))))</f>
        <v> </v>
      </c>
      <c r="U175" s="316" t="str">
        <f aca="false">IF($A175="N/A"," ",IF(Pricetype=2,MAX(L175-$H175,0),IF(L175&lt;&gt;0,IF(Pricetype=1,(xSPRDOPT(L175,$E175,$CI175,0,($CD175+IF(Smile=TRUE(),VLOOKUP(MAX(-5,$H175-L175),Volsmile,2),0)),$CG175,$CH175,($A175-DateToday)+15,1,0)),L175-$H175),0)))</f>
        <v> </v>
      </c>
      <c r="V175" s="316" t="str">
        <f aca="false">IF($A175="N/A"," ",IF(Pricetype=2,MAX(M175-$H175,0),IF(M175&lt;&gt;0,IF(Pricetype=1,(xSPRDOPT(M175,$E175,$CI175,0,($CD175+IF(Smile=TRUE(),VLOOKUP(MAX(-5,$H175-M175),Volsmile,2),0)),$CG175,$CH175,($A175-DateToday)+15,1,0)),M175-$H175),0)))</f>
        <v> </v>
      </c>
      <c r="W175" s="317" t="str">
        <f aca="false">IF($A175="N/A"," ",(IF(Pricetype=2,IF((N175-$H175)&lt;=0,0,(N175-$H175)),IF(N175&lt;&gt;0,(N175-$H175),0))))</f>
        <v> </v>
      </c>
      <c r="X175" s="316" t="str">
        <f aca="false">IF($A175="N/A"," ",IF(Pricetype=2,MAX(O175-$H175,0),IF(O175&lt;&gt;0,IF(Pricetype=1,(xSPRDOPT(O175,$E175,$CI175,0,($CD175+IF(Smile=TRUE(),VLOOKUP(MAX(-5,$H175-O175),Volsmile,2),0)),$CG175,$CH175,($A175-DateToday)+15,1,0)),O175-$H175),0)))</f>
        <v> </v>
      </c>
      <c r="Y175" s="316" t="str">
        <f aca="false">IF($A175="N/A"," ",IF(Pricetype=2,MAX(P175-$H175,0),IF(P175&lt;&gt;0,IF(Pricetype=1,(xSPRDOPT(P175,$E175,$CI175,0,($CD175+IF(Smile=TRUE(),VLOOKUP(MAX(-5,$H175-P175),Volsmile,2),0)),$CG175,$CH175,($A175-DateToday)+15,1,0)),P175-$H175),0)))</f>
        <v> </v>
      </c>
      <c r="Z175" s="317" t="str">
        <f aca="false">IF($A175="N/A"," ",(IF(Pricetype=2,IF((Q175-$H175)&lt;=0,0,(Q175-$H175)),IF(Q175&lt;&gt;0,(Q175-$H175),0))))</f>
        <v> </v>
      </c>
      <c r="AA175" s="318" t="str">
        <f aca="false">IF($A175="N/A"," ",IF(VLOOKUP(MONTH(A175),ManualTable,2)=1,(IF(0&lt;&gt;R175,IF(Pricetype=1,(xSPRDOPT(I175,$E175,$CI175,0,($CD175+IF(Smile=TRUE(),VLOOKUP(MAX(-5,$H175-I175),Volsmile,2),0)),$CG175,$CH175,($A175-DateToday)+15,1,1))*(8*$HD175),8*$HD175),0)),0))</f>
        <v> </v>
      </c>
      <c r="AB175" s="318" t="str">
        <f aca="false">IF($A175="N/A"," ",IF(VLOOKUP(MONTH(A175),ManualTable,3)=1,(IF(S175&lt;&gt;0,IF(Pricetype=1,(xSPRDOPT(J175,$E175,$CI175,0,($CD175+IF(Smile=TRUE(),VLOOKUP(MAX(-5,$H175-J175),Volsmile,2),0)),$CG175,$CH175,($A175-DateToday)+15,1,1))*(8*$HD175),8*$HD175),0)),0))</f>
        <v> </v>
      </c>
      <c r="AC175" s="318" t="str">
        <f aca="false">IF($A175="N/A"," ",IF(VLOOKUP(MONTH(A175),ManualTable,4)=1,(IF(T175&lt;&gt;0,(8*$HD175),0)),0))</f>
        <v> </v>
      </c>
      <c r="AD175" s="318" t="str">
        <f aca="false">IF($A175="N/A"," ",IF(VLOOKUP(MONTH(A175),ManualTable,5)=1,(IF(U175&lt;&gt;0,IF(Pricetype=1,(xSPRDOPT(L175,$E175,$CI175,0,($CD175+IF(Smile=TRUE(),VLOOKUP(MAX(-5,$H175-L175),Volsmile,2),0)),$CG175,$CH175,($A175-DateToday)+15,1,1))*(8*$HE175),8*$HE175),0)),0))</f>
        <v> </v>
      </c>
      <c r="AE175" s="318" t="str">
        <f aca="false">IF($A175="N/A"," ",IF(VLOOKUP(MONTH(A175),ManualTable,6)=1,(IF(V175&lt;&gt;0,IF(Pricetype=1,(xSPRDOPT(M175,$E175,$CI175,0,($CD175+IF(Smile=TRUE(),VLOOKUP(MAX(-5,$H175-M175),Volsmile,2),0)),$CG175,$CH175,($A175-DateToday)+15,1,1))*(8*$HE175),8*$HE175),0)),0))</f>
        <v> </v>
      </c>
      <c r="AF175" s="318" t="str">
        <f aca="false">IF($A175="N/A"," ",IF(VLOOKUP(MONTH(A175),ManualTable,7)=1,(IF(W175&lt;&gt;0,(8*$HE175),0)),0))</f>
        <v> </v>
      </c>
      <c r="AG175" s="318" t="str">
        <f aca="false">IF($A175="N/A"," ",IF(VLOOKUP(MONTH(A175),ManualTable,8)=1,(IF(X175&lt;&gt;0,IF(Pricetype=1,(xSPRDOPT(O175,$E175,$CI175,0,($CD175+IF(Smile=TRUE(),VLOOKUP(MAX(-5,$H175-O175),Volsmile,2),0)),$CG175,$CH175,($A175-DateToday)+15,1,1))*(8*$HF175),8*$HF175),0)),0))</f>
        <v> </v>
      </c>
      <c r="AH175" s="318" t="str">
        <f aca="false">IF($A175="N/A"," ",IF(VLOOKUP(MONTH(A175),ManualTable,9)=1,(IF(Y175&lt;&gt;0,IF(Pricetype=1,(xSPRDOPT(P175,$E175,$CI175,0,($CD175+IF(Smile=TRUE(),VLOOKUP(MAX(-5,$H175-P175),Volsmile,2),0)),$CG175,$CH175,($A175-DateToday)+15,1,1))*(8*$HF175),8*$HF175),0)),0))</f>
        <v> </v>
      </c>
      <c r="AI175" s="318" t="str">
        <f aca="false">IF($A175="N/A"," ",IF(VLOOKUP(MONTH(A175),ManualTable,10)=1,(IF(Z175&lt;&gt;0,(8*($HF175)),0)),0))</f>
        <v> </v>
      </c>
      <c r="AJ175" s="344" t="str">
        <f aca="false">IF($A175="N/A"," ",RANK(R175,$R$172:$Z$183))</f>
        <v> </v>
      </c>
      <c r="AK175" s="321" t="str">
        <f aca="false">IF($A175="N/A"," ",RANK(S175,$R$172:$Z$183))</f>
        <v> </v>
      </c>
      <c r="AL175" s="321" t="str">
        <f aca="false">IF($A175="N/A"," ",RANK(T175,$R$172:$Z$183))</f>
        <v> </v>
      </c>
      <c r="AM175" s="321" t="str">
        <f aca="false">IF($A175="N/A"," ",RANK(U175,$R$172:$Z$183))</f>
        <v> </v>
      </c>
      <c r="AN175" s="321" t="str">
        <f aca="false">IF($A175="N/A"," ",RANK(V175,$R$172:$Z$183))</f>
        <v> </v>
      </c>
      <c r="AO175" s="321" t="str">
        <f aca="false">IF($A175="N/A"," ",RANK(W175,$R$172:$Z$183))</f>
        <v> </v>
      </c>
      <c r="AP175" s="321" t="str">
        <f aca="false">IF($A175="N/A"," ",RANK(X175,$R$172:$Z$183))</f>
        <v> </v>
      </c>
      <c r="AQ175" s="321" t="str">
        <f aca="false">IF($A175="N/A"," ",RANK(Y175,$R$172:$Z$183))</f>
        <v> </v>
      </c>
      <c r="AR175" s="345" t="str">
        <f aca="false">IF($A175="N/A"," ",RANK(Z175,$R$172:$Z$183))</f>
        <v> </v>
      </c>
      <c r="AS175" s="323" t="str">
        <f aca="false">IF($A175="N/A"," ",IF(AJ175&lt;=$AR$2,AA175,0))</f>
        <v> </v>
      </c>
      <c r="AT175" s="325" t="str">
        <f aca="false">IF($A175="N/A"," ",IF(AK175&lt;=$AR$2,AB175,0))</f>
        <v> </v>
      </c>
      <c r="AU175" s="325" t="str">
        <f aca="false">IF($A175="N/A"," ",IF(AL175&lt;=$AR$2,AC175,0))</f>
        <v> </v>
      </c>
      <c r="AV175" s="325" t="str">
        <f aca="false">IF($A175="N/A"," ",IF(AM175&lt;=$AR$2,AD175,0))</f>
        <v> </v>
      </c>
      <c r="AW175" s="325" t="str">
        <f aca="false">IF($A175="N/A"," ",IF(AN175&lt;=$AR$2,AE175,0))</f>
        <v> </v>
      </c>
      <c r="AX175" s="325" t="str">
        <f aca="false">IF($A175="N/A"," ",IF(AO175&lt;=$AR$2,AF175,0))</f>
        <v> </v>
      </c>
      <c r="AY175" s="325" t="str">
        <f aca="false">IF($A175="N/A"," ",IF(AP175&lt;=$AR$2,AG175,0))</f>
        <v> </v>
      </c>
      <c r="AZ175" s="325" t="str">
        <f aca="false">IF($A175="N/A"," ",IF(AQ175&lt;=$AR$2,AH175,0))</f>
        <v> </v>
      </c>
      <c r="BA175" s="325" t="str">
        <f aca="false">IF($A175="N/A"," ",IF(AR175&lt;=$AR$2,AI175,0))</f>
        <v> </v>
      </c>
      <c r="BB175" s="345"/>
      <c r="BC175" s="326" t="str">
        <f aca="false">IF($A175="N/A"," ",IF(AND(AJ175=$AR$2+1,AS175=0),MIN($BB$183,AA175),0))</f>
        <v> </v>
      </c>
      <c r="BD175" s="346" t="str">
        <f aca="false">IF($A175="N/A"," ",IF(AND(AK175=$AR$2+1,AT175=0),MIN($BB$183,AB175),0))</f>
        <v> </v>
      </c>
      <c r="BE175" s="346" t="str">
        <f aca="false">IF($A175="N/A"," ",IF(AND(AL175=$AR$2+1,AU175=0),MIN($BB$183,AC175),0))</f>
        <v> </v>
      </c>
      <c r="BF175" s="346" t="str">
        <f aca="false">IF($A175="N/A"," ",IF(AND(AM175=$AR$2+1,AV175=0),MIN($BB$183,AD175),0))</f>
        <v> </v>
      </c>
      <c r="BG175" s="346" t="str">
        <f aca="false">IF($A175="N/A"," ",IF(AND(AN175=$AR$2+1,AW175=0),MIN($BB$183,AE175),0))</f>
        <v> </v>
      </c>
      <c r="BH175" s="346" t="str">
        <f aca="false">IF($A175="N/A"," ",IF(AND(AO175=$AR$2+1,AX175=0),MIN($BB$183,AF175),0))</f>
        <v> </v>
      </c>
      <c r="BI175" s="346" t="str">
        <f aca="false">IF($A175="N/A"," ",IF(AND(AP175=$AR$2+1,AY175=0),MIN($BB$183,AG175),0))</f>
        <v> </v>
      </c>
      <c r="BJ175" s="346" t="str">
        <f aca="false">IF($A175="N/A"," ",IF(AND(AQ175=$AR$2+1,AZ175=0),MIN($BB$183,AH175),0))</f>
        <v> </v>
      </c>
      <c r="BK175" s="346" t="str">
        <f aca="false">IF($A175="N/A"," ",IF(AND(AR175=$AR$2+1,BA175=0),MIN($BB$183,AI175),0))</f>
        <v> </v>
      </c>
      <c r="BL175" s="345"/>
      <c r="BM175" s="329" t="str">
        <f aca="false">IF($A175="N/A"," ",(IF(MONTH(A175)&gt;=4,IF(MONTH(A175)&lt;=10,Inputs!$F$13-Inputs!$G$13,Inputs!$F$14-Inputs!$G$14),Inputs!$F$14-Inputs!$G$14))*$CK175*Availability)</f>
        <v> </v>
      </c>
      <c r="BN175" s="330" t="str">
        <f aca="false">IF($A175="N/A"," ",(IF(AS175&gt;0,($BM175*(8*($HD175))*R175),0)+IF(BC175&gt;0,($BM175*((BC175/AA175)*8*$HD175)*R175),0)))</f>
        <v> </v>
      </c>
      <c r="BO175" s="330" t="str">
        <f aca="false">IF($A175="N/A"," ",(IF(AT175&gt;0,($BM175*(8*($HD175))*S175),0)+IF(BD175&gt;0,($BM175*((BD175/AB175)*8*$HD175)*S175),0)))</f>
        <v> </v>
      </c>
      <c r="BP175" s="330" t="str">
        <f aca="false">IF($A175="N/A"," ",(IF(AU175&gt;0,($BM175*(8*($HD175))*T175),0)+IF(BE175&gt;0,($BM175*((BE175))*T175),0)))</f>
        <v> </v>
      </c>
      <c r="BQ175" s="330" t="str">
        <f aca="false">IF($A175="N/A"," ",(IF(AV175&gt;0,($BM175*(8*($HE175))*U175),0)+IF(BF175&gt;0,($BM175*((BF175/AD175)*8*$HE175)*U175),0)))</f>
        <v> </v>
      </c>
      <c r="BR175" s="330" t="str">
        <f aca="false">IF($A175="N/A"," ",(IF(AW175&gt;0,($BM175*(8*($HE175))*V175),0)+IF(BG175&gt;0,($BM175*((BG175/AE175)*8*$HE175)*V175),0)))</f>
        <v> </v>
      </c>
      <c r="BS175" s="330" t="str">
        <f aca="false">IF($A175="N/A"," ",(IF(AX175&gt;0,($BM175*(8*($HE175))*W175),0)+IF(BH175&gt;0,($BM175*((BH175))*W175),0)))</f>
        <v> </v>
      </c>
      <c r="BT175" s="330" t="str">
        <f aca="false">IF($A175="N/A"," ",(IF(AY175&gt;0,($BM175*(8*($HF175))*X175),0)+IF(BI175&gt;0,($BM175*((BI175/AG175)*8*$HF175)*X175),0)))</f>
        <v> </v>
      </c>
      <c r="BU175" s="330" t="str">
        <f aca="false">IF($A175="N/A"," ",(IF(AZ175&gt;0,($BM175*(8*($HF175))*Y175),0)+IF(BJ175&gt;0,($BM175*((BJ175/AH175)*8*$HF175)*Y175),0)))</f>
        <v> </v>
      </c>
      <c r="BV175" s="330" t="str">
        <f aca="false">IF($A175="N/A"," ",(IF(BA175&gt;0,($BM175*(8*($HF175))*Z175),0)+IF(BK175&gt;0,($BM175*((BK175))*Z175),0)))</f>
        <v> </v>
      </c>
      <c r="BW175" s="330" t="str">
        <f aca="false">IF($A175="N/A"," ",SUM(BN175:BV175))</f>
        <v> </v>
      </c>
      <c r="BX175" s="331" t="str">
        <f aca="false">IF($A175="N/A"," ",(H175*(SUM(AS175:BA175)+SUM(BC175:BK175))*BM175))</f>
        <v> </v>
      </c>
      <c r="BY175" s="332" t="str">
        <f aca="false">IF($A175="N/A"," ",((C175*D175)*(SUM($AS175:$BA175)+SUM($BC175:$BK175))*$BM175))</f>
        <v> </v>
      </c>
      <c r="BZ175" s="332" t="str">
        <f aca="false">IF($A175="N/A"," ",(F175*(SUM($AS175:$BA175)+SUM($BC175:$BK175))*$BM175))</f>
        <v> </v>
      </c>
      <c r="CA175" s="333" t="str">
        <f aca="false">IF($A175="N/A"," ",(G175*(SUM($AS175:$BA175)+SUM($BC175:$BK175))*$BM175))</f>
        <v> </v>
      </c>
      <c r="CB175" s="334" t="str">
        <f aca="false">IF(A175="N/A"," ",(VLOOKUP(A175,PowerVolTable,(IF(BMO=2,7,IF(BMO=1,6,8))),FALSE())))</f>
        <v> </v>
      </c>
      <c r="CC175" s="334" t="str">
        <f aca="false">IF(A175="N/A"," ",(VLOOKUP(A175,IntraPowerVol,(IF(BMO=2,3,IF(BMO=1,2,4))),FALSE())*VLOOKUP(MONTH($A175),Volscale,2)))</f>
        <v> </v>
      </c>
      <c r="CD175" s="335" t="str">
        <f aca="false">IF($A175="N/A"," ",(IF(DateToday&gt;$A175,$CC175,((($CB175^2)*((($A175-1)-DateToday)/((EOMONTH($A175,0)+1)-DateToday-15)))+((($CC175)^2)*((15)/((EOMONTH($A175,0)+1)-DateToday-15))))^0.5)))</f>
        <v> </v>
      </c>
      <c r="CE175" s="334" t="str">
        <f aca="false">IF($A175="N/A"," ",(VLOOKUP($A175,GasVolTable,(IF(BMO=2,6,IF(BMO=1,7,5))),FALSE())))</f>
        <v> </v>
      </c>
      <c r="CF175" s="334" t="str">
        <f aca="false">IF($A175="N/A"," ",(VLOOKUP($A175,OmicronVol,(IF(BMO=2,3,IF(BMO=1,4,2))),FALSE())))</f>
        <v> </v>
      </c>
      <c r="CG175" s="335" t="str">
        <f aca="false">IF($A175="N/A"," ",(IF(DateToday&gt;$A175,$CF175,((($CE175^2)*((($A175-1)-DateToday)/((EOMONTH($A175,0)+1)-DateToday-15)))+((($CF175)^2)*((15)/((EOMONTH($A175,0)+1)-DateToday-15))))^0.5)))</f>
        <v> </v>
      </c>
      <c r="CH175" s="334" t="str">
        <f aca="false">IF($A175="N/A"," ",VLOOKUP($A175,CorrelationTable,2,FALSE()))</f>
        <v> </v>
      </c>
      <c r="CI175" s="336" t="str">
        <f aca="false">IF($A175="N/A"," ",F175+G175+(D175*('Pricing Inputs'!T208)))</f>
        <v> </v>
      </c>
      <c r="CJ175" s="334" t="str">
        <f aca="false">IF($A175="N/A"," ",IF(PV=1,0,'Pricing Inputs'!U208))</f>
        <v> </v>
      </c>
      <c r="CK175" s="337" t="str">
        <f aca="false">IF($A175="N/A"," ",(1+CJ175/2)^(-2*((EOMONTH(A175,0)+20)-DateToday)/365.25))</f>
        <v> </v>
      </c>
      <c r="CL175" s="338" t="str">
        <f aca="false">IF(A175="N/A"," ",IF(CC=2,(VLOOKUP(MONTH($A175),Hrtable,3))/1000,0))</f>
        <v> </v>
      </c>
      <c r="CM175" s="339" t="str">
        <f aca="false">IF(A175="N/A"," ",IF(CC=2,(CL175*C175)+F175,0))</f>
        <v> </v>
      </c>
      <c r="CN175" s="340" t="str">
        <f aca="false">IF($A175="N/A"," ",IF(CC=2,(VLOOKUP(A175,ScaledPrice,(IF(AND(Dayrun&gt;=1,Dayrun&lt;=6),2,4)))-((IF(R175&lt;&gt;0,$D175,$CL175)*$C175)+$F175+$G175)),0))</f>
        <v> </v>
      </c>
      <c r="CO175" s="340" t="str">
        <f aca="false">IF($A175="N/A"," ",IF(CC=2,(IF(AND(Dayrun&gt;=1,Dayrun&lt;=6),I175,(VLOOKUP(A175,ScaledPrice,2))*(2-(VLOOKUP(A175,ScaledPrice,3))))-((IF(S175&lt;&gt;0,$D175,$CL175)*$C175)+$F175+$G175)),0))</f>
        <v> </v>
      </c>
      <c r="CP175" s="340" t="str">
        <f aca="false">IF(A175="N/A"," ",IF(CC=2,(VLOOKUP(A175,ScaledPrice,9)-((IF(T175&lt;&gt;0,$D175,$CL175)*$C175)+$F175+$G175)),0))</f>
        <v> </v>
      </c>
      <c r="CQ175" s="340" t="str">
        <f aca="false">IF(A175="N/A"," ",IF(CC=2,(IF(OR(Dayrun=2,Dayrun=3,Dayrun=5,Dayrun=6,Dayrun=8,Dayrun=9),VLOOKUP(A175,ScaledPrice,IF(AND(Dayrun&gt;=2,Dayrun&lt;=6),5,6)),0)-((IF(U175&lt;&gt;0,$D175,$CL175)*$C175)+$F175+$G175)),0))</f>
        <v> </v>
      </c>
      <c r="CR175" s="340" t="str">
        <f aca="false">IF(A175="N/A"," ",IF(CC=2,(IF(OR(Dayrun=2,Dayrun=3,Dayrun=5,Dayrun=6,Dayrun=8,Dayrun=9),IF(AND(Dayrun&gt;=2,Dayrun&lt;=6),L175,(VLOOKUP(A175,ScaledPrice,5))*(2-(VLOOKUP(A175,ScaledPrice,3)))),0)-((IF(V175&lt;&gt;0,$D175,$CL175)*$C175)+$F175+$G175)),0))</f>
        <v> </v>
      </c>
      <c r="CS175" s="340" t="str">
        <f aca="false">IF(A175="N/A"," ",IF(CC=2,(VLOOKUP(A175,ScaledPrice,9)-((IF(W175&lt;&gt;0,$D175,$CL175)*$C175)+$F175+$G175)),0))</f>
        <v> </v>
      </c>
      <c r="CT175" s="340" t="str">
        <f aca="false">IF(A175="N/A"," ",IF(CC=2,(IF(OR(Dayrun=3,Dayrun=6,Dayrun=9),(VLOOKUP(A175,ScaledPrice,IF(AND(Dayrun&gt;=3,Dayrun&lt;=6),7,8))),0)-((IF(X175&lt;&gt;0,$D175,$CL175)*$C175)+$F175+$G175)),0))</f>
        <v> </v>
      </c>
      <c r="CU175" s="340" t="str">
        <f aca="false">IF(A175="N/A"," ",IF(CC=2,(IF(OR(Dayrun=3,Dayrun=6,Dayrun=9),IF(AND(Dayrun&gt;=3,Dayrun&lt;=6),O175,(VLOOKUP(A175,ScaledPrice,7))*(2-(VLOOKUP(A175,ScaledPrice,3)))),0)-((IF(Y175&lt;&gt;0,$D175,$CL175)*$C175)+$F175+$G175)),0))</f>
        <v> </v>
      </c>
      <c r="CV175" s="340" t="str">
        <f aca="false">IF(A175="N/A"," ",IF(CC=2,(VLOOKUP(A175,ScaledPrice,9)-((IF(Z175&lt;&gt;0,$D175,$CL175)*$C175)+$F175+$G175)),0))</f>
        <v> </v>
      </c>
      <c r="CW175" s="318" t="str">
        <f aca="false">IF($A175="N/A"," ",IF(0&lt;&gt;CN175,IF(CC=2,8*$HD175,0),0))</f>
        <v> </v>
      </c>
      <c r="CX175" s="318" t="str">
        <f aca="false">IF($A175="N/A"," ",IF(0&lt;&gt;CO175,IF(CC=2,8*$HD175,0),0))</f>
        <v> </v>
      </c>
      <c r="CY175" s="318" t="str">
        <f aca="false">IF($A175="N/A"," ",IF(0&lt;&gt;CP175,IF(CC=2,8*$HD175,0),0))</f>
        <v> </v>
      </c>
      <c r="CZ175" s="318" t="str">
        <f aca="false">IF($A175="N/A"," ",IF(0&lt;&gt;CQ175,IF(CC=2,8*$HE175,0),0))</f>
        <v> </v>
      </c>
      <c r="DA175" s="318" t="str">
        <f aca="false">IF($A175="N/A"," ",IF(0&lt;&gt;CR175,IF(CC=2,8*$HE175,0),0))</f>
        <v> </v>
      </c>
      <c r="DB175" s="318" t="str">
        <f aca="false">IF($A175="N/A"," ",IF(0&lt;&gt;CS175,IF(CC=2,8*$HE175,0),0))</f>
        <v> </v>
      </c>
      <c r="DC175" s="318" t="str">
        <f aca="false">IF($A175="N/A"," ",IF(0&lt;&gt;CT175,IF(CC=2,8*$HF175,0),0))</f>
        <v> </v>
      </c>
      <c r="DD175" s="318" t="str">
        <f aca="false">IF($A175="N/A"," ",IF(0&lt;&gt;CU175,IF(CC=2,8*$HF175,0),0))</f>
        <v> </v>
      </c>
      <c r="DE175" s="318" t="str">
        <f aca="false">IF($A175="N/A"," ",IF(0&lt;&gt;CV175,IF(CC=2,8*$HF175,0),0))</f>
        <v> </v>
      </c>
      <c r="DF175" s="341" t="str">
        <f aca="false">IF($A175="N/A"," ",IF(CC=2,(IF(MONTH(A175)&gt;=4,IF(MONTH(A175)&lt;=10,Inputs!$G$13,Inputs!$G$14),Inputs!$G$14))*$CK175,0))</f>
        <v> </v>
      </c>
      <c r="DG175" s="342" t="str">
        <f aca="false">IF($A175="N/A"," ",IF(CC=2,$DF175*CW175*CN175,0))</f>
        <v> </v>
      </c>
      <c r="DH175" s="342" t="str">
        <f aca="false">IF($A175="N/A"," ",IF(CC=2,$DF175*CX175*CO175,0))</f>
        <v> </v>
      </c>
      <c r="DI175" s="342" t="str">
        <f aca="false">IF($A175="N/A"," ",IF(CC=2,$DF175*CY175*CP175,0))</f>
        <v> </v>
      </c>
      <c r="DJ175" s="342" t="str">
        <f aca="false">IF($A175="N/A"," ",IF(CC=2,$DF175*CZ175*CQ175,0))</f>
        <v> </v>
      </c>
      <c r="DK175" s="342" t="str">
        <f aca="false">IF($A175="N/A"," ",IF(CC=2,$DF175*DA175*CR175,0))</f>
        <v> </v>
      </c>
      <c r="DL175" s="342" t="str">
        <f aca="false">IF($A175="N/A"," ",IF(CC=2,$DF175*DB175*CS175,0))</f>
        <v> </v>
      </c>
      <c r="DM175" s="342" t="str">
        <f aca="false">IF($A175="N/A"," ",IF(CC=2,$DF175*DC175*CT175,0))</f>
        <v> </v>
      </c>
      <c r="DN175" s="342" t="str">
        <f aca="false">IF($A175="N/A"," ",IF(CC=2,$DF175*DD175*CU175,0))</f>
        <v> </v>
      </c>
      <c r="DO175" s="342" t="str">
        <f aca="false">IF($A175="N/A"," ",IF(CC=2,$DF175*DE175*CV175,0))</f>
        <v> </v>
      </c>
      <c r="DP175" s="343" t="str">
        <f aca="false">IF($A175="N/A"," ",IF(CC=2,SUM(DG175:DO175),0))</f>
        <v> </v>
      </c>
      <c r="DQ175" s="0" t="str">
        <f aca="false">IF(A175="N/A"," ",Perstart)</f>
        <v> </v>
      </c>
      <c r="HD175" s="0" t="str">
        <f aca="false">IF($A175="N/A"," ",VLOOKUP($A175,NumberofDaysTable,2))</f>
        <v> </v>
      </c>
      <c r="HE175" s="0" t="str">
        <f aca="false">IF($A175="N/A"," ",VLOOKUP($A175,NumberofDaysTable,3))</f>
        <v> </v>
      </c>
      <c r="HF175" s="0" t="str">
        <f aca="false">IF($A175="N/A"," ",VLOOKUP($A175,NumberofDaysTable,4))</f>
        <v> </v>
      </c>
    </row>
    <row r="176" customFormat="false" ht="12.75" hidden="false" customHeight="false" outlineLevel="0" collapsed="false">
      <c r="A176" s="308" t="str">
        <f aca="false">IF(A175="N/A","N/A",IF(EDATE(A175,1)&gt;Inputs!$K$3,"N/A",EDATE(A175,1)))</f>
        <v>N/A</v>
      </c>
      <c r="B176" s="309" t="str">
        <f aca="false">IF(A176="N/A"," ",YEAR(A176))</f>
        <v> </v>
      </c>
      <c r="C176" s="310" t="str">
        <f aca="false">IF(A176="N/A"," ",VLOOKUP(A176,ScaledPrice,10))</f>
        <v> </v>
      </c>
      <c r="D176" s="311" t="str">
        <f aca="false">IF(A176="N/A"," ",(VLOOKUP(MONTH($A176),Hrtable,2))/1000)</f>
        <v> </v>
      </c>
      <c r="E176" s="312" t="str">
        <f aca="false">IF($A176="N/A"," ",(C176-'Pricing Inputs'!T209)*D176)</f>
        <v> </v>
      </c>
      <c r="F176" s="313" t="str">
        <f aca="false">IF(A176="N/A"," ",$F164*(1+VOMesc))</f>
        <v> </v>
      </c>
      <c r="G176" s="313" t="str">
        <f aca="false">IF(A176="N/A"," ",Perstart/IF(AND(Dayrun&gt;=4,Dayrun&lt;=6),16,IF(AND(Dayrun&gt;=7,Dayrun&lt;=9),8,24))/(BM176/CK176))</f>
        <v> </v>
      </c>
      <c r="H176" s="314" t="str">
        <f aca="false">IF(A176="N/A"," ",(C176*D176)+F176+G176)</f>
        <v> </v>
      </c>
      <c r="I176" s="315" t="str">
        <f aca="false">VLOOKUP(A176,ScaledPrice,(IF(AND(Dayrun&gt;=1,Dayrun&lt;=6),2,4)))</f>
        <v> </v>
      </c>
      <c r="J176" s="315" t="str">
        <f aca="false">IF(A176="N/A"," ",IF(AND(Dayrun&gt;=1,Dayrun&lt;=6),I176,(VLOOKUP(A176,ScaledPrice,2))*(2-(VLOOKUP(A176,ScaledPrice,3)))))</f>
        <v> </v>
      </c>
      <c r="K176" s="315" t="str">
        <f aca="false">IF(A176="N/A"," ",IF(AND(Dayrun&gt;=1,Dayrun&lt;=3),VLOOKUP(A176,ScaledPrice,9),0))</f>
        <v> </v>
      </c>
      <c r="L176" s="315" t="str">
        <f aca="false">IF(A176="N/A"," ",IF(OR(Dayrun=2,Dayrun=3,Dayrun=5,Dayrun=6,Dayrun=8,Dayrun=9),VLOOKUP(A176,ScaledPrice,IF(AND(Dayrun&gt;=2,Dayrun&lt;=6),5,6)),0))</f>
        <v> </v>
      </c>
      <c r="M176" s="315" t="str">
        <f aca="false">IF(A176="N/A"," ",IF(OR(Dayrun=2,Dayrun=3,Dayrun=5,Dayrun=6,Dayrun=8,Dayrun=9),IF(AND(Dayrun&gt;=2,Dayrun&lt;=6),L176,(VLOOKUP(A176,ScaledPrice,5))*(2-(VLOOKUP(A176,ScaledPrice,3)))),0))</f>
        <v> </v>
      </c>
      <c r="N176" s="315" t="str">
        <f aca="false">IF(A176="N/A"," ",IF(AND(Dayrun&gt;1,Dayrun&lt;=3),VLOOKUP(A176,ScaledPrice,9),0))</f>
        <v> </v>
      </c>
      <c r="O176" s="315" t="str">
        <f aca="false">IF(A176="N/A"," ",IF(OR(Dayrun=3,Dayrun=6,Dayrun=9),(VLOOKUP(A176,ScaledPrice,IF(AND(Dayrun&gt;=3,Dayrun&lt;=6),7,8))),0))</f>
        <v> </v>
      </c>
      <c r="P176" s="315" t="str">
        <f aca="false">IF(A176="N/A"," ",IF(OR(Dayrun=3,Dayrun=6,Dayrun=9),IF(AND(Dayrun&gt;=3,Dayrun&lt;=6),O176,(VLOOKUP(A176,ScaledPrice,7))*(2-(VLOOKUP(A176,ScaledPrice,3)))),0))</f>
        <v> </v>
      </c>
      <c r="Q176" s="315" t="str">
        <f aca="false">IF(A176="N/A"," ",IF(AND(Dayrun&gt;2,Dayrun&lt;=3),VLOOKUP(A176,ScaledPrice,9),0))</f>
        <v> </v>
      </c>
      <c r="R176" s="316" t="str">
        <f aca="false">IF($A176="N/A"," ",IF(Pricetype=2,MAX(I176-$H176,0),IF(Pricetype=1,(xSPRDOPT(I176,$E176,$CI176,0,($CD176+IF(Smile=TRUE(),VLOOKUP(MAX(-5,$H176-I176),Volsmile,2),0)),$CG176,$CH176,($A176-DateToday)+15,1,0)),I176-$H176)))</f>
        <v> </v>
      </c>
      <c r="S176" s="316" t="str">
        <f aca="false">IF($A176="N/A"," ",IF(Pricetype=2,MAX(J176-$H176,0),IF(Pricetype=1,(xSPRDOPT(J176,$E176,$CI176,0,($CD176+IF(Smile=TRUE(),VLOOKUP(MAX(-5,$H176-J176),Volsmile,2),0)),$CG176,$CH176,($A176-DateToday)+15,1,0)),J176-$H176)))</f>
        <v> </v>
      </c>
      <c r="T176" s="317" t="str">
        <f aca="false">IF($A176="N/A"," ",(IF(Pricetype=2,IF((K176-$H176)&lt;=0,0,(K176-$H176)),IF(K176&lt;&gt;0,(K176-$H176),0))))</f>
        <v> </v>
      </c>
      <c r="U176" s="316" t="str">
        <f aca="false">IF($A176="N/A"," ",IF(Pricetype=2,MAX(L176-$H176,0),IF(L176&lt;&gt;0,IF(Pricetype=1,(xSPRDOPT(L176,$E176,$CI176,0,($CD176+IF(Smile=TRUE(),VLOOKUP(MAX(-5,$H176-L176),Volsmile,2),0)),$CG176,$CH176,($A176-DateToday)+15,1,0)),L176-$H176),0)))</f>
        <v> </v>
      </c>
      <c r="V176" s="316" t="str">
        <f aca="false">IF($A176="N/A"," ",IF(Pricetype=2,MAX(M176-$H176,0),IF(M176&lt;&gt;0,IF(Pricetype=1,(xSPRDOPT(M176,$E176,$CI176,0,($CD176+IF(Smile=TRUE(),VLOOKUP(MAX(-5,$H176-M176),Volsmile,2),0)),$CG176,$CH176,($A176-DateToday)+15,1,0)),M176-$H176),0)))</f>
        <v> </v>
      </c>
      <c r="W176" s="317" t="str">
        <f aca="false">IF($A176="N/A"," ",(IF(Pricetype=2,IF((N176-$H176)&lt;=0,0,(N176-$H176)),IF(N176&lt;&gt;0,(N176-$H176),0))))</f>
        <v> </v>
      </c>
      <c r="X176" s="316" t="str">
        <f aca="false">IF($A176="N/A"," ",IF(Pricetype=2,MAX(O176-$H176,0),IF(O176&lt;&gt;0,IF(Pricetype=1,(xSPRDOPT(O176,$E176,$CI176,0,($CD176+IF(Smile=TRUE(),VLOOKUP(MAX(-5,$H176-O176),Volsmile,2),0)),$CG176,$CH176,($A176-DateToday)+15,1,0)),O176-$H176),0)))</f>
        <v> </v>
      </c>
      <c r="Y176" s="316" t="str">
        <f aca="false">IF($A176="N/A"," ",IF(Pricetype=2,MAX(P176-$H176,0),IF(P176&lt;&gt;0,IF(Pricetype=1,(xSPRDOPT(P176,$E176,$CI176,0,($CD176+IF(Smile=TRUE(),VLOOKUP(MAX(-5,$H176-P176),Volsmile,2),0)),$CG176,$CH176,($A176-DateToday)+15,1,0)),P176-$H176),0)))</f>
        <v> </v>
      </c>
      <c r="Z176" s="317" t="str">
        <f aca="false">IF($A176="N/A"," ",(IF(Pricetype=2,IF((Q176-$H176)&lt;=0,0,(Q176-$H176)),IF(Q176&lt;&gt;0,(Q176-$H176),0))))</f>
        <v> </v>
      </c>
      <c r="AA176" s="318" t="str">
        <f aca="false">IF($A176="N/A"," ",IF(VLOOKUP(MONTH(A176),ManualTable,2)=1,(IF(0&lt;&gt;R176,IF(Pricetype=1,(xSPRDOPT(I176,$E176,$CI176,0,($CD176+IF(Smile=TRUE(),VLOOKUP(MAX(-5,$H176-I176),Volsmile,2),0)),$CG176,$CH176,($A176-DateToday)+15,1,1))*(8*$HD176),8*$HD176),0)),0))</f>
        <v> </v>
      </c>
      <c r="AB176" s="318" t="str">
        <f aca="false">IF($A176="N/A"," ",IF(VLOOKUP(MONTH(A176),ManualTable,3)=1,(IF(S176&lt;&gt;0,IF(Pricetype=1,(xSPRDOPT(J176,$E176,$CI176,0,($CD176+IF(Smile=TRUE(),VLOOKUP(MAX(-5,$H176-J176),Volsmile,2),0)),$CG176,$CH176,($A176-DateToday)+15,1,1))*(8*$HD176),8*$HD176),0)),0))</f>
        <v> </v>
      </c>
      <c r="AC176" s="318" t="str">
        <f aca="false">IF($A176="N/A"," ",IF(VLOOKUP(MONTH(A176),ManualTable,4)=1,(IF(T176&lt;&gt;0,(8*$HD176),0)),0))</f>
        <v> </v>
      </c>
      <c r="AD176" s="318" t="str">
        <f aca="false">IF($A176="N/A"," ",IF(VLOOKUP(MONTH(A176),ManualTable,5)=1,(IF(U176&lt;&gt;0,IF(Pricetype=1,(xSPRDOPT(L176,$E176,$CI176,0,($CD176+IF(Smile=TRUE(),VLOOKUP(MAX(-5,$H176-L176),Volsmile,2),0)),$CG176,$CH176,($A176-DateToday)+15,1,1))*(8*$HE176),8*$HE176),0)),0))</f>
        <v> </v>
      </c>
      <c r="AE176" s="318" t="str">
        <f aca="false">IF($A176="N/A"," ",IF(VLOOKUP(MONTH(A176),ManualTable,6)=1,(IF(V176&lt;&gt;0,IF(Pricetype=1,(xSPRDOPT(M176,$E176,$CI176,0,($CD176+IF(Smile=TRUE(),VLOOKUP(MAX(-5,$H176-M176),Volsmile,2),0)),$CG176,$CH176,($A176-DateToday)+15,1,1))*(8*$HE176),8*$HE176),0)),0))</f>
        <v> </v>
      </c>
      <c r="AF176" s="318" t="str">
        <f aca="false">IF($A176="N/A"," ",IF(VLOOKUP(MONTH(A176),ManualTable,7)=1,(IF(W176&lt;&gt;0,(8*$HE176),0)),0))</f>
        <v> </v>
      </c>
      <c r="AG176" s="318" t="str">
        <f aca="false">IF($A176="N/A"," ",IF(VLOOKUP(MONTH(A176),ManualTable,8)=1,(IF(X176&lt;&gt;0,IF(Pricetype=1,(xSPRDOPT(O176,$E176,$CI176,0,($CD176+IF(Smile=TRUE(),VLOOKUP(MAX(-5,$H176-O176),Volsmile,2),0)),$CG176,$CH176,($A176-DateToday)+15,1,1))*(8*$HF176),8*$HF176),0)),0))</f>
        <v> </v>
      </c>
      <c r="AH176" s="318" t="str">
        <f aca="false">IF($A176="N/A"," ",IF(VLOOKUP(MONTH(A176),ManualTable,9)=1,(IF(Y176&lt;&gt;0,IF(Pricetype=1,(xSPRDOPT(P176,$E176,$CI176,0,($CD176+IF(Smile=TRUE(),VLOOKUP(MAX(-5,$H176-P176),Volsmile,2),0)),$CG176,$CH176,($A176-DateToday)+15,1,1))*(8*$HF176),8*$HF176),0)),0))</f>
        <v> </v>
      </c>
      <c r="AI176" s="318" t="str">
        <f aca="false">IF($A176="N/A"," ",IF(VLOOKUP(MONTH(A176),ManualTable,10)=1,(IF(Z176&lt;&gt;0,(8*($HF176)),0)),0))</f>
        <v> </v>
      </c>
      <c r="AJ176" s="344" t="str">
        <f aca="false">IF($A176="N/A"," ",RANK(R176,$R$172:$Z$183))</f>
        <v> </v>
      </c>
      <c r="AK176" s="321" t="str">
        <f aca="false">IF($A176="N/A"," ",RANK(S176,$R$172:$Z$183))</f>
        <v> </v>
      </c>
      <c r="AL176" s="321" t="str">
        <f aca="false">IF($A176="N/A"," ",RANK(T176,$R$172:$Z$183))</f>
        <v> </v>
      </c>
      <c r="AM176" s="321" t="str">
        <f aca="false">IF($A176="N/A"," ",RANK(U176,$R$172:$Z$183))</f>
        <v> </v>
      </c>
      <c r="AN176" s="321" t="str">
        <f aca="false">IF($A176="N/A"," ",RANK(V176,$R$172:$Z$183))</f>
        <v> </v>
      </c>
      <c r="AO176" s="321" t="str">
        <f aca="false">IF($A176="N/A"," ",RANK(W176,$R$172:$Z$183))</f>
        <v> </v>
      </c>
      <c r="AP176" s="321" t="str">
        <f aca="false">IF($A176="N/A"," ",RANK(X176,$R$172:$Z$183))</f>
        <v> </v>
      </c>
      <c r="AQ176" s="321" t="str">
        <f aca="false">IF($A176="N/A"," ",RANK(Y176,$R$172:$Z$183))</f>
        <v> </v>
      </c>
      <c r="AR176" s="345" t="str">
        <f aca="false">IF($A176="N/A"," ",RANK(Z176,$R$172:$Z$183))</f>
        <v> </v>
      </c>
      <c r="AS176" s="323" t="str">
        <f aca="false">IF($A176="N/A"," ",IF(AJ176&lt;=$AR$2,AA176,0))</f>
        <v> </v>
      </c>
      <c r="AT176" s="325" t="str">
        <f aca="false">IF($A176="N/A"," ",IF(AK176&lt;=$AR$2,AB176,0))</f>
        <v> </v>
      </c>
      <c r="AU176" s="325" t="str">
        <f aca="false">IF($A176="N/A"," ",IF(AL176&lt;=$AR$2,AC176,0))</f>
        <v> </v>
      </c>
      <c r="AV176" s="325" t="str">
        <f aca="false">IF($A176="N/A"," ",IF(AM176&lt;=$AR$2,AD176,0))</f>
        <v> </v>
      </c>
      <c r="AW176" s="325" t="str">
        <f aca="false">IF($A176="N/A"," ",IF(AN176&lt;=$AR$2,AE176,0))</f>
        <v> </v>
      </c>
      <c r="AX176" s="325" t="str">
        <f aca="false">IF($A176="N/A"," ",IF(AO176&lt;=$AR$2,AF176,0))</f>
        <v> </v>
      </c>
      <c r="AY176" s="325" t="str">
        <f aca="false">IF($A176="N/A"," ",IF(AP176&lt;=$AR$2,AG176,0))</f>
        <v> </v>
      </c>
      <c r="AZ176" s="325" t="str">
        <f aca="false">IF($A176="N/A"," ",IF(AQ176&lt;=$AR$2,AH176,0))</f>
        <v> </v>
      </c>
      <c r="BA176" s="325" t="str">
        <f aca="false">IF($A176="N/A"," ",IF(AR176&lt;=$AR$2,AI176,0))</f>
        <v> </v>
      </c>
      <c r="BB176" s="345"/>
      <c r="BC176" s="326" t="str">
        <f aca="false">IF($A176="N/A"," ",IF(AND(AJ176=$AR$2+1,AS176=0),MIN($BB$183,AA176),0))</f>
        <v> </v>
      </c>
      <c r="BD176" s="346" t="str">
        <f aca="false">IF($A176="N/A"," ",IF(AND(AK176=$AR$2+1,AT176=0),MIN($BB$183,AB176),0))</f>
        <v> </v>
      </c>
      <c r="BE176" s="346" t="str">
        <f aca="false">IF($A176="N/A"," ",IF(AND(AL176=$AR$2+1,AU176=0),MIN($BB$183,AC176),0))</f>
        <v> </v>
      </c>
      <c r="BF176" s="346" t="str">
        <f aca="false">IF($A176="N/A"," ",IF(AND(AM176=$AR$2+1,AV176=0),MIN($BB$183,AD176),0))</f>
        <v> </v>
      </c>
      <c r="BG176" s="346" t="str">
        <f aca="false">IF($A176="N/A"," ",IF(AND(AN176=$AR$2+1,AW176=0),MIN($BB$183,AE176),0))</f>
        <v> </v>
      </c>
      <c r="BH176" s="346" t="str">
        <f aca="false">IF($A176="N/A"," ",IF(AND(AO176=$AR$2+1,AX176=0),MIN($BB$183,AF176),0))</f>
        <v> </v>
      </c>
      <c r="BI176" s="346" t="str">
        <f aca="false">IF($A176="N/A"," ",IF(AND(AP176=$AR$2+1,AY176=0),MIN($BB$183,AG176),0))</f>
        <v> </v>
      </c>
      <c r="BJ176" s="346" t="str">
        <f aca="false">IF($A176="N/A"," ",IF(AND(AQ176=$AR$2+1,AZ176=0),MIN($BB$183,AH176),0))</f>
        <v> </v>
      </c>
      <c r="BK176" s="346" t="str">
        <f aca="false">IF($A176="N/A"," ",IF(AND(AR176=$AR$2+1,BA176=0),MIN($BB$183,AI176),0))</f>
        <v> </v>
      </c>
      <c r="BL176" s="345"/>
      <c r="BM176" s="329" t="str">
        <f aca="false">IF($A176="N/A"," ",(IF(MONTH(A176)&gt;=4,IF(MONTH(A176)&lt;=10,Inputs!$F$13-Inputs!$G$13,Inputs!$F$14-Inputs!$G$14),Inputs!$F$14-Inputs!$G$14))*$CK176*Availability)</f>
        <v> </v>
      </c>
      <c r="BN176" s="330" t="str">
        <f aca="false">IF($A176="N/A"," ",(IF(AS176&gt;0,($BM176*(8*($HD176))*R176),0)+IF(BC176&gt;0,($BM176*((BC176/AA176)*8*$HD176)*R176),0)))</f>
        <v> </v>
      </c>
      <c r="BO176" s="330" t="str">
        <f aca="false">IF($A176="N/A"," ",(IF(AT176&gt;0,($BM176*(8*($HD176))*S176),0)+IF(BD176&gt;0,($BM176*((BD176/AB176)*8*$HD176)*S176),0)))</f>
        <v> </v>
      </c>
      <c r="BP176" s="330" t="str">
        <f aca="false">IF($A176="N/A"," ",(IF(AU176&gt;0,($BM176*(8*($HD176))*T176),0)+IF(BE176&gt;0,($BM176*((BE176))*T176),0)))</f>
        <v> </v>
      </c>
      <c r="BQ176" s="330" t="str">
        <f aca="false">IF($A176="N/A"," ",(IF(AV176&gt;0,($BM176*(8*($HE176))*U176),0)+IF(BF176&gt;0,($BM176*((BF176/AD176)*8*$HE176)*U176),0)))</f>
        <v> </v>
      </c>
      <c r="BR176" s="330" t="str">
        <f aca="false">IF($A176="N/A"," ",(IF(AW176&gt;0,($BM176*(8*($HE176))*V176),0)+IF(BG176&gt;0,($BM176*((BG176/AE176)*8*$HE176)*V176),0)))</f>
        <v> </v>
      </c>
      <c r="BS176" s="330" t="str">
        <f aca="false">IF($A176="N/A"," ",(IF(AX176&gt;0,($BM176*(8*($HE176))*W176),0)+IF(BH176&gt;0,($BM176*((BH176))*W176),0)))</f>
        <v> </v>
      </c>
      <c r="BT176" s="330" t="str">
        <f aca="false">IF($A176="N/A"," ",(IF(AY176&gt;0,($BM176*(8*($HF176))*X176),0)+IF(BI176&gt;0,($BM176*((BI176/AG176)*8*$HF176)*X176),0)))</f>
        <v> </v>
      </c>
      <c r="BU176" s="330" t="str">
        <f aca="false">IF($A176="N/A"," ",(IF(AZ176&gt;0,($BM176*(8*($HF176))*Y176),0)+IF(BJ176&gt;0,($BM176*((BJ176/AH176)*8*$HF176)*Y176),0)))</f>
        <v> </v>
      </c>
      <c r="BV176" s="330" t="str">
        <f aca="false">IF($A176="N/A"," ",(IF(BA176&gt;0,($BM176*(8*($HF176))*Z176),0)+IF(BK176&gt;0,($BM176*((BK176))*Z176),0)))</f>
        <v> </v>
      </c>
      <c r="BW176" s="330" t="str">
        <f aca="false">IF($A176="N/A"," ",SUM(BN176:BV176))</f>
        <v> </v>
      </c>
      <c r="BX176" s="331" t="str">
        <f aca="false">IF($A176="N/A"," ",(H176*(SUM(AS176:BA176)+SUM(BC176:BK176))*BM176))</f>
        <v> </v>
      </c>
      <c r="BY176" s="332" t="str">
        <f aca="false">IF($A176="N/A"," ",((C176*D176)*(SUM($AS176:$BA176)+SUM($BC176:$BK176))*$BM176))</f>
        <v> </v>
      </c>
      <c r="BZ176" s="332" t="str">
        <f aca="false">IF($A176="N/A"," ",(F176*(SUM($AS176:$BA176)+SUM($BC176:$BK176))*$BM176))</f>
        <v> </v>
      </c>
      <c r="CA176" s="333" t="str">
        <f aca="false">IF($A176="N/A"," ",(G176*(SUM($AS176:$BA176)+SUM($BC176:$BK176))*$BM176))</f>
        <v> </v>
      </c>
      <c r="CB176" s="334" t="str">
        <f aca="false">IF(A176="N/A"," ",(VLOOKUP(A176,PowerVolTable,(IF(BMO=2,7,IF(BMO=1,6,8))),FALSE())))</f>
        <v> </v>
      </c>
      <c r="CC176" s="334" t="str">
        <f aca="false">IF(A176="N/A"," ",(VLOOKUP(A176,IntraPowerVol,(IF(BMO=2,3,IF(BMO=1,2,4))),FALSE())*VLOOKUP(MONTH($A176),Volscale,2)))</f>
        <v> </v>
      </c>
      <c r="CD176" s="335" t="str">
        <f aca="false">IF($A176="N/A"," ",(IF(DateToday&gt;$A176,$CC176,((($CB176^2)*((($A176-1)-DateToday)/((EOMONTH($A176,0)+1)-DateToday-15)))+((($CC176)^2)*((15)/((EOMONTH($A176,0)+1)-DateToday-15))))^0.5)))</f>
        <v> </v>
      </c>
      <c r="CE176" s="334" t="str">
        <f aca="false">IF($A176="N/A"," ",(VLOOKUP($A176,GasVolTable,(IF(BMO=2,6,IF(BMO=1,7,5))),FALSE())))</f>
        <v> </v>
      </c>
      <c r="CF176" s="334" t="str">
        <f aca="false">IF($A176="N/A"," ",(VLOOKUP($A176,OmicronVol,(IF(BMO=2,3,IF(BMO=1,4,2))),FALSE())))</f>
        <v> </v>
      </c>
      <c r="CG176" s="335" t="str">
        <f aca="false">IF($A176="N/A"," ",(IF(DateToday&gt;$A176,$CF176,((($CE176^2)*((($A176-1)-DateToday)/((EOMONTH($A176,0)+1)-DateToday-15)))+((($CF176)^2)*((15)/((EOMONTH($A176,0)+1)-DateToday-15))))^0.5)))</f>
        <v> </v>
      </c>
      <c r="CH176" s="334" t="str">
        <f aca="false">IF($A176="N/A"," ",VLOOKUP($A176,CorrelationTable,2,FALSE()))</f>
        <v> </v>
      </c>
      <c r="CI176" s="336" t="str">
        <f aca="false">IF($A176="N/A"," ",F176+G176+(D176*('Pricing Inputs'!T209)))</f>
        <v> </v>
      </c>
      <c r="CJ176" s="334" t="str">
        <f aca="false">IF($A176="N/A"," ",IF(PV=1,0,'Pricing Inputs'!U209))</f>
        <v> </v>
      </c>
      <c r="CK176" s="337" t="str">
        <f aca="false">IF($A176="N/A"," ",(1+CJ176/2)^(-2*((EOMONTH(A176,0)+20)-DateToday)/365.25))</f>
        <v> </v>
      </c>
      <c r="CL176" s="338" t="str">
        <f aca="false">IF(A176="N/A"," ",IF(CC=2,(VLOOKUP(MONTH($A176),Hrtable,3))/1000,0))</f>
        <v> </v>
      </c>
      <c r="CM176" s="339" t="str">
        <f aca="false">IF(A176="N/A"," ",IF(CC=2,(CL176*C176)+F176,0))</f>
        <v> </v>
      </c>
      <c r="CN176" s="340" t="str">
        <f aca="false">IF($A176="N/A"," ",IF(CC=2,(VLOOKUP(A176,ScaledPrice,(IF(AND(Dayrun&gt;=1,Dayrun&lt;=6),2,4)))-((IF(R176&lt;&gt;0,$D176,$CL176)*$C176)+$F176+$G176)),0))</f>
        <v> </v>
      </c>
      <c r="CO176" s="340" t="str">
        <f aca="false">IF($A176="N/A"," ",IF(CC=2,(IF(AND(Dayrun&gt;=1,Dayrun&lt;=6),I176,(VLOOKUP(A176,ScaledPrice,2))*(2-(VLOOKUP(A176,ScaledPrice,3))))-((IF(S176&lt;&gt;0,$D176,$CL176)*$C176)+$F176+$G176)),0))</f>
        <v> </v>
      </c>
      <c r="CP176" s="340" t="str">
        <f aca="false">IF(A176="N/A"," ",IF(CC=2,(VLOOKUP(A176,ScaledPrice,9)-((IF(T176&lt;&gt;0,$D176,$CL176)*$C176)+$F176+$G176)),0))</f>
        <v> </v>
      </c>
      <c r="CQ176" s="340" t="str">
        <f aca="false">IF(A176="N/A"," ",IF(CC=2,(IF(OR(Dayrun=2,Dayrun=3,Dayrun=5,Dayrun=6,Dayrun=8,Dayrun=9),VLOOKUP(A176,ScaledPrice,IF(AND(Dayrun&gt;=2,Dayrun&lt;=6),5,6)),0)-((IF(U176&lt;&gt;0,$D176,$CL176)*$C176)+$F176+$G176)),0))</f>
        <v> </v>
      </c>
      <c r="CR176" s="340" t="str">
        <f aca="false">IF(A176="N/A"," ",IF(CC=2,(IF(OR(Dayrun=2,Dayrun=3,Dayrun=5,Dayrun=6,Dayrun=8,Dayrun=9),IF(AND(Dayrun&gt;=2,Dayrun&lt;=6),L176,(VLOOKUP(A176,ScaledPrice,5))*(2-(VLOOKUP(A176,ScaledPrice,3)))),0)-((IF(V176&lt;&gt;0,$D176,$CL176)*$C176)+$F176+$G176)),0))</f>
        <v> </v>
      </c>
      <c r="CS176" s="340" t="str">
        <f aca="false">IF(A176="N/A"," ",IF(CC=2,(VLOOKUP(A176,ScaledPrice,9)-((IF(W176&lt;&gt;0,$D176,$CL176)*$C176)+$F176+$G176)),0))</f>
        <v> </v>
      </c>
      <c r="CT176" s="340" t="str">
        <f aca="false">IF(A176="N/A"," ",IF(CC=2,(IF(OR(Dayrun=3,Dayrun=6,Dayrun=9),(VLOOKUP(A176,ScaledPrice,IF(AND(Dayrun&gt;=3,Dayrun&lt;=6),7,8))),0)-((IF(X176&lt;&gt;0,$D176,$CL176)*$C176)+$F176+$G176)),0))</f>
        <v> </v>
      </c>
      <c r="CU176" s="340" t="str">
        <f aca="false">IF(A176="N/A"," ",IF(CC=2,(IF(OR(Dayrun=3,Dayrun=6,Dayrun=9),IF(AND(Dayrun&gt;=3,Dayrun&lt;=6),O176,(VLOOKUP(A176,ScaledPrice,7))*(2-(VLOOKUP(A176,ScaledPrice,3)))),0)-((IF(Y176&lt;&gt;0,$D176,$CL176)*$C176)+$F176+$G176)),0))</f>
        <v> </v>
      </c>
      <c r="CV176" s="340" t="str">
        <f aca="false">IF(A176="N/A"," ",IF(CC=2,(VLOOKUP(A176,ScaledPrice,9)-((IF(Z176&lt;&gt;0,$D176,$CL176)*$C176)+$F176+$G176)),0))</f>
        <v> </v>
      </c>
      <c r="CW176" s="318" t="str">
        <f aca="false">IF($A176="N/A"," ",IF(0&lt;&gt;CN176,IF(CC=2,8*$HD176,0),0))</f>
        <v> </v>
      </c>
      <c r="CX176" s="318" t="str">
        <f aca="false">IF($A176="N/A"," ",IF(0&lt;&gt;CO176,IF(CC=2,8*$HD176,0),0))</f>
        <v> </v>
      </c>
      <c r="CY176" s="318" t="str">
        <f aca="false">IF($A176="N/A"," ",IF(0&lt;&gt;CP176,IF(CC=2,8*$HD176,0),0))</f>
        <v> </v>
      </c>
      <c r="CZ176" s="318" t="str">
        <f aca="false">IF($A176="N/A"," ",IF(0&lt;&gt;CQ176,IF(CC=2,8*$HE176,0),0))</f>
        <v> </v>
      </c>
      <c r="DA176" s="318" t="str">
        <f aca="false">IF($A176="N/A"," ",IF(0&lt;&gt;CR176,IF(CC=2,8*$HE176,0),0))</f>
        <v> </v>
      </c>
      <c r="DB176" s="318" t="str">
        <f aca="false">IF($A176="N/A"," ",IF(0&lt;&gt;CS176,IF(CC=2,8*$HE176,0),0))</f>
        <v> </v>
      </c>
      <c r="DC176" s="318" t="str">
        <f aca="false">IF($A176="N/A"," ",IF(0&lt;&gt;CT176,IF(CC=2,8*$HF176,0),0))</f>
        <v> </v>
      </c>
      <c r="DD176" s="318" t="str">
        <f aca="false">IF($A176="N/A"," ",IF(0&lt;&gt;CU176,IF(CC=2,8*$HF176,0),0))</f>
        <v> </v>
      </c>
      <c r="DE176" s="318" t="str">
        <f aca="false">IF($A176="N/A"," ",IF(0&lt;&gt;CV176,IF(CC=2,8*$HF176,0),0))</f>
        <v> </v>
      </c>
      <c r="DF176" s="341" t="str">
        <f aca="false">IF($A176="N/A"," ",IF(CC=2,(IF(MONTH(A176)&gt;=4,IF(MONTH(A176)&lt;=10,Inputs!$G$13,Inputs!$G$14),Inputs!$G$14))*$CK176,0))</f>
        <v> </v>
      </c>
      <c r="DG176" s="342" t="str">
        <f aca="false">IF($A176="N/A"," ",IF(CC=2,$DF176*CW176*CN176,0))</f>
        <v> </v>
      </c>
      <c r="DH176" s="342" t="str">
        <f aca="false">IF($A176="N/A"," ",IF(CC=2,$DF176*CX176*CO176,0))</f>
        <v> </v>
      </c>
      <c r="DI176" s="342" t="str">
        <f aca="false">IF($A176="N/A"," ",IF(CC=2,$DF176*CY176*CP176,0))</f>
        <v> </v>
      </c>
      <c r="DJ176" s="342" t="str">
        <f aca="false">IF($A176="N/A"," ",IF(CC=2,$DF176*CZ176*CQ176,0))</f>
        <v> </v>
      </c>
      <c r="DK176" s="342" t="str">
        <f aca="false">IF($A176="N/A"," ",IF(CC=2,$DF176*DA176*CR176,0))</f>
        <v> </v>
      </c>
      <c r="DL176" s="342" t="str">
        <f aca="false">IF($A176="N/A"," ",IF(CC=2,$DF176*DB176*CS176,0))</f>
        <v> </v>
      </c>
      <c r="DM176" s="342" t="str">
        <f aca="false">IF($A176="N/A"," ",IF(CC=2,$DF176*DC176*CT176,0))</f>
        <v> </v>
      </c>
      <c r="DN176" s="342" t="str">
        <f aca="false">IF($A176="N/A"," ",IF(CC=2,$DF176*DD176*CU176,0))</f>
        <v> </v>
      </c>
      <c r="DO176" s="342" t="str">
        <f aca="false">IF($A176="N/A"," ",IF(CC=2,$DF176*DE176*CV176,0))</f>
        <v> </v>
      </c>
      <c r="DP176" s="343" t="str">
        <f aca="false">IF($A176="N/A"," ",IF(CC=2,SUM(DG176:DO176),0))</f>
        <v> </v>
      </c>
      <c r="DQ176" s="0" t="str">
        <f aca="false">IF(A176="N/A"," ",Perstart)</f>
        <v> </v>
      </c>
      <c r="HD176" s="0" t="str">
        <f aca="false">IF($A176="N/A"," ",VLOOKUP($A176,NumberofDaysTable,2))</f>
        <v> </v>
      </c>
      <c r="HE176" s="0" t="str">
        <f aca="false">IF($A176="N/A"," ",VLOOKUP($A176,NumberofDaysTable,3))</f>
        <v> </v>
      </c>
      <c r="HF176" s="0" t="str">
        <f aca="false">IF($A176="N/A"," ",VLOOKUP($A176,NumberofDaysTable,4))</f>
        <v> </v>
      </c>
    </row>
    <row r="177" customFormat="false" ht="12.75" hidden="false" customHeight="false" outlineLevel="0" collapsed="false">
      <c r="A177" s="308" t="str">
        <f aca="false">IF(A176="N/A","N/A",IF(EDATE(A176,1)&gt;Inputs!$K$3,"N/A",EDATE(A176,1)))</f>
        <v>N/A</v>
      </c>
      <c r="B177" s="309" t="str">
        <f aca="false">IF(A177="N/A"," ",YEAR(A177))</f>
        <v> </v>
      </c>
      <c r="C177" s="310" t="str">
        <f aca="false">IF(A177="N/A"," ",VLOOKUP(A177,ScaledPrice,10))</f>
        <v> </v>
      </c>
      <c r="D177" s="311" t="str">
        <f aca="false">IF(A177="N/A"," ",(VLOOKUP(MONTH($A177),Hrtable,2))/1000)</f>
        <v> </v>
      </c>
      <c r="E177" s="312" t="str">
        <f aca="false">IF($A177="N/A"," ",(C177-'Pricing Inputs'!T210)*D177)</f>
        <v> </v>
      </c>
      <c r="F177" s="313" t="str">
        <f aca="false">IF(A177="N/A"," ",$F165*(1+VOMesc))</f>
        <v> </v>
      </c>
      <c r="G177" s="313" t="str">
        <f aca="false">IF(A177="N/A"," ",Perstart/IF(AND(Dayrun&gt;=4,Dayrun&lt;=6),16,IF(AND(Dayrun&gt;=7,Dayrun&lt;=9),8,24))/(BM177/CK177))</f>
        <v> </v>
      </c>
      <c r="H177" s="314" t="str">
        <f aca="false">IF(A177="N/A"," ",(C177*D177)+F177+G177)</f>
        <v> </v>
      </c>
      <c r="I177" s="315" t="str">
        <f aca="false">VLOOKUP(A177,ScaledPrice,(IF(AND(Dayrun&gt;=1,Dayrun&lt;=6),2,4)))</f>
        <v> </v>
      </c>
      <c r="J177" s="315" t="str">
        <f aca="false">IF(A177="N/A"," ",IF(AND(Dayrun&gt;=1,Dayrun&lt;=6),I177,(VLOOKUP(A177,ScaledPrice,2))*(2-(VLOOKUP(A177,ScaledPrice,3)))))</f>
        <v> </v>
      </c>
      <c r="K177" s="315" t="str">
        <f aca="false">IF(A177="N/A"," ",IF(AND(Dayrun&gt;=1,Dayrun&lt;=3),VLOOKUP(A177,ScaledPrice,9),0))</f>
        <v> </v>
      </c>
      <c r="L177" s="315" t="str">
        <f aca="false">IF(A177="N/A"," ",IF(OR(Dayrun=2,Dayrun=3,Dayrun=5,Dayrun=6,Dayrun=8,Dayrun=9),VLOOKUP(A177,ScaledPrice,IF(AND(Dayrun&gt;=2,Dayrun&lt;=6),5,6)),0))</f>
        <v> </v>
      </c>
      <c r="M177" s="315" t="str">
        <f aca="false">IF(A177="N/A"," ",IF(OR(Dayrun=2,Dayrun=3,Dayrun=5,Dayrun=6,Dayrun=8,Dayrun=9),IF(AND(Dayrun&gt;=2,Dayrun&lt;=6),L177,(VLOOKUP(A177,ScaledPrice,5))*(2-(VLOOKUP(A177,ScaledPrice,3)))),0))</f>
        <v> </v>
      </c>
      <c r="N177" s="315" t="str">
        <f aca="false">IF(A177="N/A"," ",IF(AND(Dayrun&gt;1,Dayrun&lt;=3),VLOOKUP(A177,ScaledPrice,9),0))</f>
        <v> </v>
      </c>
      <c r="O177" s="315" t="str">
        <f aca="false">IF(A177="N/A"," ",IF(OR(Dayrun=3,Dayrun=6,Dayrun=9),(VLOOKUP(A177,ScaledPrice,IF(AND(Dayrun&gt;=3,Dayrun&lt;=6),7,8))),0))</f>
        <v> </v>
      </c>
      <c r="P177" s="315" t="str">
        <f aca="false">IF(A177="N/A"," ",IF(OR(Dayrun=3,Dayrun=6,Dayrun=9),IF(AND(Dayrun&gt;=3,Dayrun&lt;=6),O177,(VLOOKUP(A177,ScaledPrice,7))*(2-(VLOOKUP(A177,ScaledPrice,3)))),0))</f>
        <v> </v>
      </c>
      <c r="Q177" s="315" t="str">
        <f aca="false">IF(A177="N/A"," ",IF(AND(Dayrun&gt;2,Dayrun&lt;=3),VLOOKUP(A177,ScaledPrice,9),0))</f>
        <v> </v>
      </c>
      <c r="R177" s="316" t="str">
        <f aca="false">IF($A177="N/A"," ",IF(Pricetype=2,MAX(I177-$H177,0),IF(Pricetype=1,(xSPRDOPT(I177,$E177,$CI177,0,($CD177+IF(Smile=TRUE(),VLOOKUP(MAX(-5,$H177-I177),Volsmile,2),0)),$CG177,$CH177,($A177-DateToday)+15,1,0)),I177-$H177)))</f>
        <v> </v>
      </c>
      <c r="S177" s="316" t="str">
        <f aca="false">IF($A177="N/A"," ",IF(Pricetype=2,MAX(J177-$H177,0),IF(Pricetype=1,(xSPRDOPT(J177,$E177,$CI177,0,($CD177+IF(Smile=TRUE(),VLOOKUP(MAX(-5,$H177-J177),Volsmile,2),0)),$CG177,$CH177,($A177-DateToday)+15,1,0)),J177-$H177)))</f>
        <v> </v>
      </c>
      <c r="T177" s="317" t="str">
        <f aca="false">IF($A177="N/A"," ",(IF(Pricetype=2,IF((K177-$H177)&lt;=0,0,(K177-$H177)),IF(K177&lt;&gt;0,(K177-$H177),0))))</f>
        <v> </v>
      </c>
      <c r="U177" s="316" t="str">
        <f aca="false">IF($A177="N/A"," ",IF(Pricetype=2,MAX(L177-$H177,0),IF(L177&lt;&gt;0,IF(Pricetype=1,(xSPRDOPT(L177,$E177,$CI177,0,($CD177+IF(Smile=TRUE(),VLOOKUP(MAX(-5,$H177-L177),Volsmile,2),0)),$CG177,$CH177,($A177-DateToday)+15,1,0)),L177-$H177),0)))</f>
        <v> </v>
      </c>
      <c r="V177" s="316" t="str">
        <f aca="false">IF($A177="N/A"," ",IF(Pricetype=2,MAX(M177-$H177,0),IF(M177&lt;&gt;0,IF(Pricetype=1,(xSPRDOPT(M177,$E177,$CI177,0,($CD177+IF(Smile=TRUE(),VLOOKUP(MAX(-5,$H177-M177),Volsmile,2),0)),$CG177,$CH177,($A177-DateToday)+15,1,0)),M177-$H177),0)))</f>
        <v> </v>
      </c>
      <c r="W177" s="317" t="str">
        <f aca="false">IF($A177="N/A"," ",(IF(Pricetype=2,IF((N177-$H177)&lt;=0,0,(N177-$H177)),IF(N177&lt;&gt;0,(N177-$H177),0))))</f>
        <v> </v>
      </c>
      <c r="X177" s="316" t="str">
        <f aca="false">IF($A177="N/A"," ",IF(Pricetype=2,MAX(O177-$H177,0),IF(O177&lt;&gt;0,IF(Pricetype=1,(xSPRDOPT(O177,$E177,$CI177,0,($CD177+IF(Smile=TRUE(),VLOOKUP(MAX(-5,$H177-O177),Volsmile,2),0)),$CG177,$CH177,($A177-DateToday)+15,1,0)),O177-$H177),0)))</f>
        <v> </v>
      </c>
      <c r="Y177" s="316" t="str">
        <f aca="false">IF($A177="N/A"," ",IF(Pricetype=2,MAX(P177-$H177,0),IF(P177&lt;&gt;0,IF(Pricetype=1,(xSPRDOPT(P177,$E177,$CI177,0,($CD177+IF(Smile=TRUE(),VLOOKUP(MAX(-5,$H177-P177),Volsmile,2),0)),$CG177,$CH177,($A177-DateToday)+15,1,0)),P177-$H177),0)))</f>
        <v> </v>
      </c>
      <c r="Z177" s="317" t="str">
        <f aca="false">IF($A177="N/A"," ",(IF(Pricetype=2,IF((Q177-$H177)&lt;=0,0,(Q177-$H177)),IF(Q177&lt;&gt;0,(Q177-$H177),0))))</f>
        <v> </v>
      </c>
      <c r="AA177" s="318" t="str">
        <f aca="false">IF($A177="N/A"," ",IF(VLOOKUP(MONTH(A177),ManualTable,2)=1,(IF(0&lt;&gt;R177,IF(Pricetype=1,(xSPRDOPT(I177,$E177,$CI177,0,($CD177+IF(Smile=TRUE(),VLOOKUP(MAX(-5,$H177-I177),Volsmile,2),0)),$CG177,$CH177,($A177-DateToday)+15,1,1))*(8*$HD177),8*$HD177),0)),0))</f>
        <v> </v>
      </c>
      <c r="AB177" s="318" t="str">
        <f aca="false">IF($A177="N/A"," ",IF(VLOOKUP(MONTH(A177),ManualTable,3)=1,(IF(S177&lt;&gt;0,IF(Pricetype=1,(xSPRDOPT(J177,$E177,$CI177,0,($CD177+IF(Smile=TRUE(),VLOOKUP(MAX(-5,$H177-J177),Volsmile,2),0)),$CG177,$CH177,($A177-DateToday)+15,1,1))*(8*$HD177),8*$HD177),0)),0))</f>
        <v> </v>
      </c>
      <c r="AC177" s="318" t="str">
        <f aca="false">IF($A177="N/A"," ",IF(VLOOKUP(MONTH(A177),ManualTable,4)=1,(IF(T177&lt;&gt;0,(8*$HD177),0)),0))</f>
        <v> </v>
      </c>
      <c r="AD177" s="318" t="str">
        <f aca="false">IF($A177="N/A"," ",IF(VLOOKUP(MONTH(A177),ManualTable,5)=1,(IF(U177&lt;&gt;0,IF(Pricetype=1,(xSPRDOPT(L177,$E177,$CI177,0,($CD177+IF(Smile=TRUE(),VLOOKUP(MAX(-5,$H177-L177),Volsmile,2),0)),$CG177,$CH177,($A177-DateToday)+15,1,1))*(8*$HE177),8*$HE177),0)),0))</f>
        <v> </v>
      </c>
      <c r="AE177" s="318" t="str">
        <f aca="false">IF($A177="N/A"," ",IF(VLOOKUP(MONTH(A177),ManualTable,6)=1,(IF(V177&lt;&gt;0,IF(Pricetype=1,(xSPRDOPT(M177,$E177,$CI177,0,($CD177+IF(Smile=TRUE(),VLOOKUP(MAX(-5,$H177-M177),Volsmile,2),0)),$CG177,$CH177,($A177-DateToday)+15,1,1))*(8*$HE177),8*$HE177),0)),0))</f>
        <v> </v>
      </c>
      <c r="AF177" s="318" t="str">
        <f aca="false">IF($A177="N/A"," ",IF(VLOOKUP(MONTH(A177),ManualTable,7)=1,(IF(W177&lt;&gt;0,(8*$HE177),0)),0))</f>
        <v> </v>
      </c>
      <c r="AG177" s="318" t="str">
        <f aca="false">IF($A177="N/A"," ",IF(VLOOKUP(MONTH(A177),ManualTable,8)=1,(IF(X177&lt;&gt;0,IF(Pricetype=1,(xSPRDOPT(O177,$E177,$CI177,0,($CD177+IF(Smile=TRUE(),VLOOKUP(MAX(-5,$H177-O177),Volsmile,2),0)),$CG177,$CH177,($A177-DateToday)+15,1,1))*(8*$HF177),8*$HF177),0)),0))</f>
        <v> </v>
      </c>
      <c r="AH177" s="318" t="str">
        <f aca="false">IF($A177="N/A"," ",IF(VLOOKUP(MONTH(A177),ManualTable,9)=1,(IF(Y177&lt;&gt;0,IF(Pricetype=1,(xSPRDOPT(P177,$E177,$CI177,0,($CD177+IF(Smile=TRUE(),VLOOKUP(MAX(-5,$H177-P177),Volsmile,2),0)),$CG177,$CH177,($A177-DateToday)+15,1,1))*(8*$HF177),8*$HF177),0)),0))</f>
        <v> </v>
      </c>
      <c r="AI177" s="318" t="str">
        <f aca="false">IF($A177="N/A"," ",IF(VLOOKUP(MONTH(A177),ManualTable,10)=1,(IF(Z177&lt;&gt;0,(8*($HF177)),0)),0))</f>
        <v> </v>
      </c>
      <c r="AJ177" s="344" t="str">
        <f aca="false">IF($A177="N/A"," ",RANK(R177,$R$172:$Z$183))</f>
        <v> </v>
      </c>
      <c r="AK177" s="321" t="str">
        <f aca="false">IF($A177="N/A"," ",RANK(S177,$R$172:$Z$183))</f>
        <v> </v>
      </c>
      <c r="AL177" s="321" t="str">
        <f aca="false">IF($A177="N/A"," ",RANK(T177,$R$172:$Z$183))</f>
        <v> </v>
      </c>
      <c r="AM177" s="321" t="str">
        <f aca="false">IF($A177="N/A"," ",RANK(U177,$R$172:$Z$183))</f>
        <v> </v>
      </c>
      <c r="AN177" s="321" t="str">
        <f aca="false">IF($A177="N/A"," ",RANK(V177,$R$172:$Z$183))</f>
        <v> </v>
      </c>
      <c r="AO177" s="321" t="str">
        <f aca="false">IF($A177="N/A"," ",RANK(W177,$R$172:$Z$183))</f>
        <v> </v>
      </c>
      <c r="AP177" s="321" t="str">
        <f aca="false">IF($A177="N/A"," ",RANK(X177,$R$172:$Z$183))</f>
        <v> </v>
      </c>
      <c r="AQ177" s="321" t="str">
        <f aca="false">IF($A177="N/A"," ",RANK(Y177,$R$172:$Z$183))</f>
        <v> </v>
      </c>
      <c r="AR177" s="345" t="str">
        <f aca="false">IF($A177="N/A"," ",RANK(Z177,$R$172:$Z$183))</f>
        <v> </v>
      </c>
      <c r="AS177" s="323" t="str">
        <f aca="false">IF($A177="N/A"," ",IF(AJ177&lt;=$AR$2,AA177,0))</f>
        <v> </v>
      </c>
      <c r="AT177" s="325" t="str">
        <f aca="false">IF($A177="N/A"," ",IF(AK177&lt;=$AR$2,AB177,0))</f>
        <v> </v>
      </c>
      <c r="AU177" s="325" t="str">
        <f aca="false">IF($A177="N/A"," ",IF(AL177&lt;=$AR$2,AC177,0))</f>
        <v> </v>
      </c>
      <c r="AV177" s="325" t="str">
        <f aca="false">IF($A177="N/A"," ",IF(AM177&lt;=$AR$2,AD177,0))</f>
        <v> </v>
      </c>
      <c r="AW177" s="325" t="str">
        <f aca="false">IF($A177="N/A"," ",IF(AN177&lt;=$AR$2,AE177,0))</f>
        <v> </v>
      </c>
      <c r="AX177" s="325" t="str">
        <f aca="false">IF($A177="N/A"," ",IF(AO177&lt;=$AR$2,AF177,0))</f>
        <v> </v>
      </c>
      <c r="AY177" s="325" t="str">
        <f aca="false">IF($A177="N/A"," ",IF(AP177&lt;=$AR$2,AG177,0))</f>
        <v> </v>
      </c>
      <c r="AZ177" s="325" t="str">
        <f aca="false">IF($A177="N/A"," ",IF(AQ177&lt;=$AR$2,AH177,0))</f>
        <v> </v>
      </c>
      <c r="BA177" s="325" t="str">
        <f aca="false">IF($A177="N/A"," ",IF(AR177&lt;=$AR$2,AI177,0))</f>
        <v> </v>
      </c>
      <c r="BB177" s="345"/>
      <c r="BC177" s="326" t="str">
        <f aca="false">IF($A177="N/A"," ",IF(AND(AJ177=$AR$2+1,AS177=0),MIN($BB$183,AA177),0))</f>
        <v> </v>
      </c>
      <c r="BD177" s="346" t="str">
        <f aca="false">IF($A177="N/A"," ",IF(AND(AK177=$AR$2+1,AT177=0),MIN($BB$183,AB177),0))</f>
        <v> </v>
      </c>
      <c r="BE177" s="346" t="str">
        <f aca="false">IF($A177="N/A"," ",IF(AND(AL177=$AR$2+1,AU177=0),MIN($BB$183,AC177),0))</f>
        <v> </v>
      </c>
      <c r="BF177" s="346" t="str">
        <f aca="false">IF($A177="N/A"," ",IF(AND(AM177=$AR$2+1,AV177=0),MIN($BB$183,AD177),0))</f>
        <v> </v>
      </c>
      <c r="BG177" s="346" t="str">
        <f aca="false">IF($A177="N/A"," ",IF(AND(AN177=$AR$2+1,AW177=0),MIN($BB$183,AE177),0))</f>
        <v> </v>
      </c>
      <c r="BH177" s="346" t="str">
        <f aca="false">IF($A177="N/A"," ",IF(AND(AO177=$AR$2+1,AX177=0),MIN($BB$183,AF177),0))</f>
        <v> </v>
      </c>
      <c r="BI177" s="346" t="str">
        <f aca="false">IF($A177="N/A"," ",IF(AND(AP177=$AR$2+1,AY177=0),MIN($BB$183,AG177),0))</f>
        <v> </v>
      </c>
      <c r="BJ177" s="346" t="str">
        <f aca="false">IF($A177="N/A"," ",IF(AND(AQ177=$AR$2+1,AZ177=0),MIN($BB$183,AH177),0))</f>
        <v> </v>
      </c>
      <c r="BK177" s="346" t="str">
        <f aca="false">IF($A177="N/A"," ",IF(AND(AR177=$AR$2+1,BA177=0),MIN($BB$183,AI177),0))</f>
        <v> </v>
      </c>
      <c r="BL177" s="345"/>
      <c r="BM177" s="329" t="str">
        <f aca="false">IF($A177="N/A"," ",(IF(MONTH(A177)&gt;=4,IF(MONTH(A177)&lt;=10,Inputs!$F$13-Inputs!$G$13,Inputs!$F$14-Inputs!$G$14),Inputs!$F$14-Inputs!$G$14))*$CK177*Availability)</f>
        <v> </v>
      </c>
      <c r="BN177" s="330" t="str">
        <f aca="false">IF($A177="N/A"," ",(IF(AS177&gt;0,($BM177*(8*($HD177))*R177),0)+IF(BC177&gt;0,($BM177*((BC177/AA177)*8*$HD177)*R177),0)))</f>
        <v> </v>
      </c>
      <c r="BO177" s="330" t="str">
        <f aca="false">IF($A177="N/A"," ",(IF(AT177&gt;0,($BM177*(8*($HD177))*S177),0)+IF(BD177&gt;0,($BM177*((BD177/AB177)*8*$HD177)*S177),0)))</f>
        <v> </v>
      </c>
      <c r="BP177" s="330" t="str">
        <f aca="false">IF($A177="N/A"," ",(IF(AU177&gt;0,($BM177*(8*($HD177))*T177),0)+IF(BE177&gt;0,($BM177*((BE177))*T177),0)))</f>
        <v> </v>
      </c>
      <c r="BQ177" s="330" t="str">
        <f aca="false">IF($A177="N/A"," ",(IF(AV177&gt;0,($BM177*(8*($HE177))*U177),0)+IF(BF177&gt;0,($BM177*((BF177/AD177)*8*$HE177)*U177),0)))</f>
        <v> </v>
      </c>
      <c r="BR177" s="330" t="str">
        <f aca="false">IF($A177="N/A"," ",(IF(AW177&gt;0,($BM177*(8*($HE177))*V177),0)+IF(BG177&gt;0,($BM177*((BG177/AE177)*8*$HE177)*V177),0)))</f>
        <v> </v>
      </c>
      <c r="BS177" s="330" t="str">
        <f aca="false">IF($A177="N/A"," ",(IF(AX177&gt;0,($BM177*(8*($HE177))*W177),0)+IF(BH177&gt;0,($BM177*((BH177))*W177),0)))</f>
        <v> </v>
      </c>
      <c r="BT177" s="330" t="str">
        <f aca="false">IF($A177="N/A"," ",(IF(AY177&gt;0,($BM177*(8*($HF177))*X177),0)+IF(BI177&gt;0,($BM177*((BI177/AG177)*8*$HF177)*X177),0)))</f>
        <v> </v>
      </c>
      <c r="BU177" s="330" t="str">
        <f aca="false">IF($A177="N/A"," ",(IF(AZ177&gt;0,($BM177*(8*($HF177))*Y177),0)+IF(BJ177&gt;0,($BM177*((BJ177/AH177)*8*$HF177)*Y177),0)))</f>
        <v> </v>
      </c>
      <c r="BV177" s="330" t="str">
        <f aca="false">IF($A177="N/A"," ",(IF(BA177&gt;0,($BM177*(8*($HF177))*Z177),0)+IF(BK177&gt;0,($BM177*((BK177))*Z177),0)))</f>
        <v> </v>
      </c>
      <c r="BW177" s="330" t="str">
        <f aca="false">IF($A177="N/A"," ",SUM(BN177:BV177))</f>
        <v> </v>
      </c>
      <c r="BX177" s="331" t="str">
        <f aca="false">IF($A177="N/A"," ",(H177*(SUM(AS177:BA177)+SUM(BC177:BK177))*BM177))</f>
        <v> </v>
      </c>
      <c r="BY177" s="332" t="str">
        <f aca="false">IF($A177="N/A"," ",((C177*D177)*(SUM($AS177:$BA177)+SUM($BC177:$BK177))*$BM177))</f>
        <v> </v>
      </c>
      <c r="BZ177" s="332" t="str">
        <f aca="false">IF($A177="N/A"," ",(F177*(SUM($AS177:$BA177)+SUM($BC177:$BK177))*$BM177))</f>
        <v> </v>
      </c>
      <c r="CA177" s="333" t="str">
        <f aca="false">IF($A177="N/A"," ",(G177*(SUM($AS177:$BA177)+SUM($BC177:$BK177))*$BM177))</f>
        <v> </v>
      </c>
      <c r="CB177" s="334" t="str">
        <f aca="false">IF(A177="N/A"," ",(VLOOKUP(A177,PowerVolTable,(IF(BMO=2,7,IF(BMO=1,6,8))),FALSE())))</f>
        <v> </v>
      </c>
      <c r="CC177" s="334" t="str">
        <f aca="false">IF(A177="N/A"," ",(VLOOKUP(A177,IntraPowerVol,(IF(BMO=2,3,IF(BMO=1,2,4))),FALSE())*VLOOKUP(MONTH($A177),Volscale,2)))</f>
        <v> </v>
      </c>
      <c r="CD177" s="335" t="str">
        <f aca="false">IF($A177="N/A"," ",(IF(DateToday&gt;$A177,$CC177,((($CB177^2)*((($A177-1)-DateToday)/((EOMONTH($A177,0)+1)-DateToday-15)))+((($CC177)^2)*((15)/((EOMONTH($A177,0)+1)-DateToday-15))))^0.5)))</f>
        <v> </v>
      </c>
      <c r="CE177" s="334" t="str">
        <f aca="false">IF($A177="N/A"," ",(VLOOKUP($A177,GasVolTable,(IF(BMO=2,6,IF(BMO=1,7,5))),FALSE())))</f>
        <v> </v>
      </c>
      <c r="CF177" s="334" t="str">
        <f aca="false">IF($A177="N/A"," ",(VLOOKUP($A177,OmicronVol,(IF(BMO=2,3,IF(BMO=1,4,2))),FALSE())))</f>
        <v> </v>
      </c>
      <c r="CG177" s="335" t="str">
        <f aca="false">IF($A177="N/A"," ",(IF(DateToday&gt;$A177,$CF177,((($CE177^2)*((($A177-1)-DateToday)/((EOMONTH($A177,0)+1)-DateToday-15)))+((($CF177)^2)*((15)/((EOMONTH($A177,0)+1)-DateToday-15))))^0.5)))</f>
        <v> </v>
      </c>
      <c r="CH177" s="334" t="str">
        <f aca="false">IF($A177="N/A"," ",VLOOKUP($A177,CorrelationTable,2,FALSE()))</f>
        <v> </v>
      </c>
      <c r="CI177" s="336" t="str">
        <f aca="false">IF($A177="N/A"," ",F177+G177+(D177*('Pricing Inputs'!T210)))</f>
        <v> </v>
      </c>
      <c r="CJ177" s="334" t="str">
        <f aca="false">IF($A177="N/A"," ",IF(PV=1,0,'Pricing Inputs'!U210))</f>
        <v> </v>
      </c>
      <c r="CK177" s="337" t="str">
        <f aca="false">IF($A177="N/A"," ",(1+CJ177/2)^(-2*((EOMONTH(A177,0)+20)-DateToday)/365.25))</f>
        <v> </v>
      </c>
      <c r="CL177" s="338" t="str">
        <f aca="false">IF(A177="N/A"," ",IF(CC=2,(VLOOKUP(MONTH($A177),Hrtable,3))/1000,0))</f>
        <v> </v>
      </c>
      <c r="CM177" s="339" t="str">
        <f aca="false">IF(A177="N/A"," ",IF(CC=2,(CL177*C177)+F177,0))</f>
        <v> </v>
      </c>
      <c r="CN177" s="340" t="str">
        <f aca="false">IF($A177="N/A"," ",IF(CC=2,(VLOOKUP(A177,ScaledPrice,(IF(AND(Dayrun&gt;=1,Dayrun&lt;=6),2,4)))-((IF(R177&lt;&gt;0,$D177,$CL177)*$C177)+$F177+$G177)),0))</f>
        <v> </v>
      </c>
      <c r="CO177" s="340" t="str">
        <f aca="false">IF($A177="N/A"," ",IF(CC=2,(IF(AND(Dayrun&gt;=1,Dayrun&lt;=6),I177,(VLOOKUP(A177,ScaledPrice,2))*(2-(VLOOKUP(A177,ScaledPrice,3))))-((IF(S177&lt;&gt;0,$D177,$CL177)*$C177)+$F177+$G177)),0))</f>
        <v> </v>
      </c>
      <c r="CP177" s="340" t="str">
        <f aca="false">IF(A177="N/A"," ",IF(CC=2,(VLOOKUP(A177,ScaledPrice,9)-((IF(T177&lt;&gt;0,$D177,$CL177)*$C177)+$F177+$G177)),0))</f>
        <v> </v>
      </c>
      <c r="CQ177" s="340" t="str">
        <f aca="false">IF(A177="N/A"," ",IF(CC=2,(IF(OR(Dayrun=2,Dayrun=3,Dayrun=5,Dayrun=6,Dayrun=8,Dayrun=9),VLOOKUP(A177,ScaledPrice,IF(AND(Dayrun&gt;=2,Dayrun&lt;=6),5,6)),0)-((IF(U177&lt;&gt;0,$D177,$CL177)*$C177)+$F177+$G177)),0))</f>
        <v> </v>
      </c>
      <c r="CR177" s="340" t="str">
        <f aca="false">IF(A177="N/A"," ",IF(CC=2,(IF(OR(Dayrun=2,Dayrun=3,Dayrun=5,Dayrun=6,Dayrun=8,Dayrun=9),IF(AND(Dayrun&gt;=2,Dayrun&lt;=6),L177,(VLOOKUP(A177,ScaledPrice,5))*(2-(VLOOKUP(A177,ScaledPrice,3)))),0)-((IF(V177&lt;&gt;0,$D177,$CL177)*$C177)+$F177+$G177)),0))</f>
        <v> </v>
      </c>
      <c r="CS177" s="340" t="str">
        <f aca="false">IF(A177="N/A"," ",IF(CC=2,(VLOOKUP(A177,ScaledPrice,9)-((IF(W177&lt;&gt;0,$D177,$CL177)*$C177)+$F177+$G177)),0))</f>
        <v> </v>
      </c>
      <c r="CT177" s="340" t="str">
        <f aca="false">IF(A177="N/A"," ",IF(CC=2,(IF(OR(Dayrun=3,Dayrun=6,Dayrun=9),(VLOOKUP(A177,ScaledPrice,IF(AND(Dayrun&gt;=3,Dayrun&lt;=6),7,8))),0)-((IF(X177&lt;&gt;0,$D177,$CL177)*$C177)+$F177+$G177)),0))</f>
        <v> </v>
      </c>
      <c r="CU177" s="340" t="str">
        <f aca="false">IF(A177="N/A"," ",IF(CC=2,(IF(OR(Dayrun=3,Dayrun=6,Dayrun=9),IF(AND(Dayrun&gt;=3,Dayrun&lt;=6),O177,(VLOOKUP(A177,ScaledPrice,7))*(2-(VLOOKUP(A177,ScaledPrice,3)))),0)-((IF(Y177&lt;&gt;0,$D177,$CL177)*$C177)+$F177+$G177)),0))</f>
        <v> </v>
      </c>
      <c r="CV177" s="340" t="str">
        <f aca="false">IF(A177="N/A"," ",IF(CC=2,(VLOOKUP(A177,ScaledPrice,9)-((IF(Z177&lt;&gt;0,$D177,$CL177)*$C177)+$F177+$G177)),0))</f>
        <v> </v>
      </c>
      <c r="CW177" s="318" t="str">
        <f aca="false">IF($A177="N/A"," ",IF(0&lt;&gt;CN177,IF(CC=2,8*$HD177,0),0))</f>
        <v> </v>
      </c>
      <c r="CX177" s="318" t="str">
        <f aca="false">IF($A177="N/A"," ",IF(0&lt;&gt;CO177,IF(CC=2,8*$HD177,0),0))</f>
        <v> </v>
      </c>
      <c r="CY177" s="318" t="str">
        <f aca="false">IF($A177="N/A"," ",IF(0&lt;&gt;CP177,IF(CC=2,8*$HD177,0),0))</f>
        <v> </v>
      </c>
      <c r="CZ177" s="318" t="str">
        <f aca="false">IF($A177="N/A"," ",IF(0&lt;&gt;CQ177,IF(CC=2,8*$HE177,0),0))</f>
        <v> </v>
      </c>
      <c r="DA177" s="318" t="str">
        <f aca="false">IF($A177="N/A"," ",IF(0&lt;&gt;CR177,IF(CC=2,8*$HE177,0),0))</f>
        <v> </v>
      </c>
      <c r="DB177" s="318" t="str">
        <f aca="false">IF($A177="N/A"," ",IF(0&lt;&gt;CS177,IF(CC=2,8*$HE177,0),0))</f>
        <v> </v>
      </c>
      <c r="DC177" s="318" t="str">
        <f aca="false">IF($A177="N/A"," ",IF(0&lt;&gt;CT177,IF(CC=2,8*$HF177,0),0))</f>
        <v> </v>
      </c>
      <c r="DD177" s="318" t="str">
        <f aca="false">IF($A177="N/A"," ",IF(0&lt;&gt;CU177,IF(CC=2,8*$HF177,0),0))</f>
        <v> </v>
      </c>
      <c r="DE177" s="318" t="str">
        <f aca="false">IF($A177="N/A"," ",IF(0&lt;&gt;CV177,IF(CC=2,8*$HF177,0),0))</f>
        <v> </v>
      </c>
      <c r="DF177" s="341" t="str">
        <f aca="false">IF($A177="N/A"," ",IF(CC=2,(IF(MONTH(A177)&gt;=4,IF(MONTH(A177)&lt;=10,Inputs!$G$13,Inputs!$G$14),Inputs!$G$14))*$CK177,0))</f>
        <v> </v>
      </c>
      <c r="DG177" s="342" t="str">
        <f aca="false">IF($A177="N/A"," ",IF(CC=2,$DF177*CW177*CN177,0))</f>
        <v> </v>
      </c>
      <c r="DH177" s="342" t="str">
        <f aca="false">IF($A177="N/A"," ",IF(CC=2,$DF177*CX177*CO177,0))</f>
        <v> </v>
      </c>
      <c r="DI177" s="342" t="str">
        <f aca="false">IF($A177="N/A"," ",IF(CC=2,$DF177*CY177*CP177,0))</f>
        <v> </v>
      </c>
      <c r="DJ177" s="342" t="str">
        <f aca="false">IF($A177="N/A"," ",IF(CC=2,$DF177*CZ177*CQ177,0))</f>
        <v> </v>
      </c>
      <c r="DK177" s="342" t="str">
        <f aca="false">IF($A177="N/A"," ",IF(CC=2,$DF177*DA177*CR177,0))</f>
        <v> </v>
      </c>
      <c r="DL177" s="342" t="str">
        <f aca="false">IF($A177="N/A"," ",IF(CC=2,$DF177*DB177*CS177,0))</f>
        <v> </v>
      </c>
      <c r="DM177" s="342" t="str">
        <f aca="false">IF($A177="N/A"," ",IF(CC=2,$DF177*DC177*CT177,0))</f>
        <v> </v>
      </c>
      <c r="DN177" s="342" t="str">
        <f aca="false">IF($A177="N/A"," ",IF(CC=2,$DF177*DD177*CU177,0))</f>
        <v> </v>
      </c>
      <c r="DO177" s="342" t="str">
        <f aca="false">IF($A177="N/A"," ",IF(CC=2,$DF177*DE177*CV177,0))</f>
        <v> </v>
      </c>
      <c r="DP177" s="343" t="str">
        <f aca="false">IF($A177="N/A"," ",IF(CC=2,SUM(DG177:DO177),0))</f>
        <v> </v>
      </c>
      <c r="DQ177" s="0" t="str">
        <f aca="false">IF(A177="N/A"," ",Perstart)</f>
        <v> </v>
      </c>
      <c r="HD177" s="0" t="str">
        <f aca="false">IF($A177="N/A"," ",VLOOKUP($A177,NumberofDaysTable,2))</f>
        <v> </v>
      </c>
      <c r="HE177" s="0" t="str">
        <f aca="false">IF($A177="N/A"," ",VLOOKUP($A177,NumberofDaysTable,3))</f>
        <v> </v>
      </c>
      <c r="HF177" s="0" t="str">
        <f aca="false">IF($A177="N/A"," ",VLOOKUP($A177,NumberofDaysTable,4))</f>
        <v> </v>
      </c>
    </row>
    <row r="178" customFormat="false" ht="12.75" hidden="false" customHeight="false" outlineLevel="0" collapsed="false">
      <c r="A178" s="308" t="str">
        <f aca="false">IF(A177="N/A","N/A",IF(EDATE(A177,1)&gt;Inputs!$K$3,"N/A",EDATE(A177,1)))</f>
        <v>N/A</v>
      </c>
      <c r="B178" s="309" t="str">
        <f aca="false">IF(A178="N/A"," ",YEAR(A178))</f>
        <v> </v>
      </c>
      <c r="C178" s="310" t="str">
        <f aca="false">IF(A178="N/A"," ",VLOOKUP(A178,ScaledPrice,10))</f>
        <v> </v>
      </c>
      <c r="D178" s="311" t="str">
        <f aca="false">IF(A178="N/A"," ",(VLOOKUP(MONTH($A178),Hrtable,2))/1000)</f>
        <v> </v>
      </c>
      <c r="E178" s="312" t="str">
        <f aca="false">IF($A178="N/A"," ",(C178-'Pricing Inputs'!T211)*D178)</f>
        <v> </v>
      </c>
      <c r="F178" s="313" t="str">
        <f aca="false">IF(A178="N/A"," ",$F166*(1+VOMesc))</f>
        <v> </v>
      </c>
      <c r="G178" s="313" t="str">
        <f aca="false">IF(A178="N/A"," ",Perstart/IF(AND(Dayrun&gt;=4,Dayrun&lt;=6),16,IF(AND(Dayrun&gt;=7,Dayrun&lt;=9),8,24))/(BM178/CK178))</f>
        <v> </v>
      </c>
      <c r="H178" s="314" t="str">
        <f aca="false">IF(A178="N/A"," ",(C178*D178)+F178+G178)</f>
        <v> </v>
      </c>
      <c r="I178" s="315" t="str">
        <f aca="false">VLOOKUP(A178,ScaledPrice,(IF(AND(Dayrun&gt;=1,Dayrun&lt;=6),2,4)))</f>
        <v> </v>
      </c>
      <c r="J178" s="315" t="str">
        <f aca="false">IF(A178="N/A"," ",IF(AND(Dayrun&gt;=1,Dayrun&lt;=6),I178,(VLOOKUP(A178,ScaledPrice,2))*(2-(VLOOKUP(A178,ScaledPrice,3)))))</f>
        <v> </v>
      </c>
      <c r="K178" s="315" t="str">
        <f aca="false">IF(A178="N/A"," ",IF(AND(Dayrun&gt;=1,Dayrun&lt;=3),VLOOKUP(A178,ScaledPrice,9),0))</f>
        <v> </v>
      </c>
      <c r="L178" s="315" t="str">
        <f aca="false">IF(A178="N/A"," ",IF(OR(Dayrun=2,Dayrun=3,Dayrun=5,Dayrun=6,Dayrun=8,Dayrun=9),VLOOKUP(A178,ScaledPrice,IF(AND(Dayrun&gt;=2,Dayrun&lt;=6),5,6)),0))</f>
        <v> </v>
      </c>
      <c r="M178" s="315" t="str">
        <f aca="false">IF(A178="N/A"," ",IF(OR(Dayrun=2,Dayrun=3,Dayrun=5,Dayrun=6,Dayrun=8,Dayrun=9),IF(AND(Dayrun&gt;=2,Dayrun&lt;=6),L178,(VLOOKUP(A178,ScaledPrice,5))*(2-(VLOOKUP(A178,ScaledPrice,3)))),0))</f>
        <v> </v>
      </c>
      <c r="N178" s="315" t="str">
        <f aca="false">IF(A178="N/A"," ",IF(AND(Dayrun&gt;1,Dayrun&lt;=3),VLOOKUP(A178,ScaledPrice,9),0))</f>
        <v> </v>
      </c>
      <c r="O178" s="315" t="str">
        <f aca="false">IF(A178="N/A"," ",IF(OR(Dayrun=3,Dayrun=6,Dayrun=9),(VLOOKUP(A178,ScaledPrice,IF(AND(Dayrun&gt;=3,Dayrun&lt;=6),7,8))),0))</f>
        <v> </v>
      </c>
      <c r="P178" s="315" t="str">
        <f aca="false">IF(A178="N/A"," ",IF(OR(Dayrun=3,Dayrun=6,Dayrun=9),IF(AND(Dayrun&gt;=3,Dayrun&lt;=6),O178,(VLOOKUP(A178,ScaledPrice,7))*(2-(VLOOKUP(A178,ScaledPrice,3)))),0))</f>
        <v> </v>
      </c>
      <c r="Q178" s="315" t="str">
        <f aca="false">IF(A178="N/A"," ",IF(AND(Dayrun&gt;2,Dayrun&lt;=3),VLOOKUP(A178,ScaledPrice,9),0))</f>
        <v> </v>
      </c>
      <c r="R178" s="316" t="str">
        <f aca="false">IF($A178="N/A"," ",IF(Pricetype=2,MAX(I178-$H178,0),IF(Pricetype=1,(xSPRDOPT(I178,$E178,$CI178,0,($CD178+IF(Smile=TRUE(),VLOOKUP(MAX(-5,$H178-I178),Volsmile,2),0)),$CG178,$CH178,($A178-DateToday)+15,1,0)),I178-$H178)))</f>
        <v> </v>
      </c>
      <c r="S178" s="316" t="str">
        <f aca="false">IF($A178="N/A"," ",IF(Pricetype=2,MAX(J178-$H178,0),IF(Pricetype=1,(xSPRDOPT(J178,$E178,$CI178,0,($CD178+IF(Smile=TRUE(),VLOOKUP(MAX(-5,$H178-J178),Volsmile,2),0)),$CG178,$CH178,($A178-DateToday)+15,1,0)),J178-$H178)))</f>
        <v> </v>
      </c>
      <c r="T178" s="317" t="str">
        <f aca="false">IF($A178="N/A"," ",(IF(Pricetype=2,IF((K178-$H178)&lt;=0,0,(K178-$H178)),IF(K178&lt;&gt;0,(K178-$H178),0))))</f>
        <v> </v>
      </c>
      <c r="U178" s="316" t="str">
        <f aca="false">IF($A178="N/A"," ",IF(Pricetype=2,MAX(L178-$H178,0),IF(L178&lt;&gt;0,IF(Pricetype=1,(xSPRDOPT(L178,$E178,$CI178,0,($CD178+IF(Smile=TRUE(),VLOOKUP(MAX(-5,$H178-L178),Volsmile,2),0)),$CG178,$CH178,($A178-DateToday)+15,1,0)),L178-$H178),0)))</f>
        <v> </v>
      </c>
      <c r="V178" s="316" t="str">
        <f aca="false">IF($A178="N/A"," ",IF(Pricetype=2,MAX(M178-$H178,0),IF(M178&lt;&gt;0,IF(Pricetype=1,(xSPRDOPT(M178,$E178,$CI178,0,($CD178+IF(Smile=TRUE(),VLOOKUP(MAX(-5,$H178-M178),Volsmile,2),0)),$CG178,$CH178,($A178-DateToday)+15,1,0)),M178-$H178),0)))</f>
        <v> </v>
      </c>
      <c r="W178" s="317" t="str">
        <f aca="false">IF($A178="N/A"," ",(IF(Pricetype=2,IF((N178-$H178)&lt;=0,0,(N178-$H178)),IF(N178&lt;&gt;0,(N178-$H178),0))))</f>
        <v> </v>
      </c>
      <c r="X178" s="316" t="str">
        <f aca="false">IF($A178="N/A"," ",IF(Pricetype=2,MAX(O178-$H178,0),IF(O178&lt;&gt;0,IF(Pricetype=1,(xSPRDOPT(O178,$E178,$CI178,0,($CD178+IF(Smile=TRUE(),VLOOKUP(MAX(-5,$H178-O178),Volsmile,2),0)),$CG178,$CH178,($A178-DateToday)+15,1,0)),O178-$H178),0)))</f>
        <v> </v>
      </c>
      <c r="Y178" s="316" t="str">
        <f aca="false">IF($A178="N/A"," ",IF(Pricetype=2,MAX(P178-$H178,0),IF(P178&lt;&gt;0,IF(Pricetype=1,(xSPRDOPT(P178,$E178,$CI178,0,($CD178+IF(Smile=TRUE(),VLOOKUP(MAX(-5,$H178-P178),Volsmile,2),0)),$CG178,$CH178,($A178-DateToday)+15,1,0)),P178-$H178),0)))</f>
        <v> </v>
      </c>
      <c r="Z178" s="317" t="str">
        <f aca="false">IF($A178="N/A"," ",(IF(Pricetype=2,IF((Q178-$H178)&lt;=0,0,(Q178-$H178)),IF(Q178&lt;&gt;0,(Q178-$H178),0))))</f>
        <v> </v>
      </c>
      <c r="AA178" s="318" t="str">
        <f aca="false">IF($A178="N/A"," ",IF(VLOOKUP(MONTH(A178),ManualTable,2)=1,(IF(0&lt;&gt;R178,IF(Pricetype=1,(xSPRDOPT(I178,$E178,$CI178,0,($CD178+IF(Smile=TRUE(),VLOOKUP(MAX(-5,$H178-I178),Volsmile,2),0)),$CG178,$CH178,($A178-DateToday)+15,1,1))*(8*$HD178),8*$HD178),0)),0))</f>
        <v> </v>
      </c>
      <c r="AB178" s="318" t="str">
        <f aca="false">IF($A178="N/A"," ",IF(VLOOKUP(MONTH(A178),ManualTable,3)=1,(IF(S178&lt;&gt;0,IF(Pricetype=1,(xSPRDOPT(J178,$E178,$CI178,0,($CD178+IF(Smile=TRUE(),VLOOKUP(MAX(-5,$H178-J178),Volsmile,2),0)),$CG178,$CH178,($A178-DateToday)+15,1,1))*(8*$HD178),8*$HD178),0)),0))</f>
        <v> </v>
      </c>
      <c r="AC178" s="318" t="str">
        <f aca="false">IF($A178="N/A"," ",IF(VLOOKUP(MONTH(A178),ManualTable,4)=1,(IF(T178&lt;&gt;0,(8*$HD178),0)),0))</f>
        <v> </v>
      </c>
      <c r="AD178" s="318" t="str">
        <f aca="false">IF($A178="N/A"," ",IF(VLOOKUP(MONTH(A178),ManualTable,5)=1,(IF(U178&lt;&gt;0,IF(Pricetype=1,(xSPRDOPT(L178,$E178,$CI178,0,($CD178+IF(Smile=TRUE(),VLOOKUP(MAX(-5,$H178-L178),Volsmile,2),0)),$CG178,$CH178,($A178-DateToday)+15,1,1))*(8*$HE178),8*$HE178),0)),0))</f>
        <v> </v>
      </c>
      <c r="AE178" s="318" t="str">
        <f aca="false">IF($A178="N/A"," ",IF(VLOOKUP(MONTH(A178),ManualTable,6)=1,(IF(V178&lt;&gt;0,IF(Pricetype=1,(xSPRDOPT(M178,$E178,$CI178,0,($CD178+IF(Smile=TRUE(),VLOOKUP(MAX(-5,$H178-M178),Volsmile,2),0)),$CG178,$CH178,($A178-DateToday)+15,1,1))*(8*$HE178),8*$HE178),0)),0))</f>
        <v> </v>
      </c>
      <c r="AF178" s="318" t="str">
        <f aca="false">IF($A178="N/A"," ",IF(VLOOKUP(MONTH(A178),ManualTable,7)=1,(IF(W178&lt;&gt;0,(8*$HE178),0)),0))</f>
        <v> </v>
      </c>
      <c r="AG178" s="318" t="str">
        <f aca="false">IF($A178="N/A"," ",IF(VLOOKUP(MONTH(A178),ManualTable,8)=1,(IF(X178&lt;&gt;0,IF(Pricetype=1,(xSPRDOPT(O178,$E178,$CI178,0,($CD178+IF(Smile=TRUE(),VLOOKUP(MAX(-5,$H178-O178),Volsmile,2),0)),$CG178,$CH178,($A178-DateToday)+15,1,1))*(8*$HF178),8*$HF178),0)),0))</f>
        <v> </v>
      </c>
      <c r="AH178" s="318" t="str">
        <f aca="false">IF($A178="N/A"," ",IF(VLOOKUP(MONTH(A178),ManualTable,9)=1,(IF(Y178&lt;&gt;0,IF(Pricetype=1,(xSPRDOPT(P178,$E178,$CI178,0,($CD178+IF(Smile=TRUE(),VLOOKUP(MAX(-5,$H178-P178),Volsmile,2),0)),$CG178,$CH178,($A178-DateToday)+15,1,1))*(8*$HF178),8*$HF178),0)),0))</f>
        <v> </v>
      </c>
      <c r="AI178" s="318" t="str">
        <f aca="false">IF($A178="N/A"," ",IF(VLOOKUP(MONTH(A178),ManualTable,10)=1,(IF(Z178&lt;&gt;0,(8*($HF178)),0)),0))</f>
        <v> </v>
      </c>
      <c r="AJ178" s="344" t="str">
        <f aca="false">IF($A178="N/A"," ",RANK(R178,$R$172:$Z$183))</f>
        <v> </v>
      </c>
      <c r="AK178" s="321" t="str">
        <f aca="false">IF($A178="N/A"," ",RANK(S178,$R$172:$Z$183))</f>
        <v> </v>
      </c>
      <c r="AL178" s="321" t="str">
        <f aca="false">IF($A178="N/A"," ",RANK(T178,$R$172:$Z$183))</f>
        <v> </v>
      </c>
      <c r="AM178" s="321" t="str">
        <f aca="false">IF($A178="N/A"," ",RANK(U178,$R$172:$Z$183))</f>
        <v> </v>
      </c>
      <c r="AN178" s="321" t="str">
        <f aca="false">IF($A178="N/A"," ",RANK(V178,$R$172:$Z$183))</f>
        <v> </v>
      </c>
      <c r="AO178" s="321" t="str">
        <f aca="false">IF($A178="N/A"," ",RANK(W178,$R$172:$Z$183))</f>
        <v> </v>
      </c>
      <c r="AP178" s="321" t="str">
        <f aca="false">IF($A178="N/A"," ",RANK(X178,$R$172:$Z$183))</f>
        <v> </v>
      </c>
      <c r="AQ178" s="321" t="str">
        <f aca="false">IF($A178="N/A"," ",RANK(Y178,$R$172:$Z$183))</f>
        <v> </v>
      </c>
      <c r="AR178" s="345" t="str">
        <f aca="false">IF($A178="N/A"," ",RANK(Z178,$R$172:$Z$183))</f>
        <v> </v>
      </c>
      <c r="AS178" s="323" t="str">
        <f aca="false">IF($A178="N/A"," ",IF(AJ178&lt;=$AR$2,AA178,0))</f>
        <v> </v>
      </c>
      <c r="AT178" s="325" t="str">
        <f aca="false">IF($A178="N/A"," ",IF(AK178&lt;=$AR$2,AB178,0))</f>
        <v> </v>
      </c>
      <c r="AU178" s="325" t="str">
        <f aca="false">IF($A178="N/A"," ",IF(AL178&lt;=$AR$2,AC178,0))</f>
        <v> </v>
      </c>
      <c r="AV178" s="325" t="str">
        <f aca="false">IF($A178="N/A"," ",IF(AM178&lt;=$AR$2,AD178,0))</f>
        <v> </v>
      </c>
      <c r="AW178" s="325" t="str">
        <f aca="false">IF($A178="N/A"," ",IF(AN178&lt;=$AR$2,AE178,0))</f>
        <v> </v>
      </c>
      <c r="AX178" s="325" t="str">
        <f aca="false">IF($A178="N/A"," ",IF(AO178&lt;=$AR$2,AF178,0))</f>
        <v> </v>
      </c>
      <c r="AY178" s="325" t="str">
        <f aca="false">IF($A178="N/A"," ",IF(AP178&lt;=$AR$2,AG178,0))</f>
        <v> </v>
      </c>
      <c r="AZ178" s="325" t="str">
        <f aca="false">IF($A178="N/A"," ",IF(AQ178&lt;=$AR$2,AH178,0))</f>
        <v> </v>
      </c>
      <c r="BA178" s="325" t="str">
        <f aca="false">IF($A178="N/A"," ",IF(AR178&lt;=$AR$2,AI178,0))</f>
        <v> </v>
      </c>
      <c r="BB178" s="345"/>
      <c r="BC178" s="326" t="str">
        <f aca="false">IF($A178="N/A"," ",IF(AND(AJ178=$AR$2+1,AS178=0),MIN($BB$183,AA178),0))</f>
        <v> </v>
      </c>
      <c r="BD178" s="346" t="str">
        <f aca="false">IF($A178="N/A"," ",IF(AND(AK178=$AR$2+1,AT178=0),MIN($BB$183,AB178),0))</f>
        <v> </v>
      </c>
      <c r="BE178" s="346" t="str">
        <f aca="false">IF($A178="N/A"," ",IF(AND(AL178=$AR$2+1,AU178=0),MIN($BB$183,AC178),0))</f>
        <v> </v>
      </c>
      <c r="BF178" s="346" t="str">
        <f aca="false">IF($A178="N/A"," ",IF(AND(AM178=$AR$2+1,AV178=0),MIN($BB$183,AD178),0))</f>
        <v> </v>
      </c>
      <c r="BG178" s="346" t="str">
        <f aca="false">IF($A178="N/A"," ",IF(AND(AN178=$AR$2+1,AW178=0),MIN($BB$183,AE178),0))</f>
        <v> </v>
      </c>
      <c r="BH178" s="346" t="str">
        <f aca="false">IF($A178="N/A"," ",IF(AND(AO178=$AR$2+1,AX178=0),MIN($BB$183,AF178),0))</f>
        <v> </v>
      </c>
      <c r="BI178" s="346" t="str">
        <f aca="false">IF($A178="N/A"," ",IF(AND(AP178=$AR$2+1,AY178=0),MIN($BB$183,AG178),0))</f>
        <v> </v>
      </c>
      <c r="BJ178" s="346" t="str">
        <f aca="false">IF($A178="N/A"," ",IF(AND(AQ178=$AR$2+1,AZ178=0),MIN($BB$183,AH178),0))</f>
        <v> </v>
      </c>
      <c r="BK178" s="346" t="str">
        <f aca="false">IF($A178="N/A"," ",IF(AND(AR178=$AR$2+1,BA178=0),MIN($BB$183,AI178),0))</f>
        <v> </v>
      </c>
      <c r="BL178" s="345"/>
      <c r="BM178" s="329" t="str">
        <f aca="false">IF($A178="N/A"," ",(IF(MONTH(A178)&gt;=4,IF(MONTH(A178)&lt;=10,Inputs!$F$13-Inputs!$G$13,Inputs!$F$14-Inputs!$G$14),Inputs!$F$14-Inputs!$G$14))*$CK178*Availability)</f>
        <v> </v>
      </c>
      <c r="BN178" s="330" t="str">
        <f aca="false">IF($A178="N/A"," ",(IF(AS178&gt;0,($BM178*(8*($HD178))*R178),0)+IF(BC178&gt;0,($BM178*((BC178/AA178)*8*$HD178)*R178),0)))</f>
        <v> </v>
      </c>
      <c r="BO178" s="330" t="str">
        <f aca="false">IF($A178="N/A"," ",(IF(AT178&gt;0,($BM178*(8*($HD178))*S178),0)+IF(BD178&gt;0,($BM178*((BD178/AB178)*8*$HD178)*S178),0)))</f>
        <v> </v>
      </c>
      <c r="BP178" s="330" t="str">
        <f aca="false">IF($A178="N/A"," ",(IF(AU178&gt;0,($BM178*(8*($HD178))*T178),0)+IF(BE178&gt;0,($BM178*((BE178))*T178),0)))</f>
        <v> </v>
      </c>
      <c r="BQ178" s="330" t="str">
        <f aca="false">IF($A178="N/A"," ",(IF(AV178&gt;0,($BM178*(8*($HE178))*U178),0)+IF(BF178&gt;0,($BM178*((BF178/AD178)*8*$HE178)*U178),0)))</f>
        <v> </v>
      </c>
      <c r="BR178" s="330" t="str">
        <f aca="false">IF($A178="N/A"," ",(IF(AW178&gt;0,($BM178*(8*($HE178))*V178),0)+IF(BG178&gt;0,($BM178*((BG178/AE178)*8*$HE178)*V178),0)))</f>
        <v> </v>
      </c>
      <c r="BS178" s="330" t="str">
        <f aca="false">IF($A178="N/A"," ",(IF(AX178&gt;0,($BM178*(8*($HE178))*W178),0)+IF(BH178&gt;0,($BM178*((BH178))*W178),0)))</f>
        <v> </v>
      </c>
      <c r="BT178" s="330" t="str">
        <f aca="false">IF($A178="N/A"," ",(IF(AY178&gt;0,($BM178*(8*($HF178))*X178),0)+IF(BI178&gt;0,($BM178*((BI178/AG178)*8*$HF178)*X178),0)))</f>
        <v> </v>
      </c>
      <c r="BU178" s="330" t="str">
        <f aca="false">IF($A178="N/A"," ",(IF(AZ178&gt;0,($BM178*(8*($HF178))*Y178),0)+IF(BJ178&gt;0,($BM178*((BJ178/AH178)*8*$HF178)*Y178),0)))</f>
        <v> </v>
      </c>
      <c r="BV178" s="330" t="str">
        <f aca="false">IF($A178="N/A"," ",(IF(BA178&gt;0,($BM178*(8*($HF178))*Z178),0)+IF(BK178&gt;0,($BM178*((BK178))*Z178),0)))</f>
        <v> </v>
      </c>
      <c r="BW178" s="330" t="str">
        <f aca="false">IF($A178="N/A"," ",SUM(BN178:BV178))</f>
        <v> </v>
      </c>
      <c r="BX178" s="331" t="str">
        <f aca="false">IF($A178="N/A"," ",(H178*(SUM(AS178:BA178)+SUM(BC178:BK178))*BM178))</f>
        <v> </v>
      </c>
      <c r="BY178" s="332" t="str">
        <f aca="false">IF($A178="N/A"," ",((C178*D178)*(SUM($AS178:$BA178)+SUM($BC178:$BK178))*$BM178))</f>
        <v> </v>
      </c>
      <c r="BZ178" s="332" t="str">
        <f aca="false">IF($A178="N/A"," ",(F178*(SUM($AS178:$BA178)+SUM($BC178:$BK178))*$BM178))</f>
        <v> </v>
      </c>
      <c r="CA178" s="333" t="str">
        <f aca="false">IF($A178="N/A"," ",(G178*(SUM($AS178:$BA178)+SUM($BC178:$BK178))*$BM178))</f>
        <v> </v>
      </c>
      <c r="CB178" s="334" t="str">
        <f aca="false">IF(A178="N/A"," ",(VLOOKUP(A178,PowerVolTable,(IF(BMO=2,7,IF(BMO=1,6,8))),FALSE())))</f>
        <v> </v>
      </c>
      <c r="CC178" s="334" t="str">
        <f aca="false">IF(A178="N/A"," ",(VLOOKUP(A178,IntraPowerVol,(IF(BMO=2,3,IF(BMO=1,2,4))),FALSE())*VLOOKUP(MONTH($A178),Volscale,2)))</f>
        <v> </v>
      </c>
      <c r="CD178" s="335" t="str">
        <f aca="false">IF($A178="N/A"," ",(IF(DateToday&gt;$A178,$CC178,((($CB178^2)*((($A178-1)-DateToday)/((EOMONTH($A178,0)+1)-DateToday-15)))+((($CC178)^2)*((15)/((EOMONTH($A178,0)+1)-DateToday-15))))^0.5)))</f>
        <v> </v>
      </c>
      <c r="CE178" s="334" t="str">
        <f aca="false">IF($A178="N/A"," ",(VLOOKUP($A178,GasVolTable,(IF(BMO=2,6,IF(BMO=1,7,5))),FALSE())))</f>
        <v> </v>
      </c>
      <c r="CF178" s="334" t="str">
        <f aca="false">IF($A178="N/A"," ",(VLOOKUP($A178,OmicronVol,(IF(BMO=2,3,IF(BMO=1,4,2))),FALSE())))</f>
        <v> </v>
      </c>
      <c r="CG178" s="335" t="str">
        <f aca="false">IF($A178="N/A"," ",(IF(DateToday&gt;$A178,$CF178,((($CE178^2)*((($A178-1)-DateToday)/((EOMONTH($A178,0)+1)-DateToday-15)))+((($CF178)^2)*((15)/((EOMONTH($A178,0)+1)-DateToday-15))))^0.5)))</f>
        <v> </v>
      </c>
      <c r="CH178" s="334" t="str">
        <f aca="false">IF($A178="N/A"," ",VLOOKUP($A178,CorrelationTable,2,FALSE()))</f>
        <v> </v>
      </c>
      <c r="CI178" s="336" t="str">
        <f aca="false">IF($A178="N/A"," ",F178+G178+(D178*('Pricing Inputs'!T211)))</f>
        <v> </v>
      </c>
      <c r="CJ178" s="334" t="str">
        <f aca="false">IF($A178="N/A"," ",IF(PV=1,0,'Pricing Inputs'!U211))</f>
        <v> </v>
      </c>
      <c r="CK178" s="337" t="str">
        <f aca="false">IF($A178="N/A"," ",(1+CJ178/2)^(-2*((EOMONTH(A178,0)+20)-DateToday)/365.25))</f>
        <v> </v>
      </c>
      <c r="CL178" s="338" t="str">
        <f aca="false">IF(A178="N/A"," ",IF(CC=2,(VLOOKUP(MONTH($A178),Hrtable,3))/1000,0))</f>
        <v> </v>
      </c>
      <c r="CM178" s="339" t="str">
        <f aca="false">IF(A178="N/A"," ",IF(CC=2,(CL178*C178)+F178,0))</f>
        <v> </v>
      </c>
      <c r="CN178" s="340" t="str">
        <f aca="false">IF($A178="N/A"," ",IF(CC=2,(VLOOKUP(A178,ScaledPrice,(IF(AND(Dayrun&gt;=1,Dayrun&lt;=6),2,4)))-((IF(R178&lt;&gt;0,$D178,$CL178)*$C178)+$F178+$G178)),0))</f>
        <v> </v>
      </c>
      <c r="CO178" s="340" t="str">
        <f aca="false">IF($A178="N/A"," ",IF(CC=2,(IF(AND(Dayrun&gt;=1,Dayrun&lt;=6),I178,(VLOOKUP(A178,ScaledPrice,2))*(2-(VLOOKUP(A178,ScaledPrice,3))))-((IF(S178&lt;&gt;0,$D178,$CL178)*$C178)+$F178+$G178)),0))</f>
        <v> </v>
      </c>
      <c r="CP178" s="340" t="str">
        <f aca="false">IF(A178="N/A"," ",IF(CC=2,(VLOOKUP(A178,ScaledPrice,9)-((IF(T178&lt;&gt;0,$D178,$CL178)*$C178)+$F178+$G178)),0))</f>
        <v> </v>
      </c>
      <c r="CQ178" s="340" t="str">
        <f aca="false">IF(A178="N/A"," ",IF(CC=2,(IF(OR(Dayrun=2,Dayrun=3,Dayrun=5,Dayrun=6,Dayrun=8,Dayrun=9),VLOOKUP(A178,ScaledPrice,IF(AND(Dayrun&gt;=2,Dayrun&lt;=6),5,6)),0)-((IF(U178&lt;&gt;0,$D178,$CL178)*$C178)+$F178+$G178)),0))</f>
        <v> </v>
      </c>
      <c r="CR178" s="340" t="str">
        <f aca="false">IF(A178="N/A"," ",IF(CC=2,(IF(OR(Dayrun=2,Dayrun=3,Dayrun=5,Dayrun=6,Dayrun=8,Dayrun=9),IF(AND(Dayrun&gt;=2,Dayrun&lt;=6),L178,(VLOOKUP(A178,ScaledPrice,5))*(2-(VLOOKUP(A178,ScaledPrice,3)))),0)-((IF(V178&lt;&gt;0,$D178,$CL178)*$C178)+$F178+$G178)),0))</f>
        <v> </v>
      </c>
      <c r="CS178" s="340" t="str">
        <f aca="false">IF(A178="N/A"," ",IF(CC=2,(VLOOKUP(A178,ScaledPrice,9)-((IF(W178&lt;&gt;0,$D178,$CL178)*$C178)+$F178+$G178)),0))</f>
        <v> </v>
      </c>
      <c r="CT178" s="340" t="str">
        <f aca="false">IF(A178="N/A"," ",IF(CC=2,(IF(OR(Dayrun=3,Dayrun=6,Dayrun=9),(VLOOKUP(A178,ScaledPrice,IF(AND(Dayrun&gt;=3,Dayrun&lt;=6),7,8))),0)-((IF(X178&lt;&gt;0,$D178,$CL178)*$C178)+$F178+$G178)),0))</f>
        <v> </v>
      </c>
      <c r="CU178" s="340" t="str">
        <f aca="false">IF(A178="N/A"," ",IF(CC=2,(IF(OR(Dayrun=3,Dayrun=6,Dayrun=9),IF(AND(Dayrun&gt;=3,Dayrun&lt;=6),O178,(VLOOKUP(A178,ScaledPrice,7))*(2-(VLOOKUP(A178,ScaledPrice,3)))),0)-((IF(Y178&lt;&gt;0,$D178,$CL178)*$C178)+$F178+$G178)),0))</f>
        <v> </v>
      </c>
      <c r="CV178" s="340" t="str">
        <f aca="false">IF(A178="N/A"," ",IF(CC=2,(VLOOKUP(A178,ScaledPrice,9)-((IF(Z178&lt;&gt;0,$D178,$CL178)*$C178)+$F178+$G178)),0))</f>
        <v> </v>
      </c>
      <c r="CW178" s="318" t="str">
        <f aca="false">IF($A178="N/A"," ",IF(0&lt;&gt;CN178,IF(CC=2,8*$HD178,0),0))</f>
        <v> </v>
      </c>
      <c r="CX178" s="318" t="str">
        <f aca="false">IF($A178="N/A"," ",IF(0&lt;&gt;CO178,IF(CC=2,8*$HD178,0),0))</f>
        <v> </v>
      </c>
      <c r="CY178" s="318" t="str">
        <f aca="false">IF($A178="N/A"," ",IF(0&lt;&gt;CP178,IF(CC=2,8*$HD178,0),0))</f>
        <v> </v>
      </c>
      <c r="CZ178" s="318" t="str">
        <f aca="false">IF($A178="N/A"," ",IF(0&lt;&gt;CQ178,IF(CC=2,8*$HE178,0),0))</f>
        <v> </v>
      </c>
      <c r="DA178" s="318" t="str">
        <f aca="false">IF($A178="N/A"," ",IF(0&lt;&gt;CR178,IF(CC=2,8*$HE178,0),0))</f>
        <v> </v>
      </c>
      <c r="DB178" s="318" t="str">
        <f aca="false">IF($A178="N/A"," ",IF(0&lt;&gt;CS178,IF(CC=2,8*$HE178,0),0))</f>
        <v> </v>
      </c>
      <c r="DC178" s="318" t="str">
        <f aca="false">IF($A178="N/A"," ",IF(0&lt;&gt;CT178,IF(CC=2,8*$HF178,0),0))</f>
        <v> </v>
      </c>
      <c r="DD178" s="318" t="str">
        <f aca="false">IF($A178="N/A"," ",IF(0&lt;&gt;CU178,IF(CC=2,8*$HF178,0),0))</f>
        <v> </v>
      </c>
      <c r="DE178" s="318" t="str">
        <f aca="false">IF($A178="N/A"," ",IF(0&lt;&gt;CV178,IF(CC=2,8*$HF178,0),0))</f>
        <v> </v>
      </c>
      <c r="DF178" s="341" t="str">
        <f aca="false">IF($A178="N/A"," ",IF(CC=2,(IF(MONTH(A178)&gt;=4,IF(MONTH(A178)&lt;=10,Inputs!$G$13,Inputs!$G$14),Inputs!$G$14))*$CK178,0))</f>
        <v> </v>
      </c>
      <c r="DG178" s="342" t="str">
        <f aca="false">IF($A178="N/A"," ",IF(CC=2,$DF178*CW178*CN178,0))</f>
        <v> </v>
      </c>
      <c r="DH178" s="342" t="str">
        <f aca="false">IF($A178="N/A"," ",IF(CC=2,$DF178*CX178*CO178,0))</f>
        <v> </v>
      </c>
      <c r="DI178" s="342" t="str">
        <f aca="false">IF($A178="N/A"," ",IF(CC=2,$DF178*CY178*CP178,0))</f>
        <v> </v>
      </c>
      <c r="DJ178" s="342" t="str">
        <f aca="false">IF($A178="N/A"," ",IF(CC=2,$DF178*CZ178*CQ178,0))</f>
        <v> </v>
      </c>
      <c r="DK178" s="342" t="str">
        <f aca="false">IF($A178="N/A"," ",IF(CC=2,$DF178*DA178*CR178,0))</f>
        <v> </v>
      </c>
      <c r="DL178" s="342" t="str">
        <f aca="false">IF($A178="N/A"," ",IF(CC=2,$DF178*DB178*CS178,0))</f>
        <v> </v>
      </c>
      <c r="DM178" s="342" t="str">
        <f aca="false">IF($A178="N/A"," ",IF(CC=2,$DF178*DC178*CT178,0))</f>
        <v> </v>
      </c>
      <c r="DN178" s="342" t="str">
        <f aca="false">IF($A178="N/A"," ",IF(CC=2,$DF178*DD178*CU178,0))</f>
        <v> </v>
      </c>
      <c r="DO178" s="342" t="str">
        <f aca="false">IF($A178="N/A"," ",IF(CC=2,$DF178*DE178*CV178,0))</f>
        <v> </v>
      </c>
      <c r="DP178" s="343" t="str">
        <f aca="false">IF($A178="N/A"," ",IF(CC=2,SUM(DG178:DO178),0))</f>
        <v> </v>
      </c>
      <c r="DQ178" s="0" t="str">
        <f aca="false">IF(A178="N/A"," ",Perstart)</f>
        <v> </v>
      </c>
      <c r="HD178" s="0" t="str">
        <f aca="false">IF($A178="N/A"," ",VLOOKUP($A178,NumberofDaysTable,2))</f>
        <v> </v>
      </c>
      <c r="HE178" s="0" t="str">
        <f aca="false">IF($A178="N/A"," ",VLOOKUP($A178,NumberofDaysTable,3))</f>
        <v> </v>
      </c>
      <c r="HF178" s="0" t="str">
        <f aca="false">IF($A178="N/A"," ",VLOOKUP($A178,NumberofDaysTable,4))</f>
        <v> </v>
      </c>
    </row>
    <row r="179" customFormat="false" ht="12.75" hidden="false" customHeight="false" outlineLevel="0" collapsed="false">
      <c r="A179" s="308" t="str">
        <f aca="false">IF(A178="N/A","N/A",IF(EDATE(A178,1)&gt;Inputs!$K$3,"N/A",EDATE(A178,1)))</f>
        <v>N/A</v>
      </c>
      <c r="B179" s="309" t="str">
        <f aca="false">IF(A179="N/A"," ",YEAR(A179))</f>
        <v> </v>
      </c>
      <c r="C179" s="310" t="str">
        <f aca="false">IF(A179="N/A"," ",VLOOKUP(A179,ScaledPrice,10))</f>
        <v> </v>
      </c>
      <c r="D179" s="311" t="str">
        <f aca="false">IF(A179="N/A"," ",(VLOOKUP(MONTH($A179),Hrtable,2))/1000)</f>
        <v> </v>
      </c>
      <c r="E179" s="312" t="str">
        <f aca="false">IF($A179="N/A"," ",(C179-'Pricing Inputs'!T212)*D179)</f>
        <v> </v>
      </c>
      <c r="F179" s="313" t="str">
        <f aca="false">IF(A179="N/A"," ",$F167*(1+VOMesc))</f>
        <v> </v>
      </c>
      <c r="G179" s="313" t="str">
        <f aca="false">IF(A179="N/A"," ",Perstart/IF(AND(Dayrun&gt;=4,Dayrun&lt;=6),16,IF(AND(Dayrun&gt;=7,Dayrun&lt;=9),8,24))/(BM179/CK179))</f>
        <v> </v>
      </c>
      <c r="H179" s="314" t="str">
        <f aca="false">IF(A179="N/A"," ",(C179*D179)+F179+G179)</f>
        <v> </v>
      </c>
      <c r="I179" s="315" t="str">
        <f aca="false">VLOOKUP(A179,ScaledPrice,(IF(AND(Dayrun&gt;=1,Dayrun&lt;=6),2,4)))</f>
        <v> </v>
      </c>
      <c r="J179" s="315" t="str">
        <f aca="false">IF(A179="N/A"," ",IF(AND(Dayrun&gt;=1,Dayrun&lt;=6),I179,(VLOOKUP(A179,ScaledPrice,2))*(2-(VLOOKUP(A179,ScaledPrice,3)))))</f>
        <v> </v>
      </c>
      <c r="K179" s="315" t="str">
        <f aca="false">IF(A179="N/A"," ",IF(AND(Dayrun&gt;=1,Dayrun&lt;=3),VLOOKUP(A179,ScaledPrice,9),0))</f>
        <v> </v>
      </c>
      <c r="L179" s="315" t="str">
        <f aca="false">IF(A179="N/A"," ",IF(OR(Dayrun=2,Dayrun=3,Dayrun=5,Dayrun=6,Dayrun=8,Dayrun=9),VLOOKUP(A179,ScaledPrice,IF(AND(Dayrun&gt;=2,Dayrun&lt;=6),5,6)),0))</f>
        <v> </v>
      </c>
      <c r="M179" s="315" t="str">
        <f aca="false">IF(A179="N/A"," ",IF(OR(Dayrun=2,Dayrun=3,Dayrun=5,Dayrun=6,Dayrun=8,Dayrun=9),IF(AND(Dayrun&gt;=2,Dayrun&lt;=6),L179,(VLOOKUP(A179,ScaledPrice,5))*(2-(VLOOKUP(A179,ScaledPrice,3)))),0))</f>
        <v> </v>
      </c>
      <c r="N179" s="315" t="str">
        <f aca="false">IF(A179="N/A"," ",IF(AND(Dayrun&gt;1,Dayrun&lt;=3),VLOOKUP(A179,ScaledPrice,9),0))</f>
        <v> </v>
      </c>
      <c r="O179" s="315" t="str">
        <f aca="false">IF(A179="N/A"," ",IF(OR(Dayrun=3,Dayrun=6,Dayrun=9),(VLOOKUP(A179,ScaledPrice,IF(AND(Dayrun&gt;=3,Dayrun&lt;=6),7,8))),0))</f>
        <v> </v>
      </c>
      <c r="P179" s="315" t="str">
        <f aca="false">IF(A179="N/A"," ",IF(OR(Dayrun=3,Dayrun=6,Dayrun=9),IF(AND(Dayrun&gt;=3,Dayrun&lt;=6),O179,(VLOOKUP(A179,ScaledPrice,7))*(2-(VLOOKUP(A179,ScaledPrice,3)))),0))</f>
        <v> </v>
      </c>
      <c r="Q179" s="315" t="str">
        <f aca="false">IF(A179="N/A"," ",IF(AND(Dayrun&gt;2,Dayrun&lt;=3),VLOOKUP(A179,ScaledPrice,9),0))</f>
        <v> </v>
      </c>
      <c r="R179" s="316" t="str">
        <f aca="false">IF($A179="N/A"," ",IF(Pricetype=2,MAX(I179-$H179,0),IF(Pricetype=1,(xSPRDOPT(I179,$E179,$CI179,0,($CD179+IF(Smile=TRUE(),VLOOKUP(MAX(-5,$H179-I179),Volsmile,2),0)),$CG179,$CH179,($A179-DateToday)+15,1,0)),I179-$H179)))</f>
        <v> </v>
      </c>
      <c r="S179" s="316" t="str">
        <f aca="false">IF($A179="N/A"," ",IF(Pricetype=2,MAX(J179-$H179,0),IF(Pricetype=1,(xSPRDOPT(J179,$E179,$CI179,0,($CD179+IF(Smile=TRUE(),VLOOKUP(MAX(-5,$H179-J179),Volsmile,2),0)),$CG179,$CH179,($A179-DateToday)+15,1,0)),J179-$H179)))</f>
        <v> </v>
      </c>
      <c r="T179" s="317" t="str">
        <f aca="false">IF($A179="N/A"," ",(IF(Pricetype=2,IF((K179-$H179)&lt;=0,0,(K179-$H179)),IF(K179&lt;&gt;0,(K179-$H179),0))))</f>
        <v> </v>
      </c>
      <c r="U179" s="316" t="str">
        <f aca="false">IF($A179="N/A"," ",IF(Pricetype=2,MAX(L179-$H179,0),IF(L179&lt;&gt;0,IF(Pricetype=1,(xSPRDOPT(L179,$E179,$CI179,0,($CD179+IF(Smile=TRUE(),VLOOKUP(MAX(-5,$H179-L179),Volsmile,2),0)),$CG179,$CH179,($A179-DateToday)+15,1,0)),L179-$H179),0)))</f>
        <v> </v>
      </c>
      <c r="V179" s="316" t="str">
        <f aca="false">IF($A179="N/A"," ",IF(Pricetype=2,MAX(M179-$H179,0),IF(M179&lt;&gt;0,IF(Pricetype=1,(xSPRDOPT(M179,$E179,$CI179,0,($CD179+IF(Smile=TRUE(),VLOOKUP(MAX(-5,$H179-M179),Volsmile,2),0)),$CG179,$CH179,($A179-DateToday)+15,1,0)),M179-$H179),0)))</f>
        <v> </v>
      </c>
      <c r="W179" s="317" t="str">
        <f aca="false">IF($A179="N/A"," ",(IF(Pricetype=2,IF((N179-$H179)&lt;=0,0,(N179-$H179)),IF(N179&lt;&gt;0,(N179-$H179),0))))</f>
        <v> </v>
      </c>
      <c r="X179" s="316" t="str">
        <f aca="false">IF($A179="N/A"," ",IF(Pricetype=2,MAX(O179-$H179,0),IF(O179&lt;&gt;0,IF(Pricetype=1,(xSPRDOPT(O179,$E179,$CI179,0,($CD179+IF(Smile=TRUE(),VLOOKUP(MAX(-5,$H179-O179),Volsmile,2),0)),$CG179,$CH179,($A179-DateToday)+15,1,0)),O179-$H179),0)))</f>
        <v> </v>
      </c>
      <c r="Y179" s="316" t="str">
        <f aca="false">IF($A179="N/A"," ",IF(Pricetype=2,MAX(P179-$H179,0),IF(P179&lt;&gt;0,IF(Pricetype=1,(xSPRDOPT(P179,$E179,$CI179,0,($CD179+IF(Smile=TRUE(),VLOOKUP(MAX(-5,$H179-P179),Volsmile,2),0)),$CG179,$CH179,($A179-DateToday)+15,1,0)),P179-$H179),0)))</f>
        <v> </v>
      </c>
      <c r="Z179" s="317" t="str">
        <f aca="false">IF($A179="N/A"," ",(IF(Pricetype=2,IF((Q179-$H179)&lt;=0,0,(Q179-$H179)),IF(Q179&lt;&gt;0,(Q179-$H179),0))))</f>
        <v> </v>
      </c>
      <c r="AA179" s="318" t="str">
        <f aca="false">IF($A179="N/A"," ",IF(VLOOKUP(MONTH(A179),ManualTable,2)=1,(IF(0&lt;&gt;R179,IF(Pricetype=1,(xSPRDOPT(I179,$E179,$CI179,0,($CD179+IF(Smile=TRUE(),VLOOKUP(MAX(-5,$H179-I179),Volsmile,2),0)),$CG179,$CH179,($A179-DateToday)+15,1,1))*(8*$HD179),8*$HD179),0)),0))</f>
        <v> </v>
      </c>
      <c r="AB179" s="318" t="str">
        <f aca="false">IF($A179="N/A"," ",IF(VLOOKUP(MONTH(A179),ManualTable,3)=1,(IF(S179&lt;&gt;0,IF(Pricetype=1,(xSPRDOPT(J179,$E179,$CI179,0,($CD179+IF(Smile=TRUE(),VLOOKUP(MAX(-5,$H179-J179),Volsmile,2),0)),$CG179,$CH179,($A179-DateToday)+15,1,1))*(8*$HD179),8*$HD179),0)),0))</f>
        <v> </v>
      </c>
      <c r="AC179" s="318" t="str">
        <f aca="false">IF($A179="N/A"," ",IF(VLOOKUP(MONTH(A179),ManualTable,4)=1,(IF(T179&lt;&gt;0,(8*$HD179),0)),0))</f>
        <v> </v>
      </c>
      <c r="AD179" s="318" t="str">
        <f aca="false">IF($A179="N/A"," ",IF(VLOOKUP(MONTH(A179),ManualTable,5)=1,(IF(U179&lt;&gt;0,IF(Pricetype=1,(xSPRDOPT(L179,$E179,$CI179,0,($CD179+IF(Smile=TRUE(),VLOOKUP(MAX(-5,$H179-L179),Volsmile,2),0)),$CG179,$CH179,($A179-DateToday)+15,1,1))*(8*$HE179),8*$HE179),0)),0))</f>
        <v> </v>
      </c>
      <c r="AE179" s="318" t="str">
        <f aca="false">IF($A179="N/A"," ",IF(VLOOKUP(MONTH(A179),ManualTable,6)=1,(IF(V179&lt;&gt;0,IF(Pricetype=1,(xSPRDOPT(M179,$E179,$CI179,0,($CD179+IF(Smile=TRUE(),VLOOKUP(MAX(-5,$H179-M179),Volsmile,2),0)),$CG179,$CH179,($A179-DateToday)+15,1,1))*(8*$HE179),8*$HE179),0)),0))</f>
        <v> </v>
      </c>
      <c r="AF179" s="318" t="str">
        <f aca="false">IF($A179="N/A"," ",IF(VLOOKUP(MONTH(A179),ManualTable,7)=1,(IF(W179&lt;&gt;0,(8*$HE179),0)),0))</f>
        <v> </v>
      </c>
      <c r="AG179" s="318" t="str">
        <f aca="false">IF($A179="N/A"," ",IF(VLOOKUP(MONTH(A179),ManualTable,8)=1,(IF(X179&lt;&gt;0,IF(Pricetype=1,(xSPRDOPT(O179,$E179,$CI179,0,($CD179+IF(Smile=TRUE(),VLOOKUP(MAX(-5,$H179-O179),Volsmile,2),0)),$CG179,$CH179,($A179-DateToday)+15,1,1))*(8*$HF179),8*$HF179),0)),0))</f>
        <v> </v>
      </c>
      <c r="AH179" s="318" t="str">
        <f aca="false">IF($A179="N/A"," ",IF(VLOOKUP(MONTH(A179),ManualTable,9)=1,(IF(Y179&lt;&gt;0,IF(Pricetype=1,(xSPRDOPT(P179,$E179,$CI179,0,($CD179+IF(Smile=TRUE(),VLOOKUP(MAX(-5,$H179-P179),Volsmile,2),0)),$CG179,$CH179,($A179-DateToday)+15,1,1))*(8*$HF179),8*$HF179),0)),0))</f>
        <v> </v>
      </c>
      <c r="AI179" s="318" t="str">
        <f aca="false">IF($A179="N/A"," ",IF(VLOOKUP(MONTH(A179),ManualTable,10)=1,(IF(Z179&lt;&gt;0,(8*($HF179)),0)),0))</f>
        <v> </v>
      </c>
      <c r="AJ179" s="344" t="str">
        <f aca="false">IF($A179="N/A"," ",RANK(R179,$R$172:$Z$183))</f>
        <v> </v>
      </c>
      <c r="AK179" s="321" t="str">
        <f aca="false">IF($A179="N/A"," ",RANK(S179,$R$172:$Z$183))</f>
        <v> </v>
      </c>
      <c r="AL179" s="321" t="str">
        <f aca="false">IF($A179="N/A"," ",RANK(T179,$R$172:$Z$183))</f>
        <v> </v>
      </c>
      <c r="AM179" s="321" t="str">
        <f aca="false">IF($A179="N/A"," ",RANK(U179,$R$172:$Z$183))</f>
        <v> </v>
      </c>
      <c r="AN179" s="321" t="str">
        <f aca="false">IF($A179="N/A"," ",RANK(V179,$R$172:$Z$183))</f>
        <v> </v>
      </c>
      <c r="AO179" s="321" t="str">
        <f aca="false">IF($A179="N/A"," ",RANK(W179,$R$172:$Z$183))</f>
        <v> </v>
      </c>
      <c r="AP179" s="321" t="str">
        <f aca="false">IF($A179="N/A"," ",RANK(X179,$R$172:$Z$183))</f>
        <v> </v>
      </c>
      <c r="AQ179" s="321" t="str">
        <f aca="false">IF($A179="N/A"," ",RANK(Y179,$R$172:$Z$183))</f>
        <v> </v>
      </c>
      <c r="AR179" s="345" t="str">
        <f aca="false">IF($A179="N/A"," ",RANK(Z179,$R$172:$Z$183))</f>
        <v> </v>
      </c>
      <c r="AS179" s="323" t="str">
        <f aca="false">IF($A179="N/A"," ",IF(AJ179&lt;=$AR$2,AA179,0))</f>
        <v> </v>
      </c>
      <c r="AT179" s="325" t="str">
        <f aca="false">IF($A179="N/A"," ",IF(AK179&lt;=$AR$2,AB179,0))</f>
        <v> </v>
      </c>
      <c r="AU179" s="325" t="str">
        <f aca="false">IF($A179="N/A"," ",IF(AL179&lt;=$AR$2,AC179,0))</f>
        <v> </v>
      </c>
      <c r="AV179" s="325" t="str">
        <f aca="false">IF($A179="N/A"," ",IF(AM179&lt;=$AR$2,AD179,0))</f>
        <v> </v>
      </c>
      <c r="AW179" s="325" t="str">
        <f aca="false">IF($A179="N/A"," ",IF(AN179&lt;=$AR$2,AE179,0))</f>
        <v> </v>
      </c>
      <c r="AX179" s="325" t="str">
        <f aca="false">IF($A179="N/A"," ",IF(AO179&lt;=$AR$2,AF179,0))</f>
        <v> </v>
      </c>
      <c r="AY179" s="325" t="str">
        <f aca="false">IF($A179="N/A"," ",IF(AP179&lt;=$AR$2,AG179,0))</f>
        <v> </v>
      </c>
      <c r="AZ179" s="325" t="str">
        <f aca="false">IF($A179="N/A"," ",IF(AQ179&lt;=$AR$2,AH179,0))</f>
        <v> </v>
      </c>
      <c r="BA179" s="325" t="str">
        <f aca="false">IF($A179="N/A"," ",IF(AR179&lt;=$AR$2,AI179,0))</f>
        <v> </v>
      </c>
      <c r="BB179" s="345"/>
      <c r="BC179" s="326" t="str">
        <f aca="false">IF($A179="N/A"," ",IF(AND(AJ179=$AR$2+1,AS179=0),MIN($BB$183,AA179),0))</f>
        <v> </v>
      </c>
      <c r="BD179" s="346" t="str">
        <f aca="false">IF($A179="N/A"," ",IF(AND(AK179=$AR$2+1,AT179=0),MIN($BB$183,AB179),0))</f>
        <v> </v>
      </c>
      <c r="BE179" s="346" t="str">
        <f aca="false">IF($A179="N/A"," ",IF(AND(AL179=$AR$2+1,AU179=0),MIN($BB$183,AC179),0))</f>
        <v> </v>
      </c>
      <c r="BF179" s="346" t="str">
        <f aca="false">IF($A179="N/A"," ",IF(AND(AM179=$AR$2+1,AV179=0),MIN($BB$183,AD179),0))</f>
        <v> </v>
      </c>
      <c r="BG179" s="346" t="str">
        <f aca="false">IF($A179="N/A"," ",IF(AND(AN179=$AR$2+1,AW179=0),MIN($BB$183,AE179),0))</f>
        <v> </v>
      </c>
      <c r="BH179" s="346" t="str">
        <f aca="false">IF($A179="N/A"," ",IF(AND(AO179=$AR$2+1,AX179=0),MIN($BB$183,AF179),0))</f>
        <v> </v>
      </c>
      <c r="BI179" s="346" t="str">
        <f aca="false">IF($A179="N/A"," ",IF(AND(AP179=$AR$2+1,AY179=0),MIN($BB$183,AG179),0))</f>
        <v> </v>
      </c>
      <c r="BJ179" s="346" t="str">
        <f aca="false">IF($A179="N/A"," ",IF(AND(AQ179=$AR$2+1,AZ179=0),MIN($BB$183,AH179),0))</f>
        <v> </v>
      </c>
      <c r="BK179" s="346" t="str">
        <f aca="false">IF($A179="N/A"," ",IF(AND(AR179=$AR$2+1,BA179=0),MIN($BB$183,AI179),0))</f>
        <v> </v>
      </c>
      <c r="BL179" s="345"/>
      <c r="BM179" s="329" t="str">
        <f aca="false">IF($A179="N/A"," ",(IF(MONTH(A179)&gt;=4,IF(MONTH(A179)&lt;=10,Inputs!$F$13-Inputs!$G$13,Inputs!$F$14-Inputs!$G$14),Inputs!$F$14-Inputs!$G$14))*$CK179*Availability)</f>
        <v> </v>
      </c>
      <c r="BN179" s="330" t="str">
        <f aca="false">IF($A179="N/A"," ",(IF(AS179&gt;0,($BM179*(8*($HD179))*R179),0)+IF(BC179&gt;0,($BM179*((BC179/AA179)*8*$HD179)*R179),0)))</f>
        <v> </v>
      </c>
      <c r="BO179" s="330" t="str">
        <f aca="false">IF($A179="N/A"," ",(IF(AT179&gt;0,($BM179*(8*($HD179))*S179),0)+IF(BD179&gt;0,($BM179*((BD179/AB179)*8*$HD179)*S179),0)))</f>
        <v> </v>
      </c>
      <c r="BP179" s="330" t="str">
        <f aca="false">IF($A179="N/A"," ",(IF(AU179&gt;0,($BM179*(8*($HD179))*T179),0)+IF(BE179&gt;0,($BM179*((BE179))*T179),0)))</f>
        <v> </v>
      </c>
      <c r="BQ179" s="330" t="str">
        <f aca="false">IF($A179="N/A"," ",(IF(AV179&gt;0,($BM179*(8*($HE179))*U179),0)+IF(BF179&gt;0,($BM179*((BF179/AD179)*8*$HE179)*U179),0)))</f>
        <v> </v>
      </c>
      <c r="BR179" s="330" t="str">
        <f aca="false">IF($A179="N/A"," ",(IF(AW179&gt;0,($BM179*(8*($HE179))*V179),0)+IF(BG179&gt;0,($BM179*((BG179/AE179)*8*$HE179)*V179),0)))</f>
        <v> </v>
      </c>
      <c r="BS179" s="330" t="str">
        <f aca="false">IF($A179="N/A"," ",(IF(AX179&gt;0,($BM179*(8*($HE179))*W179),0)+IF(BH179&gt;0,($BM179*((BH179))*W179),0)))</f>
        <v> </v>
      </c>
      <c r="BT179" s="330" t="str">
        <f aca="false">IF($A179="N/A"," ",(IF(AY179&gt;0,($BM179*(8*($HF179))*X179),0)+IF(BI179&gt;0,($BM179*((BI179/AG179)*8*$HF179)*X179),0)))</f>
        <v> </v>
      </c>
      <c r="BU179" s="330" t="str">
        <f aca="false">IF($A179="N/A"," ",(IF(AZ179&gt;0,($BM179*(8*($HF179))*Y179),0)+IF(BJ179&gt;0,($BM179*((BJ179/AH179)*8*$HF179)*Y179),0)))</f>
        <v> </v>
      </c>
      <c r="BV179" s="330" t="str">
        <f aca="false">IF($A179="N/A"," ",(IF(BA179&gt;0,($BM179*(8*($HF179))*Z179),0)+IF(BK179&gt;0,($BM179*((BK179))*Z179),0)))</f>
        <v> </v>
      </c>
      <c r="BW179" s="330" t="str">
        <f aca="false">IF($A179="N/A"," ",SUM(BN179:BV179))</f>
        <v> </v>
      </c>
      <c r="BX179" s="331" t="str">
        <f aca="false">IF($A179="N/A"," ",(H179*(SUM(AS179:BA179)+SUM(BC179:BK179))*BM179))</f>
        <v> </v>
      </c>
      <c r="BY179" s="332" t="str">
        <f aca="false">IF($A179="N/A"," ",((C179*D179)*(SUM($AS179:$BA179)+SUM($BC179:$BK179))*$BM179))</f>
        <v> </v>
      </c>
      <c r="BZ179" s="332" t="str">
        <f aca="false">IF($A179="N/A"," ",(F179*(SUM($AS179:$BA179)+SUM($BC179:$BK179))*$BM179))</f>
        <v> </v>
      </c>
      <c r="CA179" s="333" t="str">
        <f aca="false">IF($A179="N/A"," ",(G179*(SUM($AS179:$BA179)+SUM($BC179:$BK179))*$BM179))</f>
        <v> </v>
      </c>
      <c r="CB179" s="334" t="str">
        <f aca="false">IF(A179="N/A"," ",(VLOOKUP(A179,PowerVolTable,(IF(BMO=2,7,IF(BMO=1,6,8))),FALSE())))</f>
        <v> </v>
      </c>
      <c r="CC179" s="334" t="str">
        <f aca="false">IF(A179="N/A"," ",(VLOOKUP(A179,IntraPowerVol,(IF(BMO=2,3,IF(BMO=1,2,4))),FALSE())*VLOOKUP(MONTH($A179),Volscale,2)))</f>
        <v> </v>
      </c>
      <c r="CD179" s="335" t="str">
        <f aca="false">IF($A179="N/A"," ",(IF(DateToday&gt;$A179,$CC179,((($CB179^2)*((($A179-1)-DateToday)/((EOMONTH($A179,0)+1)-DateToday-15)))+((($CC179)^2)*((15)/((EOMONTH($A179,0)+1)-DateToday-15))))^0.5)))</f>
        <v> </v>
      </c>
      <c r="CE179" s="334" t="str">
        <f aca="false">IF($A179="N/A"," ",(VLOOKUP($A179,GasVolTable,(IF(BMO=2,6,IF(BMO=1,7,5))),FALSE())))</f>
        <v> </v>
      </c>
      <c r="CF179" s="334" t="str">
        <f aca="false">IF($A179="N/A"," ",(VLOOKUP($A179,OmicronVol,(IF(BMO=2,3,IF(BMO=1,4,2))),FALSE())))</f>
        <v> </v>
      </c>
      <c r="CG179" s="335" t="str">
        <f aca="false">IF($A179="N/A"," ",(IF(DateToday&gt;$A179,$CF179,((($CE179^2)*((($A179-1)-DateToday)/((EOMONTH($A179,0)+1)-DateToday-15)))+((($CF179)^2)*((15)/((EOMONTH($A179,0)+1)-DateToday-15))))^0.5)))</f>
        <v> </v>
      </c>
      <c r="CH179" s="334" t="str">
        <f aca="false">IF($A179="N/A"," ",VLOOKUP($A179,CorrelationTable,2,FALSE()))</f>
        <v> </v>
      </c>
      <c r="CI179" s="336" t="str">
        <f aca="false">IF($A179="N/A"," ",F179+G179+(D179*('Pricing Inputs'!T212)))</f>
        <v> </v>
      </c>
      <c r="CJ179" s="334" t="str">
        <f aca="false">IF($A179="N/A"," ",IF(PV=1,0,'Pricing Inputs'!U212))</f>
        <v> </v>
      </c>
      <c r="CK179" s="337" t="str">
        <f aca="false">IF($A179="N/A"," ",(1+CJ179/2)^(-2*((EOMONTH(A179,0)+20)-DateToday)/365.25))</f>
        <v> </v>
      </c>
      <c r="CL179" s="338" t="str">
        <f aca="false">IF(A179="N/A"," ",IF(CC=2,(VLOOKUP(MONTH($A179),Hrtable,3))/1000,0))</f>
        <v> </v>
      </c>
      <c r="CM179" s="339" t="str">
        <f aca="false">IF(A179="N/A"," ",IF(CC=2,(CL179*C179)+F179,0))</f>
        <v> </v>
      </c>
      <c r="CN179" s="340" t="str">
        <f aca="false">IF($A179="N/A"," ",IF(CC=2,(VLOOKUP(A179,ScaledPrice,(IF(AND(Dayrun&gt;=1,Dayrun&lt;=6),2,4)))-((IF(R179&lt;&gt;0,$D179,$CL179)*$C179)+$F179+$G179)),0))</f>
        <v> </v>
      </c>
      <c r="CO179" s="340" t="str">
        <f aca="false">IF($A179="N/A"," ",IF(CC=2,(IF(AND(Dayrun&gt;=1,Dayrun&lt;=6),I179,(VLOOKUP(A179,ScaledPrice,2))*(2-(VLOOKUP(A179,ScaledPrice,3))))-((IF(S179&lt;&gt;0,$D179,$CL179)*$C179)+$F179+$G179)),0))</f>
        <v> </v>
      </c>
      <c r="CP179" s="340" t="str">
        <f aca="false">IF(A179="N/A"," ",IF(CC=2,(VLOOKUP(A179,ScaledPrice,9)-((IF(T179&lt;&gt;0,$D179,$CL179)*$C179)+$F179+$G179)),0))</f>
        <v> </v>
      </c>
      <c r="CQ179" s="340" t="str">
        <f aca="false">IF(A179="N/A"," ",IF(CC=2,(IF(OR(Dayrun=2,Dayrun=3,Dayrun=5,Dayrun=6,Dayrun=8,Dayrun=9),VLOOKUP(A179,ScaledPrice,IF(AND(Dayrun&gt;=2,Dayrun&lt;=6),5,6)),0)-((IF(U179&lt;&gt;0,$D179,$CL179)*$C179)+$F179+$G179)),0))</f>
        <v> </v>
      </c>
      <c r="CR179" s="340" t="str">
        <f aca="false">IF(A179="N/A"," ",IF(CC=2,(IF(OR(Dayrun=2,Dayrun=3,Dayrun=5,Dayrun=6,Dayrun=8,Dayrun=9),IF(AND(Dayrun&gt;=2,Dayrun&lt;=6),L179,(VLOOKUP(A179,ScaledPrice,5))*(2-(VLOOKUP(A179,ScaledPrice,3)))),0)-((IF(V179&lt;&gt;0,$D179,$CL179)*$C179)+$F179+$G179)),0))</f>
        <v> </v>
      </c>
      <c r="CS179" s="340" t="str">
        <f aca="false">IF(A179="N/A"," ",IF(CC=2,(VLOOKUP(A179,ScaledPrice,9)-((IF(W179&lt;&gt;0,$D179,$CL179)*$C179)+$F179+$G179)),0))</f>
        <v> </v>
      </c>
      <c r="CT179" s="340" t="str">
        <f aca="false">IF(A179="N/A"," ",IF(CC=2,(IF(OR(Dayrun=3,Dayrun=6,Dayrun=9),(VLOOKUP(A179,ScaledPrice,IF(AND(Dayrun&gt;=3,Dayrun&lt;=6),7,8))),0)-((IF(X179&lt;&gt;0,$D179,$CL179)*$C179)+$F179+$G179)),0))</f>
        <v> </v>
      </c>
      <c r="CU179" s="340" t="str">
        <f aca="false">IF(A179="N/A"," ",IF(CC=2,(IF(OR(Dayrun=3,Dayrun=6,Dayrun=9),IF(AND(Dayrun&gt;=3,Dayrun&lt;=6),O179,(VLOOKUP(A179,ScaledPrice,7))*(2-(VLOOKUP(A179,ScaledPrice,3)))),0)-((IF(Y179&lt;&gt;0,$D179,$CL179)*$C179)+$F179+$G179)),0))</f>
        <v> </v>
      </c>
      <c r="CV179" s="340" t="str">
        <f aca="false">IF(A179="N/A"," ",IF(CC=2,(VLOOKUP(A179,ScaledPrice,9)-((IF(Z179&lt;&gt;0,$D179,$CL179)*$C179)+$F179+$G179)),0))</f>
        <v> </v>
      </c>
      <c r="CW179" s="318" t="str">
        <f aca="false">IF($A179="N/A"," ",IF(0&lt;&gt;CN179,IF(CC=2,8*$HD179,0),0))</f>
        <v> </v>
      </c>
      <c r="CX179" s="318" t="str">
        <f aca="false">IF($A179="N/A"," ",IF(0&lt;&gt;CO179,IF(CC=2,8*$HD179,0),0))</f>
        <v> </v>
      </c>
      <c r="CY179" s="318" t="str">
        <f aca="false">IF($A179="N/A"," ",IF(0&lt;&gt;CP179,IF(CC=2,8*$HD179,0),0))</f>
        <v> </v>
      </c>
      <c r="CZ179" s="318" t="str">
        <f aca="false">IF($A179="N/A"," ",IF(0&lt;&gt;CQ179,IF(CC=2,8*$HE179,0),0))</f>
        <v> </v>
      </c>
      <c r="DA179" s="318" t="str">
        <f aca="false">IF($A179="N/A"," ",IF(0&lt;&gt;CR179,IF(CC=2,8*$HE179,0),0))</f>
        <v> </v>
      </c>
      <c r="DB179" s="318" t="str">
        <f aca="false">IF($A179="N/A"," ",IF(0&lt;&gt;CS179,IF(CC=2,8*$HE179,0),0))</f>
        <v> </v>
      </c>
      <c r="DC179" s="318" t="str">
        <f aca="false">IF($A179="N/A"," ",IF(0&lt;&gt;CT179,IF(CC=2,8*$HF179,0),0))</f>
        <v> </v>
      </c>
      <c r="DD179" s="318" t="str">
        <f aca="false">IF($A179="N/A"," ",IF(0&lt;&gt;CU179,IF(CC=2,8*$HF179,0),0))</f>
        <v> </v>
      </c>
      <c r="DE179" s="318" t="str">
        <f aca="false">IF($A179="N/A"," ",IF(0&lt;&gt;CV179,IF(CC=2,8*$HF179,0),0))</f>
        <v> </v>
      </c>
      <c r="DF179" s="341" t="str">
        <f aca="false">IF($A179="N/A"," ",IF(CC=2,(IF(MONTH(A179)&gt;=4,IF(MONTH(A179)&lt;=10,Inputs!$G$13,Inputs!$G$14),Inputs!$G$14))*$CK179,0))</f>
        <v> </v>
      </c>
      <c r="DG179" s="342" t="str">
        <f aca="false">IF($A179="N/A"," ",IF(CC=2,$DF179*CW179*CN179,0))</f>
        <v> </v>
      </c>
      <c r="DH179" s="342" t="str">
        <f aca="false">IF($A179="N/A"," ",IF(CC=2,$DF179*CX179*CO179,0))</f>
        <v> </v>
      </c>
      <c r="DI179" s="342" t="str">
        <f aca="false">IF($A179="N/A"," ",IF(CC=2,$DF179*CY179*CP179,0))</f>
        <v> </v>
      </c>
      <c r="DJ179" s="342" t="str">
        <f aca="false">IF($A179="N/A"," ",IF(CC=2,$DF179*CZ179*CQ179,0))</f>
        <v> </v>
      </c>
      <c r="DK179" s="342" t="str">
        <f aca="false">IF($A179="N/A"," ",IF(CC=2,$DF179*DA179*CR179,0))</f>
        <v> </v>
      </c>
      <c r="DL179" s="342" t="str">
        <f aca="false">IF($A179="N/A"," ",IF(CC=2,$DF179*DB179*CS179,0))</f>
        <v> </v>
      </c>
      <c r="DM179" s="342" t="str">
        <f aca="false">IF($A179="N/A"," ",IF(CC=2,$DF179*DC179*CT179,0))</f>
        <v> </v>
      </c>
      <c r="DN179" s="342" t="str">
        <f aca="false">IF($A179="N/A"," ",IF(CC=2,$DF179*DD179*CU179,0))</f>
        <v> </v>
      </c>
      <c r="DO179" s="342" t="str">
        <f aca="false">IF($A179="N/A"," ",IF(CC=2,$DF179*DE179*CV179,0))</f>
        <v> </v>
      </c>
      <c r="DP179" s="343" t="str">
        <f aca="false">IF($A179="N/A"," ",IF(CC=2,SUM(DG179:DO179),0))</f>
        <v> </v>
      </c>
      <c r="DQ179" s="0" t="str">
        <f aca="false">IF(A179="N/A"," ",Perstart)</f>
        <v> </v>
      </c>
      <c r="HD179" s="0" t="str">
        <f aca="false">IF($A179="N/A"," ",VLOOKUP($A179,NumberofDaysTable,2))</f>
        <v> </v>
      </c>
      <c r="HE179" s="0" t="str">
        <f aca="false">IF($A179="N/A"," ",VLOOKUP($A179,NumberofDaysTable,3))</f>
        <v> </v>
      </c>
      <c r="HF179" s="0" t="str">
        <f aca="false">IF($A179="N/A"," ",VLOOKUP($A179,NumberofDaysTable,4))</f>
        <v> </v>
      </c>
    </row>
    <row r="180" customFormat="false" ht="12.75" hidden="false" customHeight="false" outlineLevel="0" collapsed="false">
      <c r="A180" s="308" t="str">
        <f aca="false">IF(A179="N/A","N/A",IF(EDATE(A179,1)&gt;Inputs!$K$3,"N/A",EDATE(A179,1)))</f>
        <v>N/A</v>
      </c>
      <c r="B180" s="309" t="str">
        <f aca="false">IF(A180="N/A"," ",YEAR(A180))</f>
        <v> </v>
      </c>
      <c r="C180" s="310" t="str">
        <f aca="false">IF(A180="N/A"," ",VLOOKUP(A180,ScaledPrice,10))</f>
        <v> </v>
      </c>
      <c r="D180" s="311" t="str">
        <f aca="false">IF(A180="N/A"," ",(VLOOKUP(MONTH($A180),Hrtable,2))/1000)</f>
        <v> </v>
      </c>
      <c r="E180" s="312" t="str">
        <f aca="false">IF($A180="N/A"," ",(C180-'Pricing Inputs'!T213)*D180)</f>
        <v> </v>
      </c>
      <c r="F180" s="313" t="str">
        <f aca="false">IF(A180="N/A"," ",$F168*(1+VOMesc))</f>
        <v> </v>
      </c>
      <c r="G180" s="313" t="str">
        <f aca="false">IF(A180="N/A"," ",Perstart/IF(AND(Dayrun&gt;=4,Dayrun&lt;=6),16,IF(AND(Dayrun&gt;=7,Dayrun&lt;=9),8,24))/(BM180/CK180))</f>
        <v> </v>
      </c>
      <c r="H180" s="314" t="str">
        <f aca="false">IF(A180="N/A"," ",(C180*D180)+F180+G180)</f>
        <v> </v>
      </c>
      <c r="I180" s="315" t="str">
        <f aca="false">VLOOKUP(A180,ScaledPrice,(IF(AND(Dayrun&gt;=1,Dayrun&lt;=6),2,4)))</f>
        <v> </v>
      </c>
      <c r="J180" s="315" t="str">
        <f aca="false">IF(A180="N/A"," ",IF(AND(Dayrun&gt;=1,Dayrun&lt;=6),I180,(VLOOKUP(A180,ScaledPrice,2))*(2-(VLOOKUP(A180,ScaledPrice,3)))))</f>
        <v> </v>
      </c>
      <c r="K180" s="315" t="str">
        <f aca="false">IF(A180="N/A"," ",IF(AND(Dayrun&gt;=1,Dayrun&lt;=3),VLOOKUP(A180,ScaledPrice,9),0))</f>
        <v> </v>
      </c>
      <c r="L180" s="315" t="str">
        <f aca="false">IF(A180="N/A"," ",IF(OR(Dayrun=2,Dayrun=3,Dayrun=5,Dayrun=6,Dayrun=8,Dayrun=9),VLOOKUP(A180,ScaledPrice,IF(AND(Dayrun&gt;=2,Dayrun&lt;=6),5,6)),0))</f>
        <v> </v>
      </c>
      <c r="M180" s="315" t="str">
        <f aca="false">IF(A180="N/A"," ",IF(OR(Dayrun=2,Dayrun=3,Dayrun=5,Dayrun=6,Dayrun=8,Dayrun=9),IF(AND(Dayrun&gt;=2,Dayrun&lt;=6),L180,(VLOOKUP(A180,ScaledPrice,5))*(2-(VLOOKUP(A180,ScaledPrice,3)))),0))</f>
        <v> </v>
      </c>
      <c r="N180" s="315" t="str">
        <f aca="false">IF(A180="N/A"," ",IF(AND(Dayrun&gt;1,Dayrun&lt;=3),VLOOKUP(A180,ScaledPrice,9),0))</f>
        <v> </v>
      </c>
      <c r="O180" s="315" t="str">
        <f aca="false">IF(A180="N/A"," ",IF(OR(Dayrun=3,Dayrun=6,Dayrun=9),(VLOOKUP(A180,ScaledPrice,IF(AND(Dayrun&gt;=3,Dayrun&lt;=6),7,8))),0))</f>
        <v> </v>
      </c>
      <c r="P180" s="315" t="str">
        <f aca="false">IF(A180="N/A"," ",IF(OR(Dayrun=3,Dayrun=6,Dayrun=9),IF(AND(Dayrun&gt;=3,Dayrun&lt;=6),O180,(VLOOKUP(A180,ScaledPrice,7))*(2-(VLOOKUP(A180,ScaledPrice,3)))),0))</f>
        <v> </v>
      </c>
      <c r="Q180" s="315" t="str">
        <f aca="false">IF(A180="N/A"," ",IF(AND(Dayrun&gt;2,Dayrun&lt;=3),VLOOKUP(A180,ScaledPrice,9),0))</f>
        <v> </v>
      </c>
      <c r="R180" s="316" t="str">
        <f aca="false">IF($A180="N/A"," ",IF(Pricetype=2,MAX(I180-$H180,0),IF(Pricetype=1,(xSPRDOPT(I180,$E180,$CI180,0,($CD180+IF(Smile=TRUE(),VLOOKUP(MAX(-5,$H180-I180),Volsmile,2),0)),$CG180,$CH180,($A180-DateToday)+15,1,0)),I180-$H180)))</f>
        <v> </v>
      </c>
      <c r="S180" s="316" t="str">
        <f aca="false">IF($A180="N/A"," ",IF(Pricetype=2,MAX(J180-$H180,0),IF(Pricetype=1,(xSPRDOPT(J180,$E180,$CI180,0,($CD180+IF(Smile=TRUE(),VLOOKUP(MAX(-5,$H180-J180),Volsmile,2),0)),$CG180,$CH180,($A180-DateToday)+15,1,0)),J180-$H180)))</f>
        <v> </v>
      </c>
      <c r="T180" s="317" t="str">
        <f aca="false">IF($A180="N/A"," ",(IF(Pricetype=2,IF((K180-$H180)&lt;=0,0,(K180-$H180)),IF(K180&lt;&gt;0,(K180-$H180),0))))</f>
        <v> </v>
      </c>
      <c r="U180" s="316" t="str">
        <f aca="false">IF($A180="N/A"," ",IF(Pricetype=2,MAX(L180-$H180,0),IF(L180&lt;&gt;0,IF(Pricetype=1,(xSPRDOPT(L180,$E180,$CI180,0,($CD180+IF(Smile=TRUE(),VLOOKUP(MAX(-5,$H180-L180),Volsmile,2),0)),$CG180,$CH180,($A180-DateToday)+15,1,0)),L180-$H180),0)))</f>
        <v> </v>
      </c>
      <c r="V180" s="316" t="str">
        <f aca="false">IF($A180="N/A"," ",IF(Pricetype=2,MAX(M180-$H180,0),IF(M180&lt;&gt;0,IF(Pricetype=1,(xSPRDOPT(M180,$E180,$CI180,0,($CD180+IF(Smile=TRUE(),VLOOKUP(MAX(-5,$H180-M180),Volsmile,2),0)),$CG180,$CH180,($A180-DateToday)+15,1,0)),M180-$H180),0)))</f>
        <v> </v>
      </c>
      <c r="W180" s="317" t="str">
        <f aca="false">IF($A180="N/A"," ",(IF(Pricetype=2,IF((N180-$H180)&lt;=0,0,(N180-$H180)),IF(N180&lt;&gt;0,(N180-$H180),0))))</f>
        <v> </v>
      </c>
      <c r="X180" s="316" t="str">
        <f aca="false">IF($A180="N/A"," ",IF(Pricetype=2,MAX(O180-$H180,0),IF(O180&lt;&gt;0,IF(Pricetype=1,(xSPRDOPT(O180,$E180,$CI180,0,($CD180+IF(Smile=TRUE(),VLOOKUP(MAX(-5,$H180-O180),Volsmile,2),0)),$CG180,$CH180,($A180-DateToday)+15,1,0)),O180-$H180),0)))</f>
        <v> </v>
      </c>
      <c r="Y180" s="316" t="str">
        <f aca="false">IF($A180="N/A"," ",IF(Pricetype=2,MAX(P180-$H180,0),IF(P180&lt;&gt;0,IF(Pricetype=1,(xSPRDOPT(P180,$E180,$CI180,0,($CD180+IF(Smile=TRUE(),VLOOKUP(MAX(-5,$H180-P180),Volsmile,2),0)),$CG180,$CH180,($A180-DateToday)+15,1,0)),P180-$H180),0)))</f>
        <v> </v>
      </c>
      <c r="Z180" s="317" t="str">
        <f aca="false">IF($A180="N/A"," ",(IF(Pricetype=2,IF((Q180-$H180)&lt;=0,0,(Q180-$H180)),IF(Q180&lt;&gt;0,(Q180-$H180),0))))</f>
        <v> </v>
      </c>
      <c r="AA180" s="318" t="str">
        <f aca="false">IF($A180="N/A"," ",IF(VLOOKUP(MONTH(A180),ManualTable,2)=1,(IF(0&lt;&gt;R180,IF(Pricetype=1,(xSPRDOPT(I180,$E180,$CI180,0,($CD180+IF(Smile=TRUE(),VLOOKUP(MAX(-5,$H180-I180),Volsmile,2),0)),$CG180,$CH180,($A180-DateToday)+15,1,1))*(8*$HD180),8*$HD180),0)),0))</f>
        <v> </v>
      </c>
      <c r="AB180" s="318" t="str">
        <f aca="false">IF($A180="N/A"," ",IF(VLOOKUP(MONTH(A180),ManualTable,3)=1,(IF(S180&lt;&gt;0,IF(Pricetype=1,(xSPRDOPT(J180,$E180,$CI180,0,($CD180+IF(Smile=TRUE(),VLOOKUP(MAX(-5,$H180-J180),Volsmile,2),0)),$CG180,$CH180,($A180-DateToday)+15,1,1))*(8*$HD180),8*$HD180),0)),0))</f>
        <v> </v>
      </c>
      <c r="AC180" s="318" t="str">
        <f aca="false">IF($A180="N/A"," ",IF(VLOOKUP(MONTH(A180),ManualTable,4)=1,(IF(T180&lt;&gt;0,(8*$HD180),0)),0))</f>
        <v> </v>
      </c>
      <c r="AD180" s="318" t="str">
        <f aca="false">IF($A180="N/A"," ",IF(VLOOKUP(MONTH(A180),ManualTable,5)=1,(IF(U180&lt;&gt;0,IF(Pricetype=1,(xSPRDOPT(L180,$E180,$CI180,0,($CD180+IF(Smile=TRUE(),VLOOKUP(MAX(-5,$H180-L180),Volsmile,2),0)),$CG180,$CH180,($A180-DateToday)+15,1,1))*(8*$HE180),8*$HE180),0)),0))</f>
        <v> </v>
      </c>
      <c r="AE180" s="318" t="str">
        <f aca="false">IF($A180="N/A"," ",IF(VLOOKUP(MONTH(A180),ManualTable,6)=1,(IF(V180&lt;&gt;0,IF(Pricetype=1,(xSPRDOPT(M180,$E180,$CI180,0,($CD180+IF(Smile=TRUE(),VLOOKUP(MAX(-5,$H180-M180),Volsmile,2),0)),$CG180,$CH180,($A180-DateToday)+15,1,1))*(8*$HE180),8*$HE180),0)),0))</f>
        <v> </v>
      </c>
      <c r="AF180" s="318" t="str">
        <f aca="false">IF($A180="N/A"," ",IF(VLOOKUP(MONTH(A180),ManualTable,7)=1,(IF(W180&lt;&gt;0,(8*$HE180),0)),0))</f>
        <v> </v>
      </c>
      <c r="AG180" s="318" t="str">
        <f aca="false">IF($A180="N/A"," ",IF(VLOOKUP(MONTH(A180),ManualTable,8)=1,(IF(X180&lt;&gt;0,IF(Pricetype=1,(xSPRDOPT(O180,$E180,$CI180,0,($CD180+IF(Smile=TRUE(),VLOOKUP(MAX(-5,$H180-O180),Volsmile,2),0)),$CG180,$CH180,($A180-DateToday)+15,1,1))*(8*$HF180),8*$HF180),0)),0))</f>
        <v> </v>
      </c>
      <c r="AH180" s="318" t="str">
        <f aca="false">IF($A180="N/A"," ",IF(VLOOKUP(MONTH(A180),ManualTable,9)=1,(IF(Y180&lt;&gt;0,IF(Pricetype=1,(xSPRDOPT(P180,$E180,$CI180,0,($CD180+IF(Smile=TRUE(),VLOOKUP(MAX(-5,$H180-P180),Volsmile,2),0)),$CG180,$CH180,($A180-DateToday)+15,1,1))*(8*$HF180),8*$HF180),0)),0))</f>
        <v> </v>
      </c>
      <c r="AI180" s="318" t="str">
        <f aca="false">IF($A180="N/A"," ",IF(VLOOKUP(MONTH(A180),ManualTable,10)=1,(IF(Z180&lt;&gt;0,(8*($HF180)),0)),0))</f>
        <v> </v>
      </c>
      <c r="AJ180" s="344" t="str">
        <f aca="false">IF($A180="N/A"," ",RANK(R180,$R$172:$Z$183))</f>
        <v> </v>
      </c>
      <c r="AK180" s="321" t="str">
        <f aca="false">IF($A180="N/A"," ",RANK(S180,$R$172:$Z$183))</f>
        <v> </v>
      </c>
      <c r="AL180" s="321" t="str">
        <f aca="false">IF($A180="N/A"," ",RANK(T180,$R$172:$Z$183))</f>
        <v> </v>
      </c>
      <c r="AM180" s="321" t="str">
        <f aca="false">IF($A180="N/A"," ",RANK(U180,$R$172:$Z$183))</f>
        <v> </v>
      </c>
      <c r="AN180" s="321" t="str">
        <f aca="false">IF($A180="N/A"," ",RANK(V180,$R$172:$Z$183))</f>
        <v> </v>
      </c>
      <c r="AO180" s="321" t="str">
        <f aca="false">IF($A180="N/A"," ",RANK(W180,$R$172:$Z$183))</f>
        <v> </v>
      </c>
      <c r="AP180" s="321" t="str">
        <f aca="false">IF($A180="N/A"," ",RANK(X180,$R$172:$Z$183))</f>
        <v> </v>
      </c>
      <c r="AQ180" s="321" t="str">
        <f aca="false">IF($A180="N/A"," ",RANK(Y180,$R$172:$Z$183))</f>
        <v> </v>
      </c>
      <c r="AR180" s="345" t="str">
        <f aca="false">IF($A180="N/A"," ",RANK(Z180,$R$172:$Z$183))</f>
        <v> </v>
      </c>
      <c r="AS180" s="323" t="str">
        <f aca="false">IF($A180="N/A"," ",IF(AJ180&lt;=$AR$2,AA180,0))</f>
        <v> </v>
      </c>
      <c r="AT180" s="325" t="str">
        <f aca="false">IF($A180="N/A"," ",IF(AK180&lt;=$AR$2,AB180,0))</f>
        <v> </v>
      </c>
      <c r="AU180" s="325" t="str">
        <f aca="false">IF($A180="N/A"," ",IF(AL180&lt;=$AR$2,AC180,0))</f>
        <v> </v>
      </c>
      <c r="AV180" s="325" t="str">
        <f aca="false">IF($A180="N/A"," ",IF(AM180&lt;=$AR$2,AD180,0))</f>
        <v> </v>
      </c>
      <c r="AW180" s="325" t="str">
        <f aca="false">IF($A180="N/A"," ",IF(AN180&lt;=$AR$2,AE180,0))</f>
        <v> </v>
      </c>
      <c r="AX180" s="325" t="str">
        <f aca="false">IF($A180="N/A"," ",IF(AO180&lt;=$AR$2,AF180,0))</f>
        <v> </v>
      </c>
      <c r="AY180" s="325" t="str">
        <f aca="false">IF($A180="N/A"," ",IF(AP180&lt;=$AR$2,AG180,0))</f>
        <v> </v>
      </c>
      <c r="AZ180" s="325" t="str">
        <f aca="false">IF($A180="N/A"," ",IF(AQ180&lt;=$AR$2,AH180,0))</f>
        <v> </v>
      </c>
      <c r="BA180" s="325" t="str">
        <f aca="false">IF($A180="N/A"," ",IF(AR180&lt;=$AR$2,AI180,0))</f>
        <v> </v>
      </c>
      <c r="BB180" s="345"/>
      <c r="BC180" s="326" t="str">
        <f aca="false">IF($A180="N/A"," ",IF(AND(AJ180=$AR$2+1,AS180=0),MIN($BB$183,AA180),0))</f>
        <v> </v>
      </c>
      <c r="BD180" s="346" t="str">
        <f aca="false">IF($A180="N/A"," ",IF(AND(AK180=$AR$2+1,AT180=0),MIN($BB$183,AB180),0))</f>
        <v> </v>
      </c>
      <c r="BE180" s="346" t="str">
        <f aca="false">IF($A180="N/A"," ",IF(AND(AL180=$AR$2+1,AU180=0),MIN($BB$183,AC180),0))</f>
        <v> </v>
      </c>
      <c r="BF180" s="346" t="str">
        <f aca="false">IF($A180="N/A"," ",IF(AND(AM180=$AR$2+1,AV180=0),MIN($BB$183,AD180),0))</f>
        <v> </v>
      </c>
      <c r="BG180" s="346" t="str">
        <f aca="false">IF($A180="N/A"," ",IF(AND(AN180=$AR$2+1,AW180=0),MIN($BB$183,AE180),0))</f>
        <v> </v>
      </c>
      <c r="BH180" s="346" t="str">
        <f aca="false">IF($A180="N/A"," ",IF(AND(AO180=$AR$2+1,AX180=0),MIN($BB$183,AF180),0))</f>
        <v> </v>
      </c>
      <c r="BI180" s="346" t="str">
        <f aca="false">IF($A180="N/A"," ",IF(AND(AP180=$AR$2+1,AY180=0),MIN($BB$183,AG180),0))</f>
        <v> </v>
      </c>
      <c r="BJ180" s="346" t="str">
        <f aca="false">IF($A180="N/A"," ",IF(AND(AQ180=$AR$2+1,AZ180=0),MIN($BB$183,AH180),0))</f>
        <v> </v>
      </c>
      <c r="BK180" s="346" t="str">
        <f aca="false">IF($A180="N/A"," ",IF(AND(AR180=$AR$2+1,BA180=0),MIN($BB$183,AI180),0))</f>
        <v> </v>
      </c>
      <c r="BL180" s="345"/>
      <c r="BM180" s="329" t="str">
        <f aca="false">IF($A180="N/A"," ",(IF(MONTH(A180)&gt;=4,IF(MONTH(A180)&lt;=10,Inputs!$F$13-Inputs!$G$13,Inputs!$F$14-Inputs!$G$14),Inputs!$F$14-Inputs!$G$14))*$CK180*Availability)</f>
        <v> </v>
      </c>
      <c r="BN180" s="330" t="str">
        <f aca="false">IF($A180="N/A"," ",(IF(AS180&gt;0,($BM180*(8*($HD180))*R180),0)+IF(BC180&gt;0,($BM180*((BC180/AA180)*8*$HD180)*R180),0)))</f>
        <v> </v>
      </c>
      <c r="BO180" s="330" t="str">
        <f aca="false">IF($A180="N/A"," ",(IF(AT180&gt;0,($BM180*(8*($HD180))*S180),0)+IF(BD180&gt;0,($BM180*((BD180/AB180)*8*$HD180)*S180),0)))</f>
        <v> </v>
      </c>
      <c r="BP180" s="330" t="str">
        <f aca="false">IF($A180="N/A"," ",(IF(AU180&gt;0,($BM180*(8*($HD180))*T180),0)+IF(BE180&gt;0,($BM180*((BE180))*T180),0)))</f>
        <v> </v>
      </c>
      <c r="BQ180" s="330" t="str">
        <f aca="false">IF($A180="N/A"," ",(IF(AV180&gt;0,($BM180*(8*($HE180))*U180),0)+IF(BF180&gt;0,($BM180*((BF180/AD180)*8*$HE180)*U180),0)))</f>
        <v> </v>
      </c>
      <c r="BR180" s="330" t="str">
        <f aca="false">IF($A180="N/A"," ",(IF(AW180&gt;0,($BM180*(8*($HE180))*V180),0)+IF(BG180&gt;0,($BM180*((BG180/AE180)*8*$HE180)*V180),0)))</f>
        <v> </v>
      </c>
      <c r="BS180" s="330" t="str">
        <f aca="false">IF($A180="N/A"," ",(IF(AX180&gt;0,($BM180*(8*($HE180))*W180),0)+IF(BH180&gt;0,($BM180*((BH180))*W180),0)))</f>
        <v> </v>
      </c>
      <c r="BT180" s="330" t="str">
        <f aca="false">IF($A180="N/A"," ",(IF(AY180&gt;0,($BM180*(8*($HF180))*X180),0)+IF(BI180&gt;0,($BM180*((BI180/AG180)*8*$HF180)*X180),0)))</f>
        <v> </v>
      </c>
      <c r="BU180" s="330" t="str">
        <f aca="false">IF($A180="N/A"," ",(IF(AZ180&gt;0,($BM180*(8*($HF180))*Y180),0)+IF(BJ180&gt;0,($BM180*((BJ180/AH180)*8*$HF180)*Y180),0)))</f>
        <v> </v>
      </c>
      <c r="BV180" s="330" t="str">
        <f aca="false">IF($A180="N/A"," ",(IF(BA180&gt;0,($BM180*(8*($HF180))*Z180),0)+IF(BK180&gt;0,($BM180*((BK180))*Z180),0)))</f>
        <v> </v>
      </c>
      <c r="BW180" s="330" t="str">
        <f aca="false">IF($A180="N/A"," ",SUM(BN180:BV180))</f>
        <v> </v>
      </c>
      <c r="BX180" s="331" t="str">
        <f aca="false">IF($A180="N/A"," ",(H180*(SUM(AS180:BA180)+SUM(BC180:BK180))*BM180))</f>
        <v> </v>
      </c>
      <c r="BY180" s="332" t="str">
        <f aca="false">IF($A180="N/A"," ",((C180*D180)*(SUM($AS180:$BA180)+SUM($BC180:$BK180))*$BM180))</f>
        <v> </v>
      </c>
      <c r="BZ180" s="332" t="str">
        <f aca="false">IF($A180="N/A"," ",(F180*(SUM($AS180:$BA180)+SUM($BC180:$BK180))*$BM180))</f>
        <v> </v>
      </c>
      <c r="CA180" s="333" t="str">
        <f aca="false">IF($A180="N/A"," ",(G180*(SUM($AS180:$BA180)+SUM($BC180:$BK180))*$BM180))</f>
        <v> </v>
      </c>
      <c r="CB180" s="334" t="str">
        <f aca="false">IF(A180="N/A"," ",(VLOOKUP(A180,PowerVolTable,(IF(BMO=2,7,IF(BMO=1,6,8))),FALSE())))</f>
        <v> </v>
      </c>
      <c r="CC180" s="334" t="str">
        <f aca="false">IF(A180="N/A"," ",(VLOOKUP(A180,IntraPowerVol,(IF(BMO=2,3,IF(BMO=1,2,4))),FALSE())*VLOOKUP(MONTH($A180),Volscale,2)))</f>
        <v> </v>
      </c>
      <c r="CD180" s="335" t="str">
        <f aca="false">IF($A180="N/A"," ",(IF(DateToday&gt;$A180,$CC180,((($CB180^2)*((($A180-1)-DateToday)/((EOMONTH($A180,0)+1)-DateToday-15)))+((($CC180)^2)*((15)/((EOMONTH($A180,0)+1)-DateToday-15))))^0.5)))</f>
        <v> </v>
      </c>
      <c r="CE180" s="334" t="str">
        <f aca="false">IF($A180="N/A"," ",(VLOOKUP($A180,GasVolTable,(IF(BMO=2,6,IF(BMO=1,7,5))),FALSE())))</f>
        <v> </v>
      </c>
      <c r="CF180" s="334" t="str">
        <f aca="false">IF($A180="N/A"," ",(VLOOKUP($A180,OmicronVol,(IF(BMO=2,3,IF(BMO=1,4,2))),FALSE())))</f>
        <v> </v>
      </c>
      <c r="CG180" s="335" t="str">
        <f aca="false">IF($A180="N/A"," ",(IF(DateToday&gt;$A180,$CF180,((($CE180^2)*((($A180-1)-DateToday)/((EOMONTH($A180,0)+1)-DateToday-15)))+((($CF180)^2)*((15)/((EOMONTH($A180,0)+1)-DateToday-15))))^0.5)))</f>
        <v> </v>
      </c>
      <c r="CH180" s="334" t="str">
        <f aca="false">IF($A180="N/A"," ",VLOOKUP($A180,CorrelationTable,2,FALSE()))</f>
        <v> </v>
      </c>
      <c r="CI180" s="336" t="str">
        <f aca="false">IF($A180="N/A"," ",F180+G180+(D180*('Pricing Inputs'!T213)))</f>
        <v> </v>
      </c>
      <c r="CJ180" s="334" t="str">
        <f aca="false">IF($A180="N/A"," ",IF(PV=1,0,'Pricing Inputs'!U213))</f>
        <v> </v>
      </c>
      <c r="CK180" s="337" t="str">
        <f aca="false">IF($A180="N/A"," ",(1+CJ180/2)^(-2*((EOMONTH(A180,0)+20)-DateToday)/365.25))</f>
        <v> </v>
      </c>
      <c r="CL180" s="338" t="str">
        <f aca="false">IF(A180="N/A"," ",IF(CC=2,(VLOOKUP(MONTH($A180),Hrtable,3))/1000,0))</f>
        <v> </v>
      </c>
      <c r="CM180" s="339" t="str">
        <f aca="false">IF(A180="N/A"," ",IF(CC=2,(CL180*C180)+F180,0))</f>
        <v> </v>
      </c>
      <c r="CN180" s="340" t="str">
        <f aca="false">IF($A180="N/A"," ",IF(CC=2,(VLOOKUP(A180,ScaledPrice,(IF(AND(Dayrun&gt;=1,Dayrun&lt;=6),2,4)))-((IF(R180&lt;&gt;0,$D180,$CL180)*$C180)+$F180+$G180)),0))</f>
        <v> </v>
      </c>
      <c r="CO180" s="340" t="str">
        <f aca="false">IF($A180="N/A"," ",IF(CC=2,(IF(AND(Dayrun&gt;=1,Dayrun&lt;=6),I180,(VLOOKUP(A180,ScaledPrice,2))*(2-(VLOOKUP(A180,ScaledPrice,3))))-((IF(S180&lt;&gt;0,$D180,$CL180)*$C180)+$F180+$G180)),0))</f>
        <v> </v>
      </c>
      <c r="CP180" s="340" t="str">
        <f aca="false">IF(A180="N/A"," ",IF(CC=2,(VLOOKUP(A180,ScaledPrice,9)-((IF(T180&lt;&gt;0,$D180,$CL180)*$C180)+$F180+$G180)),0))</f>
        <v> </v>
      </c>
      <c r="CQ180" s="340" t="str">
        <f aca="false">IF(A180="N/A"," ",IF(CC=2,(IF(OR(Dayrun=2,Dayrun=3,Dayrun=5,Dayrun=6,Dayrun=8,Dayrun=9),VLOOKUP(A180,ScaledPrice,IF(AND(Dayrun&gt;=2,Dayrun&lt;=6),5,6)),0)-((IF(U180&lt;&gt;0,$D180,$CL180)*$C180)+$F180+$G180)),0))</f>
        <v> </v>
      </c>
      <c r="CR180" s="340" t="str">
        <f aca="false">IF(A180="N/A"," ",IF(CC=2,(IF(OR(Dayrun=2,Dayrun=3,Dayrun=5,Dayrun=6,Dayrun=8,Dayrun=9),IF(AND(Dayrun&gt;=2,Dayrun&lt;=6),L180,(VLOOKUP(A180,ScaledPrice,5))*(2-(VLOOKUP(A180,ScaledPrice,3)))),0)-((IF(V180&lt;&gt;0,$D180,$CL180)*$C180)+$F180+$G180)),0))</f>
        <v> </v>
      </c>
      <c r="CS180" s="340" t="str">
        <f aca="false">IF(A180="N/A"," ",IF(CC=2,(VLOOKUP(A180,ScaledPrice,9)-((IF(W180&lt;&gt;0,$D180,$CL180)*$C180)+$F180+$G180)),0))</f>
        <v> </v>
      </c>
      <c r="CT180" s="340" t="str">
        <f aca="false">IF(A180="N/A"," ",IF(CC=2,(IF(OR(Dayrun=3,Dayrun=6,Dayrun=9),(VLOOKUP(A180,ScaledPrice,IF(AND(Dayrun&gt;=3,Dayrun&lt;=6),7,8))),0)-((IF(X180&lt;&gt;0,$D180,$CL180)*$C180)+$F180+$G180)),0))</f>
        <v> </v>
      </c>
      <c r="CU180" s="340" t="str">
        <f aca="false">IF(A180="N/A"," ",IF(CC=2,(IF(OR(Dayrun=3,Dayrun=6,Dayrun=9),IF(AND(Dayrun&gt;=3,Dayrun&lt;=6),O180,(VLOOKUP(A180,ScaledPrice,7))*(2-(VLOOKUP(A180,ScaledPrice,3)))),0)-((IF(Y180&lt;&gt;0,$D180,$CL180)*$C180)+$F180+$G180)),0))</f>
        <v> </v>
      </c>
      <c r="CV180" s="340" t="str">
        <f aca="false">IF(A180="N/A"," ",IF(CC=2,(VLOOKUP(A180,ScaledPrice,9)-((IF(Z180&lt;&gt;0,$D180,$CL180)*$C180)+$F180+$G180)),0))</f>
        <v> </v>
      </c>
      <c r="CW180" s="318" t="str">
        <f aca="false">IF($A180="N/A"," ",IF(0&lt;&gt;CN180,IF(CC=2,8*$HD180,0),0))</f>
        <v> </v>
      </c>
      <c r="CX180" s="318" t="str">
        <f aca="false">IF($A180="N/A"," ",IF(0&lt;&gt;CO180,IF(CC=2,8*$HD180,0),0))</f>
        <v> </v>
      </c>
      <c r="CY180" s="318" t="str">
        <f aca="false">IF($A180="N/A"," ",IF(0&lt;&gt;CP180,IF(CC=2,8*$HD180,0),0))</f>
        <v> </v>
      </c>
      <c r="CZ180" s="318" t="str">
        <f aca="false">IF($A180="N/A"," ",IF(0&lt;&gt;CQ180,IF(CC=2,8*$HE180,0),0))</f>
        <v> </v>
      </c>
      <c r="DA180" s="318" t="str">
        <f aca="false">IF($A180="N/A"," ",IF(0&lt;&gt;CR180,IF(CC=2,8*$HE180,0),0))</f>
        <v> </v>
      </c>
      <c r="DB180" s="318" t="str">
        <f aca="false">IF($A180="N/A"," ",IF(0&lt;&gt;CS180,IF(CC=2,8*$HE180,0),0))</f>
        <v> </v>
      </c>
      <c r="DC180" s="318" t="str">
        <f aca="false">IF($A180="N/A"," ",IF(0&lt;&gt;CT180,IF(CC=2,8*$HF180,0),0))</f>
        <v> </v>
      </c>
      <c r="DD180" s="318" t="str">
        <f aca="false">IF($A180="N/A"," ",IF(0&lt;&gt;CU180,IF(CC=2,8*$HF180,0),0))</f>
        <v> </v>
      </c>
      <c r="DE180" s="318" t="str">
        <f aca="false">IF($A180="N/A"," ",IF(0&lt;&gt;CV180,IF(CC=2,8*$HF180,0),0))</f>
        <v> </v>
      </c>
      <c r="DF180" s="341" t="str">
        <f aca="false">IF($A180="N/A"," ",IF(CC=2,(IF(MONTH(A180)&gt;=4,IF(MONTH(A180)&lt;=10,Inputs!$G$13,Inputs!$G$14),Inputs!$G$14))*$CK180,0))</f>
        <v> </v>
      </c>
      <c r="DG180" s="342" t="str">
        <f aca="false">IF($A180="N/A"," ",IF(CC=2,$DF180*CW180*CN180,0))</f>
        <v> </v>
      </c>
      <c r="DH180" s="342" t="str">
        <f aca="false">IF($A180="N/A"," ",IF(CC=2,$DF180*CX180*CO180,0))</f>
        <v> </v>
      </c>
      <c r="DI180" s="342" t="str">
        <f aca="false">IF($A180="N/A"," ",IF(CC=2,$DF180*CY180*CP180,0))</f>
        <v> </v>
      </c>
      <c r="DJ180" s="342" t="str">
        <f aca="false">IF($A180="N/A"," ",IF(CC=2,$DF180*CZ180*CQ180,0))</f>
        <v> </v>
      </c>
      <c r="DK180" s="342" t="str">
        <f aca="false">IF($A180="N/A"," ",IF(CC=2,$DF180*DA180*CR180,0))</f>
        <v> </v>
      </c>
      <c r="DL180" s="342" t="str">
        <f aca="false">IF($A180="N/A"," ",IF(CC=2,$DF180*DB180*CS180,0))</f>
        <v> </v>
      </c>
      <c r="DM180" s="342" t="str">
        <f aca="false">IF($A180="N/A"," ",IF(CC=2,$DF180*DC180*CT180,0))</f>
        <v> </v>
      </c>
      <c r="DN180" s="342" t="str">
        <f aca="false">IF($A180="N/A"," ",IF(CC=2,$DF180*DD180*CU180,0))</f>
        <v> </v>
      </c>
      <c r="DO180" s="342" t="str">
        <f aca="false">IF($A180="N/A"," ",IF(CC=2,$DF180*DE180*CV180,0))</f>
        <v> </v>
      </c>
      <c r="DP180" s="343" t="str">
        <f aca="false">IF($A180="N/A"," ",IF(CC=2,SUM(DG180:DO180),0))</f>
        <v> </v>
      </c>
      <c r="DQ180" s="0" t="str">
        <f aca="false">IF(A180="N/A"," ",Perstart)</f>
        <v> </v>
      </c>
      <c r="HD180" s="0" t="str">
        <f aca="false">IF($A180="N/A"," ",VLOOKUP($A180,NumberofDaysTable,2))</f>
        <v> </v>
      </c>
      <c r="HE180" s="0" t="str">
        <f aca="false">IF($A180="N/A"," ",VLOOKUP($A180,NumberofDaysTable,3))</f>
        <v> </v>
      </c>
      <c r="HF180" s="0" t="str">
        <f aca="false">IF($A180="N/A"," ",VLOOKUP($A180,NumberofDaysTable,4))</f>
        <v> </v>
      </c>
    </row>
    <row r="181" customFormat="false" ht="12.75" hidden="false" customHeight="false" outlineLevel="0" collapsed="false">
      <c r="A181" s="308" t="str">
        <f aca="false">IF(A180="N/A","N/A",IF(EDATE(A180,1)&gt;Inputs!$K$3,"N/A",EDATE(A180,1)))</f>
        <v>N/A</v>
      </c>
      <c r="B181" s="309" t="str">
        <f aca="false">IF(A181="N/A"," ",YEAR(A181))</f>
        <v> </v>
      </c>
      <c r="C181" s="310" t="str">
        <f aca="false">IF(A181="N/A"," ",VLOOKUP(A181,ScaledPrice,10))</f>
        <v> </v>
      </c>
      <c r="D181" s="311" t="str">
        <f aca="false">IF(A181="N/A"," ",(VLOOKUP(MONTH($A181),Hrtable,2))/1000)</f>
        <v> </v>
      </c>
      <c r="E181" s="312" t="str">
        <f aca="false">IF($A181="N/A"," ",(C181-'Pricing Inputs'!T214)*D181)</f>
        <v> </v>
      </c>
      <c r="F181" s="313" t="str">
        <f aca="false">IF(A181="N/A"," ",$F169*(1+VOMesc))</f>
        <v> </v>
      </c>
      <c r="G181" s="313" t="str">
        <f aca="false">IF(A181="N/A"," ",Perstart/IF(AND(Dayrun&gt;=4,Dayrun&lt;=6),16,IF(AND(Dayrun&gt;=7,Dayrun&lt;=9),8,24))/(BM181/CK181))</f>
        <v> </v>
      </c>
      <c r="H181" s="314" t="str">
        <f aca="false">IF(A181="N/A"," ",(C181*D181)+F181+G181)</f>
        <v> </v>
      </c>
      <c r="I181" s="315" t="str">
        <f aca="false">VLOOKUP(A181,ScaledPrice,(IF(AND(Dayrun&gt;=1,Dayrun&lt;=6),2,4)))</f>
        <v> </v>
      </c>
      <c r="J181" s="315" t="str">
        <f aca="false">IF(A181="N/A"," ",IF(AND(Dayrun&gt;=1,Dayrun&lt;=6),I181,(VLOOKUP(A181,ScaledPrice,2))*(2-(VLOOKUP(A181,ScaledPrice,3)))))</f>
        <v> </v>
      </c>
      <c r="K181" s="315" t="str">
        <f aca="false">IF(A181="N/A"," ",IF(AND(Dayrun&gt;=1,Dayrun&lt;=3),VLOOKUP(A181,ScaledPrice,9),0))</f>
        <v> </v>
      </c>
      <c r="L181" s="315" t="str">
        <f aca="false">IF(A181="N/A"," ",IF(OR(Dayrun=2,Dayrun=3,Dayrun=5,Dayrun=6,Dayrun=8,Dayrun=9),VLOOKUP(A181,ScaledPrice,IF(AND(Dayrun&gt;=2,Dayrun&lt;=6),5,6)),0))</f>
        <v> </v>
      </c>
      <c r="M181" s="315" t="str">
        <f aca="false">IF(A181="N/A"," ",IF(OR(Dayrun=2,Dayrun=3,Dayrun=5,Dayrun=6,Dayrun=8,Dayrun=9),IF(AND(Dayrun&gt;=2,Dayrun&lt;=6),L181,(VLOOKUP(A181,ScaledPrice,5))*(2-(VLOOKUP(A181,ScaledPrice,3)))),0))</f>
        <v> </v>
      </c>
      <c r="N181" s="315" t="str">
        <f aca="false">IF(A181="N/A"," ",IF(AND(Dayrun&gt;1,Dayrun&lt;=3),VLOOKUP(A181,ScaledPrice,9),0))</f>
        <v> </v>
      </c>
      <c r="O181" s="315" t="str">
        <f aca="false">IF(A181="N/A"," ",IF(OR(Dayrun=3,Dayrun=6,Dayrun=9),(VLOOKUP(A181,ScaledPrice,IF(AND(Dayrun&gt;=3,Dayrun&lt;=6),7,8))),0))</f>
        <v> </v>
      </c>
      <c r="P181" s="315" t="str">
        <f aca="false">IF(A181="N/A"," ",IF(OR(Dayrun=3,Dayrun=6,Dayrun=9),IF(AND(Dayrun&gt;=3,Dayrun&lt;=6),O181,(VLOOKUP(A181,ScaledPrice,7))*(2-(VLOOKUP(A181,ScaledPrice,3)))),0))</f>
        <v> </v>
      </c>
      <c r="Q181" s="315" t="str">
        <f aca="false">IF(A181="N/A"," ",IF(AND(Dayrun&gt;2,Dayrun&lt;=3),VLOOKUP(A181,ScaledPrice,9),0))</f>
        <v> </v>
      </c>
      <c r="R181" s="316" t="str">
        <f aca="false">IF($A181="N/A"," ",IF(Pricetype=2,MAX(I181-$H181,0),IF(Pricetype=1,(xSPRDOPT(I181,$E181,$CI181,0,($CD181+IF(Smile=TRUE(),VLOOKUP(MAX(-5,$H181-I181),Volsmile,2),0)),$CG181,$CH181,($A181-DateToday)+15,1,0)),I181-$H181)))</f>
        <v> </v>
      </c>
      <c r="S181" s="316" t="str">
        <f aca="false">IF($A181="N/A"," ",IF(Pricetype=2,MAX(J181-$H181,0),IF(Pricetype=1,(xSPRDOPT(J181,$E181,$CI181,0,($CD181+IF(Smile=TRUE(),VLOOKUP(MAX(-5,$H181-J181),Volsmile,2),0)),$CG181,$CH181,($A181-DateToday)+15,1,0)),J181-$H181)))</f>
        <v> </v>
      </c>
      <c r="T181" s="317" t="str">
        <f aca="false">IF($A181="N/A"," ",(IF(Pricetype=2,IF((K181-$H181)&lt;=0,0,(K181-$H181)),IF(K181&lt;&gt;0,(K181-$H181),0))))</f>
        <v> </v>
      </c>
      <c r="U181" s="316" t="str">
        <f aca="false">IF($A181="N/A"," ",IF(Pricetype=2,MAX(L181-$H181,0),IF(L181&lt;&gt;0,IF(Pricetype=1,(xSPRDOPT(L181,$E181,$CI181,0,($CD181+IF(Smile=TRUE(),VLOOKUP(MAX(-5,$H181-L181),Volsmile,2),0)),$CG181,$CH181,($A181-DateToday)+15,1,0)),L181-$H181),0)))</f>
        <v> </v>
      </c>
      <c r="V181" s="316" t="str">
        <f aca="false">IF($A181="N/A"," ",IF(Pricetype=2,MAX(M181-$H181,0),IF(M181&lt;&gt;0,IF(Pricetype=1,(xSPRDOPT(M181,$E181,$CI181,0,($CD181+IF(Smile=TRUE(),VLOOKUP(MAX(-5,$H181-M181),Volsmile,2),0)),$CG181,$CH181,($A181-DateToday)+15,1,0)),M181-$H181),0)))</f>
        <v> </v>
      </c>
      <c r="W181" s="317" t="str">
        <f aca="false">IF($A181="N/A"," ",(IF(Pricetype=2,IF((N181-$H181)&lt;=0,0,(N181-$H181)),IF(N181&lt;&gt;0,(N181-$H181),0))))</f>
        <v> </v>
      </c>
      <c r="X181" s="316" t="str">
        <f aca="false">IF($A181="N/A"," ",IF(Pricetype=2,MAX(O181-$H181,0),IF(O181&lt;&gt;0,IF(Pricetype=1,(xSPRDOPT(O181,$E181,$CI181,0,($CD181+IF(Smile=TRUE(),VLOOKUP(MAX(-5,$H181-O181),Volsmile,2),0)),$CG181,$CH181,($A181-DateToday)+15,1,0)),O181-$H181),0)))</f>
        <v> </v>
      </c>
      <c r="Y181" s="316" t="str">
        <f aca="false">IF($A181="N/A"," ",IF(Pricetype=2,MAX(P181-$H181,0),IF(P181&lt;&gt;0,IF(Pricetype=1,(xSPRDOPT(P181,$E181,$CI181,0,($CD181+IF(Smile=TRUE(),VLOOKUP(MAX(-5,$H181-P181),Volsmile,2),0)),$CG181,$CH181,($A181-DateToday)+15,1,0)),P181-$H181),0)))</f>
        <v> </v>
      </c>
      <c r="Z181" s="317" t="str">
        <f aca="false">IF($A181="N/A"," ",(IF(Pricetype=2,IF((Q181-$H181)&lt;=0,0,(Q181-$H181)),IF(Q181&lt;&gt;0,(Q181-$H181),0))))</f>
        <v> </v>
      </c>
      <c r="AA181" s="318" t="str">
        <f aca="false">IF($A181="N/A"," ",IF(VLOOKUP(MONTH(A181),ManualTable,2)=1,(IF(0&lt;&gt;R181,IF(Pricetype=1,(xSPRDOPT(I181,$E181,$CI181,0,($CD181+IF(Smile=TRUE(),VLOOKUP(MAX(-5,$H181-I181),Volsmile,2),0)),$CG181,$CH181,($A181-DateToday)+15,1,1))*(8*$HD181),8*$HD181),0)),0))</f>
        <v> </v>
      </c>
      <c r="AB181" s="318" t="str">
        <f aca="false">IF($A181="N/A"," ",IF(VLOOKUP(MONTH(A181),ManualTable,3)=1,(IF(S181&lt;&gt;0,IF(Pricetype=1,(xSPRDOPT(J181,$E181,$CI181,0,($CD181+IF(Smile=TRUE(),VLOOKUP(MAX(-5,$H181-J181),Volsmile,2),0)),$CG181,$CH181,($A181-DateToday)+15,1,1))*(8*$HD181),8*$HD181),0)),0))</f>
        <v> </v>
      </c>
      <c r="AC181" s="318" t="str">
        <f aca="false">IF($A181="N/A"," ",IF(VLOOKUP(MONTH(A181),ManualTable,4)=1,(IF(T181&lt;&gt;0,(8*$HD181),0)),0))</f>
        <v> </v>
      </c>
      <c r="AD181" s="318" t="str">
        <f aca="false">IF($A181="N/A"," ",IF(VLOOKUP(MONTH(A181),ManualTable,5)=1,(IF(U181&lt;&gt;0,IF(Pricetype=1,(xSPRDOPT(L181,$E181,$CI181,0,($CD181+IF(Smile=TRUE(),VLOOKUP(MAX(-5,$H181-L181),Volsmile,2),0)),$CG181,$CH181,($A181-DateToday)+15,1,1))*(8*$HE181),8*$HE181),0)),0))</f>
        <v> </v>
      </c>
      <c r="AE181" s="318" t="str">
        <f aca="false">IF($A181="N/A"," ",IF(VLOOKUP(MONTH(A181),ManualTable,6)=1,(IF(V181&lt;&gt;0,IF(Pricetype=1,(xSPRDOPT(M181,$E181,$CI181,0,($CD181+IF(Smile=TRUE(),VLOOKUP(MAX(-5,$H181-M181),Volsmile,2),0)),$CG181,$CH181,($A181-DateToday)+15,1,1))*(8*$HE181),8*$HE181),0)),0))</f>
        <v> </v>
      </c>
      <c r="AF181" s="318" t="str">
        <f aca="false">IF($A181="N/A"," ",IF(VLOOKUP(MONTH(A181),ManualTable,7)=1,(IF(W181&lt;&gt;0,(8*$HE181),0)),0))</f>
        <v> </v>
      </c>
      <c r="AG181" s="318" t="str">
        <f aca="false">IF($A181="N/A"," ",IF(VLOOKUP(MONTH(A181),ManualTable,8)=1,(IF(X181&lt;&gt;0,IF(Pricetype=1,(xSPRDOPT(O181,$E181,$CI181,0,($CD181+IF(Smile=TRUE(),VLOOKUP(MAX(-5,$H181-O181),Volsmile,2),0)),$CG181,$CH181,($A181-DateToday)+15,1,1))*(8*$HF181),8*$HF181),0)),0))</f>
        <v> </v>
      </c>
      <c r="AH181" s="318" t="str">
        <f aca="false">IF($A181="N/A"," ",IF(VLOOKUP(MONTH(A181),ManualTable,9)=1,(IF(Y181&lt;&gt;0,IF(Pricetype=1,(xSPRDOPT(P181,$E181,$CI181,0,($CD181+IF(Smile=TRUE(),VLOOKUP(MAX(-5,$H181-P181),Volsmile,2),0)),$CG181,$CH181,($A181-DateToday)+15,1,1))*(8*$HF181),8*$HF181),0)),0))</f>
        <v> </v>
      </c>
      <c r="AI181" s="318" t="str">
        <f aca="false">IF($A181="N/A"," ",IF(VLOOKUP(MONTH(A181),ManualTable,10)=1,(IF(Z181&lt;&gt;0,(8*($HF181)),0)),0))</f>
        <v> </v>
      </c>
      <c r="AJ181" s="344" t="str">
        <f aca="false">IF($A181="N/A"," ",RANK(R181,$R$172:$Z$183))</f>
        <v> </v>
      </c>
      <c r="AK181" s="321" t="str">
        <f aca="false">IF($A181="N/A"," ",RANK(S181,$R$172:$Z$183))</f>
        <v> </v>
      </c>
      <c r="AL181" s="321" t="str">
        <f aca="false">IF($A181="N/A"," ",RANK(T181,$R$172:$Z$183))</f>
        <v> </v>
      </c>
      <c r="AM181" s="321" t="str">
        <f aca="false">IF($A181="N/A"," ",RANK(U181,$R$172:$Z$183))</f>
        <v> </v>
      </c>
      <c r="AN181" s="321" t="str">
        <f aca="false">IF($A181="N/A"," ",RANK(V181,$R$172:$Z$183))</f>
        <v> </v>
      </c>
      <c r="AO181" s="321" t="str">
        <f aca="false">IF($A181="N/A"," ",RANK(W181,$R$172:$Z$183))</f>
        <v> </v>
      </c>
      <c r="AP181" s="321" t="str">
        <f aca="false">IF($A181="N/A"," ",RANK(X181,$R$172:$Z$183))</f>
        <v> </v>
      </c>
      <c r="AQ181" s="321" t="str">
        <f aca="false">IF($A181="N/A"," ",RANK(Y181,$R$172:$Z$183))</f>
        <v> </v>
      </c>
      <c r="AR181" s="345" t="str">
        <f aca="false">IF($A181="N/A"," ",RANK(Z181,$R$172:$Z$183))</f>
        <v> </v>
      </c>
      <c r="AS181" s="323" t="str">
        <f aca="false">IF($A181="N/A"," ",IF(AJ181&lt;=$AR$2,AA181,0))</f>
        <v> </v>
      </c>
      <c r="AT181" s="325" t="str">
        <f aca="false">IF($A181="N/A"," ",IF(AK181&lt;=$AR$2,AB181,0))</f>
        <v> </v>
      </c>
      <c r="AU181" s="325" t="str">
        <f aca="false">IF($A181="N/A"," ",IF(AL181&lt;=$AR$2,AC181,0))</f>
        <v> </v>
      </c>
      <c r="AV181" s="325" t="str">
        <f aca="false">IF($A181="N/A"," ",IF(AM181&lt;=$AR$2,AD181,0))</f>
        <v> </v>
      </c>
      <c r="AW181" s="325" t="str">
        <f aca="false">IF($A181="N/A"," ",IF(AN181&lt;=$AR$2,AE181,0))</f>
        <v> </v>
      </c>
      <c r="AX181" s="325" t="str">
        <f aca="false">IF($A181="N/A"," ",IF(AO181&lt;=$AR$2,AF181,0))</f>
        <v> </v>
      </c>
      <c r="AY181" s="325" t="str">
        <f aca="false">IF($A181="N/A"," ",IF(AP181&lt;=$AR$2,AG181,0))</f>
        <v> </v>
      </c>
      <c r="AZ181" s="325" t="str">
        <f aca="false">IF($A181="N/A"," ",IF(AQ181&lt;=$AR$2,AH181,0))</f>
        <v> </v>
      </c>
      <c r="BA181" s="325" t="str">
        <f aca="false">IF($A181="N/A"," ",IF(AR181&lt;=$AR$2,AI181,0))</f>
        <v> </v>
      </c>
      <c r="BB181" s="348" t="s">
        <v>1319</v>
      </c>
      <c r="BC181" s="326" t="str">
        <f aca="false">IF($A181="N/A"," ",IF(AND(AJ181=$AR$2+1,AS181=0),MIN($BB$183,AA181),0))</f>
        <v> </v>
      </c>
      <c r="BD181" s="346" t="str">
        <f aca="false">IF($A181="N/A"," ",IF(AND(AK181=$AR$2+1,AT181=0),MIN($BB$183,AB181),0))</f>
        <v> </v>
      </c>
      <c r="BE181" s="346" t="str">
        <f aca="false">IF($A181="N/A"," ",IF(AND(AL181=$AR$2+1,AU181=0),MIN($BB$183,AC181),0))</f>
        <v> </v>
      </c>
      <c r="BF181" s="346" t="str">
        <f aca="false">IF($A181="N/A"," ",IF(AND(AM181=$AR$2+1,AV181=0),MIN($BB$183,AD181),0))</f>
        <v> </v>
      </c>
      <c r="BG181" s="346" t="str">
        <f aca="false">IF($A181="N/A"," ",IF(AND(AN181=$AR$2+1,AW181=0),MIN($BB$183,AE181),0))</f>
        <v> </v>
      </c>
      <c r="BH181" s="346" t="str">
        <f aca="false">IF($A181="N/A"," ",IF(AND(AO181=$AR$2+1,AX181=0),MIN($BB$183,AF181),0))</f>
        <v> </v>
      </c>
      <c r="BI181" s="346" t="str">
        <f aca="false">IF($A181="N/A"," ",IF(AND(AP181=$AR$2+1,AY181=0),MIN($BB$183,AG181),0))</f>
        <v> </v>
      </c>
      <c r="BJ181" s="346" t="str">
        <f aca="false">IF($A181="N/A"," ",IF(AND(AQ181=$AR$2+1,AZ181=0),MIN($BB$183,AH181),0))</f>
        <v> </v>
      </c>
      <c r="BK181" s="346" t="str">
        <f aca="false">IF($A181="N/A"," ",IF(AND(AR181=$AR$2+1,BA181=0),MIN($BB$183,AI181),0))</f>
        <v> </v>
      </c>
      <c r="BL181" s="347" t="s">
        <v>1359</v>
      </c>
      <c r="BM181" s="329" t="str">
        <f aca="false">IF($A181="N/A"," ",(IF(MONTH(A181)&gt;=4,IF(MONTH(A181)&lt;=10,Inputs!$F$13-Inputs!$G$13,Inputs!$F$14-Inputs!$G$14),Inputs!$F$14-Inputs!$G$14))*$CK181*Availability)</f>
        <v> </v>
      </c>
      <c r="BN181" s="330" t="str">
        <f aca="false">IF($A181="N/A"," ",(IF(AS181&gt;0,($BM181*(8*($HD181))*R181),0)+IF(BC181&gt;0,($BM181*((BC181/AA181)*8*$HD181)*R181),0)))</f>
        <v> </v>
      </c>
      <c r="BO181" s="330" t="str">
        <f aca="false">IF($A181="N/A"," ",(IF(AT181&gt;0,($BM181*(8*($HD181))*S181),0)+IF(BD181&gt;0,($BM181*((BD181/AB181)*8*$HD181)*S181),0)))</f>
        <v> </v>
      </c>
      <c r="BP181" s="330" t="str">
        <f aca="false">IF($A181="N/A"," ",(IF(AU181&gt;0,($BM181*(8*($HD181))*T181),0)+IF(BE181&gt;0,($BM181*((BE181))*T181),0)))</f>
        <v> </v>
      </c>
      <c r="BQ181" s="330" t="str">
        <f aca="false">IF($A181="N/A"," ",(IF(AV181&gt;0,($BM181*(8*($HE181))*U181),0)+IF(BF181&gt;0,($BM181*((BF181/AD181)*8*$HE181)*U181),0)))</f>
        <v> </v>
      </c>
      <c r="BR181" s="330" t="str">
        <f aca="false">IF($A181="N/A"," ",(IF(AW181&gt;0,($BM181*(8*($HE181))*V181),0)+IF(BG181&gt;0,($BM181*((BG181/AE181)*8*$HE181)*V181),0)))</f>
        <v> </v>
      </c>
      <c r="BS181" s="330" t="str">
        <f aca="false">IF($A181="N/A"," ",(IF(AX181&gt;0,($BM181*(8*($HE181))*W181),0)+IF(BH181&gt;0,($BM181*((BH181))*W181),0)))</f>
        <v> </v>
      </c>
      <c r="BT181" s="330" t="str">
        <f aca="false">IF($A181="N/A"," ",(IF(AY181&gt;0,($BM181*(8*($HF181))*X181),0)+IF(BI181&gt;0,($BM181*((BI181/AG181)*8*$HF181)*X181),0)))</f>
        <v> </v>
      </c>
      <c r="BU181" s="330" t="str">
        <f aca="false">IF($A181="N/A"," ",(IF(AZ181&gt;0,($BM181*(8*($HF181))*Y181),0)+IF(BJ181&gt;0,($BM181*((BJ181/AH181)*8*$HF181)*Y181),0)))</f>
        <v> </v>
      </c>
      <c r="BV181" s="330" t="str">
        <f aca="false">IF($A181="N/A"," ",(IF(BA181&gt;0,($BM181*(8*($HF181))*Z181),0)+IF(BK181&gt;0,($BM181*((BK181))*Z181),0)))</f>
        <v> </v>
      </c>
      <c r="BW181" s="330" t="str">
        <f aca="false">IF($A181="N/A"," ",SUM(BN181:BV181))</f>
        <v> </v>
      </c>
      <c r="BX181" s="331" t="str">
        <f aca="false">IF($A181="N/A"," ",(H181*(SUM(AS181:BA181)+SUM(BC181:BK181))*BM181))</f>
        <v> </v>
      </c>
      <c r="BY181" s="332" t="str">
        <f aca="false">IF($A181="N/A"," ",((C181*D181)*(SUM($AS181:$BA181)+SUM($BC181:$BK181))*$BM181))</f>
        <v> </v>
      </c>
      <c r="BZ181" s="332" t="str">
        <f aca="false">IF($A181="N/A"," ",(F181*(SUM($AS181:$BA181)+SUM($BC181:$BK181))*$BM181))</f>
        <v> </v>
      </c>
      <c r="CA181" s="333" t="str">
        <f aca="false">IF($A181="N/A"," ",(G181*(SUM($AS181:$BA181)+SUM($BC181:$BK181))*$BM181))</f>
        <v> </v>
      </c>
      <c r="CB181" s="334" t="str">
        <f aca="false">IF(A181="N/A"," ",(VLOOKUP(A181,PowerVolTable,(IF(BMO=2,7,IF(BMO=1,6,8))),FALSE())))</f>
        <v> </v>
      </c>
      <c r="CC181" s="334" t="str">
        <f aca="false">IF(A181="N/A"," ",(VLOOKUP(A181,IntraPowerVol,(IF(BMO=2,3,IF(BMO=1,2,4))),FALSE())*VLOOKUP(MONTH($A181),Volscale,2)))</f>
        <v> </v>
      </c>
      <c r="CD181" s="335" t="str">
        <f aca="false">IF($A181="N/A"," ",(IF(DateToday&gt;$A181,$CC181,((($CB181^2)*((($A181-1)-DateToday)/((EOMONTH($A181,0)+1)-DateToday-15)))+((($CC181)^2)*((15)/((EOMONTH($A181,0)+1)-DateToday-15))))^0.5)))</f>
        <v> </v>
      </c>
      <c r="CE181" s="334" t="str">
        <f aca="false">IF($A181="N/A"," ",(VLOOKUP($A181,GasVolTable,(IF(BMO=2,6,IF(BMO=1,7,5))),FALSE())))</f>
        <v> </v>
      </c>
      <c r="CF181" s="334" t="str">
        <f aca="false">IF($A181="N/A"," ",(VLOOKUP($A181,OmicronVol,(IF(BMO=2,3,IF(BMO=1,4,2))),FALSE())))</f>
        <v> </v>
      </c>
      <c r="CG181" s="335" t="str">
        <f aca="false">IF($A181="N/A"," ",(IF(DateToday&gt;$A181,$CF181,((($CE181^2)*((($A181-1)-DateToday)/((EOMONTH($A181,0)+1)-DateToday-15)))+((($CF181)^2)*((15)/((EOMONTH($A181,0)+1)-DateToday-15))))^0.5)))</f>
        <v> </v>
      </c>
      <c r="CH181" s="334" t="str">
        <f aca="false">IF($A181="N/A"," ",VLOOKUP($A181,CorrelationTable,2,FALSE()))</f>
        <v> </v>
      </c>
      <c r="CI181" s="336" t="str">
        <f aca="false">IF($A181="N/A"," ",F181+G181+(D181*('Pricing Inputs'!T214)))</f>
        <v> </v>
      </c>
      <c r="CJ181" s="334" t="str">
        <f aca="false">IF($A181="N/A"," ",IF(PV=1,0,'Pricing Inputs'!U214))</f>
        <v> </v>
      </c>
      <c r="CK181" s="337" t="str">
        <f aca="false">IF($A181="N/A"," ",(1+CJ181/2)^(-2*((EOMONTH(A181,0)+20)-DateToday)/365.25))</f>
        <v> </v>
      </c>
      <c r="CL181" s="338" t="str">
        <f aca="false">IF(A181="N/A"," ",IF(CC=2,(VLOOKUP(MONTH($A181),Hrtable,3))/1000,0))</f>
        <v> </v>
      </c>
      <c r="CM181" s="339" t="str">
        <f aca="false">IF(A181="N/A"," ",IF(CC=2,(CL181*C181)+F181,0))</f>
        <v> </v>
      </c>
      <c r="CN181" s="340" t="str">
        <f aca="false">IF($A181="N/A"," ",IF(CC=2,(VLOOKUP(A181,ScaledPrice,(IF(AND(Dayrun&gt;=1,Dayrun&lt;=6),2,4)))-((IF(R181&lt;&gt;0,$D181,$CL181)*$C181)+$F181+$G181)),0))</f>
        <v> </v>
      </c>
      <c r="CO181" s="340" t="str">
        <f aca="false">IF($A181="N/A"," ",IF(CC=2,(IF(AND(Dayrun&gt;=1,Dayrun&lt;=6),I181,(VLOOKUP(A181,ScaledPrice,2))*(2-(VLOOKUP(A181,ScaledPrice,3))))-((IF(S181&lt;&gt;0,$D181,$CL181)*$C181)+$F181+$G181)),0))</f>
        <v> </v>
      </c>
      <c r="CP181" s="340" t="str">
        <f aca="false">IF(A181="N/A"," ",IF(CC=2,(VLOOKUP(A181,ScaledPrice,9)-((IF(T181&lt;&gt;0,$D181,$CL181)*$C181)+$F181+$G181)),0))</f>
        <v> </v>
      </c>
      <c r="CQ181" s="340" t="str">
        <f aca="false">IF(A181="N/A"," ",IF(CC=2,(IF(OR(Dayrun=2,Dayrun=3,Dayrun=5,Dayrun=6,Dayrun=8,Dayrun=9),VLOOKUP(A181,ScaledPrice,IF(AND(Dayrun&gt;=2,Dayrun&lt;=6),5,6)),0)-((IF(U181&lt;&gt;0,$D181,$CL181)*$C181)+$F181+$G181)),0))</f>
        <v> </v>
      </c>
      <c r="CR181" s="340" t="str">
        <f aca="false">IF(A181="N/A"," ",IF(CC=2,(IF(OR(Dayrun=2,Dayrun=3,Dayrun=5,Dayrun=6,Dayrun=8,Dayrun=9),IF(AND(Dayrun&gt;=2,Dayrun&lt;=6),L181,(VLOOKUP(A181,ScaledPrice,5))*(2-(VLOOKUP(A181,ScaledPrice,3)))),0)-((IF(V181&lt;&gt;0,$D181,$CL181)*$C181)+$F181+$G181)),0))</f>
        <v> </v>
      </c>
      <c r="CS181" s="340" t="str">
        <f aca="false">IF(A181="N/A"," ",IF(CC=2,(VLOOKUP(A181,ScaledPrice,9)-((IF(W181&lt;&gt;0,$D181,$CL181)*$C181)+$F181+$G181)),0))</f>
        <v> </v>
      </c>
      <c r="CT181" s="340" t="str">
        <f aca="false">IF(A181="N/A"," ",IF(CC=2,(IF(OR(Dayrun=3,Dayrun=6,Dayrun=9),(VLOOKUP(A181,ScaledPrice,IF(AND(Dayrun&gt;=3,Dayrun&lt;=6),7,8))),0)-((IF(X181&lt;&gt;0,$D181,$CL181)*$C181)+$F181+$G181)),0))</f>
        <v> </v>
      </c>
      <c r="CU181" s="340" t="str">
        <f aca="false">IF(A181="N/A"," ",IF(CC=2,(IF(OR(Dayrun=3,Dayrun=6,Dayrun=9),IF(AND(Dayrun&gt;=3,Dayrun&lt;=6),O181,(VLOOKUP(A181,ScaledPrice,7))*(2-(VLOOKUP(A181,ScaledPrice,3)))),0)-((IF(Y181&lt;&gt;0,$D181,$CL181)*$C181)+$F181+$G181)),0))</f>
        <v> </v>
      </c>
      <c r="CV181" s="340" t="str">
        <f aca="false">IF(A181="N/A"," ",IF(CC=2,(VLOOKUP(A181,ScaledPrice,9)-((IF(Z181&lt;&gt;0,$D181,$CL181)*$C181)+$F181+$G181)),0))</f>
        <v> </v>
      </c>
      <c r="CW181" s="318" t="str">
        <f aca="false">IF($A181="N/A"," ",IF(0&lt;&gt;CN181,IF(CC=2,8*$HD181,0),0))</f>
        <v> </v>
      </c>
      <c r="CX181" s="318" t="str">
        <f aca="false">IF($A181="N/A"," ",IF(0&lt;&gt;CO181,IF(CC=2,8*$HD181,0),0))</f>
        <v> </v>
      </c>
      <c r="CY181" s="318" t="str">
        <f aca="false">IF($A181="N/A"," ",IF(0&lt;&gt;CP181,IF(CC=2,8*$HD181,0),0))</f>
        <v> </v>
      </c>
      <c r="CZ181" s="318" t="str">
        <f aca="false">IF($A181="N/A"," ",IF(0&lt;&gt;CQ181,IF(CC=2,8*$HE181,0),0))</f>
        <v> </v>
      </c>
      <c r="DA181" s="318" t="str">
        <f aca="false">IF($A181="N/A"," ",IF(0&lt;&gt;CR181,IF(CC=2,8*$HE181,0),0))</f>
        <v> </v>
      </c>
      <c r="DB181" s="318" t="str">
        <f aca="false">IF($A181="N/A"," ",IF(0&lt;&gt;CS181,IF(CC=2,8*$HE181,0),0))</f>
        <v> </v>
      </c>
      <c r="DC181" s="318" t="str">
        <f aca="false">IF($A181="N/A"," ",IF(0&lt;&gt;CT181,IF(CC=2,8*$HF181,0),0))</f>
        <v> </v>
      </c>
      <c r="DD181" s="318" t="str">
        <f aca="false">IF($A181="N/A"," ",IF(0&lt;&gt;CU181,IF(CC=2,8*$HF181,0),0))</f>
        <v> </v>
      </c>
      <c r="DE181" s="318" t="str">
        <f aca="false">IF($A181="N/A"," ",IF(0&lt;&gt;CV181,IF(CC=2,8*$HF181,0),0))</f>
        <v> </v>
      </c>
      <c r="DF181" s="341" t="str">
        <f aca="false">IF($A181="N/A"," ",IF(CC=2,(IF(MONTH(A181)&gt;=4,IF(MONTH(A181)&lt;=10,Inputs!$G$13,Inputs!$G$14),Inputs!$G$14))*$CK181,0))</f>
        <v> </v>
      </c>
      <c r="DG181" s="342" t="str">
        <f aca="false">IF($A181="N/A"," ",IF(CC=2,$DF181*CW181*CN181,0))</f>
        <v> </v>
      </c>
      <c r="DH181" s="342" t="str">
        <f aca="false">IF($A181="N/A"," ",IF(CC=2,$DF181*CX181*CO181,0))</f>
        <v> </v>
      </c>
      <c r="DI181" s="342" t="str">
        <f aca="false">IF($A181="N/A"," ",IF(CC=2,$DF181*CY181*CP181,0))</f>
        <v> </v>
      </c>
      <c r="DJ181" s="342" t="str">
        <f aca="false">IF($A181="N/A"," ",IF(CC=2,$DF181*CZ181*CQ181,0))</f>
        <v> </v>
      </c>
      <c r="DK181" s="342" t="str">
        <f aca="false">IF($A181="N/A"," ",IF(CC=2,$DF181*DA181*CR181,0))</f>
        <v> </v>
      </c>
      <c r="DL181" s="342" t="str">
        <f aca="false">IF($A181="N/A"," ",IF(CC=2,$DF181*DB181*CS181,0))</f>
        <v> </v>
      </c>
      <c r="DM181" s="342" t="str">
        <f aca="false">IF($A181="N/A"," ",IF(CC=2,$DF181*DC181*CT181,0))</f>
        <v> </v>
      </c>
      <c r="DN181" s="342" t="str">
        <f aca="false">IF($A181="N/A"," ",IF(CC=2,$DF181*DD181*CU181,0))</f>
        <v> </v>
      </c>
      <c r="DO181" s="342" t="str">
        <f aca="false">IF($A181="N/A"," ",IF(CC=2,$DF181*DE181*CV181,0))</f>
        <v> </v>
      </c>
      <c r="DP181" s="343" t="str">
        <f aca="false">IF($A181="N/A"," ",IF(CC=2,SUM(DG181:DO181),0))</f>
        <v> </v>
      </c>
      <c r="DQ181" s="0" t="str">
        <f aca="false">IF(A181="N/A"," ",Perstart)</f>
        <v> </v>
      </c>
      <c r="HD181" s="0" t="str">
        <f aca="false">IF($A181="N/A"," ",VLOOKUP($A181,NumberofDaysTable,2))</f>
        <v> </v>
      </c>
      <c r="HE181" s="0" t="str">
        <f aca="false">IF($A181="N/A"," ",VLOOKUP($A181,NumberofDaysTable,3))</f>
        <v> </v>
      </c>
      <c r="HF181" s="0" t="str">
        <f aca="false">IF($A181="N/A"," ",VLOOKUP($A181,NumberofDaysTable,4))</f>
        <v> </v>
      </c>
    </row>
    <row r="182" customFormat="false" ht="12.75" hidden="false" customHeight="false" outlineLevel="0" collapsed="false">
      <c r="A182" s="308" t="str">
        <f aca="false">IF(A181="N/A","N/A",IF(EDATE(A181,1)&gt;Inputs!$K$3,"N/A",EDATE(A181,1)))</f>
        <v>N/A</v>
      </c>
      <c r="B182" s="309" t="str">
        <f aca="false">IF(A182="N/A"," ",YEAR(A182))</f>
        <v> </v>
      </c>
      <c r="C182" s="310" t="str">
        <f aca="false">IF(A182="N/A"," ",VLOOKUP(A182,ScaledPrice,10))</f>
        <v> </v>
      </c>
      <c r="D182" s="311" t="str">
        <f aca="false">IF(A182="N/A"," ",(VLOOKUP(MONTH($A182),Hrtable,2))/1000)</f>
        <v> </v>
      </c>
      <c r="E182" s="312" t="str">
        <f aca="false">IF($A182="N/A"," ",(C182-'Pricing Inputs'!T215)*D182)</f>
        <v> </v>
      </c>
      <c r="F182" s="313" t="str">
        <f aca="false">IF(A182="N/A"," ",$F170*(1+VOMesc))</f>
        <v> </v>
      </c>
      <c r="G182" s="313" t="str">
        <f aca="false">IF(A182="N/A"," ",Perstart/IF(AND(Dayrun&gt;=4,Dayrun&lt;=6),16,IF(AND(Dayrun&gt;=7,Dayrun&lt;=9),8,24))/(BM182/CK182))</f>
        <v> </v>
      </c>
      <c r="H182" s="314" t="str">
        <f aca="false">IF(A182="N/A"," ",(C182*D182)+F182+G182)</f>
        <v> </v>
      </c>
      <c r="I182" s="315" t="str">
        <f aca="false">VLOOKUP(A182,ScaledPrice,(IF(AND(Dayrun&gt;=1,Dayrun&lt;=6),2,4)))</f>
        <v> </v>
      </c>
      <c r="J182" s="315" t="str">
        <f aca="false">IF(A182="N/A"," ",IF(AND(Dayrun&gt;=1,Dayrun&lt;=6),I182,(VLOOKUP(A182,ScaledPrice,2))*(2-(VLOOKUP(A182,ScaledPrice,3)))))</f>
        <v> </v>
      </c>
      <c r="K182" s="315" t="str">
        <f aca="false">IF(A182="N/A"," ",IF(AND(Dayrun&gt;=1,Dayrun&lt;=3),VLOOKUP(A182,ScaledPrice,9),0))</f>
        <v> </v>
      </c>
      <c r="L182" s="315" t="str">
        <f aca="false">IF(A182="N/A"," ",IF(OR(Dayrun=2,Dayrun=3,Dayrun=5,Dayrun=6,Dayrun=8,Dayrun=9),VLOOKUP(A182,ScaledPrice,IF(AND(Dayrun&gt;=2,Dayrun&lt;=6),5,6)),0))</f>
        <v> </v>
      </c>
      <c r="M182" s="315" t="str">
        <f aca="false">IF(A182="N/A"," ",IF(OR(Dayrun=2,Dayrun=3,Dayrun=5,Dayrun=6,Dayrun=8,Dayrun=9),IF(AND(Dayrun&gt;=2,Dayrun&lt;=6),L182,(VLOOKUP(A182,ScaledPrice,5))*(2-(VLOOKUP(A182,ScaledPrice,3)))),0))</f>
        <v> </v>
      </c>
      <c r="N182" s="315" t="str">
        <f aca="false">IF(A182="N/A"," ",IF(AND(Dayrun&gt;1,Dayrun&lt;=3),VLOOKUP(A182,ScaledPrice,9),0))</f>
        <v> </v>
      </c>
      <c r="O182" s="315" t="str">
        <f aca="false">IF(A182="N/A"," ",IF(OR(Dayrun=3,Dayrun=6,Dayrun=9),(VLOOKUP(A182,ScaledPrice,IF(AND(Dayrun&gt;=3,Dayrun&lt;=6),7,8))),0))</f>
        <v> </v>
      </c>
      <c r="P182" s="315" t="str">
        <f aca="false">IF(A182="N/A"," ",IF(OR(Dayrun=3,Dayrun=6,Dayrun=9),IF(AND(Dayrun&gt;=3,Dayrun&lt;=6),O182,(VLOOKUP(A182,ScaledPrice,7))*(2-(VLOOKUP(A182,ScaledPrice,3)))),0))</f>
        <v> </v>
      </c>
      <c r="Q182" s="315" t="str">
        <f aca="false">IF(A182="N/A"," ",IF(AND(Dayrun&gt;2,Dayrun&lt;=3),VLOOKUP(A182,ScaledPrice,9),0))</f>
        <v> </v>
      </c>
      <c r="R182" s="316" t="str">
        <f aca="false">IF($A182="N/A"," ",IF(Pricetype=2,MAX(I182-$H182,0),IF(Pricetype=1,(xSPRDOPT(I182,$E182,$CI182,0,($CD182+IF(Smile=TRUE(),VLOOKUP(MAX(-5,$H182-I182),Volsmile,2),0)),$CG182,$CH182,($A182-DateToday)+15,1,0)),I182-$H182)))</f>
        <v> </v>
      </c>
      <c r="S182" s="316" t="str">
        <f aca="false">IF($A182="N/A"," ",IF(Pricetype=2,MAX(J182-$H182,0),IF(Pricetype=1,(xSPRDOPT(J182,$E182,$CI182,0,($CD182+IF(Smile=TRUE(),VLOOKUP(MAX(-5,$H182-J182),Volsmile,2),0)),$CG182,$CH182,($A182-DateToday)+15,1,0)),J182-$H182)))</f>
        <v> </v>
      </c>
      <c r="T182" s="317" t="str">
        <f aca="false">IF($A182="N/A"," ",(IF(Pricetype=2,IF((K182-$H182)&lt;=0,0,(K182-$H182)),IF(K182&lt;&gt;0,(K182-$H182),0))))</f>
        <v> </v>
      </c>
      <c r="U182" s="316" t="str">
        <f aca="false">IF($A182="N/A"," ",IF(Pricetype=2,MAX(L182-$H182,0),IF(L182&lt;&gt;0,IF(Pricetype=1,(xSPRDOPT(L182,$E182,$CI182,0,($CD182+IF(Smile=TRUE(),VLOOKUP(MAX(-5,$H182-L182),Volsmile,2),0)),$CG182,$CH182,($A182-DateToday)+15,1,0)),L182-$H182),0)))</f>
        <v> </v>
      </c>
      <c r="V182" s="316" t="str">
        <f aca="false">IF($A182="N/A"," ",IF(Pricetype=2,MAX(M182-$H182,0),IF(M182&lt;&gt;0,IF(Pricetype=1,(xSPRDOPT(M182,$E182,$CI182,0,($CD182+IF(Smile=TRUE(),VLOOKUP(MAX(-5,$H182-M182),Volsmile,2),0)),$CG182,$CH182,($A182-DateToday)+15,1,0)),M182-$H182),0)))</f>
        <v> </v>
      </c>
      <c r="W182" s="317" t="str">
        <f aca="false">IF($A182="N/A"," ",(IF(Pricetype=2,IF((N182-$H182)&lt;=0,0,(N182-$H182)),IF(N182&lt;&gt;0,(N182-$H182),0))))</f>
        <v> </v>
      </c>
      <c r="X182" s="316" t="str">
        <f aca="false">IF($A182="N/A"," ",IF(Pricetype=2,MAX(O182-$H182,0),IF(O182&lt;&gt;0,IF(Pricetype=1,(xSPRDOPT(O182,$E182,$CI182,0,($CD182+IF(Smile=TRUE(),VLOOKUP(MAX(-5,$H182-O182),Volsmile,2),0)),$CG182,$CH182,($A182-DateToday)+15,1,0)),O182-$H182),0)))</f>
        <v> </v>
      </c>
      <c r="Y182" s="316" t="str">
        <f aca="false">IF($A182="N/A"," ",IF(Pricetype=2,MAX(P182-$H182,0),IF(P182&lt;&gt;0,IF(Pricetype=1,(xSPRDOPT(P182,$E182,$CI182,0,($CD182+IF(Smile=TRUE(),VLOOKUP(MAX(-5,$H182-P182),Volsmile,2),0)),$CG182,$CH182,($A182-DateToday)+15,1,0)),P182-$H182),0)))</f>
        <v> </v>
      </c>
      <c r="Z182" s="317" t="str">
        <f aca="false">IF($A182="N/A"," ",(IF(Pricetype=2,IF((Q182-$H182)&lt;=0,0,(Q182-$H182)),IF(Q182&lt;&gt;0,(Q182-$H182),0))))</f>
        <v> </v>
      </c>
      <c r="AA182" s="318" t="str">
        <f aca="false">IF($A182="N/A"," ",IF(VLOOKUP(MONTH(A182),ManualTable,2)=1,(IF(0&lt;&gt;R182,IF(Pricetype=1,(xSPRDOPT(I182,$E182,$CI182,0,($CD182+IF(Smile=TRUE(),VLOOKUP(MAX(-5,$H182-I182),Volsmile,2),0)),$CG182,$CH182,($A182-DateToday)+15,1,1))*(8*$HD182),8*$HD182),0)),0))</f>
        <v> </v>
      </c>
      <c r="AB182" s="318" t="str">
        <f aca="false">IF($A182="N/A"," ",IF(VLOOKUP(MONTH(A182),ManualTable,3)=1,(IF(S182&lt;&gt;0,IF(Pricetype=1,(xSPRDOPT(J182,$E182,$CI182,0,($CD182+IF(Smile=TRUE(),VLOOKUP(MAX(-5,$H182-J182),Volsmile,2),0)),$CG182,$CH182,($A182-DateToday)+15,1,1))*(8*$HD182),8*$HD182),0)),0))</f>
        <v> </v>
      </c>
      <c r="AC182" s="318" t="str">
        <f aca="false">IF($A182="N/A"," ",IF(VLOOKUP(MONTH(A182),ManualTable,4)=1,(IF(T182&lt;&gt;0,(8*$HD182),0)),0))</f>
        <v> </v>
      </c>
      <c r="AD182" s="318" t="str">
        <f aca="false">IF($A182="N/A"," ",IF(VLOOKUP(MONTH(A182),ManualTable,5)=1,(IF(U182&lt;&gt;0,IF(Pricetype=1,(xSPRDOPT(L182,$E182,$CI182,0,($CD182+IF(Smile=TRUE(),VLOOKUP(MAX(-5,$H182-L182),Volsmile,2),0)),$CG182,$CH182,($A182-DateToday)+15,1,1))*(8*$HE182),8*$HE182),0)),0))</f>
        <v> </v>
      </c>
      <c r="AE182" s="318" t="str">
        <f aca="false">IF($A182="N/A"," ",IF(VLOOKUP(MONTH(A182),ManualTable,6)=1,(IF(V182&lt;&gt;0,IF(Pricetype=1,(xSPRDOPT(M182,$E182,$CI182,0,($CD182+IF(Smile=TRUE(),VLOOKUP(MAX(-5,$H182-M182),Volsmile,2),0)),$CG182,$CH182,($A182-DateToday)+15,1,1))*(8*$HE182),8*$HE182),0)),0))</f>
        <v> </v>
      </c>
      <c r="AF182" s="318" t="str">
        <f aca="false">IF($A182="N/A"," ",IF(VLOOKUP(MONTH(A182),ManualTable,7)=1,(IF(W182&lt;&gt;0,(8*$HE182),0)),0))</f>
        <v> </v>
      </c>
      <c r="AG182" s="318" t="str">
        <f aca="false">IF($A182="N/A"," ",IF(VLOOKUP(MONTH(A182),ManualTable,8)=1,(IF(X182&lt;&gt;0,IF(Pricetype=1,(xSPRDOPT(O182,$E182,$CI182,0,($CD182+IF(Smile=TRUE(),VLOOKUP(MAX(-5,$H182-O182),Volsmile,2),0)),$CG182,$CH182,($A182-DateToday)+15,1,1))*(8*$HF182),8*$HF182),0)),0))</f>
        <v> </v>
      </c>
      <c r="AH182" s="318" t="str">
        <f aca="false">IF($A182="N/A"," ",IF(VLOOKUP(MONTH(A182),ManualTable,9)=1,(IF(Y182&lt;&gt;0,IF(Pricetype=1,(xSPRDOPT(P182,$E182,$CI182,0,($CD182+IF(Smile=TRUE(),VLOOKUP(MAX(-5,$H182-P182),Volsmile,2),0)),$CG182,$CH182,($A182-DateToday)+15,1,1))*(8*$HF182),8*$HF182),0)),0))</f>
        <v> </v>
      </c>
      <c r="AI182" s="318" t="str">
        <f aca="false">IF($A182="N/A"," ",IF(VLOOKUP(MONTH(A182),ManualTable,10)=1,(IF(Z182&lt;&gt;0,(8*($HF182)),0)),0))</f>
        <v> </v>
      </c>
      <c r="AJ182" s="344" t="str">
        <f aca="false">IF($A182="N/A"," ",RANK(R182,$R$172:$Z$183))</f>
        <v> </v>
      </c>
      <c r="AK182" s="321" t="str">
        <f aca="false">IF($A182="N/A"," ",RANK(S182,$R$172:$Z$183))</f>
        <v> </v>
      </c>
      <c r="AL182" s="321" t="str">
        <f aca="false">IF($A182="N/A"," ",RANK(T182,$R$172:$Z$183))</f>
        <v> </v>
      </c>
      <c r="AM182" s="321" t="str">
        <f aca="false">IF($A182="N/A"," ",RANK(U182,$R$172:$Z$183))</f>
        <v> </v>
      </c>
      <c r="AN182" s="321" t="str">
        <f aca="false">IF($A182="N/A"," ",RANK(V182,$R$172:$Z$183))</f>
        <v> </v>
      </c>
      <c r="AO182" s="321" t="str">
        <f aca="false">IF($A182="N/A"," ",RANK(W182,$R$172:$Z$183))</f>
        <v> </v>
      </c>
      <c r="AP182" s="321" t="str">
        <f aca="false">IF($A182="N/A"," ",RANK(X182,$R$172:$Z$183))</f>
        <v> </v>
      </c>
      <c r="AQ182" s="321" t="str">
        <f aca="false">IF($A182="N/A"," ",RANK(Y182,$R$172:$Z$183))</f>
        <v> </v>
      </c>
      <c r="AR182" s="345" t="str">
        <f aca="false">IF($A182="N/A"," ",RANK(Z182,$R$172:$Z$183))</f>
        <v> </v>
      </c>
      <c r="AS182" s="323" t="str">
        <f aca="false">IF($A182="N/A"," ",IF(AJ182&lt;=$AR$2,AA182,0))</f>
        <v> </v>
      </c>
      <c r="AT182" s="325" t="str">
        <f aca="false">IF($A182="N/A"," ",IF(AK182&lt;=$AR$2,AB182,0))</f>
        <v> </v>
      </c>
      <c r="AU182" s="325" t="str">
        <f aca="false">IF($A182="N/A"," ",IF(AL182&lt;=$AR$2,AC182,0))</f>
        <v> </v>
      </c>
      <c r="AV182" s="325" t="str">
        <f aca="false">IF($A182="N/A"," ",IF(AM182&lt;=$AR$2,AD182,0))</f>
        <v> </v>
      </c>
      <c r="AW182" s="325" t="str">
        <f aca="false">IF($A182="N/A"," ",IF(AN182&lt;=$AR$2,AE182,0))</f>
        <v> </v>
      </c>
      <c r="AX182" s="325" t="str">
        <f aca="false">IF($A182="N/A"," ",IF(AO182&lt;=$AR$2,AF182,0))</f>
        <v> </v>
      </c>
      <c r="AY182" s="325" t="str">
        <f aca="false">IF($A182="N/A"," ",IF(AP182&lt;=$AR$2,AG182,0))</f>
        <v> </v>
      </c>
      <c r="AZ182" s="325" t="str">
        <f aca="false">IF($A182="N/A"," ",IF(AQ182&lt;=$AR$2,AH182,0))</f>
        <v> </v>
      </c>
      <c r="BA182" s="325" t="str">
        <f aca="false">IF($A182="N/A"," ",IF(AR182&lt;=$AR$2,AI182,0))</f>
        <v> </v>
      </c>
      <c r="BB182" s="345" t="n">
        <f aca="false">SUM(AS172:BA183)</f>
        <v>0</v>
      </c>
      <c r="BC182" s="326" t="str">
        <f aca="false">IF($A182="N/A"," ",IF(AND(AJ182=$AR$2+1,AS182=0),MIN($BB$183,AA182),0))</f>
        <v> </v>
      </c>
      <c r="BD182" s="346" t="str">
        <f aca="false">IF($A182="N/A"," ",IF(AND(AK182=$AR$2+1,AT182=0),MIN($BB$183,AB182),0))</f>
        <v> </v>
      </c>
      <c r="BE182" s="346" t="str">
        <f aca="false">IF($A182="N/A"," ",IF(AND(AL182=$AR$2+1,AU182=0),MIN($BB$183,AC182),0))</f>
        <v> </v>
      </c>
      <c r="BF182" s="346" t="str">
        <f aca="false">IF($A182="N/A"," ",IF(AND(AM182=$AR$2+1,AV182=0),MIN($BB$183,AD182),0))</f>
        <v> </v>
      </c>
      <c r="BG182" s="346" t="str">
        <f aca="false">IF($A182="N/A"," ",IF(AND(AN182=$AR$2+1,AW182=0),MIN($BB$183,AE182),0))</f>
        <v> </v>
      </c>
      <c r="BH182" s="346" t="str">
        <f aca="false">IF($A182="N/A"," ",IF(AND(AO182=$AR$2+1,AX182=0),MIN($BB$183,AF182),0))</f>
        <v> </v>
      </c>
      <c r="BI182" s="346" t="str">
        <f aca="false">IF($A182="N/A"," ",IF(AND(AP182=$AR$2+1,AY182=0),MIN($BB$183,AG182),0))</f>
        <v> </v>
      </c>
      <c r="BJ182" s="346" t="str">
        <f aca="false">IF($A182="N/A"," ",IF(AND(AQ182=$AR$2+1,AZ182=0),MIN($BB$183,AH182),0))</f>
        <v> </v>
      </c>
      <c r="BK182" s="346" t="str">
        <f aca="false">IF($A182="N/A"," ",IF(AND(AR182=$AR$2+1,BA182=0),MIN($BB$183,AI182),0))</f>
        <v> </v>
      </c>
      <c r="BL182" s="345" t="n">
        <f aca="false">SUM(BC172:BK183)</f>
        <v>0</v>
      </c>
      <c r="BM182" s="329" t="str">
        <f aca="false">IF($A182="N/A"," ",(IF(MONTH(A182)&gt;=4,IF(MONTH(A182)&lt;=10,Inputs!$F$13-Inputs!$G$13,Inputs!$F$14-Inputs!$G$14),Inputs!$F$14-Inputs!$G$14))*$CK182*Availability)</f>
        <v> </v>
      </c>
      <c r="BN182" s="330" t="str">
        <f aca="false">IF($A182="N/A"," ",(IF(AS182&gt;0,($BM182*(8*($HD182))*R182),0)+IF(BC182&gt;0,($BM182*((BC182/AA182)*8*$HD182)*R182),0)))</f>
        <v> </v>
      </c>
      <c r="BO182" s="330" t="str">
        <f aca="false">IF($A182="N/A"," ",(IF(AT182&gt;0,($BM182*(8*($HD182))*S182),0)+IF(BD182&gt;0,($BM182*((BD182/AB182)*8*$HD182)*S182),0)))</f>
        <v> </v>
      </c>
      <c r="BP182" s="330" t="str">
        <f aca="false">IF($A182="N/A"," ",(IF(AU182&gt;0,($BM182*(8*($HD182))*T182),0)+IF(BE182&gt;0,($BM182*((BE182))*T182),0)))</f>
        <v> </v>
      </c>
      <c r="BQ182" s="330" t="str">
        <f aca="false">IF($A182="N/A"," ",(IF(AV182&gt;0,($BM182*(8*($HE182))*U182),0)+IF(BF182&gt;0,($BM182*((BF182/AD182)*8*$HE182)*U182),0)))</f>
        <v> </v>
      </c>
      <c r="BR182" s="330" t="str">
        <f aca="false">IF($A182="N/A"," ",(IF(AW182&gt;0,($BM182*(8*($HE182))*V182),0)+IF(BG182&gt;0,($BM182*((BG182/AE182)*8*$HE182)*V182),0)))</f>
        <v> </v>
      </c>
      <c r="BS182" s="330" t="str">
        <f aca="false">IF($A182="N/A"," ",(IF(AX182&gt;0,($BM182*(8*($HE182))*W182),0)+IF(BH182&gt;0,($BM182*((BH182))*W182),0)))</f>
        <v> </v>
      </c>
      <c r="BT182" s="330" t="str">
        <f aca="false">IF($A182="N/A"," ",(IF(AY182&gt;0,($BM182*(8*($HF182))*X182),0)+IF(BI182&gt;0,($BM182*((BI182/AG182)*8*$HF182)*X182),0)))</f>
        <v> </v>
      </c>
      <c r="BU182" s="330" t="str">
        <f aca="false">IF($A182="N/A"," ",(IF(AZ182&gt;0,($BM182*(8*($HF182))*Y182),0)+IF(BJ182&gt;0,($BM182*((BJ182/AH182)*8*$HF182)*Y182),0)))</f>
        <v> </v>
      </c>
      <c r="BV182" s="330" t="str">
        <f aca="false">IF($A182="N/A"," ",(IF(BA182&gt;0,($BM182*(8*($HF182))*Z182),0)+IF(BK182&gt;0,($BM182*((BK182))*Z182),0)))</f>
        <v> </v>
      </c>
      <c r="BW182" s="330" t="str">
        <f aca="false">IF($A182="N/A"," ",SUM(BN182:BV182))</f>
        <v> </v>
      </c>
      <c r="BX182" s="331" t="str">
        <f aca="false">IF($A182="N/A"," ",(H182*(SUM(AS182:BA182)+SUM(BC182:BK182))*BM182))</f>
        <v> </v>
      </c>
      <c r="BY182" s="332" t="str">
        <f aca="false">IF($A182="N/A"," ",((C182*D182)*(SUM($AS182:$BA182)+SUM($BC182:$BK182))*$BM182))</f>
        <v> </v>
      </c>
      <c r="BZ182" s="332" t="str">
        <f aca="false">IF($A182="N/A"," ",(F182*(SUM($AS182:$BA182)+SUM($BC182:$BK182))*$BM182))</f>
        <v> </v>
      </c>
      <c r="CA182" s="333" t="str">
        <f aca="false">IF($A182="N/A"," ",(G182*(SUM($AS182:$BA182)+SUM($BC182:$BK182))*$BM182))</f>
        <v> </v>
      </c>
      <c r="CB182" s="334" t="str">
        <f aca="false">IF(A182="N/A"," ",(VLOOKUP(A182,PowerVolTable,(IF(BMO=2,7,IF(BMO=1,6,8))),FALSE())))</f>
        <v> </v>
      </c>
      <c r="CC182" s="334" t="str">
        <f aca="false">IF(A182="N/A"," ",(VLOOKUP(A182,IntraPowerVol,(IF(BMO=2,3,IF(BMO=1,2,4))),FALSE())*VLOOKUP(MONTH($A182),Volscale,2)))</f>
        <v> </v>
      </c>
      <c r="CD182" s="335" t="str">
        <f aca="false">IF($A182="N/A"," ",(IF(DateToday&gt;$A182,$CC182,((($CB182^2)*((($A182-1)-DateToday)/((EOMONTH($A182,0)+1)-DateToday-15)))+((($CC182)^2)*((15)/((EOMONTH($A182,0)+1)-DateToday-15))))^0.5)))</f>
        <v> </v>
      </c>
      <c r="CE182" s="334" t="str">
        <f aca="false">IF($A182="N/A"," ",(VLOOKUP($A182,GasVolTable,(IF(BMO=2,6,IF(BMO=1,7,5))),FALSE())))</f>
        <v> </v>
      </c>
      <c r="CF182" s="334" t="str">
        <f aca="false">IF($A182="N/A"," ",(VLOOKUP($A182,OmicronVol,(IF(BMO=2,3,IF(BMO=1,4,2))),FALSE())))</f>
        <v> </v>
      </c>
      <c r="CG182" s="335" t="str">
        <f aca="false">IF($A182="N/A"," ",(IF(DateToday&gt;$A182,$CF182,((($CE182^2)*((($A182-1)-DateToday)/((EOMONTH($A182,0)+1)-DateToday-15)))+((($CF182)^2)*((15)/((EOMONTH($A182,0)+1)-DateToday-15))))^0.5)))</f>
        <v> </v>
      </c>
      <c r="CH182" s="334" t="str">
        <f aca="false">IF($A182="N/A"," ",VLOOKUP($A182,CorrelationTable,2,FALSE()))</f>
        <v> </v>
      </c>
      <c r="CI182" s="336" t="str">
        <f aca="false">IF($A182="N/A"," ",F182+G182+(D182*('Pricing Inputs'!T215)))</f>
        <v> </v>
      </c>
      <c r="CJ182" s="334" t="str">
        <f aca="false">IF($A182="N/A"," ",IF(PV=1,0,'Pricing Inputs'!U215))</f>
        <v> </v>
      </c>
      <c r="CK182" s="337" t="str">
        <f aca="false">IF($A182="N/A"," ",(1+CJ182/2)^(-2*((EOMONTH(A182,0)+20)-DateToday)/365.25))</f>
        <v> </v>
      </c>
      <c r="CL182" s="338" t="str">
        <f aca="false">IF(A182="N/A"," ",IF(CC=2,(VLOOKUP(MONTH($A182),Hrtable,3))/1000,0))</f>
        <v> </v>
      </c>
      <c r="CM182" s="339" t="str">
        <f aca="false">IF(A182="N/A"," ",IF(CC=2,(CL182*C182)+F182,0))</f>
        <v> </v>
      </c>
      <c r="CN182" s="340" t="str">
        <f aca="false">IF($A182="N/A"," ",IF(CC=2,(VLOOKUP(A182,ScaledPrice,(IF(AND(Dayrun&gt;=1,Dayrun&lt;=6),2,4)))-((IF(R182&lt;&gt;0,$D182,$CL182)*$C182)+$F182+$G182)),0))</f>
        <v> </v>
      </c>
      <c r="CO182" s="340" t="str">
        <f aca="false">IF($A182="N/A"," ",IF(CC=2,(IF(AND(Dayrun&gt;=1,Dayrun&lt;=6),I182,(VLOOKUP(A182,ScaledPrice,2))*(2-(VLOOKUP(A182,ScaledPrice,3))))-((IF(S182&lt;&gt;0,$D182,$CL182)*$C182)+$F182+$G182)),0))</f>
        <v> </v>
      </c>
      <c r="CP182" s="340" t="str">
        <f aca="false">IF(A182="N/A"," ",IF(CC=2,(VLOOKUP(A182,ScaledPrice,9)-((IF(T182&lt;&gt;0,$D182,$CL182)*$C182)+$F182+$G182)),0))</f>
        <v> </v>
      </c>
      <c r="CQ182" s="340" t="str">
        <f aca="false">IF(A182="N/A"," ",IF(CC=2,(IF(OR(Dayrun=2,Dayrun=3,Dayrun=5,Dayrun=6,Dayrun=8,Dayrun=9),VLOOKUP(A182,ScaledPrice,IF(AND(Dayrun&gt;=2,Dayrun&lt;=6),5,6)),0)-((IF(U182&lt;&gt;0,$D182,$CL182)*$C182)+$F182+$G182)),0))</f>
        <v> </v>
      </c>
      <c r="CR182" s="340" t="str">
        <f aca="false">IF(A182="N/A"," ",IF(CC=2,(IF(OR(Dayrun=2,Dayrun=3,Dayrun=5,Dayrun=6,Dayrun=8,Dayrun=9),IF(AND(Dayrun&gt;=2,Dayrun&lt;=6),L182,(VLOOKUP(A182,ScaledPrice,5))*(2-(VLOOKUP(A182,ScaledPrice,3)))),0)-((IF(V182&lt;&gt;0,$D182,$CL182)*$C182)+$F182+$G182)),0))</f>
        <v> </v>
      </c>
      <c r="CS182" s="340" t="str">
        <f aca="false">IF(A182="N/A"," ",IF(CC=2,(VLOOKUP(A182,ScaledPrice,9)-((IF(W182&lt;&gt;0,$D182,$CL182)*$C182)+$F182+$G182)),0))</f>
        <v> </v>
      </c>
      <c r="CT182" s="340" t="str">
        <f aca="false">IF(A182="N/A"," ",IF(CC=2,(IF(OR(Dayrun=3,Dayrun=6,Dayrun=9),(VLOOKUP(A182,ScaledPrice,IF(AND(Dayrun&gt;=3,Dayrun&lt;=6),7,8))),0)-((IF(X182&lt;&gt;0,$D182,$CL182)*$C182)+$F182+$G182)),0))</f>
        <v> </v>
      </c>
      <c r="CU182" s="340" t="str">
        <f aca="false">IF(A182="N/A"," ",IF(CC=2,(IF(OR(Dayrun=3,Dayrun=6,Dayrun=9),IF(AND(Dayrun&gt;=3,Dayrun&lt;=6),O182,(VLOOKUP(A182,ScaledPrice,7))*(2-(VLOOKUP(A182,ScaledPrice,3)))),0)-((IF(Y182&lt;&gt;0,$D182,$CL182)*$C182)+$F182+$G182)),0))</f>
        <v> </v>
      </c>
      <c r="CV182" s="340" t="str">
        <f aca="false">IF(A182="N/A"," ",IF(CC=2,(VLOOKUP(A182,ScaledPrice,9)-((IF(Z182&lt;&gt;0,$D182,$CL182)*$C182)+$F182+$G182)),0))</f>
        <v> </v>
      </c>
      <c r="CW182" s="318" t="str">
        <f aca="false">IF($A182="N/A"," ",IF(0&lt;&gt;CN182,IF(CC=2,8*$HD182,0),0))</f>
        <v> </v>
      </c>
      <c r="CX182" s="318" t="str">
        <f aca="false">IF($A182="N/A"," ",IF(0&lt;&gt;CO182,IF(CC=2,8*$HD182,0),0))</f>
        <v> </v>
      </c>
      <c r="CY182" s="318" t="str">
        <f aca="false">IF($A182="N/A"," ",IF(0&lt;&gt;CP182,IF(CC=2,8*$HD182,0),0))</f>
        <v> </v>
      </c>
      <c r="CZ182" s="318" t="str">
        <f aca="false">IF($A182="N/A"," ",IF(0&lt;&gt;CQ182,IF(CC=2,8*$HE182,0),0))</f>
        <v> </v>
      </c>
      <c r="DA182" s="318" t="str">
        <f aca="false">IF($A182="N/A"," ",IF(0&lt;&gt;CR182,IF(CC=2,8*$HE182,0),0))</f>
        <v> </v>
      </c>
      <c r="DB182" s="318" t="str">
        <f aca="false">IF($A182="N/A"," ",IF(0&lt;&gt;CS182,IF(CC=2,8*$HE182,0),0))</f>
        <v> </v>
      </c>
      <c r="DC182" s="318" t="str">
        <f aca="false">IF($A182="N/A"," ",IF(0&lt;&gt;CT182,IF(CC=2,8*$HF182,0),0))</f>
        <v> </v>
      </c>
      <c r="DD182" s="318" t="str">
        <f aca="false">IF($A182="N/A"," ",IF(0&lt;&gt;CU182,IF(CC=2,8*$HF182,0),0))</f>
        <v> </v>
      </c>
      <c r="DE182" s="318" t="str">
        <f aca="false">IF($A182="N/A"," ",IF(0&lt;&gt;CV182,IF(CC=2,8*$HF182,0),0))</f>
        <v> </v>
      </c>
      <c r="DF182" s="341" t="str">
        <f aca="false">IF($A182="N/A"," ",IF(CC=2,(IF(MONTH(A182)&gt;=4,IF(MONTH(A182)&lt;=10,Inputs!$G$13,Inputs!$G$14),Inputs!$G$14))*$CK182,0))</f>
        <v> </v>
      </c>
      <c r="DG182" s="342" t="str">
        <f aca="false">IF($A182="N/A"," ",IF(CC=2,$DF182*CW182*CN182,0))</f>
        <v> </v>
      </c>
      <c r="DH182" s="342" t="str">
        <f aca="false">IF($A182="N/A"," ",IF(CC=2,$DF182*CX182*CO182,0))</f>
        <v> </v>
      </c>
      <c r="DI182" s="342" t="str">
        <f aca="false">IF($A182="N/A"," ",IF(CC=2,$DF182*CY182*CP182,0))</f>
        <v> </v>
      </c>
      <c r="DJ182" s="342" t="str">
        <f aca="false">IF($A182="N/A"," ",IF(CC=2,$DF182*CZ182*CQ182,0))</f>
        <v> </v>
      </c>
      <c r="DK182" s="342" t="str">
        <f aca="false">IF($A182="N/A"," ",IF(CC=2,$DF182*DA182*CR182,0))</f>
        <v> </v>
      </c>
      <c r="DL182" s="342" t="str">
        <f aca="false">IF($A182="N/A"," ",IF(CC=2,$DF182*DB182*CS182,0))</f>
        <v> </v>
      </c>
      <c r="DM182" s="342" t="str">
        <f aca="false">IF($A182="N/A"," ",IF(CC=2,$DF182*DC182*CT182,0))</f>
        <v> </v>
      </c>
      <c r="DN182" s="342" t="str">
        <f aca="false">IF($A182="N/A"," ",IF(CC=2,$DF182*DD182*CU182,0))</f>
        <v> </v>
      </c>
      <c r="DO182" s="342" t="str">
        <f aca="false">IF($A182="N/A"," ",IF(CC=2,$DF182*DE182*CV182,0))</f>
        <v> </v>
      </c>
      <c r="DP182" s="343" t="str">
        <f aca="false">IF($A182="N/A"," ",IF(CC=2,SUM(DG182:DO182),0))</f>
        <v> </v>
      </c>
      <c r="DQ182" s="0" t="str">
        <f aca="false">IF(A182="N/A"," ",Perstart)</f>
        <v> </v>
      </c>
      <c r="HD182" s="0" t="str">
        <f aca="false">IF($A182="N/A"," ",VLOOKUP($A182,NumberofDaysTable,2))</f>
        <v> </v>
      </c>
      <c r="HE182" s="0" t="str">
        <f aca="false">IF($A182="N/A"," ",VLOOKUP($A182,NumberofDaysTable,3))</f>
        <v> </v>
      </c>
      <c r="HF182" s="0" t="str">
        <f aca="false">IF($A182="N/A"," ",VLOOKUP($A182,NumberofDaysTable,4))</f>
        <v> </v>
      </c>
    </row>
    <row r="183" customFormat="false" ht="12.75" hidden="false" customHeight="false" outlineLevel="0" collapsed="false">
      <c r="A183" s="308" t="str">
        <f aca="false">IF(A182="N/A","N/A",IF(EDATE(A182,1)&gt;Inputs!$K$3,"N/A",EDATE(A182,1)))</f>
        <v>N/A</v>
      </c>
      <c r="B183" s="309" t="str">
        <f aca="false">IF(A183="N/A"," ",YEAR(A183))</f>
        <v> </v>
      </c>
      <c r="C183" s="310" t="str">
        <f aca="false">IF(A183="N/A"," ",VLOOKUP(A183,ScaledPrice,10))</f>
        <v> </v>
      </c>
      <c r="D183" s="311" t="str">
        <f aca="false">IF(A183="N/A"," ",(VLOOKUP(MONTH($A183),Hrtable,2))/1000)</f>
        <v> </v>
      </c>
      <c r="E183" s="312" t="str">
        <f aca="false">IF($A183="N/A"," ",(C183-'Pricing Inputs'!T216)*D183)</f>
        <v> </v>
      </c>
      <c r="F183" s="313" t="str">
        <f aca="false">IF(A183="N/A"," ",$F171*(1+VOMesc))</f>
        <v> </v>
      </c>
      <c r="G183" s="313" t="str">
        <f aca="false">IF(A183="N/A"," ",Perstart/IF(AND(Dayrun&gt;=4,Dayrun&lt;=6),16,IF(AND(Dayrun&gt;=7,Dayrun&lt;=9),8,24))/(BM183/CK183))</f>
        <v> </v>
      </c>
      <c r="H183" s="314" t="str">
        <f aca="false">IF(A183="N/A"," ",(C183*D183)+F183+G183)</f>
        <v> </v>
      </c>
      <c r="I183" s="315" t="str">
        <f aca="false">VLOOKUP(A183,ScaledPrice,(IF(AND(Dayrun&gt;=1,Dayrun&lt;=6),2,4)))</f>
        <v> </v>
      </c>
      <c r="J183" s="315" t="str">
        <f aca="false">IF(A183="N/A"," ",IF(AND(Dayrun&gt;=1,Dayrun&lt;=6),I183,(VLOOKUP(A183,ScaledPrice,2))*(2-(VLOOKUP(A183,ScaledPrice,3)))))</f>
        <v> </v>
      </c>
      <c r="K183" s="315" t="str">
        <f aca="false">IF(A183="N/A"," ",IF(AND(Dayrun&gt;=1,Dayrun&lt;=3),VLOOKUP(A183,ScaledPrice,9),0))</f>
        <v> </v>
      </c>
      <c r="L183" s="315" t="str">
        <f aca="false">IF(A183="N/A"," ",IF(OR(Dayrun=2,Dayrun=3,Dayrun=5,Dayrun=6,Dayrun=8,Dayrun=9),VLOOKUP(A183,ScaledPrice,IF(AND(Dayrun&gt;=2,Dayrun&lt;=6),5,6)),0))</f>
        <v> </v>
      </c>
      <c r="M183" s="315" t="str">
        <f aca="false">IF(A183="N/A"," ",IF(OR(Dayrun=2,Dayrun=3,Dayrun=5,Dayrun=6,Dayrun=8,Dayrun=9),IF(AND(Dayrun&gt;=2,Dayrun&lt;=6),L183,(VLOOKUP(A183,ScaledPrice,5))*(2-(VLOOKUP(A183,ScaledPrice,3)))),0))</f>
        <v> </v>
      </c>
      <c r="N183" s="315" t="str">
        <f aca="false">IF(A183="N/A"," ",IF(AND(Dayrun&gt;1,Dayrun&lt;=3),VLOOKUP(A183,ScaledPrice,9),0))</f>
        <v> </v>
      </c>
      <c r="O183" s="315" t="str">
        <f aca="false">IF(A183="N/A"," ",IF(OR(Dayrun=3,Dayrun=6,Dayrun=9),(VLOOKUP(A183,ScaledPrice,IF(AND(Dayrun&gt;=3,Dayrun&lt;=6),7,8))),0))</f>
        <v> </v>
      </c>
      <c r="P183" s="315" t="str">
        <f aca="false">IF(A183="N/A"," ",IF(OR(Dayrun=3,Dayrun=6,Dayrun=9),IF(AND(Dayrun&gt;=3,Dayrun&lt;=6),O183,(VLOOKUP(A183,ScaledPrice,7))*(2-(VLOOKUP(A183,ScaledPrice,3)))),0))</f>
        <v> </v>
      </c>
      <c r="Q183" s="315" t="str">
        <f aca="false">IF(A183="N/A"," ",IF(AND(Dayrun&gt;2,Dayrun&lt;=3),VLOOKUP(A183,ScaledPrice,9),0))</f>
        <v> </v>
      </c>
      <c r="R183" s="316" t="str">
        <f aca="false">IF($A183="N/A"," ",IF(Pricetype=2,MAX(I183-$H183,0),IF(Pricetype=1,(xSPRDOPT(I183,$E183,$CI183,0,($CD183+IF(Smile=TRUE(),VLOOKUP(MAX(-5,$H183-I183),Volsmile,2),0)),$CG183,$CH183,($A183-DateToday)+15,1,0)),I183-$H183)))</f>
        <v> </v>
      </c>
      <c r="S183" s="316" t="str">
        <f aca="false">IF($A183="N/A"," ",IF(Pricetype=2,MAX(J183-$H183,0),IF(Pricetype=1,(xSPRDOPT(J183,$E183,$CI183,0,($CD183+IF(Smile=TRUE(),VLOOKUP(MAX(-5,$H183-J183),Volsmile,2),0)),$CG183,$CH183,($A183-DateToday)+15,1,0)),J183-$H183)))</f>
        <v> </v>
      </c>
      <c r="T183" s="317" t="str">
        <f aca="false">IF($A183="N/A"," ",(IF(Pricetype=2,IF((K183-$H183)&lt;=0,0,(K183-$H183)),IF(K183&lt;&gt;0,(K183-$H183),0))))</f>
        <v> </v>
      </c>
      <c r="U183" s="316" t="str">
        <f aca="false">IF($A183="N/A"," ",IF(Pricetype=2,MAX(L183-$H183,0),IF(L183&lt;&gt;0,IF(Pricetype=1,(xSPRDOPT(L183,$E183,$CI183,0,($CD183+IF(Smile=TRUE(),VLOOKUP(MAX(-5,$H183-L183),Volsmile,2),0)),$CG183,$CH183,($A183-DateToday)+15,1,0)),L183-$H183),0)))</f>
        <v> </v>
      </c>
      <c r="V183" s="316" t="str">
        <f aca="false">IF($A183="N/A"," ",IF(Pricetype=2,MAX(M183-$H183,0),IF(M183&lt;&gt;0,IF(Pricetype=1,(xSPRDOPT(M183,$E183,$CI183,0,($CD183+IF(Smile=TRUE(),VLOOKUP(MAX(-5,$H183-M183),Volsmile,2),0)),$CG183,$CH183,($A183-DateToday)+15,1,0)),M183-$H183),0)))</f>
        <v> </v>
      </c>
      <c r="W183" s="317" t="str">
        <f aca="false">IF($A183="N/A"," ",(IF(Pricetype=2,IF((N183-$H183)&lt;=0,0,(N183-$H183)),IF(N183&lt;&gt;0,(N183-$H183),0))))</f>
        <v> </v>
      </c>
      <c r="X183" s="316" t="str">
        <f aca="false">IF($A183="N/A"," ",IF(Pricetype=2,MAX(O183-$H183,0),IF(O183&lt;&gt;0,IF(Pricetype=1,(xSPRDOPT(O183,$E183,$CI183,0,($CD183+IF(Smile=TRUE(),VLOOKUP(MAX(-5,$H183-O183),Volsmile,2),0)),$CG183,$CH183,($A183-DateToday)+15,1,0)),O183-$H183),0)))</f>
        <v> </v>
      </c>
      <c r="Y183" s="316" t="str">
        <f aca="false">IF($A183="N/A"," ",IF(Pricetype=2,MAX(P183-$H183,0),IF(P183&lt;&gt;0,IF(Pricetype=1,(xSPRDOPT(P183,$E183,$CI183,0,($CD183+IF(Smile=TRUE(),VLOOKUP(MAX(-5,$H183-P183),Volsmile,2),0)),$CG183,$CH183,($A183-DateToday)+15,1,0)),P183-$H183),0)))</f>
        <v> </v>
      </c>
      <c r="Z183" s="317" t="str">
        <f aca="false">IF($A183="N/A"," ",(IF(Pricetype=2,IF((Q183-$H183)&lt;=0,0,(Q183-$H183)),IF(Q183&lt;&gt;0,(Q183-$H183),0))))</f>
        <v> </v>
      </c>
      <c r="AA183" s="318" t="str">
        <f aca="false">IF($A183="N/A"," ",IF(VLOOKUP(MONTH(A183),ManualTable,2)=1,(IF(0&lt;&gt;R183,IF(Pricetype=1,(xSPRDOPT(I183,$E183,$CI183,0,($CD183+IF(Smile=TRUE(),VLOOKUP(MAX(-5,$H183-I183),Volsmile,2),0)),$CG183,$CH183,($A183-DateToday)+15,1,1))*(8*$HD183),8*$HD183),0)),0))</f>
        <v> </v>
      </c>
      <c r="AB183" s="318" t="str">
        <f aca="false">IF($A183="N/A"," ",IF(VLOOKUP(MONTH(A183),ManualTable,3)=1,(IF(S183&lt;&gt;0,IF(Pricetype=1,(xSPRDOPT(J183,$E183,$CI183,0,($CD183+IF(Smile=TRUE(),VLOOKUP(MAX(-5,$H183-J183),Volsmile,2),0)),$CG183,$CH183,($A183-DateToday)+15,1,1))*(8*$HD183),8*$HD183),0)),0))</f>
        <v> </v>
      </c>
      <c r="AC183" s="318" t="str">
        <f aca="false">IF($A183="N/A"," ",IF(VLOOKUP(MONTH(A183),ManualTable,4)=1,(IF(T183&lt;&gt;0,(8*$HD183),0)),0))</f>
        <v> </v>
      </c>
      <c r="AD183" s="318" t="str">
        <f aca="false">IF($A183="N/A"," ",IF(VLOOKUP(MONTH(A183),ManualTable,5)=1,(IF(U183&lt;&gt;0,IF(Pricetype=1,(xSPRDOPT(L183,$E183,$CI183,0,($CD183+IF(Smile=TRUE(),VLOOKUP(MAX(-5,$H183-L183),Volsmile,2),0)),$CG183,$CH183,($A183-DateToday)+15,1,1))*(8*$HE183),8*$HE183),0)),0))</f>
        <v> </v>
      </c>
      <c r="AE183" s="318" t="str">
        <f aca="false">IF($A183="N/A"," ",IF(VLOOKUP(MONTH(A183),ManualTable,6)=1,(IF(V183&lt;&gt;0,IF(Pricetype=1,(xSPRDOPT(M183,$E183,$CI183,0,($CD183+IF(Smile=TRUE(),VLOOKUP(MAX(-5,$H183-M183),Volsmile,2),0)),$CG183,$CH183,($A183-DateToday)+15,1,1))*(8*$HE183),8*$HE183),0)),0))</f>
        <v> </v>
      </c>
      <c r="AF183" s="318" t="str">
        <f aca="false">IF($A183="N/A"," ",IF(VLOOKUP(MONTH(A183),ManualTable,7)=1,(IF(W183&lt;&gt;0,(8*$HE183),0)),0))</f>
        <v> </v>
      </c>
      <c r="AG183" s="318" t="str">
        <f aca="false">IF($A183="N/A"," ",IF(VLOOKUP(MONTH(A183),ManualTable,8)=1,(IF(X183&lt;&gt;0,IF(Pricetype=1,(xSPRDOPT(O183,$E183,$CI183,0,($CD183+IF(Smile=TRUE(),VLOOKUP(MAX(-5,$H183-O183),Volsmile,2),0)),$CG183,$CH183,($A183-DateToday)+15,1,1))*(8*$HF183),8*$HF183),0)),0))</f>
        <v> </v>
      </c>
      <c r="AH183" s="318" t="str">
        <f aca="false">IF($A183="N/A"," ",IF(VLOOKUP(MONTH(A183),ManualTable,9)=1,(IF(Y183&lt;&gt;0,IF(Pricetype=1,(xSPRDOPT(P183,$E183,$CI183,0,($CD183+IF(Smile=TRUE(),VLOOKUP(MAX(-5,$H183-P183),Volsmile,2),0)),$CG183,$CH183,($A183-DateToday)+15,1,1))*(8*$HF183),8*$HF183),0)),0))</f>
        <v> </v>
      </c>
      <c r="AI183" s="318" t="str">
        <f aca="false">IF($A183="N/A"," ",IF(VLOOKUP(MONTH(A183),ManualTable,10)=1,(IF(Z183&lt;&gt;0,(8*($HF183)),0)),0))</f>
        <v> </v>
      </c>
      <c r="AJ183" s="349" t="str">
        <f aca="false">IF($A183="N/A"," ",RANK(R183,$R$172:$Z$183))</f>
        <v> </v>
      </c>
      <c r="AK183" s="350" t="str">
        <f aca="false">IF($A183="N/A"," ",RANK(S183,$R$172:$Z$183))</f>
        <v> </v>
      </c>
      <c r="AL183" s="350" t="str">
        <f aca="false">IF($A183="N/A"," ",RANK(T183,$R$172:$Z$183))</f>
        <v> </v>
      </c>
      <c r="AM183" s="350" t="str">
        <f aca="false">IF($A183="N/A"," ",RANK(U183,$R$172:$Z$183))</f>
        <v> </v>
      </c>
      <c r="AN183" s="350" t="str">
        <f aca="false">IF($A183="N/A"," ",RANK(V183,$R$172:$Z$183))</f>
        <v> </v>
      </c>
      <c r="AO183" s="350" t="str">
        <f aca="false">IF($A183="N/A"," ",RANK(W183,$R$172:$Z$183))</f>
        <v> </v>
      </c>
      <c r="AP183" s="350" t="str">
        <f aca="false">IF($A183="N/A"," ",RANK(X183,$R$172:$Z$183))</f>
        <v> </v>
      </c>
      <c r="AQ183" s="350" t="str">
        <f aca="false">IF($A183="N/A"," ",RANK(Y183,$R$172:$Z$183))</f>
        <v> </v>
      </c>
      <c r="AR183" s="351" t="str">
        <f aca="false">IF($A183="N/A"," ",RANK(Z183,$R$172:$Z$183))</f>
        <v> </v>
      </c>
      <c r="AS183" s="352" t="str">
        <f aca="false">IF($A183="N/A"," ",IF(AJ183&lt;=$AR$2,AA183,0))</f>
        <v> </v>
      </c>
      <c r="AT183" s="353" t="str">
        <f aca="false">IF($A183="N/A"," ",IF(AK183&lt;=$AR$2,AB183,0))</f>
        <v> </v>
      </c>
      <c r="AU183" s="353" t="str">
        <f aca="false">IF($A183="N/A"," ",IF(AL183&lt;=$AR$2,AC183,0))</f>
        <v> </v>
      </c>
      <c r="AV183" s="353" t="str">
        <f aca="false">IF($A183="N/A"," ",IF(AM183&lt;=$AR$2,AD183,0))</f>
        <v> </v>
      </c>
      <c r="AW183" s="353" t="str">
        <f aca="false">IF($A183="N/A"," ",IF(AN183&lt;=$AR$2,AE183,0))</f>
        <v> </v>
      </c>
      <c r="AX183" s="353" t="str">
        <f aca="false">IF($A183="N/A"," ",IF(AO183&lt;=$AR$2,AF183,0))</f>
        <v> </v>
      </c>
      <c r="AY183" s="353" t="str">
        <f aca="false">IF($A183="N/A"," ",IF(AP183&lt;=$AR$2,AG183,0))</f>
        <v> </v>
      </c>
      <c r="AZ183" s="353" t="str">
        <f aca="false">IF($A183="N/A"," ",IF(AQ183&lt;=$AR$2,AH183,0))</f>
        <v> </v>
      </c>
      <c r="BA183" s="353" t="str">
        <f aca="false">IF($A183="N/A"," ",IF(AR183&lt;=$AR$2,AI183,0))</f>
        <v> </v>
      </c>
      <c r="BB183" s="351" t="n">
        <f aca="false">IF(($AZ$2-BB182)&gt;=0,$AZ$2-BB182,0)</f>
        <v>980</v>
      </c>
      <c r="BC183" s="354" t="str">
        <f aca="false">IF($A183="N/A"," ",IF(AND(AJ183=$AR$2+1,AS183=0),MIN($BB$183,AA183),0))</f>
        <v> </v>
      </c>
      <c r="BD183" s="355" t="str">
        <f aca="false">IF($A183="N/A"," ",IF(AND(AK183=$AR$2+1,AT183=0),MIN($BB$183,AB183),0))</f>
        <v> </v>
      </c>
      <c r="BE183" s="346" t="str">
        <f aca="false">IF($A183="N/A"," ",IF(AND(AL183=$AR$2+1,AU183=0),MIN($BB$183,AC183),0))</f>
        <v> </v>
      </c>
      <c r="BF183" s="355" t="str">
        <f aca="false">IF($A183="N/A"," ",IF(AND(AM183=$AR$2+1,AV183=0),MIN($BB$183,AD183),0))</f>
        <v> </v>
      </c>
      <c r="BG183" s="355" t="str">
        <f aca="false">IF($A183="N/A"," ",IF(AND(AN183=$AR$2+1,AW183=0),MIN($BB$183,AE183),0))</f>
        <v> </v>
      </c>
      <c r="BH183" s="346" t="str">
        <f aca="false">IF($A183="N/A"," ",IF(AND(AO183=$AR$2+1,AX183=0),MIN($BB$183,AF183),0))</f>
        <v> </v>
      </c>
      <c r="BI183" s="355" t="str">
        <f aca="false">IF($A183="N/A"," ",IF(AND(AP183=$AR$2+1,AY183=0),MIN($BB$183,AG183),0))</f>
        <v> </v>
      </c>
      <c r="BJ183" s="355" t="str">
        <f aca="false">IF($A183="N/A"," ",IF(AND(AQ183=$AR$2+1,AZ183=0),MIN($BB$183,AH183),0))</f>
        <v> </v>
      </c>
      <c r="BK183" s="355" t="str">
        <f aca="false">IF($A183="N/A"," ",IF(AND(AR183=$AR$2+1,BA183=0),MIN($BB$183,AI183),0))</f>
        <v> </v>
      </c>
      <c r="BL183" s="356" t="n">
        <f aca="false">BB182+BL182</f>
        <v>0</v>
      </c>
      <c r="BM183" s="329" t="str">
        <f aca="false">IF($A183="N/A"," ",(IF(MONTH(A183)&gt;=4,IF(MONTH(A183)&lt;=10,Inputs!$F$13-Inputs!$G$13,Inputs!$F$14-Inputs!$G$14),Inputs!$F$14-Inputs!$G$14))*$CK183*Availability)</f>
        <v> </v>
      </c>
      <c r="BN183" s="330" t="str">
        <f aca="false">IF($A183="N/A"," ",(IF(AS183&gt;0,($BM183*(8*($HD183))*R183),0)+IF(BC183&gt;0,($BM183*((BC183/AA183)*8*$HD183)*R183),0)))</f>
        <v> </v>
      </c>
      <c r="BO183" s="330" t="str">
        <f aca="false">IF($A183="N/A"," ",(IF(AT183&gt;0,($BM183*(8*($HD183))*S183),0)+IF(BD183&gt;0,($BM183*((BD183/AB183)*8*$HD183)*S183),0)))</f>
        <v> </v>
      </c>
      <c r="BP183" s="330" t="str">
        <f aca="false">IF($A183="N/A"," ",(IF(AU183&gt;0,($BM183*(8*($HD183))*T183),0)+IF(BE183&gt;0,($BM183*((BE183))*T183),0)))</f>
        <v> </v>
      </c>
      <c r="BQ183" s="330" t="str">
        <f aca="false">IF($A183="N/A"," ",(IF(AV183&gt;0,($BM183*(8*($HE183))*U183),0)+IF(BF183&gt;0,($BM183*((BF183/AD183)*8*$HE183)*U183),0)))</f>
        <v> </v>
      </c>
      <c r="BR183" s="330" t="str">
        <f aca="false">IF($A183="N/A"," ",(IF(AW183&gt;0,($BM183*(8*($HE183))*V183),0)+IF(BG183&gt;0,($BM183*((BG183/AE183)*8*$HE183)*V183),0)))</f>
        <v> </v>
      </c>
      <c r="BS183" s="330" t="str">
        <f aca="false">IF($A183="N/A"," ",(IF(AX183&gt;0,($BM183*(8*($HE183))*W183),0)+IF(BH183&gt;0,($BM183*((BH183))*W183),0)))</f>
        <v> </v>
      </c>
      <c r="BT183" s="330" t="str">
        <f aca="false">IF($A183="N/A"," ",(IF(AY183&gt;0,($BM183*(8*($HF183))*X183),0)+IF(BI183&gt;0,($BM183*((BI183/AG183)*8*$HF183)*X183),0)))</f>
        <v> </v>
      </c>
      <c r="BU183" s="330" t="str">
        <f aca="false">IF($A183="N/A"," ",(IF(AZ183&gt;0,($BM183*(8*($HF183))*Y183),0)+IF(BJ183&gt;0,($BM183*((BJ183/AH183)*8*$HF183)*Y183),0)))</f>
        <v> </v>
      </c>
      <c r="BV183" s="330" t="str">
        <f aca="false">IF($A183="N/A"," ",(IF(BA183&gt;0,($BM183*(8*($HF183))*Z183),0)+IF(BK183&gt;0,($BM183*((BK183))*Z183),0)))</f>
        <v> </v>
      </c>
      <c r="BW183" s="330" t="str">
        <f aca="false">IF($A183="N/A"," ",SUM(BN183:BV183))</f>
        <v> </v>
      </c>
      <c r="BX183" s="331" t="str">
        <f aca="false">IF($A183="N/A"," ",(H183*(SUM(AS183:BA183)+SUM(BC183:BK183))*BM183))</f>
        <v> </v>
      </c>
      <c r="BY183" s="332" t="str">
        <f aca="false">IF($A183="N/A"," ",((C183*D183)*(SUM($AS183:$BA183)+SUM($BC183:$BK183))*$BM183))</f>
        <v> </v>
      </c>
      <c r="BZ183" s="332" t="str">
        <f aca="false">IF($A183="N/A"," ",(F183*(SUM($AS183:$BA183)+SUM($BC183:$BK183))*$BM183))</f>
        <v> </v>
      </c>
      <c r="CA183" s="333" t="str">
        <f aca="false">IF($A183="N/A"," ",(G183*(SUM($AS183:$BA183)+SUM($BC183:$BK183))*$BM183))</f>
        <v> </v>
      </c>
      <c r="CB183" s="334" t="str">
        <f aca="false">IF(A183="N/A"," ",(VLOOKUP(A183,PowerVolTable,(IF(BMO=2,7,IF(BMO=1,6,8))),FALSE())))</f>
        <v> </v>
      </c>
      <c r="CC183" s="334" t="str">
        <f aca="false">IF(A183="N/A"," ",(VLOOKUP(A183,IntraPowerVol,(IF(BMO=2,3,IF(BMO=1,2,4))),FALSE())*VLOOKUP(MONTH($A183),Volscale,2)))</f>
        <v> </v>
      </c>
      <c r="CD183" s="335" t="str">
        <f aca="false">IF($A183="N/A"," ",(IF(DateToday&gt;$A183,$CC183,((($CB183^2)*((($A183-1)-DateToday)/((EOMONTH($A183,0)+1)-DateToday-15)))+((($CC183)^2)*((15)/((EOMONTH($A183,0)+1)-DateToday-15))))^0.5)))</f>
        <v> </v>
      </c>
      <c r="CE183" s="334" t="str">
        <f aca="false">IF($A183="N/A"," ",(VLOOKUP($A183,GasVolTable,(IF(BMO=2,6,IF(BMO=1,7,5))),FALSE())))</f>
        <v> </v>
      </c>
      <c r="CF183" s="334" t="str">
        <f aca="false">IF($A183="N/A"," ",(VLOOKUP($A183,OmicronVol,(IF(BMO=2,3,IF(BMO=1,4,2))),FALSE())))</f>
        <v> </v>
      </c>
      <c r="CG183" s="335" t="str">
        <f aca="false">IF($A183="N/A"," ",(IF(DateToday&gt;$A183,$CF183,((($CE183^2)*((($A183-1)-DateToday)/((EOMONTH($A183,0)+1)-DateToday-15)))+((($CF183)^2)*((15)/((EOMONTH($A183,0)+1)-DateToday-15))))^0.5)))</f>
        <v> </v>
      </c>
      <c r="CH183" s="334" t="str">
        <f aca="false">IF($A183="N/A"," ",VLOOKUP($A183,CorrelationTable,2,FALSE()))</f>
        <v> </v>
      </c>
      <c r="CI183" s="336" t="str">
        <f aca="false">IF($A183="N/A"," ",F183+G183+(D183*('Pricing Inputs'!T216)))</f>
        <v> </v>
      </c>
      <c r="CJ183" s="334" t="str">
        <f aca="false">IF($A183="N/A"," ",IF(PV=1,0,'Pricing Inputs'!U216))</f>
        <v> </v>
      </c>
      <c r="CK183" s="337" t="str">
        <f aca="false">IF($A183="N/A"," ",(1+CJ183/2)^(-2*((EOMONTH(A183,0)+20)-DateToday)/365.25))</f>
        <v> </v>
      </c>
      <c r="CL183" s="338" t="str">
        <f aca="false">IF(A183="N/A"," ",IF(CC=2,(VLOOKUP(MONTH($A183),Hrtable,3))/1000,0))</f>
        <v> </v>
      </c>
      <c r="CM183" s="339" t="str">
        <f aca="false">IF(A183="N/A"," ",IF(CC=2,(CL183*C183)+F183,0))</f>
        <v> </v>
      </c>
      <c r="CN183" s="340" t="str">
        <f aca="false">IF($A183="N/A"," ",IF(CC=2,(VLOOKUP(A183,ScaledPrice,(IF(AND(Dayrun&gt;=1,Dayrun&lt;=6),2,4)))-((IF(R183&lt;&gt;0,$D183,$CL183)*$C183)+$F183+$G183)),0))</f>
        <v> </v>
      </c>
      <c r="CO183" s="340" t="str">
        <f aca="false">IF($A183="N/A"," ",IF(CC=2,(IF(AND(Dayrun&gt;=1,Dayrun&lt;=6),I183,(VLOOKUP(A183,ScaledPrice,2))*(2-(VLOOKUP(A183,ScaledPrice,3))))-((IF(S183&lt;&gt;0,$D183,$CL183)*$C183)+$F183+$G183)),0))</f>
        <v> </v>
      </c>
      <c r="CP183" s="340" t="str">
        <f aca="false">IF(A183="N/A"," ",IF(CC=2,(VLOOKUP(A183,ScaledPrice,9)-((IF(T183&lt;&gt;0,$D183,$CL183)*$C183)+$F183+$G183)),0))</f>
        <v> </v>
      </c>
      <c r="CQ183" s="340" t="str">
        <f aca="false">IF(A183="N/A"," ",IF(CC=2,(IF(OR(Dayrun=2,Dayrun=3,Dayrun=5,Dayrun=6,Dayrun=8,Dayrun=9),VLOOKUP(A183,ScaledPrice,IF(AND(Dayrun&gt;=2,Dayrun&lt;=6),5,6)),0)-((IF(U183&lt;&gt;0,$D183,$CL183)*$C183)+$F183+$G183)),0))</f>
        <v> </v>
      </c>
      <c r="CR183" s="340" t="str">
        <f aca="false">IF(A183="N/A"," ",IF(CC=2,(IF(OR(Dayrun=2,Dayrun=3,Dayrun=5,Dayrun=6,Dayrun=8,Dayrun=9),IF(AND(Dayrun&gt;=2,Dayrun&lt;=6),L183,(VLOOKUP(A183,ScaledPrice,5))*(2-(VLOOKUP(A183,ScaledPrice,3)))),0)-((IF(V183&lt;&gt;0,$D183,$CL183)*$C183)+$F183+$G183)),0))</f>
        <v> </v>
      </c>
      <c r="CS183" s="340" t="str">
        <f aca="false">IF(A183="N/A"," ",IF(CC=2,(VLOOKUP(A183,ScaledPrice,9)-((IF(W183&lt;&gt;0,$D183,$CL183)*$C183)+$F183+$G183)),0))</f>
        <v> </v>
      </c>
      <c r="CT183" s="340" t="str">
        <f aca="false">IF(A183="N/A"," ",IF(CC=2,(IF(OR(Dayrun=3,Dayrun=6,Dayrun=9),(VLOOKUP(A183,ScaledPrice,IF(AND(Dayrun&gt;=3,Dayrun&lt;=6),7,8))),0)-((IF(X183&lt;&gt;0,$D183,$CL183)*$C183)+$F183+$G183)),0))</f>
        <v> </v>
      </c>
      <c r="CU183" s="340" t="str">
        <f aca="false">IF(A183="N/A"," ",IF(CC=2,(IF(OR(Dayrun=3,Dayrun=6,Dayrun=9),IF(AND(Dayrun&gt;=3,Dayrun&lt;=6),O183,(VLOOKUP(A183,ScaledPrice,7))*(2-(VLOOKUP(A183,ScaledPrice,3)))),0)-((IF(Y183&lt;&gt;0,$D183,$CL183)*$C183)+$F183+$G183)),0))</f>
        <v> </v>
      </c>
      <c r="CV183" s="340" t="str">
        <f aca="false">IF(A183="N/A"," ",IF(CC=2,(VLOOKUP(A183,ScaledPrice,9)-((IF(Z183&lt;&gt;0,$D183,$CL183)*$C183)+$F183+$G183)),0))</f>
        <v> </v>
      </c>
      <c r="CW183" s="318" t="str">
        <f aca="false">IF($A183="N/A"," ",IF(0&lt;&gt;CN183,IF(CC=2,8*$HD183,0),0))</f>
        <v> </v>
      </c>
      <c r="CX183" s="318" t="str">
        <f aca="false">IF($A183="N/A"," ",IF(0&lt;&gt;CO183,IF(CC=2,8*$HD183,0),0))</f>
        <v> </v>
      </c>
      <c r="CY183" s="318" t="str">
        <f aca="false">IF($A183="N/A"," ",IF(0&lt;&gt;CP183,IF(CC=2,8*$HD183,0),0))</f>
        <v> </v>
      </c>
      <c r="CZ183" s="318" t="str">
        <f aca="false">IF($A183="N/A"," ",IF(0&lt;&gt;CQ183,IF(CC=2,8*$HE183,0),0))</f>
        <v> </v>
      </c>
      <c r="DA183" s="318" t="str">
        <f aca="false">IF($A183="N/A"," ",IF(0&lt;&gt;CR183,IF(CC=2,8*$HE183,0),0))</f>
        <v> </v>
      </c>
      <c r="DB183" s="318" t="str">
        <f aca="false">IF($A183="N/A"," ",IF(0&lt;&gt;CS183,IF(CC=2,8*$HE183,0),0))</f>
        <v> </v>
      </c>
      <c r="DC183" s="318" t="str">
        <f aca="false">IF($A183="N/A"," ",IF(0&lt;&gt;CT183,IF(CC=2,8*$HF183,0),0))</f>
        <v> </v>
      </c>
      <c r="DD183" s="318" t="str">
        <f aca="false">IF($A183="N/A"," ",IF(0&lt;&gt;CU183,IF(CC=2,8*$HF183,0),0))</f>
        <v> </v>
      </c>
      <c r="DE183" s="318" t="str">
        <f aca="false">IF($A183="N/A"," ",IF(0&lt;&gt;CV183,IF(CC=2,8*$HF183,0),0))</f>
        <v> </v>
      </c>
      <c r="DF183" s="341" t="str">
        <f aca="false">IF($A183="N/A"," ",IF(CC=2,(IF(MONTH(A183)&gt;=4,IF(MONTH(A183)&lt;=10,Inputs!$G$13,Inputs!$G$14),Inputs!$G$14))*$CK183,0))</f>
        <v> </v>
      </c>
      <c r="DG183" s="342" t="str">
        <f aca="false">IF($A183="N/A"," ",IF(CC=2,$DF183*CW183*CN183,0))</f>
        <v> </v>
      </c>
      <c r="DH183" s="342" t="str">
        <f aca="false">IF($A183="N/A"," ",IF(CC=2,$DF183*CX183*CO183,0))</f>
        <v> </v>
      </c>
      <c r="DI183" s="342" t="str">
        <f aca="false">IF($A183="N/A"," ",IF(CC=2,$DF183*CY183*CP183,0))</f>
        <v> </v>
      </c>
      <c r="DJ183" s="342" t="str">
        <f aca="false">IF($A183="N/A"," ",IF(CC=2,$DF183*CZ183*CQ183,0))</f>
        <v> </v>
      </c>
      <c r="DK183" s="342" t="str">
        <f aca="false">IF($A183="N/A"," ",IF(CC=2,$DF183*DA183*CR183,0))</f>
        <v> </v>
      </c>
      <c r="DL183" s="342" t="str">
        <f aca="false">IF($A183="N/A"," ",IF(CC=2,$DF183*DB183*CS183,0))</f>
        <v> </v>
      </c>
      <c r="DM183" s="342" t="str">
        <f aca="false">IF($A183="N/A"," ",IF(CC=2,$DF183*DC183*CT183,0))</f>
        <v> </v>
      </c>
      <c r="DN183" s="342" t="str">
        <f aca="false">IF($A183="N/A"," ",IF(CC=2,$DF183*DD183*CU183,0))</f>
        <v> </v>
      </c>
      <c r="DO183" s="342" t="str">
        <f aca="false">IF($A183="N/A"," ",IF(CC=2,$DF183*DE183*CV183,0))</f>
        <v> </v>
      </c>
      <c r="DP183" s="343" t="str">
        <f aca="false">IF($A183="N/A"," ",IF(CC=2,SUM(DG183:DO183),0))</f>
        <v> </v>
      </c>
      <c r="DQ183" s="0" t="str">
        <f aca="false">IF(A183="N/A"," ",Perstart)</f>
        <v> </v>
      </c>
      <c r="HD183" s="0" t="str">
        <f aca="false">IF($A183="N/A"," ",VLOOKUP($A183,NumberofDaysTable,2))</f>
        <v> </v>
      </c>
      <c r="HE183" s="0" t="str">
        <f aca="false">IF($A183="N/A"," ",VLOOKUP($A183,NumberofDaysTable,3))</f>
        <v> </v>
      </c>
      <c r="HF183" s="0" t="str">
        <f aca="false">IF($A183="N/A"," ",VLOOKUP($A183,NumberofDaysTable,4))</f>
        <v> </v>
      </c>
    </row>
    <row r="184" customFormat="false" ht="12.75" hidden="false" customHeight="false" outlineLevel="0" collapsed="false">
      <c r="A184" s="308" t="str">
        <f aca="false">IF(A183="N/A","N/A",IF(EDATE(A183,1)&gt;Inputs!$K$3,"N/A",EDATE(A183,1)))</f>
        <v>N/A</v>
      </c>
      <c r="B184" s="309" t="str">
        <f aca="false">IF(A184="N/A"," ",YEAR(A184))</f>
        <v> </v>
      </c>
      <c r="C184" s="310" t="str">
        <f aca="false">IF(A184="N/A"," ",VLOOKUP(A184,ScaledPrice,10))</f>
        <v> </v>
      </c>
      <c r="D184" s="311" t="str">
        <f aca="false">IF(A184="N/A"," ",(VLOOKUP(MONTH($A184),Hrtable,2))/1000)</f>
        <v> </v>
      </c>
      <c r="E184" s="312" t="str">
        <f aca="false">IF($A184="N/A"," ",(C184-'Pricing Inputs'!T217)*D184)</f>
        <v> </v>
      </c>
      <c r="F184" s="313" t="str">
        <f aca="false">IF(A184="N/A"," ",$F172*(1+VOMesc))</f>
        <v> </v>
      </c>
      <c r="G184" s="313" t="str">
        <f aca="false">IF(A184="N/A"," ",Perstart/IF(AND(Dayrun&gt;=4,Dayrun&lt;=6),16,IF(AND(Dayrun&gt;=7,Dayrun&lt;=9),8,24))/(BM184/CK184))</f>
        <v> </v>
      </c>
      <c r="H184" s="314" t="str">
        <f aca="false">IF(A184="N/A"," ",(C184*D184)+F184+G184)</f>
        <v> </v>
      </c>
      <c r="I184" s="315" t="str">
        <f aca="false">VLOOKUP(A184,ScaledPrice,(IF(AND(Dayrun&gt;=1,Dayrun&lt;=6),2,4)))</f>
        <v> </v>
      </c>
      <c r="J184" s="315" t="str">
        <f aca="false">IF(A184="N/A"," ",IF(AND(Dayrun&gt;=1,Dayrun&lt;=6),I184,(VLOOKUP(A184,ScaledPrice,2))*(2-(VLOOKUP(A184,ScaledPrice,3)))))</f>
        <v> </v>
      </c>
      <c r="K184" s="315" t="str">
        <f aca="false">IF(A184="N/A"," ",IF(AND(Dayrun&gt;=1,Dayrun&lt;=3),VLOOKUP(A184,ScaledPrice,9),0))</f>
        <v> </v>
      </c>
      <c r="L184" s="315" t="str">
        <f aca="false">IF(A184="N/A"," ",IF(OR(Dayrun=2,Dayrun=3,Dayrun=5,Dayrun=6,Dayrun=8,Dayrun=9),VLOOKUP(A184,ScaledPrice,IF(AND(Dayrun&gt;=2,Dayrun&lt;=6),5,6)),0))</f>
        <v> </v>
      </c>
      <c r="M184" s="315" t="str">
        <f aca="false">IF(A184="N/A"," ",IF(OR(Dayrun=2,Dayrun=3,Dayrun=5,Dayrun=6,Dayrun=8,Dayrun=9),IF(AND(Dayrun&gt;=2,Dayrun&lt;=6),L184,(VLOOKUP(A184,ScaledPrice,5))*(2-(VLOOKUP(A184,ScaledPrice,3)))),0))</f>
        <v> </v>
      </c>
      <c r="N184" s="315" t="str">
        <f aca="false">IF(A184="N/A"," ",IF(AND(Dayrun&gt;1,Dayrun&lt;=3),VLOOKUP(A184,ScaledPrice,9),0))</f>
        <v> </v>
      </c>
      <c r="O184" s="315" t="str">
        <f aca="false">IF(A184="N/A"," ",IF(OR(Dayrun=3,Dayrun=6,Dayrun=9),(VLOOKUP(A184,ScaledPrice,IF(AND(Dayrun&gt;=3,Dayrun&lt;=6),7,8))),0))</f>
        <v> </v>
      </c>
      <c r="P184" s="315" t="str">
        <f aca="false">IF(A184="N/A"," ",IF(OR(Dayrun=3,Dayrun=6,Dayrun=9),IF(AND(Dayrun&gt;=3,Dayrun&lt;=6),O184,(VLOOKUP(A184,ScaledPrice,7))*(2-(VLOOKUP(A184,ScaledPrice,3)))),0))</f>
        <v> </v>
      </c>
      <c r="Q184" s="315" t="str">
        <f aca="false">IF(A184="N/A"," ",IF(AND(Dayrun&gt;2,Dayrun&lt;=3),VLOOKUP(A184,ScaledPrice,9),0))</f>
        <v> </v>
      </c>
      <c r="R184" s="316" t="str">
        <f aca="false">IF($A184="N/A"," ",IF(Pricetype=2,MAX(I184-$H184,0),IF(Pricetype=1,(xSPRDOPT(I184,$E184,$CI184,0,($CD184+IF(Smile=TRUE(),VLOOKUP(MAX(-5,$H184-I184),Volsmile,2),0)),$CG184,$CH184,($A184-DateToday)+15,1,0)),I184-$H184)))</f>
        <v> </v>
      </c>
      <c r="S184" s="316" t="str">
        <f aca="false">IF($A184="N/A"," ",IF(Pricetype=2,MAX(J184-$H184,0),IF(Pricetype=1,(xSPRDOPT(J184,$E184,$CI184,0,($CD184+IF(Smile=TRUE(),VLOOKUP(MAX(-5,$H184-J184),Volsmile,2),0)),$CG184,$CH184,($A184-DateToday)+15,1,0)),J184-$H184)))</f>
        <v> </v>
      </c>
      <c r="T184" s="317" t="str">
        <f aca="false">IF($A184="N/A"," ",(IF(Pricetype=2,IF((K184-$H184)&lt;=0,0,(K184-$H184)),IF(K184&lt;&gt;0,(K184-$H184),0))))</f>
        <v> </v>
      </c>
      <c r="U184" s="316" t="str">
        <f aca="false">IF($A184="N/A"," ",IF(Pricetype=2,MAX(L184-$H184,0),IF(L184&lt;&gt;0,IF(Pricetype=1,(xSPRDOPT(L184,$E184,$CI184,0,($CD184+IF(Smile=TRUE(),VLOOKUP(MAX(-5,$H184-L184),Volsmile,2),0)),$CG184,$CH184,($A184-DateToday)+15,1,0)),L184-$H184),0)))</f>
        <v> </v>
      </c>
      <c r="V184" s="316" t="str">
        <f aca="false">IF($A184="N/A"," ",IF(Pricetype=2,MAX(M184-$H184,0),IF(M184&lt;&gt;0,IF(Pricetype=1,(xSPRDOPT(M184,$E184,$CI184,0,($CD184+IF(Smile=TRUE(),VLOOKUP(MAX(-5,$H184-M184),Volsmile,2),0)),$CG184,$CH184,($A184-DateToday)+15,1,0)),M184-$H184),0)))</f>
        <v> </v>
      </c>
      <c r="W184" s="317" t="str">
        <f aca="false">IF($A184="N/A"," ",(IF(Pricetype=2,IF((N184-$H184)&lt;=0,0,(N184-$H184)),IF(N184&lt;&gt;0,(N184-$H184),0))))</f>
        <v> </v>
      </c>
      <c r="X184" s="316" t="str">
        <f aca="false">IF($A184="N/A"," ",IF(Pricetype=2,MAX(O184-$H184,0),IF(O184&lt;&gt;0,IF(Pricetype=1,(xSPRDOPT(O184,$E184,$CI184,0,($CD184+IF(Smile=TRUE(),VLOOKUP(MAX(-5,$H184-O184),Volsmile,2),0)),$CG184,$CH184,($A184-DateToday)+15,1,0)),O184-$H184),0)))</f>
        <v> </v>
      </c>
      <c r="Y184" s="316" t="str">
        <f aca="false">IF($A184="N/A"," ",IF(Pricetype=2,MAX(P184-$H184,0),IF(P184&lt;&gt;0,IF(Pricetype=1,(xSPRDOPT(P184,$E184,$CI184,0,($CD184+IF(Smile=TRUE(),VLOOKUP(MAX(-5,$H184-P184),Volsmile,2),0)),$CG184,$CH184,($A184-DateToday)+15,1,0)),P184-$H184),0)))</f>
        <v> </v>
      </c>
      <c r="Z184" s="317" t="str">
        <f aca="false">IF($A184="N/A"," ",(IF(Pricetype=2,IF((Q184-$H184)&lt;=0,0,(Q184-$H184)),IF(Q184&lt;&gt;0,(Q184-$H184),0))))</f>
        <v> </v>
      </c>
      <c r="AA184" s="318" t="str">
        <f aca="false">IF($A184="N/A"," ",IF(VLOOKUP(MONTH(A184),ManualTable,2)=1,(IF(0&lt;&gt;R184,IF(Pricetype=1,(xSPRDOPT(I184,$E184,$CI184,0,($CD184+IF(Smile=TRUE(),VLOOKUP(MAX(-5,$H184-I184),Volsmile,2),0)),$CG184,$CH184,($A184-DateToday)+15,1,1))*(8*$HD184),8*$HD184),0)),0))</f>
        <v> </v>
      </c>
      <c r="AB184" s="318" t="str">
        <f aca="false">IF($A184="N/A"," ",IF(VLOOKUP(MONTH(A184),ManualTable,3)=1,(IF(S184&lt;&gt;0,IF(Pricetype=1,(xSPRDOPT(J184,$E184,$CI184,0,($CD184+IF(Smile=TRUE(),VLOOKUP(MAX(-5,$H184-J184),Volsmile,2),0)),$CG184,$CH184,($A184-DateToday)+15,1,1))*(8*$HD184),8*$HD184),0)),0))</f>
        <v> </v>
      </c>
      <c r="AC184" s="318" t="str">
        <f aca="false">IF($A184="N/A"," ",IF(VLOOKUP(MONTH(A184),ManualTable,4)=1,(IF(T184&lt;&gt;0,(8*$HD184),0)),0))</f>
        <v> </v>
      </c>
      <c r="AD184" s="318" t="str">
        <f aca="false">IF($A184="N/A"," ",IF(VLOOKUP(MONTH(A184),ManualTable,5)=1,(IF(U184&lt;&gt;0,IF(Pricetype=1,(xSPRDOPT(L184,$E184,$CI184,0,($CD184+IF(Smile=TRUE(),VLOOKUP(MAX(-5,$H184-L184),Volsmile,2),0)),$CG184,$CH184,($A184-DateToday)+15,1,1))*(8*$HE184),8*$HE184),0)),0))</f>
        <v> </v>
      </c>
      <c r="AE184" s="318" t="str">
        <f aca="false">IF($A184="N/A"," ",IF(VLOOKUP(MONTH(A184),ManualTable,6)=1,(IF(V184&lt;&gt;0,IF(Pricetype=1,(xSPRDOPT(M184,$E184,$CI184,0,($CD184+IF(Smile=TRUE(),VLOOKUP(MAX(-5,$H184-M184),Volsmile,2),0)),$CG184,$CH184,($A184-DateToday)+15,1,1))*(8*$HE184),8*$HE184),0)),0))</f>
        <v> </v>
      </c>
      <c r="AF184" s="318" t="str">
        <f aca="false">IF($A184="N/A"," ",IF(VLOOKUP(MONTH(A184),ManualTable,7)=1,(IF(W184&lt;&gt;0,(8*$HE184),0)),0))</f>
        <v> </v>
      </c>
      <c r="AG184" s="318" t="str">
        <f aca="false">IF($A184="N/A"," ",IF(VLOOKUP(MONTH(A184),ManualTable,8)=1,(IF(X184&lt;&gt;0,IF(Pricetype=1,(xSPRDOPT(O184,$E184,$CI184,0,($CD184+IF(Smile=TRUE(),VLOOKUP(MAX(-5,$H184-O184),Volsmile,2),0)),$CG184,$CH184,($A184-DateToday)+15,1,1))*(8*$HF184),8*$HF184),0)),0))</f>
        <v> </v>
      </c>
      <c r="AH184" s="318" t="str">
        <f aca="false">IF($A184="N/A"," ",IF(VLOOKUP(MONTH(A184),ManualTable,9)=1,(IF(Y184&lt;&gt;0,IF(Pricetype=1,(xSPRDOPT(P184,$E184,$CI184,0,($CD184+IF(Smile=TRUE(),VLOOKUP(MAX(-5,$H184-P184),Volsmile,2),0)),$CG184,$CH184,($A184-DateToday)+15,1,1))*(8*$HF184),8*$HF184),0)),0))</f>
        <v> </v>
      </c>
      <c r="AI184" s="318" t="str">
        <f aca="false">IF($A184="N/A"," ",IF(VLOOKUP(MONTH(A184),ManualTable,10)=1,(IF(Z184&lt;&gt;0,(8*($HF184)),0)),0))</f>
        <v> </v>
      </c>
      <c r="AJ184" s="319" t="str">
        <f aca="false">IF($A184="N/A"," ",RANK(R184,$R$184:$Z$195))</f>
        <v> </v>
      </c>
      <c r="AK184" s="320" t="str">
        <f aca="false">IF($A184="N/A"," ",RANK(S184,$R$184:$Z$195))</f>
        <v> </v>
      </c>
      <c r="AL184" s="320" t="str">
        <f aca="false">IF($A184="N/A"," ",RANK(T184,$R$184:$Z$195))</f>
        <v> </v>
      </c>
      <c r="AM184" s="320" t="str">
        <f aca="false">IF($A184="N/A"," ",RANK(U184,$R$184:$Z$195))</f>
        <v> </v>
      </c>
      <c r="AN184" s="320" t="str">
        <f aca="false">IF($A184="N/A"," ",RANK(V184,$R$184:$Z$195))</f>
        <v> </v>
      </c>
      <c r="AO184" s="320" t="str">
        <f aca="false">IF($A184="N/A"," ",RANK(W184,$R$184:$Z$195))</f>
        <v> </v>
      </c>
      <c r="AP184" s="320" t="str">
        <f aca="false">IF($A184="N/A"," ",RANK(X184,$R$184:$Z$195))</f>
        <v> </v>
      </c>
      <c r="AQ184" s="320" t="str">
        <f aca="false">IF($A184="N/A"," ",RANK(Y184,$R$184:$Z$195))</f>
        <v> </v>
      </c>
      <c r="AR184" s="322" t="str">
        <f aca="false">IF($A184="N/A"," ",RANK(Z184,$R$184:$Z$195))</f>
        <v> </v>
      </c>
      <c r="AS184" s="357" t="str">
        <f aca="false">IF($A184="N/A"," ",IF(AJ184&lt;=$AR$2,AA184,0))</f>
        <v> </v>
      </c>
      <c r="AT184" s="324" t="str">
        <f aca="false">IF($A184="N/A"," ",IF(AK184&lt;=$AR$2,AB184,0))</f>
        <v> </v>
      </c>
      <c r="AU184" s="325" t="str">
        <f aca="false">IF($A184="N/A"," ",IF(AL184&lt;=$AR$2,AC184,0))</f>
        <v> </v>
      </c>
      <c r="AV184" s="325" t="str">
        <f aca="false">IF($A184="N/A"," ",IF(AM184&lt;=$AR$2,AD184,0))</f>
        <v> </v>
      </c>
      <c r="AW184" s="325" t="str">
        <f aca="false">IF($A184="N/A"," ",IF(AN184&lt;=$AR$2,AE184,0))</f>
        <v> </v>
      </c>
      <c r="AX184" s="325" t="str">
        <f aca="false">IF($A184="N/A"," ",IF(AO184&lt;=$AR$2,AF184,0))</f>
        <v> </v>
      </c>
      <c r="AY184" s="324" t="str">
        <f aca="false">IF($A184="N/A"," ",IF(AP184&lt;=$AR$2,AG184,0))</f>
        <v> </v>
      </c>
      <c r="AZ184" s="324" t="str">
        <f aca="false">IF($A184="N/A"," ",IF(AQ184&lt;=$AR$2,AH184,0))</f>
        <v> </v>
      </c>
      <c r="BA184" s="324" t="str">
        <f aca="false">IF($A184="N/A"," ",IF(AR184&lt;=$AR$2,AI184,0))</f>
        <v> </v>
      </c>
      <c r="BB184" s="322"/>
      <c r="BC184" s="358" t="str">
        <f aca="false">IF($A184="N/A"," ",IF(AND(AJ184=$AR$2+1,AS184=0),MIN($BB$195,AA184),0))</f>
        <v> </v>
      </c>
      <c r="BD184" s="327" t="str">
        <f aca="false">IF($A184="N/A"," ",IF(AND(AK184=$AR$2+1,AT184=0),MIN($BB$195,AB184),0))</f>
        <v> </v>
      </c>
      <c r="BE184" s="327" t="str">
        <f aca="false">IF($A184="N/A"," ",IF(AND(AL184=$AR$2+1,AU184=0),MIN($BB$195,AC184),0))</f>
        <v> </v>
      </c>
      <c r="BF184" s="327" t="str">
        <f aca="false">IF($A184="N/A"," ",IF(AND(AM184=$AR$2+1,AV184=0),MIN($BB$195,AD184),0))</f>
        <v> </v>
      </c>
      <c r="BG184" s="327" t="str">
        <f aca="false">IF($A184="N/A"," ",IF(AND(AN184=$AR$2+1,AW184=0),MIN($BB$195,AE184),0))</f>
        <v> </v>
      </c>
      <c r="BH184" s="327" t="str">
        <f aca="false">IF($A184="N/A"," ",IF(AND(AO184=$AR$2+1,AX184=0),MIN($BB$195,AF184),0))</f>
        <v> </v>
      </c>
      <c r="BI184" s="327" t="str">
        <f aca="false">IF($A184="N/A"," ",IF(AND(AP184=$AR$2+1,AY184=0),MIN($BB$195,AG184),0))</f>
        <v> </v>
      </c>
      <c r="BJ184" s="327" t="str">
        <f aca="false">IF($A184="N/A"," ",IF(AND(AQ184=$AR$2+1,AZ184=0),MIN($BB$195,AH184),0))</f>
        <v> </v>
      </c>
      <c r="BK184" s="327" t="str">
        <f aca="false">IF($A184="N/A"," ",IF(AND(AR184=$AR$2+1,BA184=0),MIN($BB$195,AI184),0))</f>
        <v> </v>
      </c>
      <c r="BL184" s="322"/>
      <c r="BM184" s="329" t="str">
        <f aca="false">IF($A184="N/A"," ",(IF(MONTH(A184)&gt;=4,IF(MONTH(A184)&lt;=10,Inputs!$F$13-Inputs!$G$13,Inputs!$F$14-Inputs!$G$14),Inputs!$F$14-Inputs!$G$14))*$CK184*Availability)</f>
        <v> </v>
      </c>
      <c r="BN184" s="330" t="str">
        <f aca="false">IF($A184="N/A"," ",(IF(AS184&gt;0,($BM184*(8*($HD184))*R184),0)+IF(BC184&gt;0,($BM184*((BC184/AA184)*8*$HD184)*R184),0)))</f>
        <v> </v>
      </c>
      <c r="BO184" s="330" t="str">
        <f aca="false">IF($A184="N/A"," ",(IF(AT184&gt;0,($BM184*(8*($HD184))*S184),0)+IF(BD184&gt;0,($BM184*((BD184/AB184)*8*$HD184)*S184),0)))</f>
        <v> </v>
      </c>
      <c r="BP184" s="330" t="str">
        <f aca="false">IF($A184="N/A"," ",(IF(AU184&gt;0,($BM184*(8*($HD184))*T184),0)+IF(BE184&gt;0,($BM184*((BE184))*T184),0)))</f>
        <v> </v>
      </c>
      <c r="BQ184" s="330" t="str">
        <f aca="false">IF($A184="N/A"," ",(IF(AV184&gt;0,($BM184*(8*($HE184))*U184),0)+IF(BF184&gt;0,($BM184*((BF184/AD184)*8*$HE184)*U184),0)))</f>
        <v> </v>
      </c>
      <c r="BR184" s="330" t="str">
        <f aca="false">IF($A184="N/A"," ",(IF(AW184&gt;0,($BM184*(8*($HE184))*V184),0)+IF(BG184&gt;0,($BM184*((BG184/AE184)*8*$HE184)*V184),0)))</f>
        <v> </v>
      </c>
      <c r="BS184" s="330" t="str">
        <f aca="false">IF($A184="N/A"," ",(IF(AX184&gt;0,($BM184*(8*($HE184))*W184),0)+IF(BH184&gt;0,($BM184*((BH184))*W184),0)))</f>
        <v> </v>
      </c>
      <c r="BT184" s="330" t="str">
        <f aca="false">IF($A184="N/A"," ",(IF(AY184&gt;0,($BM184*(8*($HF184))*X184),0)+IF(BI184&gt;0,($BM184*((BI184/AG184)*8*$HF184)*X184),0)))</f>
        <v> </v>
      </c>
      <c r="BU184" s="330" t="str">
        <f aca="false">IF($A184="N/A"," ",(IF(AZ184&gt;0,($BM184*(8*($HF184))*Y184),0)+IF(BJ184&gt;0,($BM184*((BJ184/AH184)*8*$HF184)*Y184),0)))</f>
        <v> </v>
      </c>
      <c r="BV184" s="330" t="str">
        <f aca="false">IF($A184="N/A"," ",(IF(BA184&gt;0,($BM184*(8*($HF184))*Z184),0)+IF(BK184&gt;0,($BM184*((BK184))*Z184),0)))</f>
        <v> </v>
      </c>
      <c r="BW184" s="330" t="str">
        <f aca="false">IF($A184="N/A"," ",SUM(BN184:BV184))</f>
        <v> </v>
      </c>
      <c r="BX184" s="331" t="str">
        <f aca="false">IF($A184="N/A"," ",(H184*(SUM(AS184:BA184)+SUM(BC184:BK184))*BM184))</f>
        <v> </v>
      </c>
      <c r="BY184" s="332" t="str">
        <f aca="false">IF($A184="N/A"," ",((C184*D184)*(SUM($AS184:$BA184)+SUM($BC184:$BK184))*$BM184))</f>
        <v> </v>
      </c>
      <c r="BZ184" s="332" t="str">
        <f aca="false">IF($A184="N/A"," ",(F184*(SUM($AS184:$BA184)+SUM($BC184:$BK184))*$BM184))</f>
        <v> </v>
      </c>
      <c r="CA184" s="333" t="str">
        <f aca="false">IF($A184="N/A"," ",(G184*(SUM($AS184:$BA184)+SUM($BC184:$BK184))*$BM184))</f>
        <v> </v>
      </c>
      <c r="CB184" s="334" t="str">
        <f aca="false">IF(A184="N/A"," ",(VLOOKUP(A184,PowerVolTable,(IF(BMO=2,7,IF(BMO=1,6,8))),FALSE())))</f>
        <v> </v>
      </c>
      <c r="CC184" s="334" t="str">
        <f aca="false">IF(A184="N/A"," ",(VLOOKUP(A184,IntraPowerVol,(IF(BMO=2,3,IF(BMO=1,2,4))),FALSE())*VLOOKUP(MONTH($A184),Volscale,2)))</f>
        <v> </v>
      </c>
      <c r="CD184" s="335" t="str">
        <f aca="false">IF($A184="N/A"," ",(IF(DateToday&gt;$A184,$CC184,((($CB184^2)*((($A184-1)-DateToday)/((EOMONTH($A184,0)+1)-DateToday-15)))+((($CC184)^2)*((15)/((EOMONTH($A184,0)+1)-DateToday-15))))^0.5)))</f>
        <v> </v>
      </c>
      <c r="CE184" s="334" t="str">
        <f aca="false">IF($A184="N/A"," ",(VLOOKUP($A184,GasVolTable,(IF(BMO=2,6,IF(BMO=1,7,5))),FALSE())))</f>
        <v> </v>
      </c>
      <c r="CF184" s="334" t="str">
        <f aca="false">IF($A184="N/A"," ",(VLOOKUP($A184,OmicronVol,(IF(BMO=2,3,IF(BMO=1,4,2))),FALSE())))</f>
        <v> </v>
      </c>
      <c r="CG184" s="335" t="str">
        <f aca="false">IF($A184="N/A"," ",(IF(DateToday&gt;$A184,$CF184,((($CE184^2)*((($A184-1)-DateToday)/((EOMONTH($A184,0)+1)-DateToday-15)))+((($CF184)^2)*((15)/((EOMONTH($A184,0)+1)-DateToday-15))))^0.5)))</f>
        <v> </v>
      </c>
      <c r="CH184" s="334" t="str">
        <f aca="false">IF($A184="N/A"," ",VLOOKUP($A184,CorrelationTable,2,FALSE()))</f>
        <v> </v>
      </c>
      <c r="CI184" s="336" t="str">
        <f aca="false">IF($A184="N/A"," ",F184+G184+(D184*('Pricing Inputs'!T217)))</f>
        <v> </v>
      </c>
      <c r="CJ184" s="334" t="str">
        <f aca="false">IF($A184="N/A"," ",IF(PV=1,0,'Pricing Inputs'!U217))</f>
        <v> </v>
      </c>
      <c r="CK184" s="337" t="str">
        <f aca="false">IF($A184="N/A"," ",(1+CJ184/2)^(-2*((EOMONTH(A184,0)+20)-DateToday)/365.25))</f>
        <v> </v>
      </c>
      <c r="CL184" s="338" t="str">
        <f aca="false">IF(A184="N/A"," ",IF(CC=2,(VLOOKUP(MONTH($A184),Hrtable,3))/1000,0))</f>
        <v> </v>
      </c>
      <c r="CM184" s="339" t="str">
        <f aca="false">IF(A184="N/A"," ",IF(CC=2,(CL184*C184)+F184,0))</f>
        <v> </v>
      </c>
      <c r="CN184" s="340" t="str">
        <f aca="false">IF($A184="N/A"," ",IF(CC=2,(VLOOKUP(A184,ScaledPrice,(IF(AND(Dayrun&gt;=1,Dayrun&lt;=6),2,4)))-((IF(R184&lt;&gt;0,$D184,$CL184)*$C184)+$F184+$G184)),0))</f>
        <v> </v>
      </c>
      <c r="CO184" s="340" t="str">
        <f aca="false">IF($A184="N/A"," ",IF(CC=2,(IF(AND(Dayrun&gt;=1,Dayrun&lt;=6),I184,(VLOOKUP(A184,ScaledPrice,2))*(2-(VLOOKUP(A184,ScaledPrice,3))))-((IF(S184&lt;&gt;0,$D184,$CL184)*$C184)+$F184+$G184)),0))</f>
        <v> </v>
      </c>
      <c r="CP184" s="340" t="str">
        <f aca="false">IF(A184="N/A"," ",IF(CC=2,(VLOOKUP(A184,ScaledPrice,9)-((IF(T184&lt;&gt;0,$D184,$CL184)*$C184)+$F184+$G184)),0))</f>
        <v> </v>
      </c>
      <c r="CQ184" s="340" t="str">
        <f aca="false">IF(A184="N/A"," ",IF(CC=2,(IF(OR(Dayrun=2,Dayrun=3,Dayrun=5,Dayrun=6,Dayrun=8,Dayrun=9),VLOOKUP(A184,ScaledPrice,IF(AND(Dayrun&gt;=2,Dayrun&lt;=6),5,6)),0)-((IF(U184&lt;&gt;0,$D184,$CL184)*$C184)+$F184+$G184)),0))</f>
        <v> </v>
      </c>
      <c r="CR184" s="340" t="str">
        <f aca="false">IF(A184="N/A"," ",IF(CC=2,(IF(OR(Dayrun=2,Dayrun=3,Dayrun=5,Dayrun=6,Dayrun=8,Dayrun=9),IF(AND(Dayrun&gt;=2,Dayrun&lt;=6),L184,(VLOOKUP(A184,ScaledPrice,5))*(2-(VLOOKUP(A184,ScaledPrice,3)))),0)-((IF(V184&lt;&gt;0,$D184,$CL184)*$C184)+$F184+$G184)),0))</f>
        <v> </v>
      </c>
      <c r="CS184" s="340" t="str">
        <f aca="false">IF(A184="N/A"," ",IF(CC=2,(VLOOKUP(A184,ScaledPrice,9)-((IF(W184&lt;&gt;0,$D184,$CL184)*$C184)+$F184+$G184)),0))</f>
        <v> </v>
      </c>
      <c r="CT184" s="340" t="str">
        <f aca="false">IF(A184="N/A"," ",IF(CC=2,(IF(OR(Dayrun=3,Dayrun=6,Dayrun=9),(VLOOKUP(A184,ScaledPrice,IF(AND(Dayrun&gt;=3,Dayrun&lt;=6),7,8))),0)-((IF(X184&lt;&gt;0,$D184,$CL184)*$C184)+$F184+$G184)),0))</f>
        <v> </v>
      </c>
      <c r="CU184" s="340" t="str">
        <f aca="false">IF(A184="N/A"," ",IF(CC=2,(IF(OR(Dayrun=3,Dayrun=6,Dayrun=9),IF(AND(Dayrun&gt;=3,Dayrun&lt;=6),O184,(VLOOKUP(A184,ScaledPrice,7))*(2-(VLOOKUP(A184,ScaledPrice,3)))),0)-((IF(Y184&lt;&gt;0,$D184,$CL184)*$C184)+$F184+$G184)),0))</f>
        <v> </v>
      </c>
      <c r="CV184" s="340" t="str">
        <f aca="false">IF(A184="N/A"," ",IF(CC=2,(VLOOKUP(A184,ScaledPrice,9)-((IF(Z184&lt;&gt;0,$D184,$CL184)*$C184)+$F184+$G184)),0))</f>
        <v> </v>
      </c>
      <c r="CW184" s="318" t="str">
        <f aca="false">IF($A184="N/A"," ",IF(0&lt;&gt;CN184,IF(CC=2,8*$HD184,0),0))</f>
        <v> </v>
      </c>
      <c r="CX184" s="318" t="str">
        <f aca="false">IF($A184="N/A"," ",IF(0&lt;&gt;CO184,IF(CC=2,8*$HD184,0),0))</f>
        <v> </v>
      </c>
      <c r="CY184" s="318" t="str">
        <f aca="false">IF($A184="N/A"," ",IF(0&lt;&gt;CP184,IF(CC=2,8*$HD184,0),0))</f>
        <v> </v>
      </c>
      <c r="CZ184" s="318" t="str">
        <f aca="false">IF($A184="N/A"," ",IF(0&lt;&gt;CQ184,IF(CC=2,8*$HE184,0),0))</f>
        <v> </v>
      </c>
      <c r="DA184" s="318" t="str">
        <f aca="false">IF($A184="N/A"," ",IF(0&lt;&gt;CR184,IF(CC=2,8*$HE184,0),0))</f>
        <v> </v>
      </c>
      <c r="DB184" s="318" t="str">
        <f aca="false">IF($A184="N/A"," ",IF(0&lt;&gt;CS184,IF(CC=2,8*$HE184,0),0))</f>
        <v> </v>
      </c>
      <c r="DC184" s="318" t="str">
        <f aca="false">IF($A184="N/A"," ",IF(0&lt;&gt;CT184,IF(CC=2,8*$HF184,0),0))</f>
        <v> </v>
      </c>
      <c r="DD184" s="318" t="str">
        <f aca="false">IF($A184="N/A"," ",IF(0&lt;&gt;CU184,IF(CC=2,8*$HF184,0),0))</f>
        <v> </v>
      </c>
      <c r="DE184" s="318" t="str">
        <f aca="false">IF($A184="N/A"," ",IF(0&lt;&gt;CV184,IF(CC=2,8*$HF184,0),0))</f>
        <v> </v>
      </c>
      <c r="DF184" s="341" t="str">
        <f aca="false">IF($A184="N/A"," ",IF(CC=2,(IF(MONTH(A184)&gt;=4,IF(MONTH(A184)&lt;=10,Inputs!$G$13,Inputs!$G$14),Inputs!$G$14))*$CK184,0))</f>
        <v> </v>
      </c>
      <c r="DG184" s="342" t="str">
        <f aca="false">IF($A184="N/A"," ",IF(CC=2,$DF184*CW184*CN184,0))</f>
        <v> </v>
      </c>
      <c r="DH184" s="342" t="str">
        <f aca="false">IF($A184="N/A"," ",IF(CC=2,$DF184*CX184*CO184,0))</f>
        <v> </v>
      </c>
      <c r="DI184" s="342" t="str">
        <f aca="false">IF($A184="N/A"," ",IF(CC=2,$DF184*CY184*CP184,0))</f>
        <v> </v>
      </c>
      <c r="DJ184" s="342" t="str">
        <f aca="false">IF($A184="N/A"," ",IF(CC=2,$DF184*CZ184*CQ184,0))</f>
        <v> </v>
      </c>
      <c r="DK184" s="342" t="str">
        <f aca="false">IF($A184="N/A"," ",IF(CC=2,$DF184*DA184*CR184,0))</f>
        <v> </v>
      </c>
      <c r="DL184" s="342" t="str">
        <f aca="false">IF($A184="N/A"," ",IF(CC=2,$DF184*DB184*CS184,0))</f>
        <v> </v>
      </c>
      <c r="DM184" s="342" t="str">
        <f aca="false">IF($A184="N/A"," ",IF(CC=2,$DF184*DC184*CT184,0))</f>
        <v> </v>
      </c>
      <c r="DN184" s="342" t="str">
        <f aca="false">IF($A184="N/A"," ",IF(CC=2,$DF184*DD184*CU184,0))</f>
        <v> </v>
      </c>
      <c r="DO184" s="342" t="str">
        <f aca="false">IF($A184="N/A"," ",IF(CC=2,$DF184*DE184*CV184,0))</f>
        <v> </v>
      </c>
      <c r="DP184" s="343" t="str">
        <f aca="false">IF($A184="N/A"," ",IF(CC=2,SUM(DG184:DO184),0))</f>
        <v> </v>
      </c>
      <c r="DQ184" s="0" t="str">
        <f aca="false">IF(A184="N/A"," ",Perstart)</f>
        <v> </v>
      </c>
      <c r="HD184" s="0" t="str">
        <f aca="false">IF($A184="N/A"," ",VLOOKUP($A184,NumberofDaysTable,2))</f>
        <v> </v>
      </c>
      <c r="HE184" s="0" t="str">
        <f aca="false">IF($A184="N/A"," ",VLOOKUP($A184,NumberofDaysTable,3))</f>
        <v> </v>
      </c>
      <c r="HF184" s="0" t="str">
        <f aca="false">IF($A184="N/A"," ",VLOOKUP($A184,NumberofDaysTable,4))</f>
        <v> </v>
      </c>
    </row>
    <row r="185" customFormat="false" ht="12.75" hidden="false" customHeight="false" outlineLevel="0" collapsed="false">
      <c r="A185" s="308" t="str">
        <f aca="false">IF(A184="N/A","N/A",IF(EDATE(A184,1)&gt;Inputs!$K$3,"N/A",EDATE(A184,1)))</f>
        <v>N/A</v>
      </c>
      <c r="B185" s="309" t="str">
        <f aca="false">IF(A185="N/A"," ",YEAR(A185))</f>
        <v> </v>
      </c>
      <c r="C185" s="310" t="str">
        <f aca="false">IF(A185="N/A"," ",VLOOKUP(A185,ScaledPrice,10))</f>
        <v> </v>
      </c>
      <c r="D185" s="311" t="str">
        <f aca="false">IF(A185="N/A"," ",(VLOOKUP(MONTH($A185),Hrtable,2))/1000)</f>
        <v> </v>
      </c>
      <c r="E185" s="312" t="str">
        <f aca="false">IF($A185="N/A"," ",(C185-'Pricing Inputs'!T218)*D185)</f>
        <v> </v>
      </c>
      <c r="F185" s="313" t="str">
        <f aca="false">IF(A185="N/A"," ",$F173*(1+VOMesc))</f>
        <v> </v>
      </c>
      <c r="G185" s="313" t="str">
        <f aca="false">IF(A185="N/A"," ",Perstart/IF(AND(Dayrun&gt;=4,Dayrun&lt;=6),16,IF(AND(Dayrun&gt;=7,Dayrun&lt;=9),8,24))/(BM185/CK185))</f>
        <v> </v>
      </c>
      <c r="H185" s="314" t="str">
        <f aca="false">IF(A185="N/A"," ",(C185*D185)+F185+G185)</f>
        <v> </v>
      </c>
      <c r="I185" s="315" t="str">
        <f aca="false">VLOOKUP(A185,ScaledPrice,(IF(AND(Dayrun&gt;=1,Dayrun&lt;=6),2,4)))</f>
        <v> </v>
      </c>
      <c r="J185" s="315" t="str">
        <f aca="false">IF(A185="N/A"," ",IF(AND(Dayrun&gt;=1,Dayrun&lt;=6),I185,(VLOOKUP(A185,ScaledPrice,2))*(2-(VLOOKUP(A185,ScaledPrice,3)))))</f>
        <v> </v>
      </c>
      <c r="K185" s="315" t="str">
        <f aca="false">IF(A185="N/A"," ",IF(AND(Dayrun&gt;=1,Dayrun&lt;=3),VLOOKUP(A185,ScaledPrice,9),0))</f>
        <v> </v>
      </c>
      <c r="L185" s="315" t="str">
        <f aca="false">IF(A185="N/A"," ",IF(OR(Dayrun=2,Dayrun=3,Dayrun=5,Dayrun=6,Dayrun=8,Dayrun=9),VLOOKUP(A185,ScaledPrice,IF(AND(Dayrun&gt;=2,Dayrun&lt;=6),5,6)),0))</f>
        <v> </v>
      </c>
      <c r="M185" s="315" t="str">
        <f aca="false">IF(A185="N/A"," ",IF(OR(Dayrun=2,Dayrun=3,Dayrun=5,Dayrun=6,Dayrun=8,Dayrun=9),IF(AND(Dayrun&gt;=2,Dayrun&lt;=6),L185,(VLOOKUP(A185,ScaledPrice,5))*(2-(VLOOKUP(A185,ScaledPrice,3)))),0))</f>
        <v> </v>
      </c>
      <c r="N185" s="315" t="str">
        <f aca="false">IF(A185="N/A"," ",IF(AND(Dayrun&gt;1,Dayrun&lt;=3),VLOOKUP(A185,ScaledPrice,9),0))</f>
        <v> </v>
      </c>
      <c r="O185" s="315" t="str">
        <f aca="false">IF(A185="N/A"," ",IF(OR(Dayrun=3,Dayrun=6,Dayrun=9),(VLOOKUP(A185,ScaledPrice,IF(AND(Dayrun&gt;=3,Dayrun&lt;=6),7,8))),0))</f>
        <v> </v>
      </c>
      <c r="P185" s="315" t="str">
        <f aca="false">IF(A185="N/A"," ",IF(OR(Dayrun=3,Dayrun=6,Dayrun=9),IF(AND(Dayrun&gt;=3,Dayrun&lt;=6),O185,(VLOOKUP(A185,ScaledPrice,7))*(2-(VLOOKUP(A185,ScaledPrice,3)))),0))</f>
        <v> </v>
      </c>
      <c r="Q185" s="315" t="str">
        <f aca="false">IF(A185="N/A"," ",IF(AND(Dayrun&gt;2,Dayrun&lt;=3),VLOOKUP(A185,ScaledPrice,9),0))</f>
        <v> </v>
      </c>
      <c r="R185" s="316" t="str">
        <f aca="false">IF($A185="N/A"," ",IF(Pricetype=2,MAX(I185-$H185,0),IF(Pricetype=1,(xSPRDOPT(I185,$E185,$CI185,0,($CD185+IF(Smile=TRUE(),VLOOKUP(MAX(-5,$H185-I185),Volsmile,2),0)),$CG185,$CH185,($A185-DateToday)+15,1,0)),I185-$H185)))</f>
        <v> </v>
      </c>
      <c r="S185" s="316" t="str">
        <f aca="false">IF($A185="N/A"," ",IF(Pricetype=2,MAX(J185-$H185,0),IF(Pricetype=1,(xSPRDOPT(J185,$E185,$CI185,0,($CD185+IF(Smile=TRUE(),VLOOKUP(MAX(-5,$H185-J185),Volsmile,2),0)),$CG185,$CH185,($A185-DateToday)+15,1,0)),J185-$H185)))</f>
        <v> </v>
      </c>
      <c r="T185" s="317" t="str">
        <f aca="false">IF($A185="N/A"," ",(IF(Pricetype=2,IF((K185-$H185)&lt;=0,0,(K185-$H185)),IF(K185&lt;&gt;0,(K185-$H185),0))))</f>
        <v> </v>
      </c>
      <c r="U185" s="316" t="str">
        <f aca="false">IF($A185="N/A"," ",IF(Pricetype=2,MAX(L185-$H185,0),IF(L185&lt;&gt;0,IF(Pricetype=1,(xSPRDOPT(L185,$E185,$CI185,0,($CD185+IF(Smile=TRUE(),VLOOKUP(MAX(-5,$H185-L185),Volsmile,2),0)),$CG185,$CH185,($A185-DateToday)+15,1,0)),L185-$H185),0)))</f>
        <v> </v>
      </c>
      <c r="V185" s="316" t="str">
        <f aca="false">IF($A185="N/A"," ",IF(Pricetype=2,MAX(M185-$H185,0),IF(M185&lt;&gt;0,IF(Pricetype=1,(xSPRDOPT(M185,$E185,$CI185,0,($CD185+IF(Smile=TRUE(),VLOOKUP(MAX(-5,$H185-M185),Volsmile,2),0)),$CG185,$CH185,($A185-DateToday)+15,1,0)),M185-$H185),0)))</f>
        <v> </v>
      </c>
      <c r="W185" s="317" t="str">
        <f aca="false">IF($A185="N/A"," ",(IF(Pricetype=2,IF((N185-$H185)&lt;=0,0,(N185-$H185)),IF(N185&lt;&gt;0,(N185-$H185),0))))</f>
        <v> </v>
      </c>
      <c r="X185" s="316" t="str">
        <f aca="false">IF($A185="N/A"," ",IF(Pricetype=2,MAX(O185-$H185,0),IF(O185&lt;&gt;0,IF(Pricetype=1,(xSPRDOPT(O185,$E185,$CI185,0,($CD185+IF(Smile=TRUE(),VLOOKUP(MAX(-5,$H185-O185),Volsmile,2),0)),$CG185,$CH185,($A185-DateToday)+15,1,0)),O185-$H185),0)))</f>
        <v> </v>
      </c>
      <c r="Y185" s="316" t="str">
        <f aca="false">IF($A185="N/A"," ",IF(Pricetype=2,MAX(P185-$H185,0),IF(P185&lt;&gt;0,IF(Pricetype=1,(xSPRDOPT(P185,$E185,$CI185,0,($CD185+IF(Smile=TRUE(),VLOOKUP(MAX(-5,$H185-P185),Volsmile,2),0)),$CG185,$CH185,($A185-DateToday)+15,1,0)),P185-$H185),0)))</f>
        <v> </v>
      </c>
      <c r="Z185" s="317" t="str">
        <f aca="false">IF($A185="N/A"," ",(IF(Pricetype=2,IF((Q185-$H185)&lt;=0,0,(Q185-$H185)),IF(Q185&lt;&gt;0,(Q185-$H185),0))))</f>
        <v> </v>
      </c>
      <c r="AA185" s="318" t="str">
        <f aca="false">IF($A185="N/A"," ",IF(VLOOKUP(MONTH(A185),ManualTable,2)=1,(IF(0&lt;&gt;R185,IF(Pricetype=1,(xSPRDOPT(I185,$E185,$CI185,0,($CD185+IF(Smile=TRUE(),VLOOKUP(MAX(-5,$H185-I185),Volsmile,2),0)),$CG185,$CH185,($A185-DateToday)+15,1,1))*(8*$HD185),8*$HD185),0)),0))</f>
        <v> </v>
      </c>
      <c r="AB185" s="318" t="str">
        <f aca="false">IF($A185="N/A"," ",IF(VLOOKUP(MONTH(A185),ManualTable,3)=1,(IF(S185&lt;&gt;0,IF(Pricetype=1,(xSPRDOPT(J185,$E185,$CI185,0,($CD185+IF(Smile=TRUE(),VLOOKUP(MAX(-5,$H185-J185),Volsmile,2),0)),$CG185,$CH185,($A185-DateToday)+15,1,1))*(8*$HD185),8*$HD185),0)),0))</f>
        <v> </v>
      </c>
      <c r="AC185" s="318" t="str">
        <f aca="false">IF($A185="N/A"," ",IF(VLOOKUP(MONTH(A185),ManualTable,4)=1,(IF(T185&lt;&gt;0,(8*$HD185),0)),0))</f>
        <v> </v>
      </c>
      <c r="AD185" s="318" t="str">
        <f aca="false">IF($A185="N/A"," ",IF(VLOOKUP(MONTH(A185),ManualTable,5)=1,(IF(U185&lt;&gt;0,IF(Pricetype=1,(xSPRDOPT(L185,$E185,$CI185,0,($CD185+IF(Smile=TRUE(),VLOOKUP(MAX(-5,$H185-L185),Volsmile,2),0)),$CG185,$CH185,($A185-DateToday)+15,1,1))*(8*$HE185),8*$HE185),0)),0))</f>
        <v> </v>
      </c>
      <c r="AE185" s="318" t="str">
        <f aca="false">IF($A185="N/A"," ",IF(VLOOKUP(MONTH(A185),ManualTable,6)=1,(IF(V185&lt;&gt;0,IF(Pricetype=1,(xSPRDOPT(M185,$E185,$CI185,0,($CD185+IF(Smile=TRUE(),VLOOKUP(MAX(-5,$H185-M185),Volsmile,2),0)),$CG185,$CH185,($A185-DateToday)+15,1,1))*(8*$HE185),8*$HE185),0)),0))</f>
        <v> </v>
      </c>
      <c r="AF185" s="318" t="str">
        <f aca="false">IF($A185="N/A"," ",IF(VLOOKUP(MONTH(A185),ManualTable,7)=1,(IF(W185&lt;&gt;0,(8*$HE185),0)),0))</f>
        <v> </v>
      </c>
      <c r="AG185" s="318" t="str">
        <f aca="false">IF($A185="N/A"," ",IF(VLOOKUP(MONTH(A185),ManualTable,8)=1,(IF(X185&lt;&gt;0,IF(Pricetype=1,(xSPRDOPT(O185,$E185,$CI185,0,($CD185+IF(Smile=TRUE(),VLOOKUP(MAX(-5,$H185-O185),Volsmile,2),0)),$CG185,$CH185,($A185-DateToday)+15,1,1))*(8*$HF185),8*$HF185),0)),0))</f>
        <v> </v>
      </c>
      <c r="AH185" s="318" t="str">
        <f aca="false">IF($A185="N/A"," ",IF(VLOOKUP(MONTH(A185),ManualTable,9)=1,(IF(Y185&lt;&gt;0,IF(Pricetype=1,(xSPRDOPT(P185,$E185,$CI185,0,($CD185+IF(Smile=TRUE(),VLOOKUP(MAX(-5,$H185-P185),Volsmile,2),0)),$CG185,$CH185,($A185-DateToday)+15,1,1))*(8*$HF185),8*$HF185),0)),0))</f>
        <v> </v>
      </c>
      <c r="AI185" s="318" t="str">
        <f aca="false">IF($A185="N/A"," ",IF(VLOOKUP(MONTH(A185),ManualTable,10)=1,(IF(Z185&lt;&gt;0,(8*($HF185)),0)),0))</f>
        <v> </v>
      </c>
      <c r="AJ185" s="344" t="str">
        <f aca="false">IF($A185="N/A"," ",RANK(R185,$R$184:$Z$195))</f>
        <v> </v>
      </c>
      <c r="AK185" s="321" t="str">
        <f aca="false">IF($A185="N/A"," ",RANK(S185,$R$184:$Z$195))</f>
        <v> </v>
      </c>
      <c r="AL185" s="321" t="str">
        <f aca="false">IF($A185="N/A"," ",RANK(T185,$R$184:$Z$195))</f>
        <v> </v>
      </c>
      <c r="AM185" s="321" t="str">
        <f aca="false">IF($A185="N/A"," ",RANK(U185,$R$184:$Z$195))</f>
        <v> </v>
      </c>
      <c r="AN185" s="321" t="str">
        <f aca="false">IF($A185="N/A"," ",RANK(V185,$R$184:$Z$195))</f>
        <v> </v>
      </c>
      <c r="AO185" s="321" t="str">
        <f aca="false">IF($A185="N/A"," ",RANK(W185,$R$184:$Z$195))</f>
        <v> </v>
      </c>
      <c r="AP185" s="321" t="str">
        <f aca="false">IF($A185="N/A"," ",RANK(X185,$R$184:$Z$195))</f>
        <v> </v>
      </c>
      <c r="AQ185" s="321" t="str">
        <f aca="false">IF($A185="N/A"," ",RANK(Y185,$R$184:$Z$195))</f>
        <v> </v>
      </c>
      <c r="AR185" s="345" t="str">
        <f aca="false">IF($A185="N/A"," ",RANK(Z185,$R$184:$Z$195))</f>
        <v> </v>
      </c>
      <c r="AS185" s="323" t="str">
        <f aca="false">IF($A185="N/A"," ",IF(AJ185&lt;=$AR$2,AA185,0))</f>
        <v> </v>
      </c>
      <c r="AT185" s="325" t="str">
        <f aca="false">IF($A185="N/A"," ",IF(AK185&lt;=$AR$2,AB185,0))</f>
        <v> </v>
      </c>
      <c r="AU185" s="325" t="str">
        <f aca="false">IF($A185="N/A"," ",IF(AL185&lt;=$AR$2,AC185,0))</f>
        <v> </v>
      </c>
      <c r="AV185" s="325" t="str">
        <f aca="false">IF($A185="N/A"," ",IF(AM185&lt;=$AR$2,AD185,0))</f>
        <v> </v>
      </c>
      <c r="AW185" s="325" t="str">
        <f aca="false">IF($A185="N/A"," ",IF(AN185&lt;=$AR$2,AE185,0))</f>
        <v> </v>
      </c>
      <c r="AX185" s="325" t="str">
        <f aca="false">IF($A185="N/A"," ",IF(AO185&lt;=$AR$2,AF185,0))</f>
        <v> </v>
      </c>
      <c r="AY185" s="325" t="str">
        <f aca="false">IF($A185="N/A"," ",IF(AP185&lt;=$AR$2,AG185,0))</f>
        <v> </v>
      </c>
      <c r="AZ185" s="325" t="str">
        <f aca="false">IF($A185="N/A"," ",IF(AQ185&lt;=$AR$2,AH185,0))</f>
        <v> </v>
      </c>
      <c r="BA185" s="325" t="str">
        <f aca="false">IF($A185="N/A"," ",IF(AR185&lt;=$AR$2,AI185,0))</f>
        <v> </v>
      </c>
      <c r="BB185" s="345"/>
      <c r="BC185" s="326" t="str">
        <f aca="false">IF($A185="N/A"," ",IF(AND(AJ185=$AR$2+1,AS185=0),MIN($BB$195,AA185),0))</f>
        <v> </v>
      </c>
      <c r="BD185" s="346" t="str">
        <f aca="false">IF($A185="N/A"," ",IF(AND(AK185=$AR$2+1,AT185=0),MIN($BB$195,AB185),0))</f>
        <v> </v>
      </c>
      <c r="BE185" s="346" t="str">
        <f aca="false">IF($A185="N/A"," ",IF(AND(AL185=$AR$2+1,AU185=0),MIN($BB$195,AC185),0))</f>
        <v> </v>
      </c>
      <c r="BF185" s="346" t="str">
        <f aca="false">IF($A185="N/A"," ",IF(AND(AM185=$AR$2+1,AV185=0),MIN($BB$195,AD185),0))</f>
        <v> </v>
      </c>
      <c r="BG185" s="346" t="str">
        <f aca="false">IF($A185="N/A"," ",IF(AND(AN185=$AR$2+1,AW185=0),MIN($BB$195,AE185),0))</f>
        <v> </v>
      </c>
      <c r="BH185" s="346" t="str">
        <f aca="false">IF($A185="N/A"," ",IF(AND(AO185=$AR$2+1,AX185=0),MIN($BB$195,AF185),0))</f>
        <v> </v>
      </c>
      <c r="BI185" s="346" t="str">
        <f aca="false">IF($A185="N/A"," ",IF(AND(AP185=$AR$2+1,AY185=0),MIN($BB$195,AG185),0))</f>
        <v> </v>
      </c>
      <c r="BJ185" s="346" t="str">
        <f aca="false">IF($A185="N/A"," ",IF(AND(AQ185=$AR$2+1,AZ185=0),MIN($BB$195,AH185),0))</f>
        <v> </v>
      </c>
      <c r="BK185" s="346" t="str">
        <f aca="false">IF($A185="N/A"," ",IF(AND(AR185=$AR$2+1,BA185=0),MIN($BB$195,AI185),0))</f>
        <v> </v>
      </c>
      <c r="BL185" s="345"/>
      <c r="BM185" s="329" t="str">
        <f aca="false">IF($A185="N/A"," ",(IF(MONTH(A185)&gt;=4,IF(MONTH(A185)&lt;=10,Inputs!$F$13-Inputs!$G$13,Inputs!$F$14-Inputs!$G$14),Inputs!$F$14-Inputs!$G$14))*$CK185*Availability)</f>
        <v> </v>
      </c>
      <c r="BN185" s="330" t="str">
        <f aca="false">IF($A185="N/A"," ",(IF(AS185&gt;0,($BM185*(8*($HD185))*R185),0)+IF(BC185&gt;0,($BM185*((BC185/AA185)*8*$HD185)*R185),0)))</f>
        <v> </v>
      </c>
      <c r="BO185" s="330" t="str">
        <f aca="false">IF($A185="N/A"," ",(IF(AT185&gt;0,($BM185*(8*($HD185))*S185),0)+IF(BD185&gt;0,($BM185*((BD185/AB185)*8*$HD185)*S185),0)))</f>
        <v> </v>
      </c>
      <c r="BP185" s="330" t="str">
        <f aca="false">IF($A185="N/A"," ",(IF(AU185&gt;0,($BM185*(8*($HD185))*T185),0)+IF(BE185&gt;0,($BM185*((BE185))*T185),0)))</f>
        <v> </v>
      </c>
      <c r="BQ185" s="330" t="str">
        <f aca="false">IF($A185="N/A"," ",(IF(AV185&gt;0,($BM185*(8*($HE185))*U185),0)+IF(BF185&gt;0,($BM185*((BF185/AD185)*8*$HE185)*U185),0)))</f>
        <v> </v>
      </c>
      <c r="BR185" s="330" t="str">
        <f aca="false">IF($A185="N/A"," ",(IF(AW185&gt;0,($BM185*(8*($HE185))*V185),0)+IF(BG185&gt;0,($BM185*((BG185/AE185)*8*$HE185)*V185),0)))</f>
        <v> </v>
      </c>
      <c r="BS185" s="330" t="str">
        <f aca="false">IF($A185="N/A"," ",(IF(AX185&gt;0,($BM185*(8*($HE185))*W185),0)+IF(BH185&gt;0,($BM185*((BH185))*W185),0)))</f>
        <v> </v>
      </c>
      <c r="BT185" s="330" t="str">
        <f aca="false">IF($A185="N/A"," ",(IF(AY185&gt;0,($BM185*(8*($HF185))*X185),0)+IF(BI185&gt;0,($BM185*((BI185/AG185)*8*$HF185)*X185),0)))</f>
        <v> </v>
      </c>
      <c r="BU185" s="330" t="str">
        <f aca="false">IF($A185="N/A"," ",(IF(AZ185&gt;0,($BM185*(8*($HF185))*Y185),0)+IF(BJ185&gt;0,($BM185*((BJ185/AH185)*8*$HF185)*Y185),0)))</f>
        <v> </v>
      </c>
      <c r="BV185" s="330" t="str">
        <f aca="false">IF($A185="N/A"," ",(IF(BA185&gt;0,($BM185*(8*($HF185))*Z185),0)+IF(BK185&gt;0,($BM185*((BK185))*Z185),0)))</f>
        <v> </v>
      </c>
      <c r="BW185" s="330" t="str">
        <f aca="false">IF($A185="N/A"," ",SUM(BN185:BV185))</f>
        <v> </v>
      </c>
      <c r="BX185" s="331" t="str">
        <f aca="false">IF($A185="N/A"," ",(H185*(SUM(AS185:BA185)+SUM(BC185:BK185))*BM185))</f>
        <v> </v>
      </c>
      <c r="BY185" s="332" t="str">
        <f aca="false">IF($A185="N/A"," ",((C185*D185)*(SUM($AS185:$BA185)+SUM($BC185:$BK185))*$BM185))</f>
        <v> </v>
      </c>
      <c r="BZ185" s="332" t="str">
        <f aca="false">IF($A185="N/A"," ",(F185*(SUM($AS185:$BA185)+SUM($BC185:$BK185))*$BM185))</f>
        <v> </v>
      </c>
      <c r="CA185" s="333" t="str">
        <f aca="false">IF($A185="N/A"," ",(G185*(SUM($AS185:$BA185)+SUM($BC185:$BK185))*$BM185))</f>
        <v> </v>
      </c>
      <c r="CB185" s="334" t="str">
        <f aca="false">IF(A185="N/A"," ",(VLOOKUP(A185,PowerVolTable,(IF(BMO=2,7,IF(BMO=1,6,8))),FALSE())))</f>
        <v> </v>
      </c>
      <c r="CC185" s="334" t="str">
        <f aca="false">IF(A185="N/A"," ",(VLOOKUP(A185,IntraPowerVol,(IF(BMO=2,3,IF(BMO=1,2,4))),FALSE())*VLOOKUP(MONTH($A185),Volscale,2)))</f>
        <v> </v>
      </c>
      <c r="CD185" s="335" t="str">
        <f aca="false">IF($A185="N/A"," ",(IF(DateToday&gt;$A185,$CC185,((($CB185^2)*((($A185-1)-DateToday)/((EOMONTH($A185,0)+1)-DateToday-15)))+((($CC185)^2)*((15)/((EOMONTH($A185,0)+1)-DateToday-15))))^0.5)))</f>
        <v> </v>
      </c>
      <c r="CE185" s="334" t="str">
        <f aca="false">IF($A185="N/A"," ",(VLOOKUP($A185,GasVolTable,(IF(BMO=2,6,IF(BMO=1,7,5))),FALSE())))</f>
        <v> </v>
      </c>
      <c r="CF185" s="334" t="str">
        <f aca="false">IF($A185="N/A"," ",(VLOOKUP($A185,OmicronVol,(IF(BMO=2,3,IF(BMO=1,4,2))),FALSE())))</f>
        <v> </v>
      </c>
      <c r="CG185" s="335" t="str">
        <f aca="false">IF($A185="N/A"," ",(IF(DateToday&gt;$A185,$CF185,((($CE185^2)*((($A185-1)-DateToday)/((EOMONTH($A185,0)+1)-DateToday-15)))+((($CF185)^2)*((15)/((EOMONTH($A185,0)+1)-DateToday-15))))^0.5)))</f>
        <v> </v>
      </c>
      <c r="CH185" s="334" t="str">
        <f aca="false">IF($A185="N/A"," ",VLOOKUP($A185,CorrelationTable,2,FALSE()))</f>
        <v> </v>
      </c>
      <c r="CI185" s="336" t="str">
        <f aca="false">IF($A185="N/A"," ",F185+G185+(D185*('Pricing Inputs'!T218)))</f>
        <v> </v>
      </c>
      <c r="CJ185" s="334" t="str">
        <f aca="false">IF($A185="N/A"," ",IF(PV=1,0,'Pricing Inputs'!U218))</f>
        <v> </v>
      </c>
      <c r="CK185" s="337" t="str">
        <f aca="false">IF($A185="N/A"," ",(1+CJ185/2)^(-2*((EOMONTH(A185,0)+20)-DateToday)/365.25))</f>
        <v> </v>
      </c>
      <c r="CL185" s="338" t="str">
        <f aca="false">IF(A185="N/A"," ",IF(CC=2,(VLOOKUP(MONTH($A185),Hrtable,3))/1000,0))</f>
        <v> </v>
      </c>
      <c r="CM185" s="339" t="str">
        <f aca="false">IF(A185="N/A"," ",IF(CC=2,(CL185*C185)+F185,0))</f>
        <v> </v>
      </c>
      <c r="CN185" s="340" t="str">
        <f aca="false">IF($A185="N/A"," ",IF(CC=2,(VLOOKUP(A185,ScaledPrice,(IF(AND(Dayrun&gt;=1,Dayrun&lt;=6),2,4)))-((IF(R185&lt;&gt;0,$D185,$CL185)*$C185)+$F185+$G185)),0))</f>
        <v> </v>
      </c>
      <c r="CO185" s="340" t="str">
        <f aca="false">IF($A185="N/A"," ",IF(CC=2,(IF(AND(Dayrun&gt;=1,Dayrun&lt;=6),I185,(VLOOKUP(A185,ScaledPrice,2))*(2-(VLOOKUP(A185,ScaledPrice,3))))-((IF(S185&lt;&gt;0,$D185,$CL185)*$C185)+$F185+$G185)),0))</f>
        <v> </v>
      </c>
      <c r="CP185" s="340" t="str">
        <f aca="false">IF(A185="N/A"," ",IF(CC=2,(VLOOKUP(A185,ScaledPrice,9)-((IF(T185&lt;&gt;0,$D185,$CL185)*$C185)+$F185+$G185)),0))</f>
        <v> </v>
      </c>
      <c r="CQ185" s="340" t="str">
        <f aca="false">IF(A185="N/A"," ",IF(CC=2,(IF(OR(Dayrun=2,Dayrun=3,Dayrun=5,Dayrun=6,Dayrun=8,Dayrun=9),VLOOKUP(A185,ScaledPrice,IF(AND(Dayrun&gt;=2,Dayrun&lt;=6),5,6)),0)-((IF(U185&lt;&gt;0,$D185,$CL185)*$C185)+$F185+$G185)),0))</f>
        <v> </v>
      </c>
      <c r="CR185" s="340" t="str">
        <f aca="false">IF(A185="N/A"," ",IF(CC=2,(IF(OR(Dayrun=2,Dayrun=3,Dayrun=5,Dayrun=6,Dayrun=8,Dayrun=9),IF(AND(Dayrun&gt;=2,Dayrun&lt;=6),L185,(VLOOKUP(A185,ScaledPrice,5))*(2-(VLOOKUP(A185,ScaledPrice,3)))),0)-((IF(V185&lt;&gt;0,$D185,$CL185)*$C185)+$F185+$G185)),0))</f>
        <v> </v>
      </c>
      <c r="CS185" s="340" t="str">
        <f aca="false">IF(A185="N/A"," ",IF(CC=2,(VLOOKUP(A185,ScaledPrice,9)-((IF(W185&lt;&gt;0,$D185,$CL185)*$C185)+$F185+$G185)),0))</f>
        <v> </v>
      </c>
      <c r="CT185" s="340" t="str">
        <f aca="false">IF(A185="N/A"," ",IF(CC=2,(IF(OR(Dayrun=3,Dayrun=6,Dayrun=9),(VLOOKUP(A185,ScaledPrice,IF(AND(Dayrun&gt;=3,Dayrun&lt;=6),7,8))),0)-((IF(X185&lt;&gt;0,$D185,$CL185)*$C185)+$F185+$G185)),0))</f>
        <v> </v>
      </c>
      <c r="CU185" s="340" t="str">
        <f aca="false">IF(A185="N/A"," ",IF(CC=2,(IF(OR(Dayrun=3,Dayrun=6,Dayrun=9),IF(AND(Dayrun&gt;=3,Dayrun&lt;=6),O185,(VLOOKUP(A185,ScaledPrice,7))*(2-(VLOOKUP(A185,ScaledPrice,3)))),0)-((IF(Y185&lt;&gt;0,$D185,$CL185)*$C185)+$F185+$G185)),0))</f>
        <v> </v>
      </c>
      <c r="CV185" s="340" t="str">
        <f aca="false">IF(A185="N/A"," ",IF(CC=2,(VLOOKUP(A185,ScaledPrice,9)-((IF(Z185&lt;&gt;0,$D185,$CL185)*$C185)+$F185+$G185)),0))</f>
        <v> </v>
      </c>
      <c r="CW185" s="318" t="str">
        <f aca="false">IF($A185="N/A"," ",IF(0&lt;&gt;CN185,IF(CC=2,8*$HD185,0),0))</f>
        <v> </v>
      </c>
      <c r="CX185" s="318" t="str">
        <f aca="false">IF($A185="N/A"," ",IF(0&lt;&gt;CO185,IF(CC=2,8*$HD185,0),0))</f>
        <v> </v>
      </c>
      <c r="CY185" s="318" t="str">
        <f aca="false">IF($A185="N/A"," ",IF(0&lt;&gt;CP185,IF(CC=2,8*$HD185,0),0))</f>
        <v> </v>
      </c>
      <c r="CZ185" s="318" t="str">
        <f aca="false">IF($A185="N/A"," ",IF(0&lt;&gt;CQ185,IF(CC=2,8*$HE185,0),0))</f>
        <v> </v>
      </c>
      <c r="DA185" s="318" t="str">
        <f aca="false">IF($A185="N/A"," ",IF(0&lt;&gt;CR185,IF(CC=2,8*$HE185,0),0))</f>
        <v> </v>
      </c>
      <c r="DB185" s="318" t="str">
        <f aca="false">IF($A185="N/A"," ",IF(0&lt;&gt;CS185,IF(CC=2,8*$HE185,0),0))</f>
        <v> </v>
      </c>
      <c r="DC185" s="318" t="str">
        <f aca="false">IF($A185="N/A"," ",IF(0&lt;&gt;CT185,IF(CC=2,8*$HF185,0),0))</f>
        <v> </v>
      </c>
      <c r="DD185" s="318" t="str">
        <f aca="false">IF($A185="N/A"," ",IF(0&lt;&gt;CU185,IF(CC=2,8*$HF185,0),0))</f>
        <v> </v>
      </c>
      <c r="DE185" s="318" t="str">
        <f aca="false">IF($A185="N/A"," ",IF(0&lt;&gt;CV185,IF(CC=2,8*$HF185,0),0))</f>
        <v> </v>
      </c>
      <c r="DF185" s="341" t="str">
        <f aca="false">IF($A185="N/A"," ",IF(CC=2,(IF(MONTH(A185)&gt;=4,IF(MONTH(A185)&lt;=10,Inputs!$G$13,Inputs!$G$14),Inputs!$G$14))*$CK185,0))</f>
        <v> </v>
      </c>
      <c r="DG185" s="342" t="str">
        <f aca="false">IF($A185="N/A"," ",IF(CC=2,$DF185*CW185*CN185,0))</f>
        <v> </v>
      </c>
      <c r="DH185" s="342" t="str">
        <f aca="false">IF($A185="N/A"," ",IF(CC=2,$DF185*CX185*CO185,0))</f>
        <v> </v>
      </c>
      <c r="DI185" s="342" t="str">
        <f aca="false">IF($A185="N/A"," ",IF(CC=2,$DF185*CY185*CP185,0))</f>
        <v> </v>
      </c>
      <c r="DJ185" s="342" t="str">
        <f aca="false">IF($A185="N/A"," ",IF(CC=2,$DF185*CZ185*CQ185,0))</f>
        <v> </v>
      </c>
      <c r="DK185" s="342" t="str">
        <f aca="false">IF($A185="N/A"," ",IF(CC=2,$DF185*DA185*CR185,0))</f>
        <v> </v>
      </c>
      <c r="DL185" s="342" t="str">
        <f aca="false">IF($A185="N/A"," ",IF(CC=2,$DF185*DB185*CS185,0))</f>
        <v> </v>
      </c>
      <c r="DM185" s="342" t="str">
        <f aca="false">IF($A185="N/A"," ",IF(CC=2,$DF185*DC185*CT185,0))</f>
        <v> </v>
      </c>
      <c r="DN185" s="342" t="str">
        <f aca="false">IF($A185="N/A"," ",IF(CC=2,$DF185*DD185*CU185,0))</f>
        <v> </v>
      </c>
      <c r="DO185" s="342" t="str">
        <f aca="false">IF($A185="N/A"," ",IF(CC=2,$DF185*DE185*CV185,0))</f>
        <v> </v>
      </c>
      <c r="DP185" s="343" t="str">
        <f aca="false">IF($A185="N/A"," ",IF(CC=2,SUM(DG185:DO185),0))</f>
        <v> </v>
      </c>
      <c r="DQ185" s="0" t="str">
        <f aca="false">IF(A185="N/A"," ",Perstart)</f>
        <v> </v>
      </c>
      <c r="HD185" s="0" t="str">
        <f aca="false">IF($A185="N/A"," ",VLOOKUP($A185,NumberofDaysTable,2))</f>
        <v> </v>
      </c>
      <c r="HE185" s="0" t="str">
        <f aca="false">IF($A185="N/A"," ",VLOOKUP($A185,NumberofDaysTable,3))</f>
        <v> </v>
      </c>
      <c r="HF185" s="0" t="str">
        <f aca="false">IF($A185="N/A"," ",VLOOKUP($A185,NumberofDaysTable,4))</f>
        <v> </v>
      </c>
    </row>
    <row r="186" customFormat="false" ht="12.75" hidden="false" customHeight="false" outlineLevel="0" collapsed="false">
      <c r="A186" s="308" t="str">
        <f aca="false">IF(A185="N/A","N/A",IF(EDATE(A185,1)&gt;Inputs!$K$3,"N/A",EDATE(A185,1)))</f>
        <v>N/A</v>
      </c>
      <c r="B186" s="309" t="str">
        <f aca="false">IF(A186="N/A"," ",YEAR(A186))</f>
        <v> </v>
      </c>
      <c r="C186" s="310" t="str">
        <f aca="false">IF(A186="N/A"," ",VLOOKUP(A186,ScaledPrice,10))</f>
        <v> </v>
      </c>
      <c r="D186" s="311" t="str">
        <f aca="false">IF(A186="N/A"," ",(VLOOKUP(MONTH($A186),Hrtable,2))/1000)</f>
        <v> </v>
      </c>
      <c r="E186" s="312" t="str">
        <f aca="false">IF($A186="N/A"," ",(C186-'Pricing Inputs'!T219)*D186)</f>
        <v> </v>
      </c>
      <c r="F186" s="313" t="str">
        <f aca="false">IF(A186="N/A"," ",$F174*(1+VOMesc))</f>
        <v> </v>
      </c>
      <c r="G186" s="313" t="str">
        <f aca="false">IF(A186="N/A"," ",Perstart/IF(AND(Dayrun&gt;=4,Dayrun&lt;=6),16,IF(AND(Dayrun&gt;=7,Dayrun&lt;=9),8,24))/(BM186/CK186))</f>
        <v> </v>
      </c>
      <c r="H186" s="314" t="str">
        <f aca="false">IF(A186="N/A"," ",(C186*D186)+F186+G186)</f>
        <v> </v>
      </c>
      <c r="I186" s="315" t="str">
        <f aca="false">VLOOKUP(A186,ScaledPrice,(IF(AND(Dayrun&gt;=1,Dayrun&lt;=6),2,4)))</f>
        <v> </v>
      </c>
      <c r="J186" s="315" t="str">
        <f aca="false">IF(A186="N/A"," ",IF(AND(Dayrun&gt;=1,Dayrun&lt;=6),I186,(VLOOKUP(A186,ScaledPrice,2))*(2-(VLOOKUP(A186,ScaledPrice,3)))))</f>
        <v> </v>
      </c>
      <c r="K186" s="315" t="str">
        <f aca="false">IF(A186="N/A"," ",IF(AND(Dayrun&gt;=1,Dayrun&lt;=3),VLOOKUP(A186,ScaledPrice,9),0))</f>
        <v> </v>
      </c>
      <c r="L186" s="315" t="str">
        <f aca="false">IF(A186="N/A"," ",IF(OR(Dayrun=2,Dayrun=3,Dayrun=5,Dayrun=6,Dayrun=8,Dayrun=9),VLOOKUP(A186,ScaledPrice,IF(AND(Dayrun&gt;=2,Dayrun&lt;=6),5,6)),0))</f>
        <v> </v>
      </c>
      <c r="M186" s="315" t="str">
        <f aca="false">IF(A186="N/A"," ",IF(OR(Dayrun=2,Dayrun=3,Dayrun=5,Dayrun=6,Dayrun=8,Dayrun=9),IF(AND(Dayrun&gt;=2,Dayrun&lt;=6),L186,(VLOOKUP(A186,ScaledPrice,5))*(2-(VLOOKUP(A186,ScaledPrice,3)))),0))</f>
        <v> </v>
      </c>
      <c r="N186" s="315" t="str">
        <f aca="false">IF(A186="N/A"," ",IF(AND(Dayrun&gt;1,Dayrun&lt;=3),VLOOKUP(A186,ScaledPrice,9),0))</f>
        <v> </v>
      </c>
      <c r="O186" s="315" t="str">
        <f aca="false">IF(A186="N/A"," ",IF(OR(Dayrun=3,Dayrun=6,Dayrun=9),(VLOOKUP(A186,ScaledPrice,IF(AND(Dayrun&gt;=3,Dayrun&lt;=6),7,8))),0))</f>
        <v> </v>
      </c>
      <c r="P186" s="315" t="str">
        <f aca="false">IF(A186="N/A"," ",IF(OR(Dayrun=3,Dayrun=6,Dayrun=9),IF(AND(Dayrun&gt;=3,Dayrun&lt;=6),O186,(VLOOKUP(A186,ScaledPrice,7))*(2-(VLOOKUP(A186,ScaledPrice,3)))),0))</f>
        <v> </v>
      </c>
      <c r="Q186" s="315" t="str">
        <f aca="false">IF(A186="N/A"," ",IF(AND(Dayrun&gt;2,Dayrun&lt;=3),VLOOKUP(A186,ScaledPrice,9),0))</f>
        <v> </v>
      </c>
      <c r="R186" s="316" t="str">
        <f aca="false">IF($A186="N/A"," ",IF(Pricetype=2,MAX(I186-$H186,0),IF(Pricetype=1,(xSPRDOPT(I186,$E186,$CI186,0,($CD186+IF(Smile=TRUE(),VLOOKUP(MAX(-5,$H186-I186),Volsmile,2),0)),$CG186,$CH186,($A186-DateToday)+15,1,0)),I186-$H186)))</f>
        <v> </v>
      </c>
      <c r="S186" s="316" t="str">
        <f aca="false">IF($A186="N/A"," ",IF(Pricetype=2,MAX(J186-$H186,0),IF(Pricetype=1,(xSPRDOPT(J186,$E186,$CI186,0,($CD186+IF(Smile=TRUE(),VLOOKUP(MAX(-5,$H186-J186),Volsmile,2),0)),$CG186,$CH186,($A186-DateToday)+15,1,0)),J186-$H186)))</f>
        <v> </v>
      </c>
      <c r="T186" s="317" t="str">
        <f aca="false">IF($A186="N/A"," ",(IF(Pricetype=2,IF((K186-$H186)&lt;=0,0,(K186-$H186)),IF(K186&lt;&gt;0,(K186-$H186),0))))</f>
        <v> </v>
      </c>
      <c r="U186" s="316" t="str">
        <f aca="false">IF($A186="N/A"," ",IF(Pricetype=2,MAX(L186-$H186,0),IF(L186&lt;&gt;0,IF(Pricetype=1,(xSPRDOPT(L186,$E186,$CI186,0,($CD186+IF(Smile=TRUE(),VLOOKUP(MAX(-5,$H186-L186),Volsmile,2),0)),$CG186,$CH186,($A186-DateToday)+15,1,0)),L186-$H186),0)))</f>
        <v> </v>
      </c>
      <c r="V186" s="316" t="str">
        <f aca="false">IF($A186="N/A"," ",IF(Pricetype=2,MAX(M186-$H186,0),IF(M186&lt;&gt;0,IF(Pricetype=1,(xSPRDOPT(M186,$E186,$CI186,0,($CD186+IF(Smile=TRUE(),VLOOKUP(MAX(-5,$H186-M186),Volsmile,2),0)),$CG186,$CH186,($A186-DateToday)+15,1,0)),M186-$H186),0)))</f>
        <v> </v>
      </c>
      <c r="W186" s="317" t="str">
        <f aca="false">IF($A186="N/A"," ",(IF(Pricetype=2,IF((N186-$H186)&lt;=0,0,(N186-$H186)),IF(N186&lt;&gt;0,(N186-$H186),0))))</f>
        <v> </v>
      </c>
      <c r="X186" s="316" t="str">
        <f aca="false">IF($A186="N/A"," ",IF(Pricetype=2,MAX(O186-$H186,0),IF(O186&lt;&gt;0,IF(Pricetype=1,(xSPRDOPT(O186,$E186,$CI186,0,($CD186+IF(Smile=TRUE(),VLOOKUP(MAX(-5,$H186-O186),Volsmile,2),0)),$CG186,$CH186,($A186-DateToday)+15,1,0)),O186-$H186),0)))</f>
        <v> </v>
      </c>
      <c r="Y186" s="316" t="str">
        <f aca="false">IF($A186="N/A"," ",IF(Pricetype=2,MAX(P186-$H186,0),IF(P186&lt;&gt;0,IF(Pricetype=1,(xSPRDOPT(P186,$E186,$CI186,0,($CD186+IF(Smile=TRUE(),VLOOKUP(MAX(-5,$H186-P186),Volsmile,2),0)),$CG186,$CH186,($A186-DateToday)+15,1,0)),P186-$H186),0)))</f>
        <v> </v>
      </c>
      <c r="Z186" s="317" t="str">
        <f aca="false">IF($A186="N/A"," ",(IF(Pricetype=2,IF((Q186-$H186)&lt;=0,0,(Q186-$H186)),IF(Q186&lt;&gt;0,(Q186-$H186),0))))</f>
        <v> </v>
      </c>
      <c r="AA186" s="318" t="str">
        <f aca="false">IF($A186="N/A"," ",IF(VLOOKUP(MONTH(A186),ManualTable,2)=1,(IF(0&lt;&gt;R186,IF(Pricetype=1,(xSPRDOPT(I186,$E186,$CI186,0,($CD186+IF(Smile=TRUE(),VLOOKUP(MAX(-5,$H186-I186),Volsmile,2),0)),$CG186,$CH186,($A186-DateToday)+15,1,1))*(8*$HD186),8*$HD186),0)),0))</f>
        <v> </v>
      </c>
      <c r="AB186" s="318" t="str">
        <f aca="false">IF($A186="N/A"," ",IF(VLOOKUP(MONTH(A186),ManualTable,3)=1,(IF(S186&lt;&gt;0,IF(Pricetype=1,(xSPRDOPT(J186,$E186,$CI186,0,($CD186+IF(Smile=TRUE(),VLOOKUP(MAX(-5,$H186-J186),Volsmile,2),0)),$CG186,$CH186,($A186-DateToday)+15,1,1))*(8*$HD186),8*$HD186),0)),0))</f>
        <v> </v>
      </c>
      <c r="AC186" s="318" t="str">
        <f aca="false">IF($A186="N/A"," ",IF(VLOOKUP(MONTH(A186),ManualTable,4)=1,(IF(T186&lt;&gt;0,(8*$HD186),0)),0))</f>
        <v> </v>
      </c>
      <c r="AD186" s="318" t="str">
        <f aca="false">IF($A186="N/A"," ",IF(VLOOKUP(MONTH(A186),ManualTable,5)=1,(IF(U186&lt;&gt;0,IF(Pricetype=1,(xSPRDOPT(L186,$E186,$CI186,0,($CD186+IF(Smile=TRUE(),VLOOKUP(MAX(-5,$H186-L186),Volsmile,2),0)),$CG186,$CH186,($A186-DateToday)+15,1,1))*(8*$HE186),8*$HE186),0)),0))</f>
        <v> </v>
      </c>
      <c r="AE186" s="318" t="str">
        <f aca="false">IF($A186="N/A"," ",IF(VLOOKUP(MONTH(A186),ManualTable,6)=1,(IF(V186&lt;&gt;0,IF(Pricetype=1,(xSPRDOPT(M186,$E186,$CI186,0,($CD186+IF(Smile=TRUE(),VLOOKUP(MAX(-5,$H186-M186),Volsmile,2),0)),$CG186,$CH186,($A186-DateToday)+15,1,1))*(8*$HE186),8*$HE186),0)),0))</f>
        <v> </v>
      </c>
      <c r="AF186" s="318" t="str">
        <f aca="false">IF($A186="N/A"," ",IF(VLOOKUP(MONTH(A186),ManualTable,7)=1,(IF(W186&lt;&gt;0,(8*$HE186),0)),0))</f>
        <v> </v>
      </c>
      <c r="AG186" s="318" t="str">
        <f aca="false">IF($A186="N/A"," ",IF(VLOOKUP(MONTH(A186),ManualTable,8)=1,(IF(X186&lt;&gt;0,IF(Pricetype=1,(xSPRDOPT(O186,$E186,$CI186,0,($CD186+IF(Smile=TRUE(),VLOOKUP(MAX(-5,$H186-O186),Volsmile,2),0)),$CG186,$CH186,($A186-DateToday)+15,1,1))*(8*$HF186),8*$HF186),0)),0))</f>
        <v> </v>
      </c>
      <c r="AH186" s="318" t="str">
        <f aca="false">IF($A186="N/A"," ",IF(VLOOKUP(MONTH(A186),ManualTable,9)=1,(IF(Y186&lt;&gt;0,IF(Pricetype=1,(xSPRDOPT(P186,$E186,$CI186,0,($CD186+IF(Smile=TRUE(),VLOOKUP(MAX(-5,$H186-P186),Volsmile,2),0)),$CG186,$CH186,($A186-DateToday)+15,1,1))*(8*$HF186),8*$HF186),0)),0))</f>
        <v> </v>
      </c>
      <c r="AI186" s="318" t="str">
        <f aca="false">IF($A186="N/A"," ",IF(VLOOKUP(MONTH(A186),ManualTable,10)=1,(IF(Z186&lt;&gt;0,(8*($HF186)),0)),0))</f>
        <v> </v>
      </c>
      <c r="AJ186" s="344" t="str">
        <f aca="false">IF($A186="N/A"," ",RANK(R186,$R$184:$Z$195))</f>
        <v> </v>
      </c>
      <c r="AK186" s="321" t="str">
        <f aca="false">IF($A186="N/A"," ",RANK(S186,$R$184:$Z$195))</f>
        <v> </v>
      </c>
      <c r="AL186" s="321" t="str">
        <f aca="false">IF($A186="N/A"," ",RANK(T186,$R$184:$Z$195))</f>
        <v> </v>
      </c>
      <c r="AM186" s="321" t="str">
        <f aca="false">IF($A186="N/A"," ",RANK(U186,$R$184:$Z$195))</f>
        <v> </v>
      </c>
      <c r="AN186" s="321" t="str">
        <f aca="false">IF($A186="N/A"," ",RANK(V186,$R$184:$Z$195))</f>
        <v> </v>
      </c>
      <c r="AO186" s="321" t="str">
        <f aca="false">IF($A186="N/A"," ",RANK(W186,$R$184:$Z$195))</f>
        <v> </v>
      </c>
      <c r="AP186" s="321" t="str">
        <f aca="false">IF($A186="N/A"," ",RANK(X186,$R$184:$Z$195))</f>
        <v> </v>
      </c>
      <c r="AQ186" s="321" t="str">
        <f aca="false">IF($A186="N/A"," ",RANK(Y186,$R$184:$Z$195))</f>
        <v> </v>
      </c>
      <c r="AR186" s="345" t="str">
        <f aca="false">IF($A186="N/A"," ",RANK(Z186,$R$184:$Z$195))</f>
        <v> </v>
      </c>
      <c r="AS186" s="323" t="str">
        <f aca="false">IF($A186="N/A"," ",IF(AJ186&lt;=$AR$2,AA186,0))</f>
        <v> </v>
      </c>
      <c r="AT186" s="325" t="str">
        <f aca="false">IF($A186="N/A"," ",IF(AK186&lt;=$AR$2,AB186,0))</f>
        <v> </v>
      </c>
      <c r="AU186" s="325" t="str">
        <f aca="false">IF($A186="N/A"," ",IF(AL186&lt;=$AR$2,AC186,0))</f>
        <v> </v>
      </c>
      <c r="AV186" s="325" t="str">
        <f aca="false">IF($A186="N/A"," ",IF(AM186&lt;=$AR$2,AD186,0))</f>
        <v> </v>
      </c>
      <c r="AW186" s="325" t="str">
        <f aca="false">IF($A186="N/A"," ",IF(AN186&lt;=$AR$2,AE186,0))</f>
        <v> </v>
      </c>
      <c r="AX186" s="325" t="str">
        <f aca="false">IF($A186="N/A"," ",IF(AO186&lt;=$AR$2,AF186,0))</f>
        <v> </v>
      </c>
      <c r="AY186" s="325" t="str">
        <f aca="false">IF($A186="N/A"," ",IF(AP186&lt;=$AR$2,AG186,0))</f>
        <v> </v>
      </c>
      <c r="AZ186" s="325" t="str">
        <f aca="false">IF($A186="N/A"," ",IF(AQ186&lt;=$AR$2,AH186,0))</f>
        <v> </v>
      </c>
      <c r="BA186" s="325" t="str">
        <f aca="false">IF($A186="N/A"," ",IF(AR186&lt;=$AR$2,AI186,0))</f>
        <v> </v>
      </c>
      <c r="BB186" s="345"/>
      <c r="BC186" s="326" t="str">
        <f aca="false">IF($A186="N/A"," ",IF(AND(AJ186=$AR$2+1,AS186=0),MIN($BB$195,AA186),0))</f>
        <v> </v>
      </c>
      <c r="BD186" s="346" t="str">
        <f aca="false">IF($A186="N/A"," ",IF(AND(AK186=$AR$2+1,AT186=0),MIN($BB$195,AB186),0))</f>
        <v> </v>
      </c>
      <c r="BE186" s="346" t="str">
        <f aca="false">IF($A186="N/A"," ",IF(AND(AL186=$AR$2+1,AU186=0),MIN($BB$195,AC186),0))</f>
        <v> </v>
      </c>
      <c r="BF186" s="346" t="str">
        <f aca="false">IF($A186="N/A"," ",IF(AND(AM186=$AR$2+1,AV186=0),MIN($BB$195,AD186),0))</f>
        <v> </v>
      </c>
      <c r="BG186" s="346" t="str">
        <f aca="false">IF($A186="N/A"," ",IF(AND(AN186=$AR$2+1,AW186=0),MIN($BB$195,AE186),0))</f>
        <v> </v>
      </c>
      <c r="BH186" s="346" t="str">
        <f aca="false">IF($A186="N/A"," ",IF(AND(AO186=$AR$2+1,AX186=0),MIN($BB$195,AF186),0))</f>
        <v> </v>
      </c>
      <c r="BI186" s="346" t="str">
        <f aca="false">IF($A186="N/A"," ",IF(AND(AP186=$AR$2+1,AY186=0),MIN($BB$195,AG186),0))</f>
        <v> </v>
      </c>
      <c r="BJ186" s="346" t="str">
        <f aca="false">IF($A186="N/A"," ",IF(AND(AQ186=$AR$2+1,AZ186=0),MIN($BB$195,AH186),0))</f>
        <v> </v>
      </c>
      <c r="BK186" s="346" t="str">
        <f aca="false">IF($A186="N/A"," ",IF(AND(AR186=$AR$2+1,BA186=0),MIN($BB$195,AI186),0))</f>
        <v> </v>
      </c>
      <c r="BL186" s="345"/>
      <c r="BM186" s="329" t="str">
        <f aca="false">IF($A186="N/A"," ",(IF(MONTH(A186)&gt;=4,IF(MONTH(A186)&lt;=10,Inputs!$F$13-Inputs!$G$13,Inputs!$F$14-Inputs!$G$14),Inputs!$F$14-Inputs!$G$14))*$CK186*Availability)</f>
        <v> </v>
      </c>
      <c r="BN186" s="330" t="str">
        <f aca="false">IF($A186="N/A"," ",(IF(AS186&gt;0,($BM186*(8*($HD186))*R186),0)+IF(BC186&gt;0,($BM186*((BC186/AA186)*8*$HD186)*R186),0)))</f>
        <v> </v>
      </c>
      <c r="BO186" s="330" t="str">
        <f aca="false">IF($A186="N/A"," ",(IF(AT186&gt;0,($BM186*(8*($HD186))*S186),0)+IF(BD186&gt;0,($BM186*((BD186/AB186)*8*$HD186)*S186),0)))</f>
        <v> </v>
      </c>
      <c r="BP186" s="330" t="str">
        <f aca="false">IF($A186="N/A"," ",(IF(AU186&gt;0,($BM186*(8*($HD186))*T186),0)+IF(BE186&gt;0,($BM186*((BE186))*T186),0)))</f>
        <v> </v>
      </c>
      <c r="BQ186" s="330" t="str">
        <f aca="false">IF($A186="N/A"," ",(IF(AV186&gt;0,($BM186*(8*($HE186))*U186),0)+IF(BF186&gt;0,($BM186*((BF186/AD186)*8*$HE186)*U186),0)))</f>
        <v> </v>
      </c>
      <c r="BR186" s="330" t="str">
        <f aca="false">IF($A186="N/A"," ",(IF(AW186&gt;0,($BM186*(8*($HE186))*V186),0)+IF(BG186&gt;0,($BM186*((BG186/AE186)*8*$HE186)*V186),0)))</f>
        <v> </v>
      </c>
      <c r="BS186" s="330" t="str">
        <f aca="false">IF($A186="N/A"," ",(IF(AX186&gt;0,($BM186*(8*($HE186))*W186),0)+IF(BH186&gt;0,($BM186*((BH186))*W186),0)))</f>
        <v> </v>
      </c>
      <c r="BT186" s="330" t="str">
        <f aca="false">IF($A186="N/A"," ",(IF(AY186&gt;0,($BM186*(8*($HF186))*X186),0)+IF(BI186&gt;0,($BM186*((BI186/AG186)*8*$HF186)*X186),0)))</f>
        <v> </v>
      </c>
      <c r="BU186" s="330" t="str">
        <f aca="false">IF($A186="N/A"," ",(IF(AZ186&gt;0,($BM186*(8*($HF186))*Y186),0)+IF(BJ186&gt;0,($BM186*((BJ186/AH186)*8*$HF186)*Y186),0)))</f>
        <v> </v>
      </c>
      <c r="BV186" s="330" t="str">
        <f aca="false">IF($A186="N/A"," ",(IF(BA186&gt;0,($BM186*(8*($HF186))*Z186),0)+IF(BK186&gt;0,($BM186*((BK186))*Z186),0)))</f>
        <v> </v>
      </c>
      <c r="BW186" s="330" t="str">
        <f aca="false">IF($A186="N/A"," ",SUM(BN186:BV186))</f>
        <v> </v>
      </c>
      <c r="BX186" s="331" t="str">
        <f aca="false">IF($A186="N/A"," ",(H186*(SUM(AS186:BA186)+SUM(BC186:BK186))*BM186))</f>
        <v> </v>
      </c>
      <c r="BY186" s="332" t="str">
        <f aca="false">IF($A186="N/A"," ",((C186*D186)*(SUM($AS186:$BA186)+SUM($BC186:$BK186))*$BM186))</f>
        <v> </v>
      </c>
      <c r="BZ186" s="332" t="str">
        <f aca="false">IF($A186="N/A"," ",(F186*(SUM($AS186:$BA186)+SUM($BC186:$BK186))*$BM186))</f>
        <v> </v>
      </c>
      <c r="CA186" s="333" t="str">
        <f aca="false">IF($A186="N/A"," ",(G186*(SUM($AS186:$BA186)+SUM($BC186:$BK186))*$BM186))</f>
        <v> </v>
      </c>
      <c r="CB186" s="334" t="str">
        <f aca="false">IF(A186="N/A"," ",(VLOOKUP(A186,PowerVolTable,(IF(BMO=2,7,IF(BMO=1,6,8))),FALSE())))</f>
        <v> </v>
      </c>
      <c r="CC186" s="334" t="str">
        <f aca="false">IF(A186="N/A"," ",(VLOOKUP(A186,IntraPowerVol,(IF(BMO=2,3,IF(BMO=1,2,4))),FALSE())*VLOOKUP(MONTH($A186),Volscale,2)))</f>
        <v> </v>
      </c>
      <c r="CD186" s="335" t="str">
        <f aca="false">IF($A186="N/A"," ",(IF(DateToday&gt;$A186,$CC186,((($CB186^2)*((($A186-1)-DateToday)/((EOMONTH($A186,0)+1)-DateToday-15)))+((($CC186)^2)*((15)/((EOMONTH($A186,0)+1)-DateToday-15))))^0.5)))</f>
        <v> </v>
      </c>
      <c r="CE186" s="334" t="str">
        <f aca="false">IF($A186="N/A"," ",(VLOOKUP($A186,GasVolTable,(IF(BMO=2,6,IF(BMO=1,7,5))),FALSE())))</f>
        <v> </v>
      </c>
      <c r="CF186" s="334" t="str">
        <f aca="false">IF($A186="N/A"," ",(VLOOKUP($A186,OmicronVol,(IF(BMO=2,3,IF(BMO=1,4,2))),FALSE())))</f>
        <v> </v>
      </c>
      <c r="CG186" s="335" t="str">
        <f aca="false">IF($A186="N/A"," ",(IF(DateToday&gt;$A186,$CF186,((($CE186^2)*((($A186-1)-DateToday)/((EOMONTH($A186,0)+1)-DateToday-15)))+((($CF186)^2)*((15)/((EOMONTH($A186,0)+1)-DateToday-15))))^0.5)))</f>
        <v> </v>
      </c>
      <c r="CH186" s="334" t="str">
        <f aca="false">IF($A186="N/A"," ",VLOOKUP($A186,CorrelationTable,2,FALSE()))</f>
        <v> </v>
      </c>
      <c r="CI186" s="336" t="str">
        <f aca="false">IF($A186="N/A"," ",F186+G186+(D186*('Pricing Inputs'!T219)))</f>
        <v> </v>
      </c>
      <c r="CJ186" s="334" t="str">
        <f aca="false">IF($A186="N/A"," ",IF(PV=1,0,'Pricing Inputs'!U219))</f>
        <v> </v>
      </c>
      <c r="CK186" s="337" t="str">
        <f aca="false">IF($A186="N/A"," ",(1+CJ186/2)^(-2*((EOMONTH(A186,0)+20)-DateToday)/365.25))</f>
        <v> </v>
      </c>
      <c r="CL186" s="338" t="str">
        <f aca="false">IF(A186="N/A"," ",IF(CC=2,(VLOOKUP(MONTH($A186),Hrtable,3))/1000,0))</f>
        <v> </v>
      </c>
      <c r="CM186" s="339" t="str">
        <f aca="false">IF(A186="N/A"," ",IF(CC=2,(CL186*C186)+F186,0))</f>
        <v> </v>
      </c>
      <c r="CN186" s="340" t="str">
        <f aca="false">IF($A186="N/A"," ",IF(CC=2,(VLOOKUP(A186,ScaledPrice,(IF(AND(Dayrun&gt;=1,Dayrun&lt;=6),2,4)))-((IF(R186&lt;&gt;0,$D186,$CL186)*$C186)+$F186+$G186)),0))</f>
        <v> </v>
      </c>
      <c r="CO186" s="340" t="str">
        <f aca="false">IF($A186="N/A"," ",IF(CC=2,(IF(AND(Dayrun&gt;=1,Dayrun&lt;=6),I186,(VLOOKUP(A186,ScaledPrice,2))*(2-(VLOOKUP(A186,ScaledPrice,3))))-((IF(S186&lt;&gt;0,$D186,$CL186)*$C186)+$F186+$G186)),0))</f>
        <v> </v>
      </c>
      <c r="CP186" s="340" t="str">
        <f aca="false">IF(A186="N/A"," ",IF(CC=2,(VLOOKUP(A186,ScaledPrice,9)-((IF(T186&lt;&gt;0,$D186,$CL186)*$C186)+$F186+$G186)),0))</f>
        <v> </v>
      </c>
      <c r="CQ186" s="340" t="str">
        <f aca="false">IF(A186="N/A"," ",IF(CC=2,(IF(OR(Dayrun=2,Dayrun=3,Dayrun=5,Dayrun=6,Dayrun=8,Dayrun=9),VLOOKUP(A186,ScaledPrice,IF(AND(Dayrun&gt;=2,Dayrun&lt;=6),5,6)),0)-((IF(U186&lt;&gt;0,$D186,$CL186)*$C186)+$F186+$G186)),0))</f>
        <v> </v>
      </c>
      <c r="CR186" s="340" t="str">
        <f aca="false">IF(A186="N/A"," ",IF(CC=2,(IF(OR(Dayrun=2,Dayrun=3,Dayrun=5,Dayrun=6,Dayrun=8,Dayrun=9),IF(AND(Dayrun&gt;=2,Dayrun&lt;=6),L186,(VLOOKUP(A186,ScaledPrice,5))*(2-(VLOOKUP(A186,ScaledPrice,3)))),0)-((IF(V186&lt;&gt;0,$D186,$CL186)*$C186)+$F186+$G186)),0))</f>
        <v> </v>
      </c>
      <c r="CS186" s="340" t="str">
        <f aca="false">IF(A186="N/A"," ",IF(CC=2,(VLOOKUP(A186,ScaledPrice,9)-((IF(W186&lt;&gt;0,$D186,$CL186)*$C186)+$F186+$G186)),0))</f>
        <v> </v>
      </c>
      <c r="CT186" s="340" t="str">
        <f aca="false">IF(A186="N/A"," ",IF(CC=2,(IF(OR(Dayrun=3,Dayrun=6,Dayrun=9),(VLOOKUP(A186,ScaledPrice,IF(AND(Dayrun&gt;=3,Dayrun&lt;=6),7,8))),0)-((IF(X186&lt;&gt;0,$D186,$CL186)*$C186)+$F186+$G186)),0))</f>
        <v> </v>
      </c>
      <c r="CU186" s="340" t="str">
        <f aca="false">IF(A186="N/A"," ",IF(CC=2,(IF(OR(Dayrun=3,Dayrun=6,Dayrun=9),IF(AND(Dayrun&gt;=3,Dayrun&lt;=6),O186,(VLOOKUP(A186,ScaledPrice,7))*(2-(VLOOKUP(A186,ScaledPrice,3)))),0)-((IF(Y186&lt;&gt;0,$D186,$CL186)*$C186)+$F186+$G186)),0))</f>
        <v> </v>
      </c>
      <c r="CV186" s="340" t="str">
        <f aca="false">IF(A186="N/A"," ",IF(CC=2,(VLOOKUP(A186,ScaledPrice,9)-((IF(Z186&lt;&gt;0,$D186,$CL186)*$C186)+$F186+$G186)),0))</f>
        <v> </v>
      </c>
      <c r="CW186" s="318" t="str">
        <f aca="false">IF($A186="N/A"," ",IF(0&lt;&gt;CN186,IF(CC=2,8*$HD186,0),0))</f>
        <v> </v>
      </c>
      <c r="CX186" s="318" t="str">
        <f aca="false">IF($A186="N/A"," ",IF(0&lt;&gt;CO186,IF(CC=2,8*$HD186,0),0))</f>
        <v> </v>
      </c>
      <c r="CY186" s="318" t="str">
        <f aca="false">IF($A186="N/A"," ",IF(0&lt;&gt;CP186,IF(CC=2,8*$HD186,0),0))</f>
        <v> </v>
      </c>
      <c r="CZ186" s="318" t="str">
        <f aca="false">IF($A186="N/A"," ",IF(0&lt;&gt;CQ186,IF(CC=2,8*$HE186,0),0))</f>
        <v> </v>
      </c>
      <c r="DA186" s="318" t="str">
        <f aca="false">IF($A186="N/A"," ",IF(0&lt;&gt;CR186,IF(CC=2,8*$HE186,0),0))</f>
        <v> </v>
      </c>
      <c r="DB186" s="318" t="str">
        <f aca="false">IF($A186="N/A"," ",IF(0&lt;&gt;CS186,IF(CC=2,8*$HE186,0),0))</f>
        <v> </v>
      </c>
      <c r="DC186" s="318" t="str">
        <f aca="false">IF($A186="N/A"," ",IF(0&lt;&gt;CT186,IF(CC=2,8*$HF186,0),0))</f>
        <v> </v>
      </c>
      <c r="DD186" s="318" t="str">
        <f aca="false">IF($A186="N/A"," ",IF(0&lt;&gt;CU186,IF(CC=2,8*$HF186,0),0))</f>
        <v> </v>
      </c>
      <c r="DE186" s="318" t="str">
        <f aca="false">IF($A186="N/A"," ",IF(0&lt;&gt;CV186,IF(CC=2,8*$HF186,0),0))</f>
        <v> </v>
      </c>
      <c r="DF186" s="341" t="str">
        <f aca="false">IF($A186="N/A"," ",IF(CC=2,(IF(MONTH(A186)&gt;=4,IF(MONTH(A186)&lt;=10,Inputs!$G$13,Inputs!$G$14),Inputs!$G$14))*$CK186,0))</f>
        <v> </v>
      </c>
      <c r="DG186" s="342" t="str">
        <f aca="false">IF($A186="N/A"," ",IF(CC=2,$DF186*CW186*CN186,0))</f>
        <v> </v>
      </c>
      <c r="DH186" s="342" t="str">
        <f aca="false">IF($A186="N/A"," ",IF(CC=2,$DF186*CX186*CO186,0))</f>
        <v> </v>
      </c>
      <c r="DI186" s="342" t="str">
        <f aca="false">IF($A186="N/A"," ",IF(CC=2,$DF186*CY186*CP186,0))</f>
        <v> </v>
      </c>
      <c r="DJ186" s="342" t="str">
        <f aca="false">IF($A186="N/A"," ",IF(CC=2,$DF186*CZ186*CQ186,0))</f>
        <v> </v>
      </c>
      <c r="DK186" s="342" t="str">
        <f aca="false">IF($A186="N/A"," ",IF(CC=2,$DF186*DA186*CR186,0))</f>
        <v> </v>
      </c>
      <c r="DL186" s="342" t="str">
        <f aca="false">IF($A186="N/A"," ",IF(CC=2,$DF186*DB186*CS186,0))</f>
        <v> </v>
      </c>
      <c r="DM186" s="342" t="str">
        <f aca="false">IF($A186="N/A"," ",IF(CC=2,$DF186*DC186*CT186,0))</f>
        <v> </v>
      </c>
      <c r="DN186" s="342" t="str">
        <f aca="false">IF($A186="N/A"," ",IF(CC=2,$DF186*DD186*CU186,0))</f>
        <v> </v>
      </c>
      <c r="DO186" s="342" t="str">
        <f aca="false">IF($A186="N/A"," ",IF(CC=2,$DF186*DE186*CV186,0))</f>
        <v> </v>
      </c>
      <c r="DP186" s="343" t="str">
        <f aca="false">IF($A186="N/A"," ",IF(CC=2,SUM(DG186:DO186),0))</f>
        <v> </v>
      </c>
      <c r="DQ186" s="0" t="str">
        <f aca="false">IF(A186="N/A"," ",Perstart)</f>
        <v> </v>
      </c>
      <c r="HD186" s="0" t="str">
        <f aca="false">IF($A186="N/A"," ",VLOOKUP($A186,NumberofDaysTable,2))</f>
        <v> </v>
      </c>
      <c r="HE186" s="0" t="str">
        <f aca="false">IF($A186="N/A"," ",VLOOKUP($A186,NumberofDaysTable,3))</f>
        <v> </v>
      </c>
      <c r="HF186" s="0" t="str">
        <f aca="false">IF($A186="N/A"," ",VLOOKUP($A186,NumberofDaysTable,4))</f>
        <v> </v>
      </c>
    </row>
    <row r="187" customFormat="false" ht="12.75" hidden="false" customHeight="false" outlineLevel="0" collapsed="false">
      <c r="A187" s="308" t="str">
        <f aca="false">IF(A186="N/A","N/A",IF(EDATE(A186,1)&gt;Inputs!$K$3,"N/A",EDATE(A186,1)))</f>
        <v>N/A</v>
      </c>
      <c r="B187" s="309" t="str">
        <f aca="false">IF(A187="N/A"," ",YEAR(A187))</f>
        <v> </v>
      </c>
      <c r="C187" s="310" t="str">
        <f aca="false">IF(A187="N/A"," ",VLOOKUP(A187,ScaledPrice,10))</f>
        <v> </v>
      </c>
      <c r="D187" s="311" t="str">
        <f aca="false">IF(A187="N/A"," ",(VLOOKUP(MONTH($A187),Hrtable,2))/1000)</f>
        <v> </v>
      </c>
      <c r="E187" s="312" t="str">
        <f aca="false">IF($A187="N/A"," ",(C187-'Pricing Inputs'!T220)*D187)</f>
        <v> </v>
      </c>
      <c r="F187" s="313" t="str">
        <f aca="false">IF(A187="N/A"," ",$F175*(1+VOMesc))</f>
        <v> </v>
      </c>
      <c r="G187" s="313" t="str">
        <f aca="false">IF(A187="N/A"," ",Perstart/IF(AND(Dayrun&gt;=4,Dayrun&lt;=6),16,IF(AND(Dayrun&gt;=7,Dayrun&lt;=9),8,24))/(BM187/CK187))</f>
        <v> </v>
      </c>
      <c r="H187" s="314" t="str">
        <f aca="false">IF(A187="N/A"," ",(C187*D187)+F187+G187)</f>
        <v> </v>
      </c>
      <c r="I187" s="315" t="str">
        <f aca="false">VLOOKUP(A187,ScaledPrice,(IF(AND(Dayrun&gt;=1,Dayrun&lt;=6),2,4)))</f>
        <v> </v>
      </c>
      <c r="J187" s="315" t="str">
        <f aca="false">IF(A187="N/A"," ",IF(AND(Dayrun&gt;=1,Dayrun&lt;=6),I187,(VLOOKUP(A187,ScaledPrice,2))*(2-(VLOOKUP(A187,ScaledPrice,3)))))</f>
        <v> </v>
      </c>
      <c r="K187" s="315" t="str">
        <f aca="false">IF(A187="N/A"," ",IF(AND(Dayrun&gt;=1,Dayrun&lt;=3),VLOOKUP(A187,ScaledPrice,9),0))</f>
        <v> </v>
      </c>
      <c r="L187" s="315" t="str">
        <f aca="false">IF(A187="N/A"," ",IF(OR(Dayrun=2,Dayrun=3,Dayrun=5,Dayrun=6,Dayrun=8,Dayrun=9),VLOOKUP(A187,ScaledPrice,IF(AND(Dayrun&gt;=2,Dayrun&lt;=6),5,6)),0))</f>
        <v> </v>
      </c>
      <c r="M187" s="315" t="str">
        <f aca="false">IF(A187="N/A"," ",IF(OR(Dayrun=2,Dayrun=3,Dayrun=5,Dayrun=6,Dayrun=8,Dayrun=9),IF(AND(Dayrun&gt;=2,Dayrun&lt;=6),L187,(VLOOKUP(A187,ScaledPrice,5))*(2-(VLOOKUP(A187,ScaledPrice,3)))),0))</f>
        <v> </v>
      </c>
      <c r="N187" s="315" t="str">
        <f aca="false">IF(A187="N/A"," ",IF(AND(Dayrun&gt;1,Dayrun&lt;=3),VLOOKUP(A187,ScaledPrice,9),0))</f>
        <v> </v>
      </c>
      <c r="O187" s="315" t="str">
        <f aca="false">IF(A187="N/A"," ",IF(OR(Dayrun=3,Dayrun=6,Dayrun=9),(VLOOKUP(A187,ScaledPrice,IF(AND(Dayrun&gt;=3,Dayrun&lt;=6),7,8))),0))</f>
        <v> </v>
      </c>
      <c r="P187" s="315" t="str">
        <f aca="false">IF(A187="N/A"," ",IF(OR(Dayrun=3,Dayrun=6,Dayrun=9),IF(AND(Dayrun&gt;=3,Dayrun&lt;=6),O187,(VLOOKUP(A187,ScaledPrice,7))*(2-(VLOOKUP(A187,ScaledPrice,3)))),0))</f>
        <v> </v>
      </c>
      <c r="Q187" s="315" t="str">
        <f aca="false">IF(A187="N/A"," ",IF(AND(Dayrun&gt;2,Dayrun&lt;=3),VLOOKUP(A187,ScaledPrice,9),0))</f>
        <v> </v>
      </c>
      <c r="R187" s="316" t="str">
        <f aca="false">IF($A187="N/A"," ",IF(Pricetype=2,MAX(I187-$H187,0),IF(Pricetype=1,(xSPRDOPT(I187,$E187,$CI187,0,($CD187+IF(Smile=TRUE(),VLOOKUP(MAX(-5,$H187-I187),Volsmile,2),0)),$CG187,$CH187,($A187-DateToday)+15,1,0)),I187-$H187)))</f>
        <v> </v>
      </c>
      <c r="S187" s="316" t="str">
        <f aca="false">IF($A187="N/A"," ",IF(Pricetype=2,MAX(J187-$H187,0),IF(Pricetype=1,(xSPRDOPT(J187,$E187,$CI187,0,($CD187+IF(Smile=TRUE(),VLOOKUP(MAX(-5,$H187-J187),Volsmile,2),0)),$CG187,$CH187,($A187-DateToday)+15,1,0)),J187-$H187)))</f>
        <v> </v>
      </c>
      <c r="T187" s="317" t="str">
        <f aca="false">IF($A187="N/A"," ",(IF(Pricetype=2,IF((K187-$H187)&lt;=0,0,(K187-$H187)),IF(K187&lt;&gt;0,(K187-$H187),0))))</f>
        <v> </v>
      </c>
      <c r="U187" s="316" t="str">
        <f aca="false">IF($A187="N/A"," ",IF(Pricetype=2,MAX(L187-$H187,0),IF(L187&lt;&gt;0,IF(Pricetype=1,(xSPRDOPT(L187,$E187,$CI187,0,($CD187+IF(Smile=TRUE(),VLOOKUP(MAX(-5,$H187-L187),Volsmile,2),0)),$CG187,$CH187,($A187-DateToday)+15,1,0)),L187-$H187),0)))</f>
        <v> </v>
      </c>
      <c r="V187" s="316" t="str">
        <f aca="false">IF($A187="N/A"," ",IF(Pricetype=2,MAX(M187-$H187,0),IF(M187&lt;&gt;0,IF(Pricetype=1,(xSPRDOPT(M187,$E187,$CI187,0,($CD187+IF(Smile=TRUE(),VLOOKUP(MAX(-5,$H187-M187),Volsmile,2),0)),$CG187,$CH187,($A187-DateToday)+15,1,0)),M187-$H187),0)))</f>
        <v> </v>
      </c>
      <c r="W187" s="317" t="str">
        <f aca="false">IF($A187="N/A"," ",(IF(Pricetype=2,IF((N187-$H187)&lt;=0,0,(N187-$H187)),IF(N187&lt;&gt;0,(N187-$H187),0))))</f>
        <v> </v>
      </c>
      <c r="X187" s="316" t="str">
        <f aca="false">IF($A187="N/A"," ",IF(Pricetype=2,MAX(O187-$H187,0),IF(O187&lt;&gt;0,IF(Pricetype=1,(xSPRDOPT(O187,$E187,$CI187,0,($CD187+IF(Smile=TRUE(),VLOOKUP(MAX(-5,$H187-O187),Volsmile,2),0)),$CG187,$CH187,($A187-DateToday)+15,1,0)),O187-$H187),0)))</f>
        <v> </v>
      </c>
      <c r="Y187" s="316" t="str">
        <f aca="false">IF($A187="N/A"," ",IF(Pricetype=2,MAX(P187-$H187,0),IF(P187&lt;&gt;0,IF(Pricetype=1,(xSPRDOPT(P187,$E187,$CI187,0,($CD187+IF(Smile=TRUE(),VLOOKUP(MAX(-5,$H187-P187),Volsmile,2),0)),$CG187,$CH187,($A187-DateToday)+15,1,0)),P187-$H187),0)))</f>
        <v> </v>
      </c>
      <c r="Z187" s="317" t="str">
        <f aca="false">IF($A187="N/A"," ",(IF(Pricetype=2,IF((Q187-$H187)&lt;=0,0,(Q187-$H187)),IF(Q187&lt;&gt;0,(Q187-$H187),0))))</f>
        <v> </v>
      </c>
      <c r="AA187" s="318" t="str">
        <f aca="false">IF($A187="N/A"," ",IF(VLOOKUP(MONTH(A187),ManualTable,2)=1,(IF(0&lt;&gt;R187,IF(Pricetype=1,(xSPRDOPT(I187,$E187,$CI187,0,($CD187+IF(Smile=TRUE(),VLOOKUP(MAX(-5,$H187-I187),Volsmile,2),0)),$CG187,$CH187,($A187-DateToday)+15,1,1))*(8*$HD187),8*$HD187),0)),0))</f>
        <v> </v>
      </c>
      <c r="AB187" s="318" t="str">
        <f aca="false">IF($A187="N/A"," ",IF(VLOOKUP(MONTH(A187),ManualTable,3)=1,(IF(S187&lt;&gt;0,IF(Pricetype=1,(xSPRDOPT(J187,$E187,$CI187,0,($CD187+IF(Smile=TRUE(),VLOOKUP(MAX(-5,$H187-J187),Volsmile,2),0)),$CG187,$CH187,($A187-DateToday)+15,1,1))*(8*$HD187),8*$HD187),0)),0))</f>
        <v> </v>
      </c>
      <c r="AC187" s="318" t="str">
        <f aca="false">IF($A187="N/A"," ",IF(VLOOKUP(MONTH(A187),ManualTable,4)=1,(IF(T187&lt;&gt;0,(8*$HD187),0)),0))</f>
        <v> </v>
      </c>
      <c r="AD187" s="318" t="str">
        <f aca="false">IF($A187="N/A"," ",IF(VLOOKUP(MONTH(A187),ManualTable,5)=1,(IF(U187&lt;&gt;0,IF(Pricetype=1,(xSPRDOPT(L187,$E187,$CI187,0,($CD187+IF(Smile=TRUE(),VLOOKUP(MAX(-5,$H187-L187),Volsmile,2),0)),$CG187,$CH187,($A187-DateToday)+15,1,1))*(8*$HE187),8*$HE187),0)),0))</f>
        <v> </v>
      </c>
      <c r="AE187" s="318" t="str">
        <f aca="false">IF($A187="N/A"," ",IF(VLOOKUP(MONTH(A187),ManualTable,6)=1,(IF(V187&lt;&gt;0,IF(Pricetype=1,(xSPRDOPT(M187,$E187,$CI187,0,($CD187+IF(Smile=TRUE(),VLOOKUP(MAX(-5,$H187-M187),Volsmile,2),0)),$CG187,$CH187,($A187-DateToday)+15,1,1))*(8*$HE187),8*$HE187),0)),0))</f>
        <v> </v>
      </c>
      <c r="AF187" s="318" t="str">
        <f aca="false">IF($A187="N/A"," ",IF(VLOOKUP(MONTH(A187),ManualTable,7)=1,(IF(W187&lt;&gt;0,(8*$HE187),0)),0))</f>
        <v> </v>
      </c>
      <c r="AG187" s="318" t="str">
        <f aca="false">IF($A187="N/A"," ",IF(VLOOKUP(MONTH(A187),ManualTable,8)=1,(IF(X187&lt;&gt;0,IF(Pricetype=1,(xSPRDOPT(O187,$E187,$CI187,0,($CD187+IF(Smile=TRUE(),VLOOKUP(MAX(-5,$H187-O187),Volsmile,2),0)),$CG187,$CH187,($A187-DateToday)+15,1,1))*(8*$HF187),8*$HF187),0)),0))</f>
        <v> </v>
      </c>
      <c r="AH187" s="318" t="str">
        <f aca="false">IF($A187="N/A"," ",IF(VLOOKUP(MONTH(A187),ManualTable,9)=1,(IF(Y187&lt;&gt;0,IF(Pricetype=1,(xSPRDOPT(P187,$E187,$CI187,0,($CD187+IF(Smile=TRUE(),VLOOKUP(MAX(-5,$H187-P187),Volsmile,2),0)),$CG187,$CH187,($A187-DateToday)+15,1,1))*(8*$HF187),8*$HF187),0)),0))</f>
        <v> </v>
      </c>
      <c r="AI187" s="318" t="str">
        <f aca="false">IF($A187="N/A"," ",IF(VLOOKUP(MONTH(A187),ManualTable,10)=1,(IF(Z187&lt;&gt;0,(8*($HF187)),0)),0))</f>
        <v> </v>
      </c>
      <c r="AJ187" s="344" t="str">
        <f aca="false">IF($A187="N/A"," ",RANK(R187,$R$184:$Z$195))</f>
        <v> </v>
      </c>
      <c r="AK187" s="321" t="str">
        <f aca="false">IF($A187="N/A"," ",RANK(S187,$R$184:$Z$195))</f>
        <v> </v>
      </c>
      <c r="AL187" s="321" t="str">
        <f aca="false">IF($A187="N/A"," ",RANK(T187,$R$184:$Z$195))</f>
        <v> </v>
      </c>
      <c r="AM187" s="321" t="str">
        <f aca="false">IF($A187="N/A"," ",RANK(U187,$R$184:$Z$195))</f>
        <v> </v>
      </c>
      <c r="AN187" s="321" t="str">
        <f aca="false">IF($A187="N/A"," ",RANK(V187,$R$184:$Z$195))</f>
        <v> </v>
      </c>
      <c r="AO187" s="321" t="str">
        <f aca="false">IF($A187="N/A"," ",RANK(W187,$R$184:$Z$195))</f>
        <v> </v>
      </c>
      <c r="AP187" s="321" t="str">
        <f aca="false">IF($A187="N/A"," ",RANK(X187,$R$184:$Z$195))</f>
        <v> </v>
      </c>
      <c r="AQ187" s="321" t="str">
        <f aca="false">IF($A187="N/A"," ",RANK(Y187,$R$184:$Z$195))</f>
        <v> </v>
      </c>
      <c r="AR187" s="345" t="str">
        <f aca="false">IF($A187="N/A"," ",RANK(Z187,$R$184:$Z$195))</f>
        <v> </v>
      </c>
      <c r="AS187" s="323" t="str">
        <f aca="false">IF($A187="N/A"," ",IF(AJ187&lt;=$AR$2,AA187,0))</f>
        <v> </v>
      </c>
      <c r="AT187" s="325" t="str">
        <f aca="false">IF($A187="N/A"," ",IF(AK187&lt;=$AR$2,AB187,0))</f>
        <v> </v>
      </c>
      <c r="AU187" s="325" t="str">
        <f aca="false">IF($A187="N/A"," ",IF(AL187&lt;=$AR$2,AC187,0))</f>
        <v> </v>
      </c>
      <c r="AV187" s="325" t="str">
        <f aca="false">IF($A187="N/A"," ",IF(AM187&lt;=$AR$2,AD187,0))</f>
        <v> </v>
      </c>
      <c r="AW187" s="325" t="str">
        <f aca="false">IF($A187="N/A"," ",IF(AN187&lt;=$AR$2,AE187,0))</f>
        <v> </v>
      </c>
      <c r="AX187" s="325" t="str">
        <f aca="false">IF($A187="N/A"," ",IF(AO187&lt;=$AR$2,AF187,0))</f>
        <v> </v>
      </c>
      <c r="AY187" s="325" t="str">
        <f aca="false">IF($A187="N/A"," ",IF(AP187&lt;=$AR$2,AG187,0))</f>
        <v> </v>
      </c>
      <c r="AZ187" s="325" t="str">
        <f aca="false">IF($A187="N/A"," ",IF(AQ187&lt;=$AR$2,AH187,0))</f>
        <v> </v>
      </c>
      <c r="BA187" s="325" t="str">
        <f aca="false">IF($A187="N/A"," ",IF(AR187&lt;=$AR$2,AI187,0))</f>
        <v> </v>
      </c>
      <c r="BB187" s="345"/>
      <c r="BC187" s="326" t="str">
        <f aca="false">IF($A187="N/A"," ",IF(AND(AJ187=$AR$2+1,AS187=0),MIN($BB$195,AA187),0))</f>
        <v> </v>
      </c>
      <c r="BD187" s="346" t="str">
        <f aca="false">IF($A187="N/A"," ",IF(AND(AK187=$AR$2+1,AT187=0),MIN($BB$195,AB187),0))</f>
        <v> </v>
      </c>
      <c r="BE187" s="346" t="str">
        <f aca="false">IF($A187="N/A"," ",IF(AND(AL187=$AR$2+1,AU187=0),MIN($BB$195,AC187),0))</f>
        <v> </v>
      </c>
      <c r="BF187" s="346" t="str">
        <f aca="false">IF($A187="N/A"," ",IF(AND(AM187=$AR$2+1,AV187=0),MIN($BB$195,AD187),0))</f>
        <v> </v>
      </c>
      <c r="BG187" s="346" t="str">
        <f aca="false">IF($A187="N/A"," ",IF(AND(AN187=$AR$2+1,AW187=0),MIN($BB$195,AE187),0))</f>
        <v> </v>
      </c>
      <c r="BH187" s="346" t="str">
        <f aca="false">IF($A187="N/A"," ",IF(AND(AO187=$AR$2+1,AX187=0),MIN($BB$195,AF187),0))</f>
        <v> </v>
      </c>
      <c r="BI187" s="346" t="str">
        <f aca="false">IF($A187="N/A"," ",IF(AND(AP187=$AR$2+1,AY187=0),MIN($BB$195,AG187),0))</f>
        <v> </v>
      </c>
      <c r="BJ187" s="346" t="str">
        <f aca="false">IF($A187="N/A"," ",IF(AND(AQ187=$AR$2+1,AZ187=0),MIN($BB$195,AH187),0))</f>
        <v> </v>
      </c>
      <c r="BK187" s="346" t="str">
        <f aca="false">IF($A187="N/A"," ",IF(AND(AR187=$AR$2+1,BA187=0),MIN($BB$195,AI187),0))</f>
        <v> </v>
      </c>
      <c r="BL187" s="345"/>
      <c r="BM187" s="329" t="str">
        <f aca="false">IF($A187="N/A"," ",(IF(MONTH(A187)&gt;=4,IF(MONTH(A187)&lt;=10,Inputs!$F$13-Inputs!$G$13,Inputs!$F$14-Inputs!$G$14),Inputs!$F$14-Inputs!$G$14))*$CK187*Availability)</f>
        <v> </v>
      </c>
      <c r="BN187" s="330" t="str">
        <f aca="false">IF($A187="N/A"," ",(IF(AS187&gt;0,($BM187*(8*($HD187))*R187),0)+IF(BC187&gt;0,($BM187*((BC187/AA187)*8*$HD187)*R187),0)))</f>
        <v> </v>
      </c>
      <c r="BO187" s="330" t="str">
        <f aca="false">IF($A187="N/A"," ",(IF(AT187&gt;0,($BM187*(8*($HD187))*S187),0)+IF(BD187&gt;0,($BM187*((BD187/AB187)*8*$HD187)*S187),0)))</f>
        <v> </v>
      </c>
      <c r="BP187" s="330" t="str">
        <f aca="false">IF($A187="N/A"," ",(IF(AU187&gt;0,($BM187*(8*($HD187))*T187),0)+IF(BE187&gt;0,($BM187*((BE187))*T187),0)))</f>
        <v> </v>
      </c>
      <c r="BQ187" s="330" t="str">
        <f aca="false">IF($A187="N/A"," ",(IF(AV187&gt;0,($BM187*(8*($HE187))*U187),0)+IF(BF187&gt;0,($BM187*((BF187/AD187)*8*$HE187)*U187),0)))</f>
        <v> </v>
      </c>
      <c r="BR187" s="330" t="str">
        <f aca="false">IF($A187="N/A"," ",(IF(AW187&gt;0,($BM187*(8*($HE187))*V187),0)+IF(BG187&gt;0,($BM187*((BG187/AE187)*8*$HE187)*V187),0)))</f>
        <v> </v>
      </c>
      <c r="BS187" s="330" t="str">
        <f aca="false">IF($A187="N/A"," ",(IF(AX187&gt;0,($BM187*(8*($HE187))*W187),0)+IF(BH187&gt;0,($BM187*((BH187))*W187),0)))</f>
        <v> </v>
      </c>
      <c r="BT187" s="330" t="str">
        <f aca="false">IF($A187="N/A"," ",(IF(AY187&gt;0,($BM187*(8*($HF187))*X187),0)+IF(BI187&gt;0,($BM187*((BI187/AG187)*8*$HF187)*X187),0)))</f>
        <v> </v>
      </c>
      <c r="BU187" s="330" t="str">
        <f aca="false">IF($A187="N/A"," ",(IF(AZ187&gt;0,($BM187*(8*($HF187))*Y187),0)+IF(BJ187&gt;0,($BM187*((BJ187/AH187)*8*$HF187)*Y187),0)))</f>
        <v> </v>
      </c>
      <c r="BV187" s="330" t="str">
        <f aca="false">IF($A187="N/A"," ",(IF(BA187&gt;0,($BM187*(8*($HF187))*Z187),0)+IF(BK187&gt;0,($BM187*((BK187))*Z187),0)))</f>
        <v> </v>
      </c>
      <c r="BW187" s="330" t="str">
        <f aca="false">IF($A187="N/A"," ",SUM(BN187:BV187))</f>
        <v> </v>
      </c>
      <c r="BX187" s="331" t="str">
        <f aca="false">IF($A187="N/A"," ",(H187*(SUM(AS187:BA187)+SUM(BC187:BK187))*BM187))</f>
        <v> </v>
      </c>
      <c r="BY187" s="332" t="str">
        <f aca="false">IF($A187="N/A"," ",((C187*D187)*(SUM($AS187:$BA187)+SUM($BC187:$BK187))*$BM187))</f>
        <v> </v>
      </c>
      <c r="BZ187" s="332" t="str">
        <f aca="false">IF($A187="N/A"," ",(F187*(SUM($AS187:$BA187)+SUM($BC187:$BK187))*$BM187))</f>
        <v> </v>
      </c>
      <c r="CA187" s="333" t="str">
        <f aca="false">IF($A187="N/A"," ",(G187*(SUM($AS187:$BA187)+SUM($BC187:$BK187))*$BM187))</f>
        <v> </v>
      </c>
      <c r="CB187" s="334" t="str">
        <f aca="false">IF(A187="N/A"," ",(VLOOKUP(A187,PowerVolTable,(IF(BMO=2,7,IF(BMO=1,6,8))),FALSE())))</f>
        <v> </v>
      </c>
      <c r="CC187" s="334" t="str">
        <f aca="false">IF(A187="N/A"," ",(VLOOKUP(A187,IntraPowerVol,(IF(BMO=2,3,IF(BMO=1,2,4))),FALSE())*VLOOKUP(MONTH($A187),Volscale,2)))</f>
        <v> </v>
      </c>
      <c r="CD187" s="335" t="str">
        <f aca="false">IF($A187="N/A"," ",(IF(DateToday&gt;$A187,$CC187,((($CB187^2)*((($A187-1)-DateToday)/((EOMONTH($A187,0)+1)-DateToday-15)))+((($CC187)^2)*((15)/((EOMONTH($A187,0)+1)-DateToday-15))))^0.5)))</f>
        <v> </v>
      </c>
      <c r="CE187" s="334" t="str">
        <f aca="false">IF($A187="N/A"," ",(VLOOKUP($A187,GasVolTable,(IF(BMO=2,6,IF(BMO=1,7,5))),FALSE())))</f>
        <v> </v>
      </c>
      <c r="CF187" s="334" t="str">
        <f aca="false">IF($A187="N/A"," ",(VLOOKUP($A187,OmicronVol,(IF(BMO=2,3,IF(BMO=1,4,2))),FALSE())))</f>
        <v> </v>
      </c>
      <c r="CG187" s="335" t="str">
        <f aca="false">IF($A187="N/A"," ",(IF(DateToday&gt;$A187,$CF187,((($CE187^2)*((($A187-1)-DateToday)/((EOMONTH($A187,0)+1)-DateToday-15)))+((($CF187)^2)*((15)/((EOMONTH($A187,0)+1)-DateToday-15))))^0.5)))</f>
        <v> </v>
      </c>
      <c r="CH187" s="334" t="str">
        <f aca="false">IF($A187="N/A"," ",VLOOKUP($A187,CorrelationTable,2,FALSE()))</f>
        <v> </v>
      </c>
      <c r="CI187" s="336" t="str">
        <f aca="false">IF($A187="N/A"," ",F187+G187+(D187*('Pricing Inputs'!T220)))</f>
        <v> </v>
      </c>
      <c r="CJ187" s="334" t="str">
        <f aca="false">IF($A187="N/A"," ",IF(PV=1,0,'Pricing Inputs'!U220))</f>
        <v> </v>
      </c>
      <c r="CK187" s="337" t="str">
        <f aca="false">IF($A187="N/A"," ",(1+CJ187/2)^(-2*((EOMONTH(A187,0)+20)-DateToday)/365.25))</f>
        <v> </v>
      </c>
      <c r="CL187" s="338" t="str">
        <f aca="false">IF(A187="N/A"," ",IF(CC=2,(VLOOKUP(MONTH($A187),Hrtable,3))/1000,0))</f>
        <v> </v>
      </c>
      <c r="CM187" s="339" t="str">
        <f aca="false">IF(A187="N/A"," ",IF(CC=2,(CL187*C187)+F187,0))</f>
        <v> </v>
      </c>
      <c r="CN187" s="340" t="str">
        <f aca="false">IF($A187="N/A"," ",IF(CC=2,(VLOOKUP(A187,ScaledPrice,(IF(AND(Dayrun&gt;=1,Dayrun&lt;=6),2,4)))-((IF(R187&lt;&gt;0,$D187,$CL187)*$C187)+$F187+$G187)),0))</f>
        <v> </v>
      </c>
      <c r="CO187" s="340" t="str">
        <f aca="false">IF($A187="N/A"," ",IF(CC=2,(IF(AND(Dayrun&gt;=1,Dayrun&lt;=6),I187,(VLOOKUP(A187,ScaledPrice,2))*(2-(VLOOKUP(A187,ScaledPrice,3))))-((IF(S187&lt;&gt;0,$D187,$CL187)*$C187)+$F187+$G187)),0))</f>
        <v> </v>
      </c>
      <c r="CP187" s="340" t="str">
        <f aca="false">IF(A187="N/A"," ",IF(CC=2,(VLOOKUP(A187,ScaledPrice,9)-((IF(T187&lt;&gt;0,$D187,$CL187)*$C187)+$F187+$G187)),0))</f>
        <v> </v>
      </c>
      <c r="CQ187" s="340" t="str">
        <f aca="false">IF(A187="N/A"," ",IF(CC=2,(IF(OR(Dayrun=2,Dayrun=3,Dayrun=5,Dayrun=6,Dayrun=8,Dayrun=9),VLOOKUP(A187,ScaledPrice,IF(AND(Dayrun&gt;=2,Dayrun&lt;=6),5,6)),0)-((IF(U187&lt;&gt;0,$D187,$CL187)*$C187)+$F187+$G187)),0))</f>
        <v> </v>
      </c>
      <c r="CR187" s="340" t="str">
        <f aca="false">IF(A187="N/A"," ",IF(CC=2,(IF(OR(Dayrun=2,Dayrun=3,Dayrun=5,Dayrun=6,Dayrun=8,Dayrun=9),IF(AND(Dayrun&gt;=2,Dayrun&lt;=6),L187,(VLOOKUP(A187,ScaledPrice,5))*(2-(VLOOKUP(A187,ScaledPrice,3)))),0)-((IF(V187&lt;&gt;0,$D187,$CL187)*$C187)+$F187+$G187)),0))</f>
        <v> </v>
      </c>
      <c r="CS187" s="340" t="str">
        <f aca="false">IF(A187="N/A"," ",IF(CC=2,(VLOOKUP(A187,ScaledPrice,9)-((IF(W187&lt;&gt;0,$D187,$CL187)*$C187)+$F187+$G187)),0))</f>
        <v> </v>
      </c>
      <c r="CT187" s="340" t="str">
        <f aca="false">IF(A187="N/A"," ",IF(CC=2,(IF(OR(Dayrun=3,Dayrun=6,Dayrun=9),(VLOOKUP(A187,ScaledPrice,IF(AND(Dayrun&gt;=3,Dayrun&lt;=6),7,8))),0)-((IF(X187&lt;&gt;0,$D187,$CL187)*$C187)+$F187+$G187)),0))</f>
        <v> </v>
      </c>
      <c r="CU187" s="340" t="str">
        <f aca="false">IF(A187="N/A"," ",IF(CC=2,(IF(OR(Dayrun=3,Dayrun=6,Dayrun=9),IF(AND(Dayrun&gt;=3,Dayrun&lt;=6),O187,(VLOOKUP(A187,ScaledPrice,7))*(2-(VLOOKUP(A187,ScaledPrice,3)))),0)-((IF(Y187&lt;&gt;0,$D187,$CL187)*$C187)+$F187+$G187)),0))</f>
        <v> </v>
      </c>
      <c r="CV187" s="340" t="str">
        <f aca="false">IF(A187="N/A"," ",IF(CC=2,(VLOOKUP(A187,ScaledPrice,9)-((IF(Z187&lt;&gt;0,$D187,$CL187)*$C187)+$F187+$G187)),0))</f>
        <v> </v>
      </c>
      <c r="CW187" s="318" t="str">
        <f aca="false">IF($A187="N/A"," ",IF(0&lt;&gt;CN187,IF(CC=2,8*$HD187,0),0))</f>
        <v> </v>
      </c>
      <c r="CX187" s="318" t="str">
        <f aca="false">IF($A187="N/A"," ",IF(0&lt;&gt;CO187,IF(CC=2,8*$HD187,0),0))</f>
        <v> </v>
      </c>
      <c r="CY187" s="318" t="str">
        <f aca="false">IF($A187="N/A"," ",IF(0&lt;&gt;CP187,IF(CC=2,8*$HD187,0),0))</f>
        <v> </v>
      </c>
      <c r="CZ187" s="318" t="str">
        <f aca="false">IF($A187="N/A"," ",IF(0&lt;&gt;CQ187,IF(CC=2,8*$HE187,0),0))</f>
        <v> </v>
      </c>
      <c r="DA187" s="318" t="str">
        <f aca="false">IF($A187="N/A"," ",IF(0&lt;&gt;CR187,IF(CC=2,8*$HE187,0),0))</f>
        <v> </v>
      </c>
      <c r="DB187" s="318" t="str">
        <f aca="false">IF($A187="N/A"," ",IF(0&lt;&gt;CS187,IF(CC=2,8*$HE187,0),0))</f>
        <v> </v>
      </c>
      <c r="DC187" s="318" t="str">
        <f aca="false">IF($A187="N/A"," ",IF(0&lt;&gt;CT187,IF(CC=2,8*$HF187,0),0))</f>
        <v> </v>
      </c>
      <c r="DD187" s="318" t="str">
        <f aca="false">IF($A187="N/A"," ",IF(0&lt;&gt;CU187,IF(CC=2,8*$HF187,0),0))</f>
        <v> </v>
      </c>
      <c r="DE187" s="318" t="str">
        <f aca="false">IF($A187="N/A"," ",IF(0&lt;&gt;CV187,IF(CC=2,8*$HF187,0),0))</f>
        <v> </v>
      </c>
      <c r="DF187" s="341" t="str">
        <f aca="false">IF($A187="N/A"," ",IF(CC=2,(IF(MONTH(A187)&gt;=4,IF(MONTH(A187)&lt;=10,Inputs!$G$13,Inputs!$G$14),Inputs!$G$14))*$CK187,0))</f>
        <v> </v>
      </c>
      <c r="DG187" s="342" t="str">
        <f aca="false">IF($A187="N/A"," ",IF(CC=2,$DF187*CW187*CN187,0))</f>
        <v> </v>
      </c>
      <c r="DH187" s="342" t="str">
        <f aca="false">IF($A187="N/A"," ",IF(CC=2,$DF187*CX187*CO187,0))</f>
        <v> </v>
      </c>
      <c r="DI187" s="342" t="str">
        <f aca="false">IF($A187="N/A"," ",IF(CC=2,$DF187*CY187*CP187,0))</f>
        <v> </v>
      </c>
      <c r="DJ187" s="342" t="str">
        <f aca="false">IF($A187="N/A"," ",IF(CC=2,$DF187*CZ187*CQ187,0))</f>
        <v> </v>
      </c>
      <c r="DK187" s="342" t="str">
        <f aca="false">IF($A187="N/A"," ",IF(CC=2,$DF187*DA187*CR187,0))</f>
        <v> </v>
      </c>
      <c r="DL187" s="342" t="str">
        <f aca="false">IF($A187="N/A"," ",IF(CC=2,$DF187*DB187*CS187,0))</f>
        <v> </v>
      </c>
      <c r="DM187" s="342" t="str">
        <f aca="false">IF($A187="N/A"," ",IF(CC=2,$DF187*DC187*CT187,0))</f>
        <v> </v>
      </c>
      <c r="DN187" s="342" t="str">
        <f aca="false">IF($A187="N/A"," ",IF(CC=2,$DF187*DD187*CU187,0))</f>
        <v> </v>
      </c>
      <c r="DO187" s="342" t="str">
        <f aca="false">IF($A187="N/A"," ",IF(CC=2,$DF187*DE187*CV187,0))</f>
        <v> </v>
      </c>
      <c r="DP187" s="343" t="str">
        <f aca="false">IF($A187="N/A"," ",IF(CC=2,SUM(DG187:DO187),0))</f>
        <v> </v>
      </c>
      <c r="DQ187" s="0" t="str">
        <f aca="false">IF(A187="N/A"," ",Perstart)</f>
        <v> </v>
      </c>
      <c r="HD187" s="0" t="str">
        <f aca="false">IF($A187="N/A"," ",VLOOKUP($A187,NumberofDaysTable,2))</f>
        <v> </v>
      </c>
      <c r="HE187" s="0" t="str">
        <f aca="false">IF($A187="N/A"," ",VLOOKUP($A187,NumberofDaysTable,3))</f>
        <v> </v>
      </c>
      <c r="HF187" s="0" t="str">
        <f aca="false">IF($A187="N/A"," ",VLOOKUP($A187,NumberofDaysTable,4))</f>
        <v> </v>
      </c>
    </row>
    <row r="188" customFormat="false" ht="12.75" hidden="false" customHeight="false" outlineLevel="0" collapsed="false">
      <c r="A188" s="308" t="str">
        <f aca="false">IF(A187="N/A","N/A",IF(EDATE(A187,1)&gt;Inputs!$K$3,"N/A",EDATE(A187,1)))</f>
        <v>N/A</v>
      </c>
      <c r="B188" s="309" t="str">
        <f aca="false">IF(A188="N/A"," ",YEAR(A188))</f>
        <v> </v>
      </c>
      <c r="C188" s="310" t="str">
        <f aca="false">IF(A188="N/A"," ",VLOOKUP(A188,ScaledPrice,10))</f>
        <v> </v>
      </c>
      <c r="D188" s="311" t="str">
        <f aca="false">IF(A188="N/A"," ",(VLOOKUP(MONTH($A188),Hrtable,2))/1000)</f>
        <v> </v>
      </c>
      <c r="E188" s="312" t="str">
        <f aca="false">IF($A188="N/A"," ",(C188-'Pricing Inputs'!T221)*D188)</f>
        <v> </v>
      </c>
      <c r="F188" s="313" t="str">
        <f aca="false">IF(A188="N/A"," ",$F176*(1+VOMesc))</f>
        <v> </v>
      </c>
      <c r="G188" s="313" t="str">
        <f aca="false">IF(A188="N/A"," ",Perstart/IF(AND(Dayrun&gt;=4,Dayrun&lt;=6),16,IF(AND(Dayrun&gt;=7,Dayrun&lt;=9),8,24))/(BM188/CK188))</f>
        <v> </v>
      </c>
      <c r="H188" s="314" t="str">
        <f aca="false">IF(A188="N/A"," ",(C188*D188)+F188+G188)</f>
        <v> </v>
      </c>
      <c r="I188" s="315" t="str">
        <f aca="false">VLOOKUP(A188,ScaledPrice,(IF(AND(Dayrun&gt;=1,Dayrun&lt;=6),2,4)))</f>
        <v> </v>
      </c>
      <c r="J188" s="315" t="str">
        <f aca="false">IF(A188="N/A"," ",IF(AND(Dayrun&gt;=1,Dayrun&lt;=6),I188,(VLOOKUP(A188,ScaledPrice,2))*(2-(VLOOKUP(A188,ScaledPrice,3)))))</f>
        <v> </v>
      </c>
      <c r="K188" s="315" t="str">
        <f aca="false">IF(A188="N/A"," ",IF(AND(Dayrun&gt;=1,Dayrun&lt;=3),VLOOKUP(A188,ScaledPrice,9),0))</f>
        <v> </v>
      </c>
      <c r="L188" s="315" t="str">
        <f aca="false">IF(A188="N/A"," ",IF(OR(Dayrun=2,Dayrun=3,Dayrun=5,Dayrun=6,Dayrun=8,Dayrun=9),VLOOKUP(A188,ScaledPrice,IF(AND(Dayrun&gt;=2,Dayrun&lt;=6),5,6)),0))</f>
        <v> </v>
      </c>
      <c r="M188" s="315" t="str">
        <f aca="false">IF(A188="N/A"," ",IF(OR(Dayrun=2,Dayrun=3,Dayrun=5,Dayrun=6,Dayrun=8,Dayrun=9),IF(AND(Dayrun&gt;=2,Dayrun&lt;=6),L188,(VLOOKUP(A188,ScaledPrice,5))*(2-(VLOOKUP(A188,ScaledPrice,3)))),0))</f>
        <v> </v>
      </c>
      <c r="N188" s="315" t="str">
        <f aca="false">IF(A188="N/A"," ",IF(AND(Dayrun&gt;1,Dayrun&lt;=3),VLOOKUP(A188,ScaledPrice,9),0))</f>
        <v> </v>
      </c>
      <c r="O188" s="315" t="str">
        <f aca="false">IF(A188="N/A"," ",IF(OR(Dayrun=3,Dayrun=6,Dayrun=9),(VLOOKUP(A188,ScaledPrice,IF(AND(Dayrun&gt;=3,Dayrun&lt;=6),7,8))),0))</f>
        <v> </v>
      </c>
      <c r="P188" s="315" t="str">
        <f aca="false">IF(A188="N/A"," ",IF(OR(Dayrun=3,Dayrun=6,Dayrun=9),IF(AND(Dayrun&gt;=3,Dayrun&lt;=6),O188,(VLOOKUP(A188,ScaledPrice,7))*(2-(VLOOKUP(A188,ScaledPrice,3)))),0))</f>
        <v> </v>
      </c>
      <c r="Q188" s="315" t="str">
        <f aca="false">IF(A188="N/A"," ",IF(AND(Dayrun&gt;2,Dayrun&lt;=3),VLOOKUP(A188,ScaledPrice,9),0))</f>
        <v> </v>
      </c>
      <c r="R188" s="316" t="str">
        <f aca="false">IF($A188="N/A"," ",IF(Pricetype=2,MAX(I188-$H188,0),IF(Pricetype=1,(xSPRDOPT(I188,$E188,$CI188,0,($CD188+IF(Smile=TRUE(),VLOOKUP(MAX(-5,$H188-I188),Volsmile,2),0)),$CG188,$CH188,($A188-DateToday)+15,1,0)),I188-$H188)))</f>
        <v> </v>
      </c>
      <c r="S188" s="316" t="str">
        <f aca="false">IF($A188="N/A"," ",IF(Pricetype=2,MAX(J188-$H188,0),IF(Pricetype=1,(xSPRDOPT(J188,$E188,$CI188,0,($CD188+IF(Smile=TRUE(),VLOOKUP(MAX(-5,$H188-J188),Volsmile,2),0)),$CG188,$CH188,($A188-DateToday)+15,1,0)),J188-$H188)))</f>
        <v> </v>
      </c>
      <c r="T188" s="317" t="str">
        <f aca="false">IF($A188="N/A"," ",(IF(Pricetype=2,IF((K188-$H188)&lt;=0,0,(K188-$H188)),IF(K188&lt;&gt;0,(K188-$H188),0))))</f>
        <v> </v>
      </c>
      <c r="U188" s="316" t="str">
        <f aca="false">IF($A188="N/A"," ",IF(Pricetype=2,MAX(L188-$H188,0),IF(L188&lt;&gt;0,IF(Pricetype=1,(xSPRDOPT(L188,$E188,$CI188,0,($CD188+IF(Smile=TRUE(),VLOOKUP(MAX(-5,$H188-L188),Volsmile,2),0)),$CG188,$CH188,($A188-DateToday)+15,1,0)),L188-$H188),0)))</f>
        <v> </v>
      </c>
      <c r="V188" s="316" t="str">
        <f aca="false">IF($A188="N/A"," ",IF(Pricetype=2,MAX(M188-$H188,0),IF(M188&lt;&gt;0,IF(Pricetype=1,(xSPRDOPT(M188,$E188,$CI188,0,($CD188+IF(Smile=TRUE(),VLOOKUP(MAX(-5,$H188-M188),Volsmile,2),0)),$CG188,$CH188,($A188-DateToday)+15,1,0)),M188-$H188),0)))</f>
        <v> </v>
      </c>
      <c r="W188" s="317" t="str">
        <f aca="false">IF($A188="N/A"," ",(IF(Pricetype=2,IF((N188-$H188)&lt;=0,0,(N188-$H188)),IF(N188&lt;&gt;0,(N188-$H188),0))))</f>
        <v> </v>
      </c>
      <c r="X188" s="316" t="str">
        <f aca="false">IF($A188="N/A"," ",IF(Pricetype=2,MAX(O188-$H188,0),IF(O188&lt;&gt;0,IF(Pricetype=1,(xSPRDOPT(O188,$E188,$CI188,0,($CD188+IF(Smile=TRUE(),VLOOKUP(MAX(-5,$H188-O188),Volsmile,2),0)),$CG188,$CH188,($A188-DateToday)+15,1,0)),O188-$H188),0)))</f>
        <v> </v>
      </c>
      <c r="Y188" s="316" t="str">
        <f aca="false">IF($A188="N/A"," ",IF(Pricetype=2,MAX(P188-$H188,0),IF(P188&lt;&gt;0,IF(Pricetype=1,(xSPRDOPT(P188,$E188,$CI188,0,($CD188+IF(Smile=TRUE(),VLOOKUP(MAX(-5,$H188-P188),Volsmile,2),0)),$CG188,$CH188,($A188-DateToday)+15,1,0)),P188-$H188),0)))</f>
        <v> </v>
      </c>
      <c r="Z188" s="317" t="str">
        <f aca="false">IF($A188="N/A"," ",(IF(Pricetype=2,IF((Q188-$H188)&lt;=0,0,(Q188-$H188)),IF(Q188&lt;&gt;0,(Q188-$H188),0))))</f>
        <v> </v>
      </c>
      <c r="AA188" s="318" t="str">
        <f aca="false">IF($A188="N/A"," ",IF(VLOOKUP(MONTH(A188),ManualTable,2)=1,(IF(0&lt;&gt;R188,IF(Pricetype=1,(xSPRDOPT(I188,$E188,$CI188,0,($CD188+IF(Smile=TRUE(),VLOOKUP(MAX(-5,$H188-I188),Volsmile,2),0)),$CG188,$CH188,($A188-DateToday)+15,1,1))*(8*$HD188),8*$HD188),0)),0))</f>
        <v> </v>
      </c>
      <c r="AB188" s="318" t="str">
        <f aca="false">IF($A188="N/A"," ",IF(VLOOKUP(MONTH(A188),ManualTable,3)=1,(IF(S188&lt;&gt;0,IF(Pricetype=1,(xSPRDOPT(J188,$E188,$CI188,0,($CD188+IF(Smile=TRUE(),VLOOKUP(MAX(-5,$H188-J188),Volsmile,2),0)),$CG188,$CH188,($A188-DateToday)+15,1,1))*(8*$HD188),8*$HD188),0)),0))</f>
        <v> </v>
      </c>
      <c r="AC188" s="318" t="str">
        <f aca="false">IF($A188="N/A"," ",IF(VLOOKUP(MONTH(A188),ManualTable,4)=1,(IF(T188&lt;&gt;0,(8*$HD188),0)),0))</f>
        <v> </v>
      </c>
      <c r="AD188" s="318" t="str">
        <f aca="false">IF($A188="N/A"," ",IF(VLOOKUP(MONTH(A188),ManualTable,5)=1,(IF(U188&lt;&gt;0,IF(Pricetype=1,(xSPRDOPT(L188,$E188,$CI188,0,($CD188+IF(Smile=TRUE(),VLOOKUP(MAX(-5,$H188-L188),Volsmile,2),0)),$CG188,$CH188,($A188-DateToday)+15,1,1))*(8*$HE188),8*$HE188),0)),0))</f>
        <v> </v>
      </c>
      <c r="AE188" s="318" t="str">
        <f aca="false">IF($A188="N/A"," ",IF(VLOOKUP(MONTH(A188),ManualTable,6)=1,(IF(V188&lt;&gt;0,IF(Pricetype=1,(xSPRDOPT(M188,$E188,$CI188,0,($CD188+IF(Smile=TRUE(),VLOOKUP(MAX(-5,$H188-M188),Volsmile,2),0)),$CG188,$CH188,($A188-DateToday)+15,1,1))*(8*$HE188),8*$HE188),0)),0))</f>
        <v> </v>
      </c>
      <c r="AF188" s="318" t="str">
        <f aca="false">IF($A188="N/A"," ",IF(VLOOKUP(MONTH(A188),ManualTable,7)=1,(IF(W188&lt;&gt;0,(8*$HE188),0)),0))</f>
        <v> </v>
      </c>
      <c r="AG188" s="318" t="str">
        <f aca="false">IF($A188="N/A"," ",IF(VLOOKUP(MONTH(A188),ManualTable,8)=1,(IF(X188&lt;&gt;0,IF(Pricetype=1,(xSPRDOPT(O188,$E188,$CI188,0,($CD188+IF(Smile=TRUE(),VLOOKUP(MAX(-5,$H188-O188),Volsmile,2),0)),$CG188,$CH188,($A188-DateToday)+15,1,1))*(8*$HF188),8*$HF188),0)),0))</f>
        <v> </v>
      </c>
      <c r="AH188" s="318" t="str">
        <f aca="false">IF($A188="N/A"," ",IF(VLOOKUP(MONTH(A188),ManualTable,9)=1,(IF(Y188&lt;&gt;0,IF(Pricetype=1,(xSPRDOPT(P188,$E188,$CI188,0,($CD188+IF(Smile=TRUE(),VLOOKUP(MAX(-5,$H188-P188),Volsmile,2),0)),$CG188,$CH188,($A188-DateToday)+15,1,1))*(8*$HF188),8*$HF188),0)),0))</f>
        <v> </v>
      </c>
      <c r="AI188" s="318" t="str">
        <f aca="false">IF($A188="N/A"," ",IF(VLOOKUP(MONTH(A188),ManualTable,10)=1,(IF(Z188&lt;&gt;0,(8*($HF188)),0)),0))</f>
        <v> </v>
      </c>
      <c r="AJ188" s="344" t="str">
        <f aca="false">IF($A188="N/A"," ",RANK(R188,$R$184:$Z$195))</f>
        <v> </v>
      </c>
      <c r="AK188" s="321" t="str">
        <f aca="false">IF($A188="N/A"," ",RANK(S188,$R$184:$Z$195))</f>
        <v> </v>
      </c>
      <c r="AL188" s="321" t="str">
        <f aca="false">IF($A188="N/A"," ",RANK(T188,$R$184:$Z$195))</f>
        <v> </v>
      </c>
      <c r="AM188" s="321" t="str">
        <f aca="false">IF($A188="N/A"," ",RANK(U188,$R$184:$Z$195))</f>
        <v> </v>
      </c>
      <c r="AN188" s="321" t="str">
        <f aca="false">IF($A188="N/A"," ",RANK(V188,$R$184:$Z$195))</f>
        <v> </v>
      </c>
      <c r="AO188" s="321" t="str">
        <f aca="false">IF($A188="N/A"," ",RANK(W188,$R$184:$Z$195))</f>
        <v> </v>
      </c>
      <c r="AP188" s="321" t="str">
        <f aca="false">IF($A188="N/A"," ",RANK(X188,$R$184:$Z$195))</f>
        <v> </v>
      </c>
      <c r="AQ188" s="321" t="str">
        <f aca="false">IF($A188="N/A"," ",RANK(Y188,$R$184:$Z$195))</f>
        <v> </v>
      </c>
      <c r="AR188" s="345" t="str">
        <f aca="false">IF($A188="N/A"," ",RANK(Z188,$R$184:$Z$195))</f>
        <v> </v>
      </c>
      <c r="AS188" s="323" t="str">
        <f aca="false">IF($A188="N/A"," ",IF(AJ188&lt;=$AR$2,AA188,0))</f>
        <v> </v>
      </c>
      <c r="AT188" s="325" t="str">
        <f aca="false">IF($A188="N/A"," ",IF(AK188&lt;=$AR$2,AB188,0))</f>
        <v> </v>
      </c>
      <c r="AU188" s="325" t="str">
        <f aca="false">IF($A188="N/A"," ",IF(AL188&lt;=$AR$2,AC188,0))</f>
        <v> </v>
      </c>
      <c r="AV188" s="325" t="str">
        <f aca="false">IF($A188="N/A"," ",IF(AM188&lt;=$AR$2,AD188,0))</f>
        <v> </v>
      </c>
      <c r="AW188" s="325" t="str">
        <f aca="false">IF($A188="N/A"," ",IF(AN188&lt;=$AR$2,AE188,0))</f>
        <v> </v>
      </c>
      <c r="AX188" s="325" t="str">
        <f aca="false">IF($A188="N/A"," ",IF(AO188&lt;=$AR$2,AF188,0))</f>
        <v> </v>
      </c>
      <c r="AY188" s="325" t="str">
        <f aca="false">IF($A188="N/A"," ",IF(AP188&lt;=$AR$2,AG188,0))</f>
        <v> </v>
      </c>
      <c r="AZ188" s="325" t="str">
        <f aca="false">IF($A188="N/A"," ",IF(AQ188&lt;=$AR$2,AH188,0))</f>
        <v> </v>
      </c>
      <c r="BA188" s="325" t="str">
        <f aca="false">IF($A188="N/A"," ",IF(AR188&lt;=$AR$2,AI188,0))</f>
        <v> </v>
      </c>
      <c r="BB188" s="345"/>
      <c r="BC188" s="326" t="str">
        <f aca="false">IF($A188="N/A"," ",IF(AND(AJ188=$AR$2+1,AS188=0),MIN($BB$195,AA188),0))</f>
        <v> </v>
      </c>
      <c r="BD188" s="346" t="str">
        <f aca="false">IF($A188="N/A"," ",IF(AND(AK188=$AR$2+1,AT188=0),MIN($BB$195,AB188),0))</f>
        <v> </v>
      </c>
      <c r="BE188" s="346" t="str">
        <f aca="false">IF($A188="N/A"," ",IF(AND(AL188=$AR$2+1,AU188=0),MIN($BB$195,AC188),0))</f>
        <v> </v>
      </c>
      <c r="BF188" s="346" t="str">
        <f aca="false">IF($A188="N/A"," ",IF(AND(AM188=$AR$2+1,AV188=0),MIN($BB$195,AD188),0))</f>
        <v> </v>
      </c>
      <c r="BG188" s="346" t="str">
        <f aca="false">IF($A188="N/A"," ",IF(AND(AN188=$AR$2+1,AW188=0),MIN($BB$195,AE188),0))</f>
        <v> </v>
      </c>
      <c r="BH188" s="346" t="str">
        <f aca="false">IF($A188="N/A"," ",IF(AND(AO188=$AR$2+1,AX188=0),MIN($BB$195,AF188),0))</f>
        <v> </v>
      </c>
      <c r="BI188" s="346" t="str">
        <f aca="false">IF($A188="N/A"," ",IF(AND(AP188=$AR$2+1,AY188=0),MIN($BB$195,AG188),0))</f>
        <v> </v>
      </c>
      <c r="BJ188" s="346" t="str">
        <f aca="false">IF($A188="N/A"," ",IF(AND(AQ188=$AR$2+1,AZ188=0),MIN($BB$195,AH188),0))</f>
        <v> </v>
      </c>
      <c r="BK188" s="346" t="str">
        <f aca="false">IF($A188="N/A"," ",IF(AND(AR188=$AR$2+1,BA188=0),MIN($BB$195,AI188),0))</f>
        <v> </v>
      </c>
      <c r="BL188" s="345"/>
      <c r="BM188" s="329" t="str">
        <f aca="false">IF($A188="N/A"," ",(IF(MONTH(A188)&gt;=4,IF(MONTH(A188)&lt;=10,Inputs!$F$13-Inputs!$G$13,Inputs!$F$14-Inputs!$G$14),Inputs!$F$14-Inputs!$G$14))*$CK188*Availability)</f>
        <v> </v>
      </c>
      <c r="BN188" s="330" t="str">
        <f aca="false">IF($A188="N/A"," ",(IF(AS188&gt;0,($BM188*(8*($HD188))*R188),0)+IF(BC188&gt;0,($BM188*((BC188/AA188)*8*$HD188)*R188),0)))</f>
        <v> </v>
      </c>
      <c r="BO188" s="330" t="str">
        <f aca="false">IF($A188="N/A"," ",(IF(AT188&gt;0,($BM188*(8*($HD188))*S188),0)+IF(BD188&gt;0,($BM188*((BD188/AB188)*8*$HD188)*S188),0)))</f>
        <v> </v>
      </c>
      <c r="BP188" s="330" t="str">
        <f aca="false">IF($A188="N/A"," ",(IF(AU188&gt;0,($BM188*(8*($HD188))*T188),0)+IF(BE188&gt;0,($BM188*((BE188))*T188),0)))</f>
        <v> </v>
      </c>
      <c r="BQ188" s="330" t="str">
        <f aca="false">IF($A188="N/A"," ",(IF(AV188&gt;0,($BM188*(8*($HE188))*U188),0)+IF(BF188&gt;0,($BM188*((BF188/AD188)*8*$HE188)*U188),0)))</f>
        <v> </v>
      </c>
      <c r="BR188" s="330" t="str">
        <f aca="false">IF($A188="N/A"," ",(IF(AW188&gt;0,($BM188*(8*($HE188))*V188),0)+IF(BG188&gt;0,($BM188*((BG188/AE188)*8*$HE188)*V188),0)))</f>
        <v> </v>
      </c>
      <c r="BS188" s="330" t="str">
        <f aca="false">IF($A188="N/A"," ",(IF(AX188&gt;0,($BM188*(8*($HE188))*W188),0)+IF(BH188&gt;0,($BM188*((BH188))*W188),0)))</f>
        <v> </v>
      </c>
      <c r="BT188" s="330" t="str">
        <f aca="false">IF($A188="N/A"," ",(IF(AY188&gt;0,($BM188*(8*($HF188))*X188),0)+IF(BI188&gt;0,($BM188*((BI188/AG188)*8*$HF188)*X188),0)))</f>
        <v> </v>
      </c>
      <c r="BU188" s="330" t="str">
        <f aca="false">IF($A188="N/A"," ",(IF(AZ188&gt;0,($BM188*(8*($HF188))*Y188),0)+IF(BJ188&gt;0,($BM188*((BJ188/AH188)*8*$HF188)*Y188),0)))</f>
        <v> </v>
      </c>
      <c r="BV188" s="330" t="str">
        <f aca="false">IF($A188="N/A"," ",(IF(BA188&gt;0,($BM188*(8*($HF188))*Z188),0)+IF(BK188&gt;0,($BM188*((BK188))*Z188),0)))</f>
        <v> </v>
      </c>
      <c r="BW188" s="330" t="str">
        <f aca="false">IF($A188="N/A"," ",SUM(BN188:BV188))</f>
        <v> </v>
      </c>
      <c r="BX188" s="331" t="str">
        <f aca="false">IF($A188="N/A"," ",(H188*(SUM(AS188:BA188)+SUM(BC188:BK188))*BM188))</f>
        <v> </v>
      </c>
      <c r="BY188" s="332" t="str">
        <f aca="false">IF($A188="N/A"," ",((C188*D188)*(SUM($AS188:$BA188)+SUM($BC188:$BK188))*$BM188))</f>
        <v> </v>
      </c>
      <c r="BZ188" s="332" t="str">
        <f aca="false">IF($A188="N/A"," ",(F188*(SUM($AS188:$BA188)+SUM($BC188:$BK188))*$BM188))</f>
        <v> </v>
      </c>
      <c r="CA188" s="333" t="str">
        <f aca="false">IF($A188="N/A"," ",(G188*(SUM($AS188:$BA188)+SUM($BC188:$BK188))*$BM188))</f>
        <v> </v>
      </c>
      <c r="CB188" s="334" t="str">
        <f aca="false">IF(A188="N/A"," ",(VLOOKUP(A188,PowerVolTable,(IF(BMO=2,7,IF(BMO=1,6,8))),FALSE())))</f>
        <v> </v>
      </c>
      <c r="CC188" s="334" t="str">
        <f aca="false">IF(A188="N/A"," ",(VLOOKUP(A188,IntraPowerVol,(IF(BMO=2,3,IF(BMO=1,2,4))),FALSE())*VLOOKUP(MONTH($A188),Volscale,2)))</f>
        <v> </v>
      </c>
      <c r="CD188" s="335" t="str">
        <f aca="false">IF($A188="N/A"," ",(IF(DateToday&gt;$A188,$CC188,((($CB188^2)*((($A188-1)-DateToday)/((EOMONTH($A188,0)+1)-DateToday-15)))+((($CC188)^2)*((15)/((EOMONTH($A188,0)+1)-DateToday-15))))^0.5)))</f>
        <v> </v>
      </c>
      <c r="CE188" s="334" t="str">
        <f aca="false">IF($A188="N/A"," ",(VLOOKUP($A188,GasVolTable,(IF(BMO=2,6,IF(BMO=1,7,5))),FALSE())))</f>
        <v> </v>
      </c>
      <c r="CF188" s="334" t="str">
        <f aca="false">IF($A188="N/A"," ",(VLOOKUP($A188,OmicronVol,(IF(BMO=2,3,IF(BMO=1,4,2))),FALSE())))</f>
        <v> </v>
      </c>
      <c r="CG188" s="335" t="str">
        <f aca="false">IF($A188="N/A"," ",(IF(DateToday&gt;$A188,$CF188,((($CE188^2)*((($A188-1)-DateToday)/((EOMONTH($A188,0)+1)-DateToday-15)))+((($CF188)^2)*((15)/((EOMONTH($A188,0)+1)-DateToday-15))))^0.5)))</f>
        <v> </v>
      </c>
      <c r="CH188" s="334" t="str">
        <f aca="false">IF($A188="N/A"," ",VLOOKUP($A188,CorrelationTable,2,FALSE()))</f>
        <v> </v>
      </c>
      <c r="CI188" s="336" t="str">
        <f aca="false">IF($A188="N/A"," ",F188+G188+(D188*('Pricing Inputs'!T221)))</f>
        <v> </v>
      </c>
      <c r="CJ188" s="334" t="str">
        <f aca="false">IF($A188="N/A"," ",IF(PV=1,0,'Pricing Inputs'!U221))</f>
        <v> </v>
      </c>
      <c r="CK188" s="337" t="str">
        <f aca="false">IF($A188="N/A"," ",(1+CJ188/2)^(-2*((EOMONTH(A188,0)+20)-DateToday)/365.25))</f>
        <v> </v>
      </c>
      <c r="CL188" s="338" t="str">
        <f aca="false">IF(A188="N/A"," ",IF(CC=2,(VLOOKUP(MONTH($A188),Hrtable,3))/1000,0))</f>
        <v> </v>
      </c>
      <c r="CM188" s="339" t="str">
        <f aca="false">IF(A188="N/A"," ",IF(CC=2,(CL188*C188)+F188,0))</f>
        <v> </v>
      </c>
      <c r="CN188" s="340" t="str">
        <f aca="false">IF($A188="N/A"," ",IF(CC=2,(VLOOKUP(A188,ScaledPrice,(IF(AND(Dayrun&gt;=1,Dayrun&lt;=6),2,4)))-((IF(R188&lt;&gt;0,$D188,$CL188)*$C188)+$F188+$G188)),0))</f>
        <v> </v>
      </c>
      <c r="CO188" s="340" t="str">
        <f aca="false">IF($A188="N/A"," ",IF(CC=2,(IF(AND(Dayrun&gt;=1,Dayrun&lt;=6),I188,(VLOOKUP(A188,ScaledPrice,2))*(2-(VLOOKUP(A188,ScaledPrice,3))))-((IF(S188&lt;&gt;0,$D188,$CL188)*$C188)+$F188+$G188)),0))</f>
        <v> </v>
      </c>
      <c r="CP188" s="340" t="str">
        <f aca="false">IF(A188="N/A"," ",IF(CC=2,(VLOOKUP(A188,ScaledPrice,9)-((IF(T188&lt;&gt;0,$D188,$CL188)*$C188)+$F188+$G188)),0))</f>
        <v> </v>
      </c>
      <c r="CQ188" s="340" t="str">
        <f aca="false">IF(A188="N/A"," ",IF(CC=2,(IF(OR(Dayrun=2,Dayrun=3,Dayrun=5,Dayrun=6,Dayrun=8,Dayrun=9),VLOOKUP(A188,ScaledPrice,IF(AND(Dayrun&gt;=2,Dayrun&lt;=6),5,6)),0)-((IF(U188&lt;&gt;0,$D188,$CL188)*$C188)+$F188+$G188)),0))</f>
        <v> </v>
      </c>
      <c r="CR188" s="340" t="str">
        <f aca="false">IF(A188="N/A"," ",IF(CC=2,(IF(OR(Dayrun=2,Dayrun=3,Dayrun=5,Dayrun=6,Dayrun=8,Dayrun=9),IF(AND(Dayrun&gt;=2,Dayrun&lt;=6),L188,(VLOOKUP(A188,ScaledPrice,5))*(2-(VLOOKUP(A188,ScaledPrice,3)))),0)-((IF(V188&lt;&gt;0,$D188,$CL188)*$C188)+$F188+$G188)),0))</f>
        <v> </v>
      </c>
      <c r="CS188" s="340" t="str">
        <f aca="false">IF(A188="N/A"," ",IF(CC=2,(VLOOKUP(A188,ScaledPrice,9)-((IF(W188&lt;&gt;0,$D188,$CL188)*$C188)+$F188+$G188)),0))</f>
        <v> </v>
      </c>
      <c r="CT188" s="340" t="str">
        <f aca="false">IF(A188="N/A"," ",IF(CC=2,(IF(OR(Dayrun=3,Dayrun=6,Dayrun=9),(VLOOKUP(A188,ScaledPrice,IF(AND(Dayrun&gt;=3,Dayrun&lt;=6),7,8))),0)-((IF(X188&lt;&gt;0,$D188,$CL188)*$C188)+$F188+$G188)),0))</f>
        <v> </v>
      </c>
      <c r="CU188" s="340" t="str">
        <f aca="false">IF(A188="N/A"," ",IF(CC=2,(IF(OR(Dayrun=3,Dayrun=6,Dayrun=9),IF(AND(Dayrun&gt;=3,Dayrun&lt;=6),O188,(VLOOKUP(A188,ScaledPrice,7))*(2-(VLOOKUP(A188,ScaledPrice,3)))),0)-((IF(Y188&lt;&gt;0,$D188,$CL188)*$C188)+$F188+$G188)),0))</f>
        <v> </v>
      </c>
      <c r="CV188" s="340" t="str">
        <f aca="false">IF(A188="N/A"," ",IF(CC=2,(VLOOKUP(A188,ScaledPrice,9)-((IF(Z188&lt;&gt;0,$D188,$CL188)*$C188)+$F188+$G188)),0))</f>
        <v> </v>
      </c>
      <c r="CW188" s="318" t="str">
        <f aca="false">IF($A188="N/A"," ",IF(0&lt;&gt;CN188,IF(CC=2,8*$HD188,0),0))</f>
        <v> </v>
      </c>
      <c r="CX188" s="318" t="str">
        <f aca="false">IF($A188="N/A"," ",IF(0&lt;&gt;CO188,IF(CC=2,8*$HD188,0),0))</f>
        <v> </v>
      </c>
      <c r="CY188" s="318" t="str">
        <f aca="false">IF($A188="N/A"," ",IF(0&lt;&gt;CP188,IF(CC=2,8*$HD188,0),0))</f>
        <v> </v>
      </c>
      <c r="CZ188" s="318" t="str">
        <f aca="false">IF($A188="N/A"," ",IF(0&lt;&gt;CQ188,IF(CC=2,8*$HE188,0),0))</f>
        <v> </v>
      </c>
      <c r="DA188" s="318" t="str">
        <f aca="false">IF($A188="N/A"," ",IF(0&lt;&gt;CR188,IF(CC=2,8*$HE188,0),0))</f>
        <v> </v>
      </c>
      <c r="DB188" s="318" t="str">
        <f aca="false">IF($A188="N/A"," ",IF(0&lt;&gt;CS188,IF(CC=2,8*$HE188,0),0))</f>
        <v> </v>
      </c>
      <c r="DC188" s="318" t="str">
        <f aca="false">IF($A188="N/A"," ",IF(0&lt;&gt;CT188,IF(CC=2,8*$HF188,0),0))</f>
        <v> </v>
      </c>
      <c r="DD188" s="318" t="str">
        <f aca="false">IF($A188="N/A"," ",IF(0&lt;&gt;CU188,IF(CC=2,8*$HF188,0),0))</f>
        <v> </v>
      </c>
      <c r="DE188" s="318" t="str">
        <f aca="false">IF($A188="N/A"," ",IF(0&lt;&gt;CV188,IF(CC=2,8*$HF188,0),0))</f>
        <v> </v>
      </c>
      <c r="DF188" s="341" t="str">
        <f aca="false">IF($A188="N/A"," ",IF(CC=2,(IF(MONTH(A188)&gt;=4,IF(MONTH(A188)&lt;=10,Inputs!$G$13,Inputs!$G$14),Inputs!$G$14))*$CK188,0))</f>
        <v> </v>
      </c>
      <c r="DG188" s="342" t="str">
        <f aca="false">IF($A188="N/A"," ",IF(CC=2,$DF188*CW188*CN188,0))</f>
        <v> </v>
      </c>
      <c r="DH188" s="342" t="str">
        <f aca="false">IF($A188="N/A"," ",IF(CC=2,$DF188*CX188*CO188,0))</f>
        <v> </v>
      </c>
      <c r="DI188" s="342" t="str">
        <f aca="false">IF($A188="N/A"," ",IF(CC=2,$DF188*CY188*CP188,0))</f>
        <v> </v>
      </c>
      <c r="DJ188" s="342" t="str">
        <f aca="false">IF($A188="N/A"," ",IF(CC=2,$DF188*CZ188*CQ188,0))</f>
        <v> </v>
      </c>
      <c r="DK188" s="342" t="str">
        <f aca="false">IF($A188="N/A"," ",IF(CC=2,$DF188*DA188*CR188,0))</f>
        <v> </v>
      </c>
      <c r="DL188" s="342" t="str">
        <f aca="false">IF($A188="N/A"," ",IF(CC=2,$DF188*DB188*CS188,0))</f>
        <v> </v>
      </c>
      <c r="DM188" s="342" t="str">
        <f aca="false">IF($A188="N/A"," ",IF(CC=2,$DF188*DC188*CT188,0))</f>
        <v> </v>
      </c>
      <c r="DN188" s="342" t="str">
        <f aca="false">IF($A188="N/A"," ",IF(CC=2,$DF188*DD188*CU188,0))</f>
        <v> </v>
      </c>
      <c r="DO188" s="342" t="str">
        <f aca="false">IF($A188="N/A"," ",IF(CC=2,$DF188*DE188*CV188,0))</f>
        <v> </v>
      </c>
      <c r="DP188" s="343" t="str">
        <f aca="false">IF($A188="N/A"," ",IF(CC=2,SUM(DG188:DO188),0))</f>
        <v> </v>
      </c>
      <c r="DQ188" s="0" t="str">
        <f aca="false">IF(A188="N/A"," ",Perstart)</f>
        <v> </v>
      </c>
      <c r="HD188" s="0" t="str">
        <f aca="false">IF($A188="N/A"," ",VLOOKUP($A188,NumberofDaysTable,2))</f>
        <v> </v>
      </c>
      <c r="HE188" s="0" t="str">
        <f aca="false">IF($A188="N/A"," ",VLOOKUP($A188,NumberofDaysTable,3))</f>
        <v> </v>
      </c>
      <c r="HF188" s="0" t="str">
        <f aca="false">IF($A188="N/A"," ",VLOOKUP($A188,NumberofDaysTable,4))</f>
        <v> </v>
      </c>
    </row>
    <row r="189" customFormat="false" ht="12.75" hidden="false" customHeight="false" outlineLevel="0" collapsed="false">
      <c r="A189" s="308" t="str">
        <f aca="false">IF(A188="N/A","N/A",IF(EDATE(A188,1)&gt;Inputs!$K$3,"N/A",EDATE(A188,1)))</f>
        <v>N/A</v>
      </c>
      <c r="B189" s="309" t="str">
        <f aca="false">IF(A189="N/A"," ",YEAR(A189))</f>
        <v> </v>
      </c>
      <c r="C189" s="310" t="str">
        <f aca="false">IF(A189="N/A"," ",VLOOKUP(A189,ScaledPrice,10))</f>
        <v> </v>
      </c>
      <c r="D189" s="311" t="str">
        <f aca="false">IF(A189="N/A"," ",(VLOOKUP(MONTH($A189),Hrtable,2))/1000)</f>
        <v> </v>
      </c>
      <c r="E189" s="312" t="str">
        <f aca="false">IF($A189="N/A"," ",(C189-'Pricing Inputs'!T222)*D189)</f>
        <v> </v>
      </c>
      <c r="F189" s="313" t="str">
        <f aca="false">IF(A189="N/A"," ",$F177*(1+VOMesc))</f>
        <v> </v>
      </c>
      <c r="G189" s="313" t="str">
        <f aca="false">IF(A189="N/A"," ",Perstart/IF(AND(Dayrun&gt;=4,Dayrun&lt;=6),16,IF(AND(Dayrun&gt;=7,Dayrun&lt;=9),8,24))/(BM189/CK189))</f>
        <v> </v>
      </c>
      <c r="H189" s="314" t="str">
        <f aca="false">IF(A189="N/A"," ",(C189*D189)+F189+G189)</f>
        <v> </v>
      </c>
      <c r="I189" s="315" t="str">
        <f aca="false">VLOOKUP(A189,ScaledPrice,(IF(AND(Dayrun&gt;=1,Dayrun&lt;=6),2,4)))</f>
        <v> </v>
      </c>
      <c r="J189" s="315" t="str">
        <f aca="false">IF(A189="N/A"," ",IF(AND(Dayrun&gt;=1,Dayrun&lt;=6),I189,(VLOOKUP(A189,ScaledPrice,2))*(2-(VLOOKUP(A189,ScaledPrice,3)))))</f>
        <v> </v>
      </c>
      <c r="K189" s="315" t="str">
        <f aca="false">IF(A189="N/A"," ",IF(AND(Dayrun&gt;=1,Dayrun&lt;=3),VLOOKUP(A189,ScaledPrice,9),0))</f>
        <v> </v>
      </c>
      <c r="L189" s="315" t="str">
        <f aca="false">IF(A189="N/A"," ",IF(OR(Dayrun=2,Dayrun=3,Dayrun=5,Dayrun=6,Dayrun=8,Dayrun=9),VLOOKUP(A189,ScaledPrice,IF(AND(Dayrun&gt;=2,Dayrun&lt;=6),5,6)),0))</f>
        <v> </v>
      </c>
      <c r="M189" s="315" t="str">
        <f aca="false">IF(A189="N/A"," ",IF(OR(Dayrun=2,Dayrun=3,Dayrun=5,Dayrun=6,Dayrun=8,Dayrun=9),IF(AND(Dayrun&gt;=2,Dayrun&lt;=6),L189,(VLOOKUP(A189,ScaledPrice,5))*(2-(VLOOKUP(A189,ScaledPrice,3)))),0))</f>
        <v> </v>
      </c>
      <c r="N189" s="315" t="str">
        <f aca="false">IF(A189="N/A"," ",IF(AND(Dayrun&gt;1,Dayrun&lt;=3),VLOOKUP(A189,ScaledPrice,9),0))</f>
        <v> </v>
      </c>
      <c r="O189" s="315" t="str">
        <f aca="false">IF(A189="N/A"," ",IF(OR(Dayrun=3,Dayrun=6,Dayrun=9),(VLOOKUP(A189,ScaledPrice,IF(AND(Dayrun&gt;=3,Dayrun&lt;=6),7,8))),0))</f>
        <v> </v>
      </c>
      <c r="P189" s="315" t="str">
        <f aca="false">IF(A189="N/A"," ",IF(OR(Dayrun=3,Dayrun=6,Dayrun=9),IF(AND(Dayrun&gt;=3,Dayrun&lt;=6),O189,(VLOOKUP(A189,ScaledPrice,7))*(2-(VLOOKUP(A189,ScaledPrice,3)))),0))</f>
        <v> </v>
      </c>
      <c r="Q189" s="315" t="str">
        <f aca="false">IF(A189="N/A"," ",IF(AND(Dayrun&gt;2,Dayrun&lt;=3),VLOOKUP(A189,ScaledPrice,9),0))</f>
        <v> </v>
      </c>
      <c r="R189" s="316" t="str">
        <f aca="false">IF($A189="N/A"," ",IF(Pricetype=2,MAX(I189-$H189,0),IF(Pricetype=1,(xSPRDOPT(I189,$E189,$CI189,0,($CD189+IF(Smile=TRUE(),VLOOKUP(MAX(-5,$H189-I189),Volsmile,2),0)),$CG189,$CH189,($A189-DateToday)+15,1,0)),I189-$H189)))</f>
        <v> </v>
      </c>
      <c r="S189" s="316" t="str">
        <f aca="false">IF($A189="N/A"," ",IF(Pricetype=2,MAX(J189-$H189,0),IF(Pricetype=1,(xSPRDOPT(J189,$E189,$CI189,0,($CD189+IF(Smile=TRUE(),VLOOKUP(MAX(-5,$H189-J189),Volsmile,2),0)),$CG189,$CH189,($A189-DateToday)+15,1,0)),J189-$H189)))</f>
        <v> </v>
      </c>
      <c r="T189" s="317" t="str">
        <f aca="false">IF($A189="N/A"," ",(IF(Pricetype=2,IF((K189-$H189)&lt;=0,0,(K189-$H189)),IF(K189&lt;&gt;0,(K189-$H189),0))))</f>
        <v> </v>
      </c>
      <c r="U189" s="316" t="str">
        <f aca="false">IF($A189="N/A"," ",IF(Pricetype=2,MAX(L189-$H189,0),IF(L189&lt;&gt;0,IF(Pricetype=1,(xSPRDOPT(L189,$E189,$CI189,0,($CD189+IF(Smile=TRUE(),VLOOKUP(MAX(-5,$H189-L189),Volsmile,2),0)),$CG189,$CH189,($A189-DateToday)+15,1,0)),L189-$H189),0)))</f>
        <v> </v>
      </c>
      <c r="V189" s="316" t="str">
        <f aca="false">IF($A189="N/A"," ",IF(Pricetype=2,MAX(M189-$H189,0),IF(M189&lt;&gt;0,IF(Pricetype=1,(xSPRDOPT(M189,$E189,$CI189,0,($CD189+IF(Smile=TRUE(),VLOOKUP(MAX(-5,$H189-M189),Volsmile,2),0)),$CG189,$CH189,($A189-DateToday)+15,1,0)),M189-$H189),0)))</f>
        <v> </v>
      </c>
      <c r="W189" s="317" t="str">
        <f aca="false">IF($A189="N/A"," ",(IF(Pricetype=2,IF((N189-$H189)&lt;=0,0,(N189-$H189)),IF(N189&lt;&gt;0,(N189-$H189),0))))</f>
        <v> </v>
      </c>
      <c r="X189" s="316" t="str">
        <f aca="false">IF($A189="N/A"," ",IF(Pricetype=2,MAX(O189-$H189,0),IF(O189&lt;&gt;0,IF(Pricetype=1,(xSPRDOPT(O189,$E189,$CI189,0,($CD189+IF(Smile=TRUE(),VLOOKUP(MAX(-5,$H189-O189),Volsmile,2),0)),$CG189,$CH189,($A189-DateToday)+15,1,0)),O189-$H189),0)))</f>
        <v> </v>
      </c>
      <c r="Y189" s="316" t="str">
        <f aca="false">IF($A189="N/A"," ",IF(Pricetype=2,MAX(P189-$H189,0),IF(P189&lt;&gt;0,IF(Pricetype=1,(xSPRDOPT(P189,$E189,$CI189,0,($CD189+IF(Smile=TRUE(),VLOOKUP(MAX(-5,$H189-P189),Volsmile,2),0)),$CG189,$CH189,($A189-DateToday)+15,1,0)),P189-$H189),0)))</f>
        <v> </v>
      </c>
      <c r="Z189" s="317" t="str">
        <f aca="false">IF($A189="N/A"," ",(IF(Pricetype=2,IF((Q189-$H189)&lt;=0,0,(Q189-$H189)),IF(Q189&lt;&gt;0,(Q189-$H189),0))))</f>
        <v> </v>
      </c>
      <c r="AA189" s="318" t="str">
        <f aca="false">IF($A189="N/A"," ",IF(VLOOKUP(MONTH(A189),ManualTable,2)=1,(IF(0&lt;&gt;R189,IF(Pricetype=1,(xSPRDOPT(I189,$E189,$CI189,0,($CD189+IF(Smile=TRUE(),VLOOKUP(MAX(-5,$H189-I189),Volsmile,2),0)),$CG189,$CH189,($A189-DateToday)+15,1,1))*(8*$HD189),8*$HD189),0)),0))</f>
        <v> </v>
      </c>
      <c r="AB189" s="318" t="str">
        <f aca="false">IF($A189="N/A"," ",IF(VLOOKUP(MONTH(A189),ManualTable,3)=1,(IF(S189&lt;&gt;0,IF(Pricetype=1,(xSPRDOPT(J189,$E189,$CI189,0,($CD189+IF(Smile=TRUE(),VLOOKUP(MAX(-5,$H189-J189),Volsmile,2),0)),$CG189,$CH189,($A189-DateToday)+15,1,1))*(8*$HD189),8*$HD189),0)),0))</f>
        <v> </v>
      </c>
      <c r="AC189" s="318" t="str">
        <f aca="false">IF($A189="N/A"," ",IF(VLOOKUP(MONTH(A189),ManualTable,4)=1,(IF(T189&lt;&gt;0,(8*$HD189),0)),0))</f>
        <v> </v>
      </c>
      <c r="AD189" s="318" t="str">
        <f aca="false">IF($A189="N/A"," ",IF(VLOOKUP(MONTH(A189),ManualTable,5)=1,(IF(U189&lt;&gt;0,IF(Pricetype=1,(xSPRDOPT(L189,$E189,$CI189,0,($CD189+IF(Smile=TRUE(),VLOOKUP(MAX(-5,$H189-L189),Volsmile,2),0)),$CG189,$CH189,($A189-DateToday)+15,1,1))*(8*$HE189),8*$HE189),0)),0))</f>
        <v> </v>
      </c>
      <c r="AE189" s="318" t="str">
        <f aca="false">IF($A189="N/A"," ",IF(VLOOKUP(MONTH(A189),ManualTable,6)=1,(IF(V189&lt;&gt;0,IF(Pricetype=1,(xSPRDOPT(M189,$E189,$CI189,0,($CD189+IF(Smile=TRUE(),VLOOKUP(MAX(-5,$H189-M189),Volsmile,2),0)),$CG189,$CH189,($A189-DateToday)+15,1,1))*(8*$HE189),8*$HE189),0)),0))</f>
        <v> </v>
      </c>
      <c r="AF189" s="318" t="str">
        <f aca="false">IF($A189="N/A"," ",IF(VLOOKUP(MONTH(A189),ManualTable,7)=1,(IF(W189&lt;&gt;0,(8*$HE189),0)),0))</f>
        <v> </v>
      </c>
      <c r="AG189" s="318" t="str">
        <f aca="false">IF($A189="N/A"," ",IF(VLOOKUP(MONTH(A189),ManualTable,8)=1,(IF(X189&lt;&gt;0,IF(Pricetype=1,(xSPRDOPT(O189,$E189,$CI189,0,($CD189+IF(Smile=TRUE(),VLOOKUP(MAX(-5,$H189-O189),Volsmile,2),0)),$CG189,$CH189,($A189-DateToday)+15,1,1))*(8*$HF189),8*$HF189),0)),0))</f>
        <v> </v>
      </c>
      <c r="AH189" s="318" t="str">
        <f aca="false">IF($A189="N/A"," ",IF(VLOOKUP(MONTH(A189),ManualTable,9)=1,(IF(Y189&lt;&gt;0,IF(Pricetype=1,(xSPRDOPT(P189,$E189,$CI189,0,($CD189+IF(Smile=TRUE(),VLOOKUP(MAX(-5,$H189-P189),Volsmile,2),0)),$CG189,$CH189,($A189-DateToday)+15,1,1))*(8*$HF189),8*$HF189),0)),0))</f>
        <v> </v>
      </c>
      <c r="AI189" s="318" t="str">
        <f aca="false">IF($A189="N/A"," ",IF(VLOOKUP(MONTH(A189),ManualTable,10)=1,(IF(Z189&lt;&gt;0,(8*($HF189)),0)),0))</f>
        <v> </v>
      </c>
      <c r="AJ189" s="344" t="str">
        <f aca="false">IF($A189="N/A"," ",RANK(R189,$R$184:$Z$195))</f>
        <v> </v>
      </c>
      <c r="AK189" s="321" t="str">
        <f aca="false">IF($A189="N/A"," ",RANK(S189,$R$184:$Z$195))</f>
        <v> </v>
      </c>
      <c r="AL189" s="321" t="str">
        <f aca="false">IF($A189="N/A"," ",RANK(T189,$R$184:$Z$195))</f>
        <v> </v>
      </c>
      <c r="AM189" s="321" t="str">
        <f aca="false">IF($A189="N/A"," ",RANK(U189,$R$184:$Z$195))</f>
        <v> </v>
      </c>
      <c r="AN189" s="321" t="str">
        <f aca="false">IF($A189="N/A"," ",RANK(V189,$R$184:$Z$195))</f>
        <v> </v>
      </c>
      <c r="AO189" s="321" t="str">
        <f aca="false">IF($A189="N/A"," ",RANK(W189,$R$184:$Z$195))</f>
        <v> </v>
      </c>
      <c r="AP189" s="321" t="str">
        <f aca="false">IF($A189="N/A"," ",RANK(X189,$R$184:$Z$195))</f>
        <v> </v>
      </c>
      <c r="AQ189" s="321" t="str">
        <f aca="false">IF($A189="N/A"," ",RANK(Y189,$R$184:$Z$195))</f>
        <v> </v>
      </c>
      <c r="AR189" s="345" t="str">
        <f aca="false">IF($A189="N/A"," ",RANK(Z189,$R$184:$Z$195))</f>
        <v> </v>
      </c>
      <c r="AS189" s="323" t="str">
        <f aca="false">IF($A189="N/A"," ",IF(AJ189&lt;=$AR$2,AA189,0))</f>
        <v> </v>
      </c>
      <c r="AT189" s="325" t="str">
        <f aca="false">IF($A189="N/A"," ",IF(AK189&lt;=$AR$2,AB189,0))</f>
        <v> </v>
      </c>
      <c r="AU189" s="325" t="str">
        <f aca="false">IF($A189="N/A"," ",IF(AL189&lt;=$AR$2,AC189,0))</f>
        <v> </v>
      </c>
      <c r="AV189" s="325" t="str">
        <f aca="false">IF($A189="N/A"," ",IF(AM189&lt;=$AR$2,AD189,0))</f>
        <v> </v>
      </c>
      <c r="AW189" s="325" t="str">
        <f aca="false">IF($A189="N/A"," ",IF(AN189&lt;=$AR$2,AE189,0))</f>
        <v> </v>
      </c>
      <c r="AX189" s="325" t="str">
        <f aca="false">IF($A189="N/A"," ",IF(AO189&lt;=$AR$2,AF189,0))</f>
        <v> </v>
      </c>
      <c r="AY189" s="325" t="str">
        <f aca="false">IF($A189="N/A"," ",IF(AP189&lt;=$AR$2,AG189,0))</f>
        <v> </v>
      </c>
      <c r="AZ189" s="325" t="str">
        <f aca="false">IF($A189="N/A"," ",IF(AQ189&lt;=$AR$2,AH189,0))</f>
        <v> </v>
      </c>
      <c r="BA189" s="325" t="str">
        <f aca="false">IF($A189="N/A"," ",IF(AR189&lt;=$AR$2,AI189,0))</f>
        <v> </v>
      </c>
      <c r="BB189" s="345"/>
      <c r="BC189" s="326" t="str">
        <f aca="false">IF($A189="N/A"," ",IF(AND(AJ189=$AR$2+1,AS189=0),MIN($BB$195,AA189),0))</f>
        <v> </v>
      </c>
      <c r="BD189" s="346" t="str">
        <f aca="false">IF($A189="N/A"," ",IF(AND(AK189=$AR$2+1,AT189=0),MIN($BB$195,AB189),0))</f>
        <v> </v>
      </c>
      <c r="BE189" s="346" t="str">
        <f aca="false">IF($A189="N/A"," ",IF(AND(AL189=$AR$2+1,AU189=0),MIN($BB$195,AC189),0))</f>
        <v> </v>
      </c>
      <c r="BF189" s="346" t="str">
        <f aca="false">IF($A189="N/A"," ",IF(AND(AM189=$AR$2+1,AV189=0),MIN($BB$195,AD189),0))</f>
        <v> </v>
      </c>
      <c r="BG189" s="346" t="str">
        <f aca="false">IF($A189="N/A"," ",IF(AND(AN189=$AR$2+1,AW189=0),MIN($BB$195,AE189),0))</f>
        <v> </v>
      </c>
      <c r="BH189" s="346" t="str">
        <f aca="false">IF($A189="N/A"," ",IF(AND(AO189=$AR$2+1,AX189=0),MIN($BB$195,AF189),0))</f>
        <v> </v>
      </c>
      <c r="BI189" s="346" t="str">
        <f aca="false">IF($A189="N/A"," ",IF(AND(AP189=$AR$2+1,AY189=0),MIN($BB$195,AG189),0))</f>
        <v> </v>
      </c>
      <c r="BJ189" s="346" t="str">
        <f aca="false">IF($A189="N/A"," ",IF(AND(AQ189=$AR$2+1,AZ189=0),MIN($BB$195,AH189),0))</f>
        <v> </v>
      </c>
      <c r="BK189" s="346" t="str">
        <f aca="false">IF($A189="N/A"," ",IF(AND(AR189=$AR$2+1,BA189=0),MIN($BB$195,AI189),0))</f>
        <v> </v>
      </c>
      <c r="BL189" s="345"/>
      <c r="BM189" s="329" t="str">
        <f aca="false">IF($A189="N/A"," ",(IF(MONTH(A189)&gt;=4,IF(MONTH(A189)&lt;=10,Inputs!$F$13-Inputs!$G$13,Inputs!$F$14-Inputs!$G$14),Inputs!$F$14-Inputs!$G$14))*$CK189*Availability)</f>
        <v> </v>
      </c>
      <c r="BN189" s="330" t="str">
        <f aca="false">IF($A189="N/A"," ",(IF(AS189&gt;0,($BM189*(8*($HD189))*R189),0)+IF(BC189&gt;0,($BM189*((BC189/AA189)*8*$HD189)*R189),0)))</f>
        <v> </v>
      </c>
      <c r="BO189" s="330" t="str">
        <f aca="false">IF($A189="N/A"," ",(IF(AT189&gt;0,($BM189*(8*($HD189))*S189),0)+IF(BD189&gt;0,($BM189*((BD189/AB189)*8*$HD189)*S189),0)))</f>
        <v> </v>
      </c>
      <c r="BP189" s="330" t="str">
        <f aca="false">IF($A189="N/A"," ",(IF(AU189&gt;0,($BM189*(8*($HD189))*T189),0)+IF(BE189&gt;0,($BM189*((BE189))*T189),0)))</f>
        <v> </v>
      </c>
      <c r="BQ189" s="330" t="str">
        <f aca="false">IF($A189="N/A"," ",(IF(AV189&gt;0,($BM189*(8*($HE189))*U189),0)+IF(BF189&gt;0,($BM189*((BF189/AD189)*8*$HE189)*U189),0)))</f>
        <v> </v>
      </c>
      <c r="BR189" s="330" t="str">
        <f aca="false">IF($A189="N/A"," ",(IF(AW189&gt;0,($BM189*(8*($HE189))*V189),0)+IF(BG189&gt;0,($BM189*((BG189/AE189)*8*$HE189)*V189),0)))</f>
        <v> </v>
      </c>
      <c r="BS189" s="330" t="str">
        <f aca="false">IF($A189="N/A"," ",(IF(AX189&gt;0,($BM189*(8*($HE189))*W189),0)+IF(BH189&gt;0,($BM189*((BH189))*W189),0)))</f>
        <v> </v>
      </c>
      <c r="BT189" s="330" t="str">
        <f aca="false">IF($A189="N/A"," ",(IF(AY189&gt;0,($BM189*(8*($HF189))*X189),0)+IF(BI189&gt;0,($BM189*((BI189/AG189)*8*$HF189)*X189),0)))</f>
        <v> </v>
      </c>
      <c r="BU189" s="330" t="str">
        <f aca="false">IF($A189="N/A"," ",(IF(AZ189&gt;0,($BM189*(8*($HF189))*Y189),0)+IF(BJ189&gt;0,($BM189*((BJ189/AH189)*8*$HF189)*Y189),0)))</f>
        <v> </v>
      </c>
      <c r="BV189" s="330" t="str">
        <f aca="false">IF($A189="N/A"," ",(IF(BA189&gt;0,($BM189*(8*($HF189))*Z189),0)+IF(BK189&gt;0,($BM189*((BK189))*Z189),0)))</f>
        <v> </v>
      </c>
      <c r="BW189" s="330" t="str">
        <f aca="false">IF($A189="N/A"," ",SUM(BN189:BV189))</f>
        <v> </v>
      </c>
      <c r="BX189" s="331" t="str">
        <f aca="false">IF($A189="N/A"," ",(H189*(SUM(AS189:BA189)+SUM(BC189:BK189))*BM189))</f>
        <v> </v>
      </c>
      <c r="BY189" s="332" t="str">
        <f aca="false">IF($A189="N/A"," ",((C189*D189)*(SUM($AS189:$BA189)+SUM($BC189:$BK189))*$BM189))</f>
        <v> </v>
      </c>
      <c r="BZ189" s="332" t="str">
        <f aca="false">IF($A189="N/A"," ",(F189*(SUM($AS189:$BA189)+SUM($BC189:$BK189))*$BM189))</f>
        <v> </v>
      </c>
      <c r="CA189" s="333" t="str">
        <f aca="false">IF($A189="N/A"," ",(G189*(SUM($AS189:$BA189)+SUM($BC189:$BK189))*$BM189))</f>
        <v> </v>
      </c>
      <c r="CB189" s="334" t="str">
        <f aca="false">IF(A189="N/A"," ",(VLOOKUP(A189,PowerVolTable,(IF(BMO=2,7,IF(BMO=1,6,8))),FALSE())))</f>
        <v> </v>
      </c>
      <c r="CC189" s="334" t="str">
        <f aca="false">IF(A189="N/A"," ",(VLOOKUP(A189,IntraPowerVol,(IF(BMO=2,3,IF(BMO=1,2,4))),FALSE())*VLOOKUP(MONTH($A189),Volscale,2)))</f>
        <v> </v>
      </c>
      <c r="CD189" s="335" t="str">
        <f aca="false">IF($A189="N/A"," ",(IF(DateToday&gt;$A189,$CC189,((($CB189^2)*((($A189-1)-DateToday)/((EOMONTH($A189,0)+1)-DateToday-15)))+((($CC189)^2)*((15)/((EOMONTH($A189,0)+1)-DateToday-15))))^0.5)))</f>
        <v> </v>
      </c>
      <c r="CE189" s="334" t="str">
        <f aca="false">IF($A189="N/A"," ",(VLOOKUP($A189,GasVolTable,(IF(BMO=2,6,IF(BMO=1,7,5))),FALSE())))</f>
        <v> </v>
      </c>
      <c r="CF189" s="334" t="str">
        <f aca="false">IF($A189="N/A"," ",(VLOOKUP($A189,OmicronVol,(IF(BMO=2,3,IF(BMO=1,4,2))),FALSE())))</f>
        <v> </v>
      </c>
      <c r="CG189" s="335" t="str">
        <f aca="false">IF($A189="N/A"," ",(IF(DateToday&gt;$A189,$CF189,((($CE189^2)*((($A189-1)-DateToday)/((EOMONTH($A189,0)+1)-DateToday-15)))+((($CF189)^2)*((15)/((EOMONTH($A189,0)+1)-DateToday-15))))^0.5)))</f>
        <v> </v>
      </c>
      <c r="CH189" s="334" t="str">
        <f aca="false">IF($A189="N/A"," ",VLOOKUP($A189,CorrelationTable,2,FALSE()))</f>
        <v> </v>
      </c>
      <c r="CI189" s="336" t="str">
        <f aca="false">IF($A189="N/A"," ",F189+G189+(D189*('Pricing Inputs'!T222)))</f>
        <v> </v>
      </c>
      <c r="CJ189" s="334" t="str">
        <f aca="false">IF($A189="N/A"," ",IF(PV=1,0,'Pricing Inputs'!U222))</f>
        <v> </v>
      </c>
      <c r="CK189" s="337" t="str">
        <f aca="false">IF($A189="N/A"," ",(1+CJ189/2)^(-2*((EOMONTH(A189,0)+20)-DateToday)/365.25))</f>
        <v> </v>
      </c>
      <c r="CL189" s="338" t="str">
        <f aca="false">IF(A189="N/A"," ",IF(CC=2,(VLOOKUP(MONTH($A189),Hrtable,3))/1000,0))</f>
        <v> </v>
      </c>
      <c r="CM189" s="339" t="str">
        <f aca="false">IF(A189="N/A"," ",IF(CC=2,(CL189*C189)+F189,0))</f>
        <v> </v>
      </c>
      <c r="CN189" s="340" t="str">
        <f aca="false">IF($A189="N/A"," ",IF(CC=2,(VLOOKUP(A189,ScaledPrice,(IF(AND(Dayrun&gt;=1,Dayrun&lt;=6),2,4)))-((IF(R189&lt;&gt;0,$D189,$CL189)*$C189)+$F189+$G189)),0))</f>
        <v> </v>
      </c>
      <c r="CO189" s="340" t="str">
        <f aca="false">IF($A189="N/A"," ",IF(CC=2,(IF(AND(Dayrun&gt;=1,Dayrun&lt;=6),I189,(VLOOKUP(A189,ScaledPrice,2))*(2-(VLOOKUP(A189,ScaledPrice,3))))-((IF(S189&lt;&gt;0,$D189,$CL189)*$C189)+$F189+$G189)),0))</f>
        <v> </v>
      </c>
      <c r="CP189" s="340" t="str">
        <f aca="false">IF(A189="N/A"," ",IF(CC=2,(VLOOKUP(A189,ScaledPrice,9)-((IF(T189&lt;&gt;0,$D189,$CL189)*$C189)+$F189+$G189)),0))</f>
        <v> </v>
      </c>
      <c r="CQ189" s="340" t="str">
        <f aca="false">IF(A189="N/A"," ",IF(CC=2,(IF(OR(Dayrun=2,Dayrun=3,Dayrun=5,Dayrun=6,Dayrun=8,Dayrun=9),VLOOKUP(A189,ScaledPrice,IF(AND(Dayrun&gt;=2,Dayrun&lt;=6),5,6)),0)-((IF(U189&lt;&gt;0,$D189,$CL189)*$C189)+$F189+$G189)),0))</f>
        <v> </v>
      </c>
      <c r="CR189" s="340" t="str">
        <f aca="false">IF(A189="N/A"," ",IF(CC=2,(IF(OR(Dayrun=2,Dayrun=3,Dayrun=5,Dayrun=6,Dayrun=8,Dayrun=9),IF(AND(Dayrun&gt;=2,Dayrun&lt;=6),L189,(VLOOKUP(A189,ScaledPrice,5))*(2-(VLOOKUP(A189,ScaledPrice,3)))),0)-((IF(V189&lt;&gt;0,$D189,$CL189)*$C189)+$F189+$G189)),0))</f>
        <v> </v>
      </c>
      <c r="CS189" s="340" t="str">
        <f aca="false">IF(A189="N/A"," ",IF(CC=2,(VLOOKUP(A189,ScaledPrice,9)-((IF(W189&lt;&gt;0,$D189,$CL189)*$C189)+$F189+$G189)),0))</f>
        <v> </v>
      </c>
      <c r="CT189" s="340" t="str">
        <f aca="false">IF(A189="N/A"," ",IF(CC=2,(IF(OR(Dayrun=3,Dayrun=6,Dayrun=9),(VLOOKUP(A189,ScaledPrice,IF(AND(Dayrun&gt;=3,Dayrun&lt;=6),7,8))),0)-((IF(X189&lt;&gt;0,$D189,$CL189)*$C189)+$F189+$G189)),0))</f>
        <v> </v>
      </c>
      <c r="CU189" s="340" t="str">
        <f aca="false">IF(A189="N/A"," ",IF(CC=2,(IF(OR(Dayrun=3,Dayrun=6,Dayrun=9),IF(AND(Dayrun&gt;=3,Dayrun&lt;=6),O189,(VLOOKUP(A189,ScaledPrice,7))*(2-(VLOOKUP(A189,ScaledPrice,3)))),0)-((IF(Y189&lt;&gt;0,$D189,$CL189)*$C189)+$F189+$G189)),0))</f>
        <v> </v>
      </c>
      <c r="CV189" s="340" t="str">
        <f aca="false">IF(A189="N/A"," ",IF(CC=2,(VLOOKUP(A189,ScaledPrice,9)-((IF(Z189&lt;&gt;0,$D189,$CL189)*$C189)+$F189+$G189)),0))</f>
        <v> </v>
      </c>
      <c r="CW189" s="318" t="str">
        <f aca="false">IF($A189="N/A"," ",IF(0&lt;&gt;CN189,IF(CC=2,8*$HD189,0),0))</f>
        <v> </v>
      </c>
      <c r="CX189" s="318" t="str">
        <f aca="false">IF($A189="N/A"," ",IF(0&lt;&gt;CO189,IF(CC=2,8*$HD189,0),0))</f>
        <v> </v>
      </c>
      <c r="CY189" s="318" t="str">
        <f aca="false">IF($A189="N/A"," ",IF(0&lt;&gt;CP189,IF(CC=2,8*$HD189,0),0))</f>
        <v> </v>
      </c>
      <c r="CZ189" s="318" t="str">
        <f aca="false">IF($A189="N/A"," ",IF(0&lt;&gt;CQ189,IF(CC=2,8*$HE189,0),0))</f>
        <v> </v>
      </c>
      <c r="DA189" s="318" t="str">
        <f aca="false">IF($A189="N/A"," ",IF(0&lt;&gt;CR189,IF(CC=2,8*$HE189,0),0))</f>
        <v> </v>
      </c>
      <c r="DB189" s="318" t="str">
        <f aca="false">IF($A189="N/A"," ",IF(0&lt;&gt;CS189,IF(CC=2,8*$HE189,0),0))</f>
        <v> </v>
      </c>
      <c r="DC189" s="318" t="str">
        <f aca="false">IF($A189="N/A"," ",IF(0&lt;&gt;CT189,IF(CC=2,8*$HF189,0),0))</f>
        <v> </v>
      </c>
      <c r="DD189" s="318" t="str">
        <f aca="false">IF($A189="N/A"," ",IF(0&lt;&gt;CU189,IF(CC=2,8*$HF189,0),0))</f>
        <v> </v>
      </c>
      <c r="DE189" s="318" t="str">
        <f aca="false">IF($A189="N/A"," ",IF(0&lt;&gt;CV189,IF(CC=2,8*$HF189,0),0))</f>
        <v> </v>
      </c>
      <c r="DF189" s="341" t="str">
        <f aca="false">IF($A189="N/A"," ",IF(CC=2,(IF(MONTH(A189)&gt;=4,IF(MONTH(A189)&lt;=10,Inputs!$G$13,Inputs!$G$14),Inputs!$G$14))*$CK189,0))</f>
        <v> </v>
      </c>
      <c r="DG189" s="342" t="str">
        <f aca="false">IF($A189="N/A"," ",IF(CC=2,$DF189*CW189*CN189,0))</f>
        <v> </v>
      </c>
      <c r="DH189" s="342" t="str">
        <f aca="false">IF($A189="N/A"," ",IF(CC=2,$DF189*CX189*CO189,0))</f>
        <v> </v>
      </c>
      <c r="DI189" s="342" t="str">
        <f aca="false">IF($A189="N/A"," ",IF(CC=2,$DF189*CY189*CP189,0))</f>
        <v> </v>
      </c>
      <c r="DJ189" s="342" t="str">
        <f aca="false">IF($A189="N/A"," ",IF(CC=2,$DF189*CZ189*CQ189,0))</f>
        <v> </v>
      </c>
      <c r="DK189" s="342" t="str">
        <f aca="false">IF($A189="N/A"," ",IF(CC=2,$DF189*DA189*CR189,0))</f>
        <v> </v>
      </c>
      <c r="DL189" s="342" t="str">
        <f aca="false">IF($A189="N/A"," ",IF(CC=2,$DF189*DB189*CS189,0))</f>
        <v> </v>
      </c>
      <c r="DM189" s="342" t="str">
        <f aca="false">IF($A189="N/A"," ",IF(CC=2,$DF189*DC189*CT189,0))</f>
        <v> </v>
      </c>
      <c r="DN189" s="342" t="str">
        <f aca="false">IF($A189="N/A"," ",IF(CC=2,$DF189*DD189*CU189,0))</f>
        <v> </v>
      </c>
      <c r="DO189" s="342" t="str">
        <f aca="false">IF($A189="N/A"," ",IF(CC=2,$DF189*DE189*CV189,0))</f>
        <v> </v>
      </c>
      <c r="DP189" s="343" t="str">
        <f aca="false">IF($A189="N/A"," ",IF(CC=2,SUM(DG189:DO189),0))</f>
        <v> </v>
      </c>
      <c r="DQ189" s="0" t="str">
        <f aca="false">IF(A189="N/A"," ",Perstart)</f>
        <v> </v>
      </c>
      <c r="HD189" s="0" t="str">
        <f aca="false">IF($A189="N/A"," ",VLOOKUP($A189,NumberofDaysTable,2))</f>
        <v> </v>
      </c>
      <c r="HE189" s="0" t="str">
        <f aca="false">IF($A189="N/A"," ",VLOOKUP($A189,NumberofDaysTable,3))</f>
        <v> </v>
      </c>
      <c r="HF189" s="0" t="str">
        <f aca="false">IF($A189="N/A"," ",VLOOKUP($A189,NumberofDaysTable,4))</f>
        <v> </v>
      </c>
    </row>
    <row r="190" customFormat="false" ht="12.75" hidden="false" customHeight="false" outlineLevel="0" collapsed="false">
      <c r="A190" s="308" t="str">
        <f aca="false">IF(A189="N/A","N/A",IF(EDATE(A189,1)&gt;Inputs!$K$3,"N/A",EDATE(A189,1)))</f>
        <v>N/A</v>
      </c>
      <c r="B190" s="309" t="str">
        <f aca="false">IF(A190="N/A"," ",YEAR(A190))</f>
        <v> </v>
      </c>
      <c r="C190" s="310" t="str">
        <f aca="false">IF(A190="N/A"," ",VLOOKUP(A190,ScaledPrice,10))</f>
        <v> </v>
      </c>
      <c r="D190" s="311" t="str">
        <f aca="false">IF(A190="N/A"," ",(VLOOKUP(MONTH($A190),Hrtable,2))/1000)</f>
        <v> </v>
      </c>
      <c r="E190" s="312" t="str">
        <f aca="false">IF($A190="N/A"," ",(C190-'Pricing Inputs'!T223)*D190)</f>
        <v> </v>
      </c>
      <c r="F190" s="313" t="str">
        <f aca="false">IF(A190="N/A"," ",$F178*(1+VOMesc))</f>
        <v> </v>
      </c>
      <c r="G190" s="313" t="str">
        <f aca="false">IF(A190="N/A"," ",Perstart/IF(AND(Dayrun&gt;=4,Dayrun&lt;=6),16,IF(AND(Dayrun&gt;=7,Dayrun&lt;=9),8,24))/(BM190/CK190))</f>
        <v> </v>
      </c>
      <c r="H190" s="314" t="str">
        <f aca="false">IF(A190="N/A"," ",(C190*D190)+F190+G190)</f>
        <v> </v>
      </c>
      <c r="I190" s="315" t="str">
        <f aca="false">VLOOKUP(A190,ScaledPrice,(IF(AND(Dayrun&gt;=1,Dayrun&lt;=6),2,4)))</f>
        <v> </v>
      </c>
      <c r="J190" s="315" t="str">
        <f aca="false">IF(A190="N/A"," ",IF(AND(Dayrun&gt;=1,Dayrun&lt;=6),I190,(VLOOKUP(A190,ScaledPrice,2))*(2-(VLOOKUP(A190,ScaledPrice,3)))))</f>
        <v> </v>
      </c>
      <c r="K190" s="315" t="str">
        <f aca="false">IF(A190="N/A"," ",IF(AND(Dayrun&gt;=1,Dayrun&lt;=3),VLOOKUP(A190,ScaledPrice,9),0))</f>
        <v> </v>
      </c>
      <c r="L190" s="315" t="str">
        <f aca="false">IF(A190="N/A"," ",IF(OR(Dayrun=2,Dayrun=3,Dayrun=5,Dayrun=6,Dayrun=8,Dayrun=9),VLOOKUP(A190,ScaledPrice,IF(AND(Dayrun&gt;=2,Dayrun&lt;=6),5,6)),0))</f>
        <v> </v>
      </c>
      <c r="M190" s="315" t="str">
        <f aca="false">IF(A190="N/A"," ",IF(OR(Dayrun=2,Dayrun=3,Dayrun=5,Dayrun=6,Dayrun=8,Dayrun=9),IF(AND(Dayrun&gt;=2,Dayrun&lt;=6),L190,(VLOOKUP(A190,ScaledPrice,5))*(2-(VLOOKUP(A190,ScaledPrice,3)))),0))</f>
        <v> </v>
      </c>
      <c r="N190" s="315" t="str">
        <f aca="false">IF(A190="N/A"," ",IF(AND(Dayrun&gt;1,Dayrun&lt;=3),VLOOKUP(A190,ScaledPrice,9),0))</f>
        <v> </v>
      </c>
      <c r="O190" s="315" t="str">
        <f aca="false">IF(A190="N/A"," ",IF(OR(Dayrun=3,Dayrun=6,Dayrun=9),(VLOOKUP(A190,ScaledPrice,IF(AND(Dayrun&gt;=3,Dayrun&lt;=6),7,8))),0))</f>
        <v> </v>
      </c>
      <c r="P190" s="315" t="str">
        <f aca="false">IF(A190="N/A"," ",IF(OR(Dayrun=3,Dayrun=6,Dayrun=9),IF(AND(Dayrun&gt;=3,Dayrun&lt;=6),O190,(VLOOKUP(A190,ScaledPrice,7))*(2-(VLOOKUP(A190,ScaledPrice,3)))),0))</f>
        <v> </v>
      </c>
      <c r="Q190" s="315" t="str">
        <f aca="false">IF(A190="N/A"," ",IF(AND(Dayrun&gt;2,Dayrun&lt;=3),VLOOKUP(A190,ScaledPrice,9),0))</f>
        <v> </v>
      </c>
      <c r="R190" s="316" t="str">
        <f aca="false">IF($A190="N/A"," ",IF(Pricetype=2,MAX(I190-$H190,0),IF(Pricetype=1,(xSPRDOPT(I190,$E190,$CI190,0,($CD190+IF(Smile=TRUE(),VLOOKUP(MAX(-5,$H190-I190),Volsmile,2),0)),$CG190,$CH190,($A190-DateToday)+15,1,0)),I190-$H190)))</f>
        <v> </v>
      </c>
      <c r="S190" s="316" t="str">
        <f aca="false">IF($A190="N/A"," ",IF(Pricetype=2,MAX(J190-$H190,0),IF(Pricetype=1,(xSPRDOPT(J190,$E190,$CI190,0,($CD190+IF(Smile=TRUE(),VLOOKUP(MAX(-5,$H190-J190),Volsmile,2),0)),$CG190,$CH190,($A190-DateToday)+15,1,0)),J190-$H190)))</f>
        <v> </v>
      </c>
      <c r="T190" s="317" t="str">
        <f aca="false">IF($A190="N/A"," ",(IF(Pricetype=2,IF((K190-$H190)&lt;=0,0,(K190-$H190)),IF(K190&lt;&gt;0,(K190-$H190),0))))</f>
        <v> </v>
      </c>
      <c r="U190" s="316" t="str">
        <f aca="false">IF($A190="N/A"," ",IF(Pricetype=2,MAX(L190-$H190,0),IF(L190&lt;&gt;0,IF(Pricetype=1,(xSPRDOPT(L190,$E190,$CI190,0,($CD190+IF(Smile=TRUE(),VLOOKUP(MAX(-5,$H190-L190),Volsmile,2),0)),$CG190,$CH190,($A190-DateToday)+15,1,0)),L190-$H190),0)))</f>
        <v> </v>
      </c>
      <c r="V190" s="316" t="str">
        <f aca="false">IF($A190="N/A"," ",IF(Pricetype=2,MAX(M190-$H190,0),IF(M190&lt;&gt;0,IF(Pricetype=1,(xSPRDOPT(M190,$E190,$CI190,0,($CD190+IF(Smile=TRUE(),VLOOKUP(MAX(-5,$H190-M190),Volsmile,2),0)),$CG190,$CH190,($A190-DateToday)+15,1,0)),M190-$H190),0)))</f>
        <v> </v>
      </c>
      <c r="W190" s="317" t="str">
        <f aca="false">IF($A190="N/A"," ",(IF(Pricetype=2,IF((N190-$H190)&lt;=0,0,(N190-$H190)),IF(N190&lt;&gt;0,(N190-$H190),0))))</f>
        <v> </v>
      </c>
      <c r="X190" s="316" t="str">
        <f aca="false">IF($A190="N/A"," ",IF(Pricetype=2,MAX(O190-$H190,0),IF(O190&lt;&gt;0,IF(Pricetype=1,(xSPRDOPT(O190,$E190,$CI190,0,($CD190+IF(Smile=TRUE(),VLOOKUP(MAX(-5,$H190-O190),Volsmile,2),0)),$CG190,$CH190,($A190-DateToday)+15,1,0)),O190-$H190),0)))</f>
        <v> </v>
      </c>
      <c r="Y190" s="316" t="str">
        <f aca="false">IF($A190="N/A"," ",IF(Pricetype=2,MAX(P190-$H190,0),IF(P190&lt;&gt;0,IF(Pricetype=1,(xSPRDOPT(P190,$E190,$CI190,0,($CD190+IF(Smile=TRUE(),VLOOKUP(MAX(-5,$H190-P190),Volsmile,2),0)),$CG190,$CH190,($A190-DateToday)+15,1,0)),P190-$H190),0)))</f>
        <v> </v>
      </c>
      <c r="Z190" s="317" t="str">
        <f aca="false">IF($A190="N/A"," ",(IF(Pricetype=2,IF((Q190-$H190)&lt;=0,0,(Q190-$H190)),IF(Q190&lt;&gt;0,(Q190-$H190),0))))</f>
        <v> </v>
      </c>
      <c r="AA190" s="318" t="str">
        <f aca="false">IF($A190="N/A"," ",IF(VLOOKUP(MONTH(A190),ManualTable,2)=1,(IF(0&lt;&gt;R190,IF(Pricetype=1,(xSPRDOPT(I190,$E190,$CI190,0,($CD190+IF(Smile=TRUE(),VLOOKUP(MAX(-5,$H190-I190),Volsmile,2),0)),$CG190,$CH190,($A190-DateToday)+15,1,1))*(8*$HD190),8*$HD190),0)),0))</f>
        <v> </v>
      </c>
      <c r="AB190" s="318" t="str">
        <f aca="false">IF($A190="N/A"," ",IF(VLOOKUP(MONTH(A190),ManualTable,3)=1,(IF(S190&lt;&gt;0,IF(Pricetype=1,(xSPRDOPT(J190,$E190,$CI190,0,($CD190+IF(Smile=TRUE(),VLOOKUP(MAX(-5,$H190-J190),Volsmile,2),0)),$CG190,$CH190,($A190-DateToday)+15,1,1))*(8*$HD190),8*$HD190),0)),0))</f>
        <v> </v>
      </c>
      <c r="AC190" s="318" t="str">
        <f aca="false">IF($A190="N/A"," ",IF(VLOOKUP(MONTH(A190),ManualTable,4)=1,(IF(T190&lt;&gt;0,(8*$HD190),0)),0))</f>
        <v> </v>
      </c>
      <c r="AD190" s="318" t="str">
        <f aca="false">IF($A190="N/A"," ",IF(VLOOKUP(MONTH(A190),ManualTable,5)=1,(IF(U190&lt;&gt;0,IF(Pricetype=1,(xSPRDOPT(L190,$E190,$CI190,0,($CD190+IF(Smile=TRUE(),VLOOKUP(MAX(-5,$H190-L190),Volsmile,2),0)),$CG190,$CH190,($A190-DateToday)+15,1,1))*(8*$HE190),8*$HE190),0)),0))</f>
        <v> </v>
      </c>
      <c r="AE190" s="318" t="str">
        <f aca="false">IF($A190="N/A"," ",IF(VLOOKUP(MONTH(A190),ManualTable,6)=1,(IF(V190&lt;&gt;0,IF(Pricetype=1,(xSPRDOPT(M190,$E190,$CI190,0,($CD190+IF(Smile=TRUE(),VLOOKUP(MAX(-5,$H190-M190),Volsmile,2),0)),$CG190,$CH190,($A190-DateToday)+15,1,1))*(8*$HE190),8*$HE190),0)),0))</f>
        <v> </v>
      </c>
      <c r="AF190" s="318" t="str">
        <f aca="false">IF($A190="N/A"," ",IF(VLOOKUP(MONTH(A190),ManualTable,7)=1,(IF(W190&lt;&gt;0,(8*$HE190),0)),0))</f>
        <v> </v>
      </c>
      <c r="AG190" s="318" t="str">
        <f aca="false">IF($A190="N/A"," ",IF(VLOOKUP(MONTH(A190),ManualTable,8)=1,(IF(X190&lt;&gt;0,IF(Pricetype=1,(xSPRDOPT(O190,$E190,$CI190,0,($CD190+IF(Smile=TRUE(),VLOOKUP(MAX(-5,$H190-O190),Volsmile,2),0)),$CG190,$CH190,($A190-DateToday)+15,1,1))*(8*$HF190),8*$HF190),0)),0))</f>
        <v> </v>
      </c>
      <c r="AH190" s="318" t="str">
        <f aca="false">IF($A190="N/A"," ",IF(VLOOKUP(MONTH(A190),ManualTable,9)=1,(IF(Y190&lt;&gt;0,IF(Pricetype=1,(xSPRDOPT(P190,$E190,$CI190,0,($CD190+IF(Smile=TRUE(),VLOOKUP(MAX(-5,$H190-P190),Volsmile,2),0)),$CG190,$CH190,($A190-DateToday)+15,1,1))*(8*$HF190),8*$HF190),0)),0))</f>
        <v> </v>
      </c>
      <c r="AI190" s="318" t="str">
        <f aca="false">IF($A190="N/A"," ",IF(VLOOKUP(MONTH(A190),ManualTable,10)=1,(IF(Z190&lt;&gt;0,(8*($HF190)),0)),0))</f>
        <v> </v>
      </c>
      <c r="AJ190" s="344" t="str">
        <f aca="false">IF($A190="N/A"," ",RANK(R190,$R$184:$Z$195))</f>
        <v> </v>
      </c>
      <c r="AK190" s="321" t="str">
        <f aca="false">IF($A190="N/A"," ",RANK(S190,$R$184:$Z$195))</f>
        <v> </v>
      </c>
      <c r="AL190" s="321" t="str">
        <f aca="false">IF($A190="N/A"," ",RANK(T190,$R$184:$Z$195))</f>
        <v> </v>
      </c>
      <c r="AM190" s="321" t="str">
        <f aca="false">IF($A190="N/A"," ",RANK(U190,$R$184:$Z$195))</f>
        <v> </v>
      </c>
      <c r="AN190" s="321" t="str">
        <f aca="false">IF($A190="N/A"," ",RANK(V190,$R$184:$Z$195))</f>
        <v> </v>
      </c>
      <c r="AO190" s="321" t="str">
        <f aca="false">IF($A190="N/A"," ",RANK(W190,$R$184:$Z$195))</f>
        <v> </v>
      </c>
      <c r="AP190" s="321" t="str">
        <f aca="false">IF($A190="N/A"," ",RANK(X190,$R$184:$Z$195))</f>
        <v> </v>
      </c>
      <c r="AQ190" s="321" t="str">
        <f aca="false">IF($A190="N/A"," ",RANK(Y190,$R$184:$Z$195))</f>
        <v> </v>
      </c>
      <c r="AR190" s="345" t="str">
        <f aca="false">IF($A190="N/A"," ",RANK(Z190,$R$184:$Z$195))</f>
        <v> </v>
      </c>
      <c r="AS190" s="323" t="str">
        <f aca="false">IF($A190="N/A"," ",IF(AJ190&lt;=$AR$2,AA190,0))</f>
        <v> </v>
      </c>
      <c r="AT190" s="325" t="str">
        <f aca="false">IF($A190="N/A"," ",IF(AK190&lt;=$AR$2,AB190,0))</f>
        <v> </v>
      </c>
      <c r="AU190" s="325" t="str">
        <f aca="false">IF($A190="N/A"," ",IF(AL190&lt;=$AR$2,AC190,0))</f>
        <v> </v>
      </c>
      <c r="AV190" s="325" t="str">
        <f aca="false">IF($A190="N/A"," ",IF(AM190&lt;=$AR$2,AD190,0))</f>
        <v> </v>
      </c>
      <c r="AW190" s="325" t="str">
        <f aca="false">IF($A190="N/A"," ",IF(AN190&lt;=$AR$2,AE190,0))</f>
        <v> </v>
      </c>
      <c r="AX190" s="325" t="str">
        <f aca="false">IF($A190="N/A"," ",IF(AO190&lt;=$AR$2,AF190,0))</f>
        <v> </v>
      </c>
      <c r="AY190" s="325" t="str">
        <f aca="false">IF($A190="N/A"," ",IF(AP190&lt;=$AR$2,AG190,0))</f>
        <v> </v>
      </c>
      <c r="AZ190" s="325" t="str">
        <f aca="false">IF($A190="N/A"," ",IF(AQ190&lt;=$AR$2,AH190,0))</f>
        <v> </v>
      </c>
      <c r="BA190" s="325" t="str">
        <f aca="false">IF($A190="N/A"," ",IF(AR190&lt;=$AR$2,AI190,0))</f>
        <v> </v>
      </c>
      <c r="BB190" s="345"/>
      <c r="BC190" s="326" t="str">
        <f aca="false">IF($A190="N/A"," ",IF(AND(AJ190=$AR$2+1,AS190=0),MIN($BB$195,AA190),0))</f>
        <v> </v>
      </c>
      <c r="BD190" s="346" t="str">
        <f aca="false">IF($A190="N/A"," ",IF(AND(AK190=$AR$2+1,AT190=0),MIN($BB$195,AB190),0))</f>
        <v> </v>
      </c>
      <c r="BE190" s="346" t="str">
        <f aca="false">IF($A190="N/A"," ",IF(AND(AL190=$AR$2+1,AU190=0),MIN($BB$195,AC190),0))</f>
        <v> </v>
      </c>
      <c r="BF190" s="346" t="str">
        <f aca="false">IF($A190="N/A"," ",IF(AND(AM190=$AR$2+1,AV190=0),MIN($BB$195,AD190),0))</f>
        <v> </v>
      </c>
      <c r="BG190" s="346" t="str">
        <f aca="false">IF($A190="N/A"," ",IF(AND(AN190=$AR$2+1,AW190=0),MIN($BB$195,AE190),0))</f>
        <v> </v>
      </c>
      <c r="BH190" s="346" t="str">
        <f aca="false">IF($A190="N/A"," ",IF(AND(AO190=$AR$2+1,AX190=0),MIN($BB$195,AF190),0))</f>
        <v> </v>
      </c>
      <c r="BI190" s="346" t="str">
        <f aca="false">IF($A190="N/A"," ",IF(AND(AP190=$AR$2+1,AY190=0),MIN($BB$195,AG190),0))</f>
        <v> </v>
      </c>
      <c r="BJ190" s="346" t="str">
        <f aca="false">IF($A190="N/A"," ",IF(AND(AQ190=$AR$2+1,AZ190=0),MIN($BB$195,AH190),0))</f>
        <v> </v>
      </c>
      <c r="BK190" s="346" t="str">
        <f aca="false">IF($A190="N/A"," ",IF(AND(AR190=$AR$2+1,BA190=0),MIN($BB$195,AI190),0))</f>
        <v> </v>
      </c>
      <c r="BL190" s="345"/>
      <c r="BM190" s="329" t="str">
        <f aca="false">IF($A190="N/A"," ",(IF(MONTH(A190)&gt;=4,IF(MONTH(A190)&lt;=10,Inputs!$F$13-Inputs!$G$13,Inputs!$F$14-Inputs!$G$14),Inputs!$F$14-Inputs!$G$14))*$CK190*Availability)</f>
        <v> </v>
      </c>
      <c r="BN190" s="330" t="str">
        <f aca="false">IF($A190="N/A"," ",(IF(AS190&gt;0,($BM190*(8*($HD190))*R190),0)+IF(BC190&gt;0,($BM190*((BC190/AA190)*8*$HD190)*R190),0)))</f>
        <v> </v>
      </c>
      <c r="BO190" s="330" t="str">
        <f aca="false">IF($A190="N/A"," ",(IF(AT190&gt;0,($BM190*(8*($HD190))*S190),0)+IF(BD190&gt;0,($BM190*((BD190/AB190)*8*$HD190)*S190),0)))</f>
        <v> </v>
      </c>
      <c r="BP190" s="330" t="str">
        <f aca="false">IF($A190="N/A"," ",(IF(AU190&gt;0,($BM190*(8*($HD190))*T190),0)+IF(BE190&gt;0,($BM190*((BE190))*T190),0)))</f>
        <v> </v>
      </c>
      <c r="BQ190" s="330" t="str">
        <f aca="false">IF($A190="N/A"," ",(IF(AV190&gt;0,($BM190*(8*($HE190))*U190),0)+IF(BF190&gt;0,($BM190*((BF190/AD190)*8*$HE190)*U190),0)))</f>
        <v> </v>
      </c>
      <c r="BR190" s="330" t="str">
        <f aca="false">IF($A190="N/A"," ",(IF(AW190&gt;0,($BM190*(8*($HE190))*V190),0)+IF(BG190&gt;0,($BM190*((BG190/AE190)*8*$HE190)*V190),0)))</f>
        <v> </v>
      </c>
      <c r="BS190" s="330" t="str">
        <f aca="false">IF($A190="N/A"," ",(IF(AX190&gt;0,($BM190*(8*($HE190))*W190),0)+IF(BH190&gt;0,($BM190*((BH190))*W190),0)))</f>
        <v> </v>
      </c>
      <c r="BT190" s="330" t="str">
        <f aca="false">IF($A190="N/A"," ",(IF(AY190&gt;0,($BM190*(8*($HF190))*X190),0)+IF(BI190&gt;0,($BM190*((BI190/AG190)*8*$HF190)*X190),0)))</f>
        <v> </v>
      </c>
      <c r="BU190" s="330" t="str">
        <f aca="false">IF($A190="N/A"," ",(IF(AZ190&gt;0,($BM190*(8*($HF190))*Y190),0)+IF(BJ190&gt;0,($BM190*((BJ190/AH190)*8*$HF190)*Y190),0)))</f>
        <v> </v>
      </c>
      <c r="BV190" s="330" t="str">
        <f aca="false">IF($A190="N/A"," ",(IF(BA190&gt;0,($BM190*(8*($HF190))*Z190),0)+IF(BK190&gt;0,($BM190*((BK190))*Z190),0)))</f>
        <v> </v>
      </c>
      <c r="BW190" s="330" t="str">
        <f aca="false">IF($A190="N/A"," ",SUM(BN190:BV190))</f>
        <v> </v>
      </c>
      <c r="BX190" s="331" t="str">
        <f aca="false">IF($A190="N/A"," ",(H190*(SUM(AS190:BA190)+SUM(BC190:BK190))*BM190))</f>
        <v> </v>
      </c>
      <c r="BY190" s="332" t="str">
        <f aca="false">IF($A190="N/A"," ",((C190*D190)*(SUM($AS190:$BA190)+SUM($BC190:$BK190))*$BM190))</f>
        <v> </v>
      </c>
      <c r="BZ190" s="332" t="str">
        <f aca="false">IF($A190="N/A"," ",(F190*(SUM($AS190:$BA190)+SUM($BC190:$BK190))*$BM190))</f>
        <v> </v>
      </c>
      <c r="CA190" s="333" t="str">
        <f aca="false">IF($A190="N/A"," ",(G190*(SUM($AS190:$BA190)+SUM($BC190:$BK190))*$BM190))</f>
        <v> </v>
      </c>
      <c r="CB190" s="334" t="str">
        <f aca="false">IF(A190="N/A"," ",(VLOOKUP(A190,PowerVolTable,(IF(BMO=2,7,IF(BMO=1,6,8))),FALSE())))</f>
        <v> </v>
      </c>
      <c r="CC190" s="334" t="str">
        <f aca="false">IF(A190="N/A"," ",(VLOOKUP(A190,IntraPowerVol,(IF(BMO=2,3,IF(BMO=1,2,4))),FALSE())*VLOOKUP(MONTH($A190),Volscale,2)))</f>
        <v> </v>
      </c>
      <c r="CD190" s="335" t="str">
        <f aca="false">IF($A190="N/A"," ",(IF(DateToday&gt;$A190,$CC190,((($CB190^2)*((($A190-1)-DateToday)/((EOMONTH($A190,0)+1)-DateToday-15)))+((($CC190)^2)*((15)/((EOMONTH($A190,0)+1)-DateToday-15))))^0.5)))</f>
        <v> </v>
      </c>
      <c r="CE190" s="334" t="str">
        <f aca="false">IF($A190="N/A"," ",(VLOOKUP($A190,GasVolTable,(IF(BMO=2,6,IF(BMO=1,7,5))),FALSE())))</f>
        <v> </v>
      </c>
      <c r="CF190" s="334" t="str">
        <f aca="false">IF($A190="N/A"," ",(VLOOKUP($A190,OmicronVol,(IF(BMO=2,3,IF(BMO=1,4,2))),FALSE())))</f>
        <v> </v>
      </c>
      <c r="CG190" s="335" t="str">
        <f aca="false">IF($A190="N/A"," ",(IF(DateToday&gt;$A190,$CF190,((($CE190^2)*((($A190-1)-DateToday)/((EOMONTH($A190,0)+1)-DateToday-15)))+((($CF190)^2)*((15)/((EOMONTH($A190,0)+1)-DateToday-15))))^0.5)))</f>
        <v> </v>
      </c>
      <c r="CH190" s="334" t="str">
        <f aca="false">IF($A190="N/A"," ",VLOOKUP($A190,CorrelationTable,2,FALSE()))</f>
        <v> </v>
      </c>
      <c r="CI190" s="336" t="str">
        <f aca="false">IF($A190="N/A"," ",F190+G190+(D190*('Pricing Inputs'!T223)))</f>
        <v> </v>
      </c>
      <c r="CJ190" s="334" t="str">
        <f aca="false">IF($A190="N/A"," ",IF(PV=1,0,'Pricing Inputs'!U223))</f>
        <v> </v>
      </c>
      <c r="CK190" s="337" t="str">
        <f aca="false">IF($A190="N/A"," ",(1+CJ190/2)^(-2*((EOMONTH(A190,0)+20)-DateToday)/365.25))</f>
        <v> </v>
      </c>
      <c r="CL190" s="338" t="str">
        <f aca="false">IF(A190="N/A"," ",IF(CC=2,(VLOOKUP(MONTH($A190),Hrtable,3))/1000,0))</f>
        <v> </v>
      </c>
      <c r="CM190" s="339" t="str">
        <f aca="false">IF(A190="N/A"," ",IF(CC=2,(CL190*C190)+F190,0))</f>
        <v> </v>
      </c>
      <c r="CN190" s="340" t="str">
        <f aca="false">IF($A190="N/A"," ",IF(CC=2,(VLOOKUP(A190,ScaledPrice,(IF(AND(Dayrun&gt;=1,Dayrun&lt;=6),2,4)))-((IF(R190&lt;&gt;0,$D190,$CL190)*$C190)+$F190+$G190)),0))</f>
        <v> </v>
      </c>
      <c r="CO190" s="340" t="str">
        <f aca="false">IF($A190="N/A"," ",IF(CC=2,(IF(AND(Dayrun&gt;=1,Dayrun&lt;=6),I190,(VLOOKUP(A190,ScaledPrice,2))*(2-(VLOOKUP(A190,ScaledPrice,3))))-((IF(S190&lt;&gt;0,$D190,$CL190)*$C190)+$F190+$G190)),0))</f>
        <v> </v>
      </c>
      <c r="CP190" s="340" t="str">
        <f aca="false">IF(A190="N/A"," ",IF(CC=2,(VLOOKUP(A190,ScaledPrice,9)-((IF(T190&lt;&gt;0,$D190,$CL190)*$C190)+$F190+$G190)),0))</f>
        <v> </v>
      </c>
      <c r="CQ190" s="340" t="str">
        <f aca="false">IF(A190="N/A"," ",IF(CC=2,(IF(OR(Dayrun=2,Dayrun=3,Dayrun=5,Dayrun=6,Dayrun=8,Dayrun=9),VLOOKUP(A190,ScaledPrice,IF(AND(Dayrun&gt;=2,Dayrun&lt;=6),5,6)),0)-((IF(U190&lt;&gt;0,$D190,$CL190)*$C190)+$F190+$G190)),0))</f>
        <v> </v>
      </c>
      <c r="CR190" s="340" t="str">
        <f aca="false">IF(A190="N/A"," ",IF(CC=2,(IF(OR(Dayrun=2,Dayrun=3,Dayrun=5,Dayrun=6,Dayrun=8,Dayrun=9),IF(AND(Dayrun&gt;=2,Dayrun&lt;=6),L190,(VLOOKUP(A190,ScaledPrice,5))*(2-(VLOOKUP(A190,ScaledPrice,3)))),0)-((IF(V190&lt;&gt;0,$D190,$CL190)*$C190)+$F190+$G190)),0))</f>
        <v> </v>
      </c>
      <c r="CS190" s="340" t="str">
        <f aca="false">IF(A190="N/A"," ",IF(CC=2,(VLOOKUP(A190,ScaledPrice,9)-((IF(W190&lt;&gt;0,$D190,$CL190)*$C190)+$F190+$G190)),0))</f>
        <v> </v>
      </c>
      <c r="CT190" s="340" t="str">
        <f aca="false">IF(A190="N/A"," ",IF(CC=2,(IF(OR(Dayrun=3,Dayrun=6,Dayrun=9),(VLOOKUP(A190,ScaledPrice,IF(AND(Dayrun&gt;=3,Dayrun&lt;=6),7,8))),0)-((IF(X190&lt;&gt;0,$D190,$CL190)*$C190)+$F190+$G190)),0))</f>
        <v> </v>
      </c>
      <c r="CU190" s="340" t="str">
        <f aca="false">IF(A190="N/A"," ",IF(CC=2,(IF(OR(Dayrun=3,Dayrun=6,Dayrun=9),IF(AND(Dayrun&gt;=3,Dayrun&lt;=6),O190,(VLOOKUP(A190,ScaledPrice,7))*(2-(VLOOKUP(A190,ScaledPrice,3)))),0)-((IF(Y190&lt;&gt;0,$D190,$CL190)*$C190)+$F190+$G190)),0))</f>
        <v> </v>
      </c>
      <c r="CV190" s="340" t="str">
        <f aca="false">IF(A190="N/A"," ",IF(CC=2,(VLOOKUP(A190,ScaledPrice,9)-((IF(Z190&lt;&gt;0,$D190,$CL190)*$C190)+$F190+$G190)),0))</f>
        <v> </v>
      </c>
      <c r="CW190" s="318" t="str">
        <f aca="false">IF($A190="N/A"," ",IF(0&lt;&gt;CN190,IF(CC=2,8*$HD190,0),0))</f>
        <v> </v>
      </c>
      <c r="CX190" s="318" t="str">
        <f aca="false">IF($A190="N/A"," ",IF(0&lt;&gt;CO190,IF(CC=2,8*$HD190,0),0))</f>
        <v> </v>
      </c>
      <c r="CY190" s="318" t="str">
        <f aca="false">IF($A190="N/A"," ",IF(0&lt;&gt;CP190,IF(CC=2,8*$HD190,0),0))</f>
        <v> </v>
      </c>
      <c r="CZ190" s="318" t="str">
        <f aca="false">IF($A190="N/A"," ",IF(0&lt;&gt;CQ190,IF(CC=2,8*$HE190,0),0))</f>
        <v> </v>
      </c>
      <c r="DA190" s="318" t="str">
        <f aca="false">IF($A190="N/A"," ",IF(0&lt;&gt;CR190,IF(CC=2,8*$HE190,0),0))</f>
        <v> </v>
      </c>
      <c r="DB190" s="318" t="str">
        <f aca="false">IF($A190="N/A"," ",IF(0&lt;&gt;CS190,IF(CC=2,8*$HE190,0),0))</f>
        <v> </v>
      </c>
      <c r="DC190" s="318" t="str">
        <f aca="false">IF($A190="N/A"," ",IF(0&lt;&gt;CT190,IF(CC=2,8*$HF190,0),0))</f>
        <v> </v>
      </c>
      <c r="DD190" s="318" t="str">
        <f aca="false">IF($A190="N/A"," ",IF(0&lt;&gt;CU190,IF(CC=2,8*$HF190,0),0))</f>
        <v> </v>
      </c>
      <c r="DE190" s="318" t="str">
        <f aca="false">IF($A190="N/A"," ",IF(0&lt;&gt;CV190,IF(CC=2,8*$HF190,0),0))</f>
        <v> </v>
      </c>
      <c r="DF190" s="341" t="str">
        <f aca="false">IF($A190="N/A"," ",IF(CC=2,(IF(MONTH(A190)&gt;=4,IF(MONTH(A190)&lt;=10,Inputs!$G$13,Inputs!$G$14),Inputs!$G$14))*$CK190,0))</f>
        <v> </v>
      </c>
      <c r="DG190" s="342" t="str">
        <f aca="false">IF($A190="N/A"," ",IF(CC=2,$DF190*CW190*CN190,0))</f>
        <v> </v>
      </c>
      <c r="DH190" s="342" t="str">
        <f aca="false">IF($A190="N/A"," ",IF(CC=2,$DF190*CX190*CO190,0))</f>
        <v> </v>
      </c>
      <c r="DI190" s="342" t="str">
        <f aca="false">IF($A190="N/A"," ",IF(CC=2,$DF190*CY190*CP190,0))</f>
        <v> </v>
      </c>
      <c r="DJ190" s="342" t="str">
        <f aca="false">IF($A190="N/A"," ",IF(CC=2,$DF190*CZ190*CQ190,0))</f>
        <v> </v>
      </c>
      <c r="DK190" s="342" t="str">
        <f aca="false">IF($A190="N/A"," ",IF(CC=2,$DF190*DA190*CR190,0))</f>
        <v> </v>
      </c>
      <c r="DL190" s="342" t="str">
        <f aca="false">IF($A190="N/A"," ",IF(CC=2,$DF190*DB190*CS190,0))</f>
        <v> </v>
      </c>
      <c r="DM190" s="342" t="str">
        <f aca="false">IF($A190="N/A"," ",IF(CC=2,$DF190*DC190*CT190,0))</f>
        <v> </v>
      </c>
      <c r="DN190" s="342" t="str">
        <f aca="false">IF($A190="N/A"," ",IF(CC=2,$DF190*DD190*CU190,0))</f>
        <v> </v>
      </c>
      <c r="DO190" s="342" t="str">
        <f aca="false">IF($A190="N/A"," ",IF(CC=2,$DF190*DE190*CV190,0))</f>
        <v> </v>
      </c>
      <c r="DP190" s="343" t="str">
        <f aca="false">IF($A190="N/A"," ",IF(CC=2,SUM(DG190:DO190),0))</f>
        <v> </v>
      </c>
      <c r="DQ190" s="0" t="str">
        <f aca="false">IF(A190="N/A"," ",Perstart)</f>
        <v> </v>
      </c>
      <c r="HD190" s="0" t="str">
        <f aca="false">IF($A190="N/A"," ",VLOOKUP($A190,NumberofDaysTable,2))</f>
        <v> </v>
      </c>
      <c r="HE190" s="0" t="str">
        <f aca="false">IF($A190="N/A"," ",VLOOKUP($A190,NumberofDaysTable,3))</f>
        <v> </v>
      </c>
      <c r="HF190" s="0" t="str">
        <f aca="false">IF($A190="N/A"," ",VLOOKUP($A190,NumberofDaysTable,4))</f>
        <v> </v>
      </c>
    </row>
    <row r="191" customFormat="false" ht="12.75" hidden="false" customHeight="false" outlineLevel="0" collapsed="false">
      <c r="A191" s="308" t="str">
        <f aca="false">IF(A190="N/A","N/A",IF(EDATE(A190,1)&gt;Inputs!$K$3,"N/A",EDATE(A190,1)))</f>
        <v>N/A</v>
      </c>
      <c r="B191" s="309" t="str">
        <f aca="false">IF(A191="N/A"," ",YEAR(A191))</f>
        <v> </v>
      </c>
      <c r="C191" s="310" t="str">
        <f aca="false">IF(A191="N/A"," ",VLOOKUP(A191,ScaledPrice,10))</f>
        <v> </v>
      </c>
      <c r="D191" s="311" t="str">
        <f aca="false">IF(A191="N/A"," ",(VLOOKUP(MONTH($A191),Hrtable,2))/1000)</f>
        <v> </v>
      </c>
      <c r="E191" s="312" t="str">
        <f aca="false">IF($A191="N/A"," ",(C191-'Pricing Inputs'!T224)*D191)</f>
        <v> </v>
      </c>
      <c r="F191" s="313" t="str">
        <f aca="false">IF(A191="N/A"," ",$F179*(1+VOMesc))</f>
        <v> </v>
      </c>
      <c r="G191" s="313" t="str">
        <f aca="false">IF(A191="N/A"," ",Perstart/IF(AND(Dayrun&gt;=4,Dayrun&lt;=6),16,IF(AND(Dayrun&gt;=7,Dayrun&lt;=9),8,24))/(BM191/CK191))</f>
        <v> </v>
      </c>
      <c r="H191" s="314" t="str">
        <f aca="false">IF(A191="N/A"," ",(C191*D191)+F191+G191)</f>
        <v> </v>
      </c>
      <c r="I191" s="315" t="str">
        <f aca="false">VLOOKUP(A191,ScaledPrice,(IF(AND(Dayrun&gt;=1,Dayrun&lt;=6),2,4)))</f>
        <v> </v>
      </c>
      <c r="J191" s="315" t="str">
        <f aca="false">IF(A191="N/A"," ",IF(AND(Dayrun&gt;=1,Dayrun&lt;=6),I191,(VLOOKUP(A191,ScaledPrice,2))*(2-(VLOOKUP(A191,ScaledPrice,3)))))</f>
        <v> </v>
      </c>
      <c r="K191" s="315" t="str">
        <f aca="false">IF(A191="N/A"," ",IF(AND(Dayrun&gt;=1,Dayrun&lt;=3),VLOOKUP(A191,ScaledPrice,9),0))</f>
        <v> </v>
      </c>
      <c r="L191" s="315" t="str">
        <f aca="false">IF(A191="N/A"," ",IF(OR(Dayrun=2,Dayrun=3,Dayrun=5,Dayrun=6,Dayrun=8,Dayrun=9),VLOOKUP(A191,ScaledPrice,IF(AND(Dayrun&gt;=2,Dayrun&lt;=6),5,6)),0))</f>
        <v> </v>
      </c>
      <c r="M191" s="315" t="str">
        <f aca="false">IF(A191="N/A"," ",IF(OR(Dayrun=2,Dayrun=3,Dayrun=5,Dayrun=6,Dayrun=8,Dayrun=9),IF(AND(Dayrun&gt;=2,Dayrun&lt;=6),L191,(VLOOKUP(A191,ScaledPrice,5))*(2-(VLOOKUP(A191,ScaledPrice,3)))),0))</f>
        <v> </v>
      </c>
      <c r="N191" s="315" t="str">
        <f aca="false">IF(A191="N/A"," ",IF(AND(Dayrun&gt;1,Dayrun&lt;=3),VLOOKUP(A191,ScaledPrice,9),0))</f>
        <v> </v>
      </c>
      <c r="O191" s="315" t="str">
        <f aca="false">IF(A191="N/A"," ",IF(OR(Dayrun=3,Dayrun=6,Dayrun=9),(VLOOKUP(A191,ScaledPrice,IF(AND(Dayrun&gt;=3,Dayrun&lt;=6),7,8))),0))</f>
        <v> </v>
      </c>
      <c r="P191" s="315" t="str">
        <f aca="false">IF(A191="N/A"," ",IF(OR(Dayrun=3,Dayrun=6,Dayrun=9),IF(AND(Dayrun&gt;=3,Dayrun&lt;=6),O191,(VLOOKUP(A191,ScaledPrice,7))*(2-(VLOOKUP(A191,ScaledPrice,3)))),0))</f>
        <v> </v>
      </c>
      <c r="Q191" s="315" t="str">
        <f aca="false">IF(A191="N/A"," ",IF(AND(Dayrun&gt;2,Dayrun&lt;=3),VLOOKUP(A191,ScaledPrice,9),0))</f>
        <v> </v>
      </c>
      <c r="R191" s="316" t="str">
        <f aca="false">IF($A191="N/A"," ",IF(Pricetype=2,MAX(I191-$H191,0),IF(Pricetype=1,(xSPRDOPT(I191,$E191,$CI191,0,($CD191+IF(Smile=TRUE(),VLOOKUP(MAX(-5,$H191-I191),Volsmile,2),0)),$CG191,$CH191,($A191-DateToday)+15,1,0)),I191-$H191)))</f>
        <v> </v>
      </c>
      <c r="S191" s="316" t="str">
        <f aca="false">IF($A191="N/A"," ",IF(Pricetype=2,MAX(J191-$H191,0),IF(Pricetype=1,(xSPRDOPT(J191,$E191,$CI191,0,($CD191+IF(Smile=TRUE(),VLOOKUP(MAX(-5,$H191-J191),Volsmile,2),0)),$CG191,$CH191,($A191-DateToday)+15,1,0)),J191-$H191)))</f>
        <v> </v>
      </c>
      <c r="T191" s="317" t="str">
        <f aca="false">IF($A191="N/A"," ",(IF(Pricetype=2,IF((K191-$H191)&lt;=0,0,(K191-$H191)),IF(K191&lt;&gt;0,(K191-$H191),0))))</f>
        <v> </v>
      </c>
      <c r="U191" s="316" t="str">
        <f aca="false">IF($A191="N/A"," ",IF(Pricetype=2,MAX(L191-$H191,0),IF(L191&lt;&gt;0,IF(Pricetype=1,(xSPRDOPT(L191,$E191,$CI191,0,($CD191+IF(Smile=TRUE(),VLOOKUP(MAX(-5,$H191-L191),Volsmile,2),0)),$CG191,$CH191,($A191-DateToday)+15,1,0)),L191-$H191),0)))</f>
        <v> </v>
      </c>
      <c r="V191" s="316" t="str">
        <f aca="false">IF($A191="N/A"," ",IF(Pricetype=2,MAX(M191-$H191,0),IF(M191&lt;&gt;0,IF(Pricetype=1,(xSPRDOPT(M191,$E191,$CI191,0,($CD191+IF(Smile=TRUE(),VLOOKUP(MAX(-5,$H191-M191),Volsmile,2),0)),$CG191,$CH191,($A191-DateToday)+15,1,0)),M191-$H191),0)))</f>
        <v> </v>
      </c>
      <c r="W191" s="317" t="str">
        <f aca="false">IF($A191="N/A"," ",(IF(Pricetype=2,IF((N191-$H191)&lt;=0,0,(N191-$H191)),IF(N191&lt;&gt;0,(N191-$H191),0))))</f>
        <v> </v>
      </c>
      <c r="X191" s="316" t="str">
        <f aca="false">IF($A191="N/A"," ",IF(Pricetype=2,MAX(O191-$H191,0),IF(O191&lt;&gt;0,IF(Pricetype=1,(xSPRDOPT(O191,$E191,$CI191,0,($CD191+IF(Smile=TRUE(),VLOOKUP(MAX(-5,$H191-O191),Volsmile,2),0)),$CG191,$CH191,($A191-DateToday)+15,1,0)),O191-$H191),0)))</f>
        <v> </v>
      </c>
      <c r="Y191" s="316" t="str">
        <f aca="false">IF($A191="N/A"," ",IF(Pricetype=2,MAX(P191-$H191,0),IF(P191&lt;&gt;0,IF(Pricetype=1,(xSPRDOPT(P191,$E191,$CI191,0,($CD191+IF(Smile=TRUE(),VLOOKUP(MAX(-5,$H191-P191),Volsmile,2),0)),$CG191,$CH191,($A191-DateToday)+15,1,0)),P191-$H191),0)))</f>
        <v> </v>
      </c>
      <c r="Z191" s="317" t="str">
        <f aca="false">IF($A191="N/A"," ",(IF(Pricetype=2,IF((Q191-$H191)&lt;=0,0,(Q191-$H191)),IF(Q191&lt;&gt;0,(Q191-$H191),0))))</f>
        <v> </v>
      </c>
      <c r="AA191" s="318" t="str">
        <f aca="false">IF($A191="N/A"," ",IF(VLOOKUP(MONTH(A191),ManualTable,2)=1,(IF(0&lt;&gt;R191,IF(Pricetype=1,(xSPRDOPT(I191,$E191,$CI191,0,($CD191+IF(Smile=TRUE(),VLOOKUP(MAX(-5,$H191-I191),Volsmile,2),0)),$CG191,$CH191,($A191-DateToday)+15,1,1))*(8*$HD191),8*$HD191),0)),0))</f>
        <v> </v>
      </c>
      <c r="AB191" s="318" t="str">
        <f aca="false">IF($A191="N/A"," ",IF(VLOOKUP(MONTH(A191),ManualTable,3)=1,(IF(S191&lt;&gt;0,IF(Pricetype=1,(xSPRDOPT(J191,$E191,$CI191,0,($CD191+IF(Smile=TRUE(),VLOOKUP(MAX(-5,$H191-J191),Volsmile,2),0)),$CG191,$CH191,($A191-DateToday)+15,1,1))*(8*$HD191),8*$HD191),0)),0))</f>
        <v> </v>
      </c>
      <c r="AC191" s="318" t="str">
        <f aca="false">IF($A191="N/A"," ",IF(VLOOKUP(MONTH(A191),ManualTable,4)=1,(IF(T191&lt;&gt;0,(8*$HD191),0)),0))</f>
        <v> </v>
      </c>
      <c r="AD191" s="318" t="str">
        <f aca="false">IF($A191="N/A"," ",IF(VLOOKUP(MONTH(A191),ManualTable,5)=1,(IF(U191&lt;&gt;0,IF(Pricetype=1,(xSPRDOPT(L191,$E191,$CI191,0,($CD191+IF(Smile=TRUE(),VLOOKUP(MAX(-5,$H191-L191),Volsmile,2),0)),$CG191,$CH191,($A191-DateToday)+15,1,1))*(8*$HE191),8*$HE191),0)),0))</f>
        <v> </v>
      </c>
      <c r="AE191" s="318" t="str">
        <f aca="false">IF($A191="N/A"," ",IF(VLOOKUP(MONTH(A191),ManualTable,6)=1,(IF(V191&lt;&gt;0,IF(Pricetype=1,(xSPRDOPT(M191,$E191,$CI191,0,($CD191+IF(Smile=TRUE(),VLOOKUP(MAX(-5,$H191-M191),Volsmile,2),0)),$CG191,$CH191,($A191-DateToday)+15,1,1))*(8*$HE191),8*$HE191),0)),0))</f>
        <v> </v>
      </c>
      <c r="AF191" s="318" t="str">
        <f aca="false">IF($A191="N/A"," ",IF(VLOOKUP(MONTH(A191),ManualTable,7)=1,(IF(W191&lt;&gt;0,(8*$HE191),0)),0))</f>
        <v> </v>
      </c>
      <c r="AG191" s="318" t="str">
        <f aca="false">IF($A191="N/A"," ",IF(VLOOKUP(MONTH(A191),ManualTable,8)=1,(IF(X191&lt;&gt;0,IF(Pricetype=1,(xSPRDOPT(O191,$E191,$CI191,0,($CD191+IF(Smile=TRUE(),VLOOKUP(MAX(-5,$H191-O191),Volsmile,2),0)),$CG191,$CH191,($A191-DateToday)+15,1,1))*(8*$HF191),8*$HF191),0)),0))</f>
        <v> </v>
      </c>
      <c r="AH191" s="318" t="str">
        <f aca="false">IF($A191="N/A"," ",IF(VLOOKUP(MONTH(A191),ManualTable,9)=1,(IF(Y191&lt;&gt;0,IF(Pricetype=1,(xSPRDOPT(P191,$E191,$CI191,0,($CD191+IF(Smile=TRUE(),VLOOKUP(MAX(-5,$H191-P191),Volsmile,2),0)),$CG191,$CH191,($A191-DateToday)+15,1,1))*(8*$HF191),8*$HF191),0)),0))</f>
        <v> </v>
      </c>
      <c r="AI191" s="318" t="str">
        <f aca="false">IF($A191="N/A"," ",IF(VLOOKUP(MONTH(A191),ManualTable,10)=1,(IF(Z191&lt;&gt;0,(8*($HF191)),0)),0))</f>
        <v> </v>
      </c>
      <c r="AJ191" s="344" t="str">
        <f aca="false">IF($A191="N/A"," ",RANK(R191,$R$184:$Z$195))</f>
        <v> </v>
      </c>
      <c r="AK191" s="321" t="str">
        <f aca="false">IF($A191="N/A"," ",RANK(S191,$R$184:$Z$195))</f>
        <v> </v>
      </c>
      <c r="AL191" s="321" t="str">
        <f aca="false">IF($A191="N/A"," ",RANK(T191,$R$184:$Z$195))</f>
        <v> </v>
      </c>
      <c r="AM191" s="321" t="str">
        <f aca="false">IF($A191="N/A"," ",RANK(U191,$R$184:$Z$195))</f>
        <v> </v>
      </c>
      <c r="AN191" s="321" t="str">
        <f aca="false">IF($A191="N/A"," ",RANK(V191,$R$184:$Z$195))</f>
        <v> </v>
      </c>
      <c r="AO191" s="321" t="str">
        <f aca="false">IF($A191="N/A"," ",RANK(W191,$R$184:$Z$195))</f>
        <v> </v>
      </c>
      <c r="AP191" s="321" t="str">
        <f aca="false">IF($A191="N/A"," ",RANK(X191,$R$184:$Z$195))</f>
        <v> </v>
      </c>
      <c r="AQ191" s="321" t="str">
        <f aca="false">IF($A191="N/A"," ",RANK(Y191,$R$184:$Z$195))</f>
        <v> </v>
      </c>
      <c r="AR191" s="345" t="str">
        <f aca="false">IF($A191="N/A"," ",RANK(Z191,$R$184:$Z$195))</f>
        <v> </v>
      </c>
      <c r="AS191" s="323" t="str">
        <f aca="false">IF($A191="N/A"," ",IF(AJ191&lt;=$AR$2,AA191,0))</f>
        <v> </v>
      </c>
      <c r="AT191" s="325" t="str">
        <f aca="false">IF($A191="N/A"," ",IF(AK191&lt;=$AR$2,AB191,0))</f>
        <v> </v>
      </c>
      <c r="AU191" s="325" t="str">
        <f aca="false">IF($A191="N/A"," ",IF(AL191&lt;=$AR$2,AC191,0))</f>
        <v> </v>
      </c>
      <c r="AV191" s="325" t="str">
        <f aca="false">IF($A191="N/A"," ",IF(AM191&lt;=$AR$2,AD191,0))</f>
        <v> </v>
      </c>
      <c r="AW191" s="325" t="str">
        <f aca="false">IF($A191="N/A"," ",IF(AN191&lt;=$AR$2,AE191,0))</f>
        <v> </v>
      </c>
      <c r="AX191" s="325" t="str">
        <f aca="false">IF($A191="N/A"," ",IF(AO191&lt;=$AR$2,AF191,0))</f>
        <v> </v>
      </c>
      <c r="AY191" s="325" t="str">
        <f aca="false">IF($A191="N/A"," ",IF(AP191&lt;=$AR$2,AG191,0))</f>
        <v> </v>
      </c>
      <c r="AZ191" s="325" t="str">
        <f aca="false">IF($A191="N/A"," ",IF(AQ191&lt;=$AR$2,AH191,0))</f>
        <v> </v>
      </c>
      <c r="BA191" s="325" t="str">
        <f aca="false">IF($A191="N/A"," ",IF(AR191&lt;=$AR$2,AI191,0))</f>
        <v> </v>
      </c>
      <c r="BB191" s="345"/>
      <c r="BC191" s="326" t="str">
        <f aca="false">IF($A191="N/A"," ",IF(AND(AJ191=$AR$2+1,AS191=0),MIN($BB$195,AA191),0))</f>
        <v> </v>
      </c>
      <c r="BD191" s="346" t="str">
        <f aca="false">IF($A191="N/A"," ",IF(AND(AK191=$AR$2+1,AT191=0),MIN($BB$195,AB191),0))</f>
        <v> </v>
      </c>
      <c r="BE191" s="346" t="str">
        <f aca="false">IF($A191="N/A"," ",IF(AND(AL191=$AR$2+1,AU191=0),MIN($BB$195,AC191),0))</f>
        <v> </v>
      </c>
      <c r="BF191" s="346" t="str">
        <f aca="false">IF($A191="N/A"," ",IF(AND(AM191=$AR$2+1,AV191=0),MIN($BB$195,AD191),0))</f>
        <v> </v>
      </c>
      <c r="BG191" s="346" t="str">
        <f aca="false">IF($A191="N/A"," ",IF(AND(AN191=$AR$2+1,AW191=0),MIN($BB$195,AE191),0))</f>
        <v> </v>
      </c>
      <c r="BH191" s="346" t="str">
        <f aca="false">IF($A191="N/A"," ",IF(AND(AO191=$AR$2+1,AX191=0),MIN($BB$195,AF191),0))</f>
        <v> </v>
      </c>
      <c r="BI191" s="346" t="str">
        <f aca="false">IF($A191="N/A"," ",IF(AND(AP191=$AR$2+1,AY191=0),MIN($BB$195,AG191),0))</f>
        <v> </v>
      </c>
      <c r="BJ191" s="346" t="str">
        <f aca="false">IF($A191="N/A"," ",IF(AND(AQ191=$AR$2+1,AZ191=0),MIN($BB$195,AH191),0))</f>
        <v> </v>
      </c>
      <c r="BK191" s="346" t="str">
        <f aca="false">IF($A191="N/A"," ",IF(AND(AR191=$AR$2+1,BA191=0),MIN($BB$195,AI191),0))</f>
        <v> </v>
      </c>
      <c r="BL191" s="345"/>
      <c r="BM191" s="329" t="str">
        <f aca="false">IF($A191="N/A"," ",(IF(MONTH(A191)&gt;=4,IF(MONTH(A191)&lt;=10,Inputs!$F$13-Inputs!$G$13,Inputs!$F$14-Inputs!$G$14),Inputs!$F$14-Inputs!$G$14))*$CK191*Availability)</f>
        <v> </v>
      </c>
      <c r="BN191" s="330" t="str">
        <f aca="false">IF($A191="N/A"," ",(IF(AS191&gt;0,($BM191*(8*($HD191))*R191),0)+IF(BC191&gt;0,($BM191*((BC191/AA191)*8*$HD191)*R191),0)))</f>
        <v> </v>
      </c>
      <c r="BO191" s="330" t="str">
        <f aca="false">IF($A191="N/A"," ",(IF(AT191&gt;0,($BM191*(8*($HD191))*S191),0)+IF(BD191&gt;0,($BM191*((BD191/AB191)*8*$HD191)*S191),0)))</f>
        <v> </v>
      </c>
      <c r="BP191" s="330" t="str">
        <f aca="false">IF($A191="N/A"," ",(IF(AU191&gt;0,($BM191*(8*($HD191))*T191),0)+IF(BE191&gt;0,($BM191*((BE191))*T191),0)))</f>
        <v> </v>
      </c>
      <c r="BQ191" s="330" t="str">
        <f aca="false">IF($A191="N/A"," ",(IF(AV191&gt;0,($BM191*(8*($HE191))*U191),0)+IF(BF191&gt;0,($BM191*((BF191/AD191)*8*$HE191)*U191),0)))</f>
        <v> </v>
      </c>
      <c r="BR191" s="330" t="str">
        <f aca="false">IF($A191="N/A"," ",(IF(AW191&gt;0,($BM191*(8*($HE191))*V191),0)+IF(BG191&gt;0,($BM191*((BG191/AE191)*8*$HE191)*V191),0)))</f>
        <v> </v>
      </c>
      <c r="BS191" s="330" t="str">
        <f aca="false">IF($A191="N/A"," ",(IF(AX191&gt;0,($BM191*(8*($HE191))*W191),0)+IF(BH191&gt;0,($BM191*((BH191))*W191),0)))</f>
        <v> </v>
      </c>
      <c r="BT191" s="330" t="str">
        <f aca="false">IF($A191="N/A"," ",(IF(AY191&gt;0,($BM191*(8*($HF191))*X191),0)+IF(BI191&gt;0,($BM191*((BI191/AG191)*8*$HF191)*X191),0)))</f>
        <v> </v>
      </c>
      <c r="BU191" s="330" t="str">
        <f aca="false">IF($A191="N/A"," ",(IF(AZ191&gt;0,($BM191*(8*($HF191))*Y191),0)+IF(BJ191&gt;0,($BM191*((BJ191/AH191)*8*$HF191)*Y191),0)))</f>
        <v> </v>
      </c>
      <c r="BV191" s="330" t="str">
        <f aca="false">IF($A191="N/A"," ",(IF(BA191&gt;0,($BM191*(8*($HF191))*Z191),0)+IF(BK191&gt;0,($BM191*((BK191))*Z191),0)))</f>
        <v> </v>
      </c>
      <c r="BW191" s="330" t="str">
        <f aca="false">IF($A191="N/A"," ",SUM(BN191:BV191))</f>
        <v> </v>
      </c>
      <c r="BX191" s="331" t="str">
        <f aca="false">IF($A191="N/A"," ",(H191*(SUM(AS191:BA191)+SUM(BC191:BK191))*BM191))</f>
        <v> </v>
      </c>
      <c r="BY191" s="332" t="str">
        <f aca="false">IF($A191="N/A"," ",((C191*D191)*(SUM($AS191:$BA191)+SUM($BC191:$BK191))*$BM191))</f>
        <v> </v>
      </c>
      <c r="BZ191" s="332" t="str">
        <f aca="false">IF($A191="N/A"," ",(F191*(SUM($AS191:$BA191)+SUM($BC191:$BK191))*$BM191))</f>
        <v> </v>
      </c>
      <c r="CA191" s="333" t="str">
        <f aca="false">IF($A191="N/A"," ",(G191*(SUM($AS191:$BA191)+SUM($BC191:$BK191))*$BM191))</f>
        <v> </v>
      </c>
      <c r="CB191" s="334" t="str">
        <f aca="false">IF(A191="N/A"," ",(VLOOKUP(A191,PowerVolTable,(IF(BMO=2,7,IF(BMO=1,6,8))),FALSE())))</f>
        <v> </v>
      </c>
      <c r="CC191" s="334" t="str">
        <f aca="false">IF(A191="N/A"," ",(VLOOKUP(A191,IntraPowerVol,(IF(BMO=2,3,IF(BMO=1,2,4))),FALSE())*VLOOKUP(MONTH($A191),Volscale,2)))</f>
        <v> </v>
      </c>
      <c r="CD191" s="335" t="str">
        <f aca="false">IF($A191="N/A"," ",(IF(DateToday&gt;$A191,$CC191,((($CB191^2)*((($A191-1)-DateToday)/((EOMONTH($A191,0)+1)-DateToday-15)))+((($CC191)^2)*((15)/((EOMONTH($A191,0)+1)-DateToday-15))))^0.5)))</f>
        <v> </v>
      </c>
      <c r="CE191" s="334" t="str">
        <f aca="false">IF($A191="N/A"," ",(VLOOKUP($A191,GasVolTable,(IF(BMO=2,6,IF(BMO=1,7,5))),FALSE())))</f>
        <v> </v>
      </c>
      <c r="CF191" s="334" t="str">
        <f aca="false">IF($A191="N/A"," ",(VLOOKUP($A191,OmicronVol,(IF(BMO=2,3,IF(BMO=1,4,2))),FALSE())))</f>
        <v> </v>
      </c>
      <c r="CG191" s="335" t="str">
        <f aca="false">IF($A191="N/A"," ",(IF(DateToday&gt;$A191,$CF191,((($CE191^2)*((($A191-1)-DateToday)/((EOMONTH($A191,0)+1)-DateToday-15)))+((($CF191)^2)*((15)/((EOMONTH($A191,0)+1)-DateToday-15))))^0.5)))</f>
        <v> </v>
      </c>
      <c r="CH191" s="334" t="str">
        <f aca="false">IF($A191="N/A"," ",VLOOKUP($A191,CorrelationTable,2,FALSE()))</f>
        <v> </v>
      </c>
      <c r="CI191" s="336" t="str">
        <f aca="false">IF($A191="N/A"," ",F191+G191+(D191*('Pricing Inputs'!T224)))</f>
        <v> </v>
      </c>
      <c r="CJ191" s="334" t="str">
        <f aca="false">IF($A191="N/A"," ",IF(PV=1,0,'Pricing Inputs'!U224))</f>
        <v> </v>
      </c>
      <c r="CK191" s="337" t="str">
        <f aca="false">IF($A191="N/A"," ",(1+CJ191/2)^(-2*((EOMONTH(A191,0)+20)-DateToday)/365.25))</f>
        <v> </v>
      </c>
      <c r="CL191" s="338" t="str">
        <f aca="false">IF(A191="N/A"," ",IF(CC=2,(VLOOKUP(MONTH($A191),Hrtable,3))/1000,0))</f>
        <v> </v>
      </c>
      <c r="CM191" s="339" t="str">
        <f aca="false">IF(A191="N/A"," ",IF(CC=2,(CL191*C191)+F191,0))</f>
        <v> </v>
      </c>
      <c r="CN191" s="340" t="str">
        <f aca="false">IF($A191="N/A"," ",IF(CC=2,(VLOOKUP(A191,ScaledPrice,(IF(AND(Dayrun&gt;=1,Dayrun&lt;=6),2,4)))-((IF(R191&lt;&gt;0,$D191,$CL191)*$C191)+$F191+$G191)),0))</f>
        <v> </v>
      </c>
      <c r="CO191" s="340" t="str">
        <f aca="false">IF($A191="N/A"," ",IF(CC=2,(IF(AND(Dayrun&gt;=1,Dayrun&lt;=6),I191,(VLOOKUP(A191,ScaledPrice,2))*(2-(VLOOKUP(A191,ScaledPrice,3))))-((IF(S191&lt;&gt;0,$D191,$CL191)*$C191)+$F191+$G191)),0))</f>
        <v> </v>
      </c>
      <c r="CP191" s="340" t="str">
        <f aca="false">IF(A191="N/A"," ",IF(CC=2,(VLOOKUP(A191,ScaledPrice,9)-((IF(T191&lt;&gt;0,$D191,$CL191)*$C191)+$F191+$G191)),0))</f>
        <v> </v>
      </c>
      <c r="CQ191" s="340" t="str">
        <f aca="false">IF(A191="N/A"," ",IF(CC=2,(IF(OR(Dayrun=2,Dayrun=3,Dayrun=5,Dayrun=6,Dayrun=8,Dayrun=9),VLOOKUP(A191,ScaledPrice,IF(AND(Dayrun&gt;=2,Dayrun&lt;=6),5,6)),0)-((IF(U191&lt;&gt;0,$D191,$CL191)*$C191)+$F191+$G191)),0))</f>
        <v> </v>
      </c>
      <c r="CR191" s="340" t="str">
        <f aca="false">IF(A191="N/A"," ",IF(CC=2,(IF(OR(Dayrun=2,Dayrun=3,Dayrun=5,Dayrun=6,Dayrun=8,Dayrun=9),IF(AND(Dayrun&gt;=2,Dayrun&lt;=6),L191,(VLOOKUP(A191,ScaledPrice,5))*(2-(VLOOKUP(A191,ScaledPrice,3)))),0)-((IF(V191&lt;&gt;0,$D191,$CL191)*$C191)+$F191+$G191)),0))</f>
        <v> </v>
      </c>
      <c r="CS191" s="340" t="str">
        <f aca="false">IF(A191="N/A"," ",IF(CC=2,(VLOOKUP(A191,ScaledPrice,9)-((IF(W191&lt;&gt;0,$D191,$CL191)*$C191)+$F191+$G191)),0))</f>
        <v> </v>
      </c>
      <c r="CT191" s="340" t="str">
        <f aca="false">IF(A191="N/A"," ",IF(CC=2,(IF(OR(Dayrun=3,Dayrun=6,Dayrun=9),(VLOOKUP(A191,ScaledPrice,IF(AND(Dayrun&gt;=3,Dayrun&lt;=6),7,8))),0)-((IF(X191&lt;&gt;0,$D191,$CL191)*$C191)+$F191+$G191)),0))</f>
        <v> </v>
      </c>
      <c r="CU191" s="340" t="str">
        <f aca="false">IF(A191="N/A"," ",IF(CC=2,(IF(OR(Dayrun=3,Dayrun=6,Dayrun=9),IF(AND(Dayrun&gt;=3,Dayrun&lt;=6),O191,(VLOOKUP(A191,ScaledPrice,7))*(2-(VLOOKUP(A191,ScaledPrice,3)))),0)-((IF(Y191&lt;&gt;0,$D191,$CL191)*$C191)+$F191+$G191)),0))</f>
        <v> </v>
      </c>
      <c r="CV191" s="340" t="str">
        <f aca="false">IF(A191="N/A"," ",IF(CC=2,(VLOOKUP(A191,ScaledPrice,9)-((IF(Z191&lt;&gt;0,$D191,$CL191)*$C191)+$F191+$G191)),0))</f>
        <v> </v>
      </c>
      <c r="CW191" s="318" t="str">
        <f aca="false">IF($A191="N/A"," ",IF(0&lt;&gt;CN191,IF(CC=2,8*$HD191,0),0))</f>
        <v> </v>
      </c>
      <c r="CX191" s="318" t="str">
        <f aca="false">IF($A191="N/A"," ",IF(0&lt;&gt;CO191,IF(CC=2,8*$HD191,0),0))</f>
        <v> </v>
      </c>
      <c r="CY191" s="318" t="str">
        <f aca="false">IF($A191="N/A"," ",IF(0&lt;&gt;CP191,IF(CC=2,8*$HD191,0),0))</f>
        <v> </v>
      </c>
      <c r="CZ191" s="318" t="str">
        <f aca="false">IF($A191="N/A"," ",IF(0&lt;&gt;CQ191,IF(CC=2,8*$HE191,0),0))</f>
        <v> </v>
      </c>
      <c r="DA191" s="318" t="str">
        <f aca="false">IF($A191="N/A"," ",IF(0&lt;&gt;CR191,IF(CC=2,8*$HE191,0),0))</f>
        <v> </v>
      </c>
      <c r="DB191" s="318" t="str">
        <f aca="false">IF($A191="N/A"," ",IF(0&lt;&gt;CS191,IF(CC=2,8*$HE191,0),0))</f>
        <v> </v>
      </c>
      <c r="DC191" s="318" t="str">
        <f aca="false">IF($A191="N/A"," ",IF(0&lt;&gt;CT191,IF(CC=2,8*$HF191,0),0))</f>
        <v> </v>
      </c>
      <c r="DD191" s="318" t="str">
        <f aca="false">IF($A191="N/A"," ",IF(0&lt;&gt;CU191,IF(CC=2,8*$HF191,0),0))</f>
        <v> </v>
      </c>
      <c r="DE191" s="318" t="str">
        <f aca="false">IF($A191="N/A"," ",IF(0&lt;&gt;CV191,IF(CC=2,8*$HF191,0),0))</f>
        <v> </v>
      </c>
      <c r="DF191" s="341" t="str">
        <f aca="false">IF($A191="N/A"," ",IF(CC=2,(IF(MONTH(A191)&gt;=4,IF(MONTH(A191)&lt;=10,Inputs!$G$13,Inputs!$G$14),Inputs!$G$14))*$CK191,0))</f>
        <v> </v>
      </c>
      <c r="DG191" s="342" t="str">
        <f aca="false">IF($A191="N/A"," ",IF(CC=2,$DF191*CW191*CN191,0))</f>
        <v> </v>
      </c>
      <c r="DH191" s="342" t="str">
        <f aca="false">IF($A191="N/A"," ",IF(CC=2,$DF191*CX191*CO191,0))</f>
        <v> </v>
      </c>
      <c r="DI191" s="342" t="str">
        <f aca="false">IF($A191="N/A"," ",IF(CC=2,$DF191*CY191*CP191,0))</f>
        <v> </v>
      </c>
      <c r="DJ191" s="342" t="str">
        <f aca="false">IF($A191="N/A"," ",IF(CC=2,$DF191*CZ191*CQ191,0))</f>
        <v> </v>
      </c>
      <c r="DK191" s="342" t="str">
        <f aca="false">IF($A191="N/A"," ",IF(CC=2,$DF191*DA191*CR191,0))</f>
        <v> </v>
      </c>
      <c r="DL191" s="342" t="str">
        <f aca="false">IF($A191="N/A"," ",IF(CC=2,$DF191*DB191*CS191,0))</f>
        <v> </v>
      </c>
      <c r="DM191" s="342" t="str">
        <f aca="false">IF($A191="N/A"," ",IF(CC=2,$DF191*DC191*CT191,0))</f>
        <v> </v>
      </c>
      <c r="DN191" s="342" t="str">
        <f aca="false">IF($A191="N/A"," ",IF(CC=2,$DF191*DD191*CU191,0))</f>
        <v> </v>
      </c>
      <c r="DO191" s="342" t="str">
        <f aca="false">IF($A191="N/A"," ",IF(CC=2,$DF191*DE191*CV191,0))</f>
        <v> </v>
      </c>
      <c r="DP191" s="343" t="str">
        <f aca="false">IF($A191="N/A"," ",IF(CC=2,SUM(DG191:DO191),0))</f>
        <v> </v>
      </c>
      <c r="DQ191" s="0" t="str">
        <f aca="false">IF(A191="N/A"," ",Perstart)</f>
        <v> </v>
      </c>
      <c r="HD191" s="0" t="str">
        <f aca="false">IF($A191="N/A"," ",VLOOKUP($A191,NumberofDaysTable,2))</f>
        <v> </v>
      </c>
      <c r="HE191" s="0" t="str">
        <f aca="false">IF($A191="N/A"," ",VLOOKUP($A191,NumberofDaysTable,3))</f>
        <v> </v>
      </c>
      <c r="HF191" s="0" t="str">
        <f aca="false">IF($A191="N/A"," ",VLOOKUP($A191,NumberofDaysTable,4))</f>
        <v> </v>
      </c>
    </row>
    <row r="192" customFormat="false" ht="12.75" hidden="false" customHeight="false" outlineLevel="0" collapsed="false">
      <c r="A192" s="308" t="str">
        <f aca="false">IF(A191="N/A","N/A",IF(EDATE(A191,1)&gt;Inputs!$K$3,"N/A",EDATE(A191,1)))</f>
        <v>N/A</v>
      </c>
      <c r="B192" s="309" t="str">
        <f aca="false">IF(A192="N/A"," ",YEAR(A192))</f>
        <v> </v>
      </c>
      <c r="C192" s="310" t="str">
        <f aca="false">IF(A192="N/A"," ",VLOOKUP(A192,ScaledPrice,10))</f>
        <v> </v>
      </c>
      <c r="D192" s="311" t="str">
        <f aca="false">IF(A192="N/A"," ",(VLOOKUP(MONTH($A192),Hrtable,2))/1000)</f>
        <v> </v>
      </c>
      <c r="E192" s="312" t="str">
        <f aca="false">IF($A192="N/A"," ",(C192-'Pricing Inputs'!T225)*D192)</f>
        <v> </v>
      </c>
      <c r="F192" s="313" t="str">
        <f aca="false">IF(A192="N/A"," ",$F180*(1+VOMesc))</f>
        <v> </v>
      </c>
      <c r="G192" s="313" t="str">
        <f aca="false">IF(A192="N/A"," ",Perstart/IF(AND(Dayrun&gt;=4,Dayrun&lt;=6),16,IF(AND(Dayrun&gt;=7,Dayrun&lt;=9),8,24))/(BM192/CK192))</f>
        <v> </v>
      </c>
      <c r="H192" s="314" t="str">
        <f aca="false">IF(A192="N/A"," ",(C192*D192)+F192+G192)</f>
        <v> </v>
      </c>
      <c r="I192" s="315" t="str">
        <f aca="false">VLOOKUP(A192,ScaledPrice,(IF(AND(Dayrun&gt;=1,Dayrun&lt;=6),2,4)))</f>
        <v> </v>
      </c>
      <c r="J192" s="315" t="str">
        <f aca="false">IF(A192="N/A"," ",IF(AND(Dayrun&gt;=1,Dayrun&lt;=6),I192,(VLOOKUP(A192,ScaledPrice,2))*(2-(VLOOKUP(A192,ScaledPrice,3)))))</f>
        <v> </v>
      </c>
      <c r="K192" s="315" t="str">
        <f aca="false">IF(A192="N/A"," ",IF(AND(Dayrun&gt;=1,Dayrun&lt;=3),VLOOKUP(A192,ScaledPrice,9),0))</f>
        <v> </v>
      </c>
      <c r="L192" s="315" t="str">
        <f aca="false">IF(A192="N/A"," ",IF(OR(Dayrun=2,Dayrun=3,Dayrun=5,Dayrun=6,Dayrun=8,Dayrun=9),VLOOKUP(A192,ScaledPrice,IF(AND(Dayrun&gt;=2,Dayrun&lt;=6),5,6)),0))</f>
        <v> </v>
      </c>
      <c r="M192" s="315" t="str">
        <f aca="false">IF(A192="N/A"," ",IF(OR(Dayrun=2,Dayrun=3,Dayrun=5,Dayrun=6,Dayrun=8,Dayrun=9),IF(AND(Dayrun&gt;=2,Dayrun&lt;=6),L192,(VLOOKUP(A192,ScaledPrice,5))*(2-(VLOOKUP(A192,ScaledPrice,3)))),0))</f>
        <v> </v>
      </c>
      <c r="N192" s="315" t="str">
        <f aca="false">IF(A192="N/A"," ",IF(AND(Dayrun&gt;1,Dayrun&lt;=3),VLOOKUP(A192,ScaledPrice,9),0))</f>
        <v> </v>
      </c>
      <c r="O192" s="315" t="str">
        <f aca="false">IF(A192="N/A"," ",IF(OR(Dayrun=3,Dayrun=6,Dayrun=9),(VLOOKUP(A192,ScaledPrice,IF(AND(Dayrun&gt;=3,Dayrun&lt;=6),7,8))),0))</f>
        <v> </v>
      </c>
      <c r="P192" s="315" t="str">
        <f aca="false">IF(A192="N/A"," ",IF(OR(Dayrun=3,Dayrun=6,Dayrun=9),IF(AND(Dayrun&gt;=3,Dayrun&lt;=6),O192,(VLOOKUP(A192,ScaledPrice,7))*(2-(VLOOKUP(A192,ScaledPrice,3)))),0))</f>
        <v> </v>
      </c>
      <c r="Q192" s="315" t="str">
        <f aca="false">IF(A192="N/A"," ",IF(AND(Dayrun&gt;2,Dayrun&lt;=3),VLOOKUP(A192,ScaledPrice,9),0))</f>
        <v> </v>
      </c>
      <c r="R192" s="316" t="str">
        <f aca="false">IF($A192="N/A"," ",IF(Pricetype=2,MAX(I192-$H192,0),IF(Pricetype=1,(xSPRDOPT(I192,$E192,$CI192,0,($CD192+IF(Smile=TRUE(),VLOOKUP(MAX(-5,$H192-I192),Volsmile,2),0)),$CG192,$CH192,($A192-DateToday)+15,1,0)),I192-$H192)))</f>
        <v> </v>
      </c>
      <c r="S192" s="316" t="str">
        <f aca="false">IF($A192="N/A"," ",IF(Pricetype=2,MAX(J192-$H192,0),IF(Pricetype=1,(xSPRDOPT(J192,$E192,$CI192,0,($CD192+IF(Smile=TRUE(),VLOOKUP(MAX(-5,$H192-J192),Volsmile,2),0)),$CG192,$CH192,($A192-DateToday)+15,1,0)),J192-$H192)))</f>
        <v> </v>
      </c>
      <c r="T192" s="317" t="str">
        <f aca="false">IF($A192="N/A"," ",(IF(Pricetype=2,IF((K192-$H192)&lt;=0,0,(K192-$H192)),IF(K192&lt;&gt;0,(K192-$H192),0))))</f>
        <v> </v>
      </c>
      <c r="U192" s="316" t="str">
        <f aca="false">IF($A192="N/A"," ",IF(Pricetype=2,MAX(L192-$H192,0),IF(L192&lt;&gt;0,IF(Pricetype=1,(xSPRDOPT(L192,$E192,$CI192,0,($CD192+IF(Smile=TRUE(),VLOOKUP(MAX(-5,$H192-L192),Volsmile,2),0)),$CG192,$CH192,($A192-DateToday)+15,1,0)),L192-$H192),0)))</f>
        <v> </v>
      </c>
      <c r="V192" s="316" t="str">
        <f aca="false">IF($A192="N/A"," ",IF(Pricetype=2,MAX(M192-$H192,0),IF(M192&lt;&gt;0,IF(Pricetype=1,(xSPRDOPT(M192,$E192,$CI192,0,($CD192+IF(Smile=TRUE(),VLOOKUP(MAX(-5,$H192-M192),Volsmile,2),0)),$CG192,$CH192,($A192-DateToday)+15,1,0)),M192-$H192),0)))</f>
        <v> </v>
      </c>
      <c r="W192" s="317" t="str">
        <f aca="false">IF($A192="N/A"," ",(IF(Pricetype=2,IF((N192-$H192)&lt;=0,0,(N192-$H192)),IF(N192&lt;&gt;0,(N192-$H192),0))))</f>
        <v> </v>
      </c>
      <c r="X192" s="316" t="str">
        <f aca="false">IF($A192="N/A"," ",IF(Pricetype=2,MAX(O192-$H192,0),IF(O192&lt;&gt;0,IF(Pricetype=1,(xSPRDOPT(O192,$E192,$CI192,0,($CD192+IF(Smile=TRUE(),VLOOKUP(MAX(-5,$H192-O192),Volsmile,2),0)),$CG192,$CH192,($A192-DateToday)+15,1,0)),O192-$H192),0)))</f>
        <v> </v>
      </c>
      <c r="Y192" s="316" t="str">
        <f aca="false">IF($A192="N/A"," ",IF(Pricetype=2,MAX(P192-$H192,0),IF(P192&lt;&gt;0,IF(Pricetype=1,(xSPRDOPT(P192,$E192,$CI192,0,($CD192+IF(Smile=TRUE(),VLOOKUP(MAX(-5,$H192-P192),Volsmile,2),0)),$CG192,$CH192,($A192-DateToday)+15,1,0)),P192-$H192),0)))</f>
        <v> </v>
      </c>
      <c r="Z192" s="317" t="str">
        <f aca="false">IF($A192="N/A"," ",(IF(Pricetype=2,IF((Q192-$H192)&lt;=0,0,(Q192-$H192)),IF(Q192&lt;&gt;0,(Q192-$H192),0))))</f>
        <v> </v>
      </c>
      <c r="AA192" s="318" t="str">
        <f aca="false">IF($A192="N/A"," ",IF(VLOOKUP(MONTH(A192),ManualTable,2)=1,(IF(0&lt;&gt;R192,IF(Pricetype=1,(xSPRDOPT(I192,$E192,$CI192,0,($CD192+IF(Smile=TRUE(),VLOOKUP(MAX(-5,$H192-I192),Volsmile,2),0)),$CG192,$CH192,($A192-DateToday)+15,1,1))*(8*$HD192),8*$HD192),0)),0))</f>
        <v> </v>
      </c>
      <c r="AB192" s="318" t="str">
        <f aca="false">IF($A192="N/A"," ",IF(VLOOKUP(MONTH(A192),ManualTable,3)=1,(IF(S192&lt;&gt;0,IF(Pricetype=1,(xSPRDOPT(J192,$E192,$CI192,0,($CD192+IF(Smile=TRUE(),VLOOKUP(MAX(-5,$H192-J192),Volsmile,2),0)),$CG192,$CH192,($A192-DateToday)+15,1,1))*(8*$HD192),8*$HD192),0)),0))</f>
        <v> </v>
      </c>
      <c r="AC192" s="318" t="str">
        <f aca="false">IF($A192="N/A"," ",IF(VLOOKUP(MONTH(A192),ManualTable,4)=1,(IF(T192&lt;&gt;0,(8*$HD192),0)),0))</f>
        <v> </v>
      </c>
      <c r="AD192" s="318" t="str">
        <f aca="false">IF($A192="N/A"," ",IF(VLOOKUP(MONTH(A192),ManualTable,5)=1,(IF(U192&lt;&gt;0,IF(Pricetype=1,(xSPRDOPT(L192,$E192,$CI192,0,($CD192+IF(Smile=TRUE(),VLOOKUP(MAX(-5,$H192-L192),Volsmile,2),0)),$CG192,$CH192,($A192-DateToday)+15,1,1))*(8*$HE192),8*$HE192),0)),0))</f>
        <v> </v>
      </c>
      <c r="AE192" s="318" t="str">
        <f aca="false">IF($A192="N/A"," ",IF(VLOOKUP(MONTH(A192),ManualTable,6)=1,(IF(V192&lt;&gt;0,IF(Pricetype=1,(xSPRDOPT(M192,$E192,$CI192,0,($CD192+IF(Smile=TRUE(),VLOOKUP(MAX(-5,$H192-M192),Volsmile,2),0)),$CG192,$CH192,($A192-DateToday)+15,1,1))*(8*$HE192),8*$HE192),0)),0))</f>
        <v> </v>
      </c>
      <c r="AF192" s="318" t="str">
        <f aca="false">IF($A192="N/A"," ",IF(VLOOKUP(MONTH(A192),ManualTable,7)=1,(IF(W192&lt;&gt;0,(8*$HE192),0)),0))</f>
        <v> </v>
      </c>
      <c r="AG192" s="318" t="str">
        <f aca="false">IF($A192="N/A"," ",IF(VLOOKUP(MONTH(A192),ManualTable,8)=1,(IF(X192&lt;&gt;0,IF(Pricetype=1,(xSPRDOPT(O192,$E192,$CI192,0,($CD192+IF(Smile=TRUE(),VLOOKUP(MAX(-5,$H192-O192),Volsmile,2),0)),$CG192,$CH192,($A192-DateToday)+15,1,1))*(8*$HF192),8*$HF192),0)),0))</f>
        <v> </v>
      </c>
      <c r="AH192" s="318" t="str">
        <f aca="false">IF($A192="N/A"," ",IF(VLOOKUP(MONTH(A192),ManualTable,9)=1,(IF(Y192&lt;&gt;0,IF(Pricetype=1,(xSPRDOPT(P192,$E192,$CI192,0,($CD192+IF(Smile=TRUE(),VLOOKUP(MAX(-5,$H192-P192),Volsmile,2),0)),$CG192,$CH192,($A192-DateToday)+15,1,1))*(8*$HF192),8*$HF192),0)),0))</f>
        <v> </v>
      </c>
      <c r="AI192" s="318" t="str">
        <f aca="false">IF($A192="N/A"," ",IF(VLOOKUP(MONTH(A192),ManualTable,10)=1,(IF(Z192&lt;&gt;0,(8*($HF192)),0)),0))</f>
        <v> </v>
      </c>
      <c r="AJ192" s="344" t="str">
        <f aca="false">IF($A192="N/A"," ",RANK(R192,$R$184:$Z$195))</f>
        <v> </v>
      </c>
      <c r="AK192" s="321" t="str">
        <f aca="false">IF($A192="N/A"," ",RANK(S192,$R$184:$Z$195))</f>
        <v> </v>
      </c>
      <c r="AL192" s="321" t="str">
        <f aca="false">IF($A192="N/A"," ",RANK(T192,$R$184:$Z$195))</f>
        <v> </v>
      </c>
      <c r="AM192" s="321" t="str">
        <f aca="false">IF($A192="N/A"," ",RANK(U192,$R$184:$Z$195))</f>
        <v> </v>
      </c>
      <c r="AN192" s="321" t="str">
        <f aca="false">IF($A192="N/A"," ",RANK(V192,$R$184:$Z$195))</f>
        <v> </v>
      </c>
      <c r="AO192" s="321" t="str">
        <f aca="false">IF($A192="N/A"," ",RANK(W192,$R$184:$Z$195))</f>
        <v> </v>
      </c>
      <c r="AP192" s="321" t="str">
        <f aca="false">IF($A192="N/A"," ",RANK(X192,$R$184:$Z$195))</f>
        <v> </v>
      </c>
      <c r="AQ192" s="321" t="str">
        <f aca="false">IF($A192="N/A"," ",RANK(Y192,$R$184:$Z$195))</f>
        <v> </v>
      </c>
      <c r="AR192" s="345" t="str">
        <f aca="false">IF($A192="N/A"," ",RANK(Z192,$R$184:$Z$195))</f>
        <v> </v>
      </c>
      <c r="AS192" s="323" t="str">
        <f aca="false">IF($A192="N/A"," ",IF(AJ192&lt;=$AR$2,AA192,0))</f>
        <v> </v>
      </c>
      <c r="AT192" s="325" t="str">
        <f aca="false">IF($A192="N/A"," ",IF(AK192&lt;=$AR$2,AB192,0))</f>
        <v> </v>
      </c>
      <c r="AU192" s="325" t="str">
        <f aca="false">IF($A192="N/A"," ",IF(AL192&lt;=$AR$2,AC192,0))</f>
        <v> </v>
      </c>
      <c r="AV192" s="325" t="str">
        <f aca="false">IF($A192="N/A"," ",IF(AM192&lt;=$AR$2,AD192,0))</f>
        <v> </v>
      </c>
      <c r="AW192" s="325" t="str">
        <f aca="false">IF($A192="N/A"," ",IF(AN192&lt;=$AR$2,AE192,0))</f>
        <v> </v>
      </c>
      <c r="AX192" s="325" t="str">
        <f aca="false">IF($A192="N/A"," ",IF(AO192&lt;=$AR$2,AF192,0))</f>
        <v> </v>
      </c>
      <c r="AY192" s="325" t="str">
        <f aca="false">IF($A192="N/A"," ",IF(AP192&lt;=$AR$2,AG192,0))</f>
        <v> </v>
      </c>
      <c r="AZ192" s="325" t="str">
        <f aca="false">IF($A192="N/A"," ",IF(AQ192&lt;=$AR$2,AH192,0))</f>
        <v> </v>
      </c>
      <c r="BA192" s="325" t="str">
        <f aca="false">IF($A192="N/A"," ",IF(AR192&lt;=$AR$2,AI192,0))</f>
        <v> </v>
      </c>
      <c r="BB192" s="345"/>
      <c r="BC192" s="326" t="str">
        <f aca="false">IF($A192="N/A"," ",IF(AND(AJ192=$AR$2+1,AS192=0),MIN($BB$195,AA192),0))</f>
        <v> </v>
      </c>
      <c r="BD192" s="346" t="str">
        <f aca="false">IF($A192="N/A"," ",IF(AND(AK192=$AR$2+1,AT192=0),MIN($BB$195,AB192),0))</f>
        <v> </v>
      </c>
      <c r="BE192" s="346" t="str">
        <f aca="false">IF($A192="N/A"," ",IF(AND(AL192=$AR$2+1,AU192=0),MIN($BB$195,AC192),0))</f>
        <v> </v>
      </c>
      <c r="BF192" s="346" t="str">
        <f aca="false">IF($A192="N/A"," ",IF(AND(AM192=$AR$2+1,AV192=0),MIN($BB$195,AD192),0))</f>
        <v> </v>
      </c>
      <c r="BG192" s="346" t="str">
        <f aca="false">IF($A192="N/A"," ",IF(AND(AN192=$AR$2+1,AW192=0),MIN($BB$195,AE192),0))</f>
        <v> </v>
      </c>
      <c r="BH192" s="346" t="str">
        <f aca="false">IF($A192="N/A"," ",IF(AND(AO192=$AR$2+1,AX192=0),MIN($BB$195,AF192),0))</f>
        <v> </v>
      </c>
      <c r="BI192" s="346" t="str">
        <f aca="false">IF($A192="N/A"," ",IF(AND(AP192=$AR$2+1,AY192=0),MIN($BB$195,AG192),0))</f>
        <v> </v>
      </c>
      <c r="BJ192" s="346" t="str">
        <f aca="false">IF($A192="N/A"," ",IF(AND(AQ192=$AR$2+1,AZ192=0),MIN($BB$195,AH192),0))</f>
        <v> </v>
      </c>
      <c r="BK192" s="346" t="str">
        <f aca="false">IF($A192="N/A"," ",IF(AND(AR192=$AR$2+1,BA192=0),MIN($BB$195,AI192),0))</f>
        <v> </v>
      </c>
      <c r="BL192" s="345"/>
      <c r="BM192" s="329" t="str">
        <f aca="false">IF($A192="N/A"," ",(IF(MONTH(A192)&gt;=4,IF(MONTH(A192)&lt;=10,Inputs!$F$13-Inputs!$G$13,Inputs!$F$14-Inputs!$G$14),Inputs!$F$14-Inputs!$G$14))*$CK192*Availability)</f>
        <v> </v>
      </c>
      <c r="BN192" s="330" t="str">
        <f aca="false">IF($A192="N/A"," ",(IF(AS192&gt;0,($BM192*(8*($HD192))*R192),0)+IF(BC192&gt;0,($BM192*((BC192/AA192)*8*$HD192)*R192),0)))</f>
        <v> </v>
      </c>
      <c r="BO192" s="330" t="str">
        <f aca="false">IF($A192="N/A"," ",(IF(AT192&gt;0,($BM192*(8*($HD192))*S192),0)+IF(BD192&gt;0,($BM192*((BD192/AB192)*8*$HD192)*S192),0)))</f>
        <v> </v>
      </c>
      <c r="BP192" s="330" t="str">
        <f aca="false">IF($A192="N/A"," ",(IF(AU192&gt;0,($BM192*(8*($HD192))*T192),0)+IF(BE192&gt;0,($BM192*((BE192))*T192),0)))</f>
        <v> </v>
      </c>
      <c r="BQ192" s="330" t="str">
        <f aca="false">IF($A192="N/A"," ",(IF(AV192&gt;0,($BM192*(8*($HE192))*U192),0)+IF(BF192&gt;0,($BM192*((BF192/AD192)*8*$HE192)*U192),0)))</f>
        <v> </v>
      </c>
      <c r="BR192" s="330" t="str">
        <f aca="false">IF($A192="N/A"," ",(IF(AW192&gt;0,($BM192*(8*($HE192))*V192),0)+IF(BG192&gt;0,($BM192*((BG192/AE192)*8*$HE192)*V192),0)))</f>
        <v> </v>
      </c>
      <c r="BS192" s="330" t="str">
        <f aca="false">IF($A192="N/A"," ",(IF(AX192&gt;0,($BM192*(8*($HE192))*W192),0)+IF(BH192&gt;0,($BM192*((BH192))*W192),0)))</f>
        <v> </v>
      </c>
      <c r="BT192" s="330" t="str">
        <f aca="false">IF($A192="N/A"," ",(IF(AY192&gt;0,($BM192*(8*($HF192))*X192),0)+IF(BI192&gt;0,($BM192*((BI192/AG192)*8*$HF192)*X192),0)))</f>
        <v> </v>
      </c>
      <c r="BU192" s="330" t="str">
        <f aca="false">IF($A192="N/A"," ",(IF(AZ192&gt;0,($BM192*(8*($HF192))*Y192),0)+IF(BJ192&gt;0,($BM192*((BJ192/AH192)*8*$HF192)*Y192),0)))</f>
        <v> </v>
      </c>
      <c r="BV192" s="330" t="str">
        <f aca="false">IF($A192="N/A"," ",(IF(BA192&gt;0,($BM192*(8*($HF192))*Z192),0)+IF(BK192&gt;0,($BM192*((BK192))*Z192),0)))</f>
        <v> </v>
      </c>
      <c r="BW192" s="330" t="str">
        <f aca="false">IF($A192="N/A"," ",SUM(BN192:BV192))</f>
        <v> </v>
      </c>
      <c r="BX192" s="331" t="str">
        <f aca="false">IF($A192="N/A"," ",(H192*(SUM(AS192:BA192)+SUM(BC192:BK192))*BM192))</f>
        <v> </v>
      </c>
      <c r="BY192" s="332" t="str">
        <f aca="false">IF($A192="N/A"," ",((C192*D192)*(SUM($AS192:$BA192)+SUM($BC192:$BK192))*$BM192))</f>
        <v> </v>
      </c>
      <c r="BZ192" s="332" t="str">
        <f aca="false">IF($A192="N/A"," ",(F192*(SUM($AS192:$BA192)+SUM($BC192:$BK192))*$BM192))</f>
        <v> </v>
      </c>
      <c r="CA192" s="333" t="str">
        <f aca="false">IF($A192="N/A"," ",(G192*(SUM($AS192:$BA192)+SUM($BC192:$BK192))*$BM192))</f>
        <v> </v>
      </c>
      <c r="CB192" s="334" t="str">
        <f aca="false">IF(A192="N/A"," ",(VLOOKUP(A192,PowerVolTable,(IF(BMO=2,7,IF(BMO=1,6,8))),FALSE())))</f>
        <v> </v>
      </c>
      <c r="CC192" s="334" t="str">
        <f aca="false">IF(A192="N/A"," ",(VLOOKUP(A192,IntraPowerVol,(IF(BMO=2,3,IF(BMO=1,2,4))),FALSE())*VLOOKUP(MONTH($A192),Volscale,2)))</f>
        <v> </v>
      </c>
      <c r="CD192" s="335" t="str">
        <f aca="false">IF($A192="N/A"," ",(IF(DateToday&gt;$A192,$CC192,((($CB192^2)*((($A192-1)-DateToday)/((EOMONTH($A192,0)+1)-DateToday-15)))+((($CC192)^2)*((15)/((EOMONTH($A192,0)+1)-DateToday-15))))^0.5)))</f>
        <v> </v>
      </c>
      <c r="CE192" s="334" t="str">
        <f aca="false">IF($A192="N/A"," ",(VLOOKUP($A192,GasVolTable,(IF(BMO=2,6,IF(BMO=1,7,5))),FALSE())))</f>
        <v> </v>
      </c>
      <c r="CF192" s="334" t="str">
        <f aca="false">IF($A192="N/A"," ",(VLOOKUP($A192,OmicronVol,(IF(BMO=2,3,IF(BMO=1,4,2))),FALSE())))</f>
        <v> </v>
      </c>
      <c r="CG192" s="335" t="str">
        <f aca="false">IF($A192="N/A"," ",(IF(DateToday&gt;$A192,$CF192,((($CE192^2)*((($A192-1)-DateToday)/((EOMONTH($A192,0)+1)-DateToday-15)))+((($CF192)^2)*((15)/((EOMONTH($A192,0)+1)-DateToday-15))))^0.5)))</f>
        <v> </v>
      </c>
      <c r="CH192" s="334" t="str">
        <f aca="false">IF($A192="N/A"," ",VLOOKUP($A192,CorrelationTable,2,FALSE()))</f>
        <v> </v>
      </c>
      <c r="CI192" s="336" t="str">
        <f aca="false">IF($A192="N/A"," ",F192+G192+(D192*('Pricing Inputs'!T225)))</f>
        <v> </v>
      </c>
      <c r="CJ192" s="334" t="str">
        <f aca="false">IF($A192="N/A"," ",IF(PV=1,0,'Pricing Inputs'!U225))</f>
        <v> </v>
      </c>
      <c r="CK192" s="337" t="str">
        <f aca="false">IF($A192="N/A"," ",(1+CJ192/2)^(-2*((EOMONTH(A192,0)+20)-DateToday)/365.25))</f>
        <v> </v>
      </c>
      <c r="CL192" s="338" t="str">
        <f aca="false">IF(A192="N/A"," ",IF(CC=2,(VLOOKUP(MONTH($A192),Hrtable,3))/1000,0))</f>
        <v> </v>
      </c>
      <c r="CM192" s="339" t="str">
        <f aca="false">IF(A192="N/A"," ",IF(CC=2,(CL192*C192)+F192,0))</f>
        <v> </v>
      </c>
      <c r="CN192" s="340" t="str">
        <f aca="false">IF($A192="N/A"," ",IF(CC=2,(VLOOKUP(A192,ScaledPrice,(IF(AND(Dayrun&gt;=1,Dayrun&lt;=6),2,4)))-((IF(R192&lt;&gt;0,$D192,$CL192)*$C192)+$F192+$G192)),0))</f>
        <v> </v>
      </c>
      <c r="CO192" s="340" t="str">
        <f aca="false">IF($A192="N/A"," ",IF(CC=2,(IF(AND(Dayrun&gt;=1,Dayrun&lt;=6),I192,(VLOOKUP(A192,ScaledPrice,2))*(2-(VLOOKUP(A192,ScaledPrice,3))))-((IF(S192&lt;&gt;0,$D192,$CL192)*$C192)+$F192+$G192)),0))</f>
        <v> </v>
      </c>
      <c r="CP192" s="340" t="str">
        <f aca="false">IF(A192="N/A"," ",IF(CC=2,(VLOOKUP(A192,ScaledPrice,9)-((IF(T192&lt;&gt;0,$D192,$CL192)*$C192)+$F192+$G192)),0))</f>
        <v> </v>
      </c>
      <c r="CQ192" s="340" t="str">
        <f aca="false">IF(A192="N/A"," ",IF(CC=2,(IF(OR(Dayrun=2,Dayrun=3,Dayrun=5,Dayrun=6,Dayrun=8,Dayrun=9),VLOOKUP(A192,ScaledPrice,IF(AND(Dayrun&gt;=2,Dayrun&lt;=6),5,6)),0)-((IF(U192&lt;&gt;0,$D192,$CL192)*$C192)+$F192+$G192)),0))</f>
        <v> </v>
      </c>
      <c r="CR192" s="340" t="str">
        <f aca="false">IF(A192="N/A"," ",IF(CC=2,(IF(OR(Dayrun=2,Dayrun=3,Dayrun=5,Dayrun=6,Dayrun=8,Dayrun=9),IF(AND(Dayrun&gt;=2,Dayrun&lt;=6),L192,(VLOOKUP(A192,ScaledPrice,5))*(2-(VLOOKUP(A192,ScaledPrice,3)))),0)-((IF(V192&lt;&gt;0,$D192,$CL192)*$C192)+$F192+$G192)),0))</f>
        <v> </v>
      </c>
      <c r="CS192" s="340" t="str">
        <f aca="false">IF(A192="N/A"," ",IF(CC=2,(VLOOKUP(A192,ScaledPrice,9)-((IF(W192&lt;&gt;0,$D192,$CL192)*$C192)+$F192+$G192)),0))</f>
        <v> </v>
      </c>
      <c r="CT192" s="340" t="str">
        <f aca="false">IF(A192="N/A"," ",IF(CC=2,(IF(OR(Dayrun=3,Dayrun=6,Dayrun=9),(VLOOKUP(A192,ScaledPrice,IF(AND(Dayrun&gt;=3,Dayrun&lt;=6),7,8))),0)-((IF(X192&lt;&gt;0,$D192,$CL192)*$C192)+$F192+$G192)),0))</f>
        <v> </v>
      </c>
      <c r="CU192" s="340" t="str">
        <f aca="false">IF(A192="N/A"," ",IF(CC=2,(IF(OR(Dayrun=3,Dayrun=6,Dayrun=9),IF(AND(Dayrun&gt;=3,Dayrun&lt;=6),O192,(VLOOKUP(A192,ScaledPrice,7))*(2-(VLOOKUP(A192,ScaledPrice,3)))),0)-((IF(Y192&lt;&gt;0,$D192,$CL192)*$C192)+$F192+$G192)),0))</f>
        <v> </v>
      </c>
      <c r="CV192" s="340" t="str">
        <f aca="false">IF(A192="N/A"," ",IF(CC=2,(VLOOKUP(A192,ScaledPrice,9)-((IF(Z192&lt;&gt;0,$D192,$CL192)*$C192)+$F192+$G192)),0))</f>
        <v> </v>
      </c>
      <c r="CW192" s="318" t="str">
        <f aca="false">IF($A192="N/A"," ",IF(0&lt;&gt;CN192,IF(CC=2,8*$HD192,0),0))</f>
        <v> </v>
      </c>
      <c r="CX192" s="318" t="str">
        <f aca="false">IF($A192="N/A"," ",IF(0&lt;&gt;CO192,IF(CC=2,8*$HD192,0),0))</f>
        <v> </v>
      </c>
      <c r="CY192" s="318" t="str">
        <f aca="false">IF($A192="N/A"," ",IF(0&lt;&gt;CP192,IF(CC=2,8*$HD192,0),0))</f>
        <v> </v>
      </c>
      <c r="CZ192" s="318" t="str">
        <f aca="false">IF($A192="N/A"," ",IF(0&lt;&gt;CQ192,IF(CC=2,8*$HE192,0),0))</f>
        <v> </v>
      </c>
      <c r="DA192" s="318" t="str">
        <f aca="false">IF($A192="N/A"," ",IF(0&lt;&gt;CR192,IF(CC=2,8*$HE192,0),0))</f>
        <v> </v>
      </c>
      <c r="DB192" s="318" t="str">
        <f aca="false">IF($A192="N/A"," ",IF(0&lt;&gt;CS192,IF(CC=2,8*$HE192,0),0))</f>
        <v> </v>
      </c>
      <c r="DC192" s="318" t="str">
        <f aca="false">IF($A192="N/A"," ",IF(0&lt;&gt;CT192,IF(CC=2,8*$HF192,0),0))</f>
        <v> </v>
      </c>
      <c r="DD192" s="318" t="str">
        <f aca="false">IF($A192="N/A"," ",IF(0&lt;&gt;CU192,IF(CC=2,8*$HF192,0),0))</f>
        <v> </v>
      </c>
      <c r="DE192" s="318" t="str">
        <f aca="false">IF($A192="N/A"," ",IF(0&lt;&gt;CV192,IF(CC=2,8*$HF192,0),0))</f>
        <v> </v>
      </c>
      <c r="DF192" s="341" t="str">
        <f aca="false">IF($A192="N/A"," ",IF(CC=2,(IF(MONTH(A192)&gt;=4,IF(MONTH(A192)&lt;=10,Inputs!$G$13,Inputs!$G$14),Inputs!$G$14))*$CK192,0))</f>
        <v> </v>
      </c>
      <c r="DG192" s="342" t="str">
        <f aca="false">IF($A192="N/A"," ",IF(CC=2,$DF192*CW192*CN192,0))</f>
        <v> </v>
      </c>
      <c r="DH192" s="342" t="str">
        <f aca="false">IF($A192="N/A"," ",IF(CC=2,$DF192*CX192*CO192,0))</f>
        <v> </v>
      </c>
      <c r="DI192" s="342" t="str">
        <f aca="false">IF($A192="N/A"," ",IF(CC=2,$DF192*CY192*CP192,0))</f>
        <v> </v>
      </c>
      <c r="DJ192" s="342" t="str">
        <f aca="false">IF($A192="N/A"," ",IF(CC=2,$DF192*CZ192*CQ192,0))</f>
        <v> </v>
      </c>
      <c r="DK192" s="342" t="str">
        <f aca="false">IF($A192="N/A"," ",IF(CC=2,$DF192*DA192*CR192,0))</f>
        <v> </v>
      </c>
      <c r="DL192" s="342" t="str">
        <f aca="false">IF($A192="N/A"," ",IF(CC=2,$DF192*DB192*CS192,0))</f>
        <v> </v>
      </c>
      <c r="DM192" s="342" t="str">
        <f aca="false">IF($A192="N/A"," ",IF(CC=2,$DF192*DC192*CT192,0))</f>
        <v> </v>
      </c>
      <c r="DN192" s="342" t="str">
        <f aca="false">IF($A192="N/A"," ",IF(CC=2,$DF192*DD192*CU192,0))</f>
        <v> </v>
      </c>
      <c r="DO192" s="342" t="str">
        <f aca="false">IF($A192="N/A"," ",IF(CC=2,$DF192*DE192*CV192,0))</f>
        <v> </v>
      </c>
      <c r="DP192" s="343" t="str">
        <f aca="false">IF($A192="N/A"," ",IF(CC=2,SUM(DG192:DO192),0))</f>
        <v> </v>
      </c>
      <c r="DQ192" s="0" t="str">
        <f aca="false">IF(A192="N/A"," ",Perstart)</f>
        <v> </v>
      </c>
      <c r="HD192" s="0" t="str">
        <f aca="false">IF($A192="N/A"," ",VLOOKUP($A192,NumberofDaysTable,2))</f>
        <v> </v>
      </c>
      <c r="HE192" s="0" t="str">
        <f aca="false">IF($A192="N/A"," ",VLOOKUP($A192,NumberofDaysTable,3))</f>
        <v> </v>
      </c>
      <c r="HF192" s="0" t="str">
        <f aca="false">IF($A192="N/A"," ",VLOOKUP($A192,NumberofDaysTable,4))</f>
        <v> </v>
      </c>
    </row>
    <row r="193" customFormat="false" ht="12.75" hidden="false" customHeight="false" outlineLevel="0" collapsed="false">
      <c r="A193" s="308" t="str">
        <f aca="false">IF(A192="N/A","N/A",IF(EDATE(A192,1)&gt;Inputs!$K$3,"N/A",EDATE(A192,1)))</f>
        <v>N/A</v>
      </c>
      <c r="B193" s="309" t="str">
        <f aca="false">IF(A193="N/A"," ",YEAR(A193))</f>
        <v> </v>
      </c>
      <c r="C193" s="310" t="str">
        <f aca="false">IF(A193="N/A"," ",VLOOKUP(A193,ScaledPrice,10))</f>
        <v> </v>
      </c>
      <c r="D193" s="311" t="str">
        <f aca="false">IF(A193="N/A"," ",(VLOOKUP(MONTH($A193),Hrtable,2))/1000)</f>
        <v> </v>
      </c>
      <c r="E193" s="312" t="str">
        <f aca="false">IF($A193="N/A"," ",(C193-'Pricing Inputs'!T226)*D193)</f>
        <v> </v>
      </c>
      <c r="F193" s="313" t="str">
        <f aca="false">IF(A193="N/A"," ",$F181*(1+VOMesc))</f>
        <v> </v>
      </c>
      <c r="G193" s="313" t="str">
        <f aca="false">IF(A193="N/A"," ",Perstart/IF(AND(Dayrun&gt;=4,Dayrun&lt;=6),16,IF(AND(Dayrun&gt;=7,Dayrun&lt;=9),8,24))/(BM193/CK193))</f>
        <v> </v>
      </c>
      <c r="H193" s="314" t="str">
        <f aca="false">IF(A193="N/A"," ",(C193*D193)+F193+G193)</f>
        <v> </v>
      </c>
      <c r="I193" s="315" t="str">
        <f aca="false">VLOOKUP(A193,ScaledPrice,(IF(AND(Dayrun&gt;=1,Dayrun&lt;=6),2,4)))</f>
        <v> </v>
      </c>
      <c r="J193" s="315" t="str">
        <f aca="false">IF(A193="N/A"," ",IF(AND(Dayrun&gt;=1,Dayrun&lt;=6),I193,(VLOOKUP(A193,ScaledPrice,2))*(2-(VLOOKUP(A193,ScaledPrice,3)))))</f>
        <v> </v>
      </c>
      <c r="K193" s="315" t="str">
        <f aca="false">IF(A193="N/A"," ",IF(AND(Dayrun&gt;=1,Dayrun&lt;=3),VLOOKUP(A193,ScaledPrice,9),0))</f>
        <v> </v>
      </c>
      <c r="L193" s="315" t="str">
        <f aca="false">IF(A193="N/A"," ",IF(OR(Dayrun=2,Dayrun=3,Dayrun=5,Dayrun=6,Dayrun=8,Dayrun=9),VLOOKUP(A193,ScaledPrice,IF(AND(Dayrun&gt;=2,Dayrun&lt;=6),5,6)),0))</f>
        <v> </v>
      </c>
      <c r="M193" s="315" t="str">
        <f aca="false">IF(A193="N/A"," ",IF(OR(Dayrun=2,Dayrun=3,Dayrun=5,Dayrun=6,Dayrun=8,Dayrun=9),IF(AND(Dayrun&gt;=2,Dayrun&lt;=6),L193,(VLOOKUP(A193,ScaledPrice,5))*(2-(VLOOKUP(A193,ScaledPrice,3)))),0))</f>
        <v> </v>
      </c>
      <c r="N193" s="315" t="str">
        <f aca="false">IF(A193="N/A"," ",IF(AND(Dayrun&gt;1,Dayrun&lt;=3),VLOOKUP(A193,ScaledPrice,9),0))</f>
        <v> </v>
      </c>
      <c r="O193" s="315" t="str">
        <f aca="false">IF(A193="N/A"," ",IF(OR(Dayrun=3,Dayrun=6,Dayrun=9),(VLOOKUP(A193,ScaledPrice,IF(AND(Dayrun&gt;=3,Dayrun&lt;=6),7,8))),0))</f>
        <v> </v>
      </c>
      <c r="P193" s="315" t="str">
        <f aca="false">IF(A193="N/A"," ",IF(OR(Dayrun=3,Dayrun=6,Dayrun=9),IF(AND(Dayrun&gt;=3,Dayrun&lt;=6),O193,(VLOOKUP(A193,ScaledPrice,7))*(2-(VLOOKUP(A193,ScaledPrice,3)))),0))</f>
        <v> </v>
      </c>
      <c r="Q193" s="315" t="str">
        <f aca="false">IF(A193="N/A"," ",IF(AND(Dayrun&gt;2,Dayrun&lt;=3),VLOOKUP(A193,ScaledPrice,9),0))</f>
        <v> </v>
      </c>
      <c r="R193" s="316" t="str">
        <f aca="false">IF($A193="N/A"," ",IF(Pricetype=2,MAX(I193-$H193,0),IF(Pricetype=1,(xSPRDOPT(I193,$E193,$CI193,0,($CD193+IF(Smile=TRUE(),VLOOKUP(MAX(-5,$H193-I193),Volsmile,2),0)),$CG193,$CH193,($A193-DateToday)+15,1,0)),I193-$H193)))</f>
        <v> </v>
      </c>
      <c r="S193" s="316" t="str">
        <f aca="false">IF($A193="N/A"," ",IF(Pricetype=2,MAX(J193-$H193,0),IF(Pricetype=1,(xSPRDOPT(J193,$E193,$CI193,0,($CD193+IF(Smile=TRUE(),VLOOKUP(MAX(-5,$H193-J193),Volsmile,2),0)),$CG193,$CH193,($A193-DateToday)+15,1,0)),J193-$H193)))</f>
        <v> </v>
      </c>
      <c r="T193" s="317" t="str">
        <f aca="false">IF($A193="N/A"," ",(IF(Pricetype=2,IF((K193-$H193)&lt;=0,0,(K193-$H193)),IF(K193&lt;&gt;0,(K193-$H193),0))))</f>
        <v> </v>
      </c>
      <c r="U193" s="316" t="str">
        <f aca="false">IF($A193="N/A"," ",IF(Pricetype=2,MAX(L193-$H193,0),IF(L193&lt;&gt;0,IF(Pricetype=1,(xSPRDOPT(L193,$E193,$CI193,0,($CD193+IF(Smile=TRUE(),VLOOKUP(MAX(-5,$H193-L193),Volsmile,2),0)),$CG193,$CH193,($A193-DateToday)+15,1,0)),L193-$H193),0)))</f>
        <v> </v>
      </c>
      <c r="V193" s="316" t="str">
        <f aca="false">IF($A193="N/A"," ",IF(Pricetype=2,MAX(M193-$H193,0),IF(M193&lt;&gt;0,IF(Pricetype=1,(xSPRDOPT(M193,$E193,$CI193,0,($CD193+IF(Smile=TRUE(),VLOOKUP(MAX(-5,$H193-M193),Volsmile,2),0)),$CG193,$CH193,($A193-DateToday)+15,1,0)),M193-$H193),0)))</f>
        <v> </v>
      </c>
      <c r="W193" s="317" t="str">
        <f aca="false">IF($A193="N/A"," ",(IF(Pricetype=2,IF((N193-$H193)&lt;=0,0,(N193-$H193)),IF(N193&lt;&gt;0,(N193-$H193),0))))</f>
        <v> </v>
      </c>
      <c r="X193" s="316" t="str">
        <f aca="false">IF($A193="N/A"," ",IF(Pricetype=2,MAX(O193-$H193,0),IF(O193&lt;&gt;0,IF(Pricetype=1,(xSPRDOPT(O193,$E193,$CI193,0,($CD193+IF(Smile=TRUE(),VLOOKUP(MAX(-5,$H193-O193),Volsmile,2),0)),$CG193,$CH193,($A193-DateToday)+15,1,0)),O193-$H193),0)))</f>
        <v> </v>
      </c>
      <c r="Y193" s="316" t="str">
        <f aca="false">IF($A193="N/A"," ",IF(Pricetype=2,MAX(P193-$H193,0),IF(P193&lt;&gt;0,IF(Pricetype=1,(xSPRDOPT(P193,$E193,$CI193,0,($CD193+IF(Smile=TRUE(),VLOOKUP(MAX(-5,$H193-P193),Volsmile,2),0)),$CG193,$CH193,($A193-DateToday)+15,1,0)),P193-$H193),0)))</f>
        <v> </v>
      </c>
      <c r="Z193" s="317" t="str">
        <f aca="false">IF($A193="N/A"," ",(IF(Pricetype=2,IF((Q193-$H193)&lt;=0,0,(Q193-$H193)),IF(Q193&lt;&gt;0,(Q193-$H193),0))))</f>
        <v> </v>
      </c>
      <c r="AA193" s="318" t="str">
        <f aca="false">IF($A193="N/A"," ",IF(VLOOKUP(MONTH(A193),ManualTable,2)=1,(IF(0&lt;&gt;R193,IF(Pricetype=1,(xSPRDOPT(I193,$E193,$CI193,0,($CD193+IF(Smile=TRUE(),VLOOKUP(MAX(-5,$H193-I193),Volsmile,2),0)),$CG193,$CH193,($A193-DateToday)+15,1,1))*(8*$HD193),8*$HD193),0)),0))</f>
        <v> </v>
      </c>
      <c r="AB193" s="318" t="str">
        <f aca="false">IF($A193="N/A"," ",IF(VLOOKUP(MONTH(A193),ManualTable,3)=1,(IF(S193&lt;&gt;0,IF(Pricetype=1,(xSPRDOPT(J193,$E193,$CI193,0,($CD193+IF(Smile=TRUE(),VLOOKUP(MAX(-5,$H193-J193),Volsmile,2),0)),$CG193,$CH193,($A193-DateToday)+15,1,1))*(8*$HD193),8*$HD193),0)),0))</f>
        <v> </v>
      </c>
      <c r="AC193" s="318" t="str">
        <f aca="false">IF($A193="N/A"," ",IF(VLOOKUP(MONTH(A193),ManualTable,4)=1,(IF(T193&lt;&gt;0,(8*$HD193),0)),0))</f>
        <v> </v>
      </c>
      <c r="AD193" s="318" t="str">
        <f aca="false">IF($A193="N/A"," ",IF(VLOOKUP(MONTH(A193),ManualTable,5)=1,(IF(U193&lt;&gt;0,IF(Pricetype=1,(xSPRDOPT(L193,$E193,$CI193,0,($CD193+IF(Smile=TRUE(),VLOOKUP(MAX(-5,$H193-L193),Volsmile,2),0)),$CG193,$CH193,($A193-DateToday)+15,1,1))*(8*$HE193),8*$HE193),0)),0))</f>
        <v> </v>
      </c>
      <c r="AE193" s="318" t="str">
        <f aca="false">IF($A193="N/A"," ",IF(VLOOKUP(MONTH(A193),ManualTable,6)=1,(IF(V193&lt;&gt;0,IF(Pricetype=1,(xSPRDOPT(M193,$E193,$CI193,0,($CD193+IF(Smile=TRUE(),VLOOKUP(MAX(-5,$H193-M193),Volsmile,2),0)),$CG193,$CH193,($A193-DateToday)+15,1,1))*(8*$HE193),8*$HE193),0)),0))</f>
        <v> </v>
      </c>
      <c r="AF193" s="318" t="str">
        <f aca="false">IF($A193="N/A"," ",IF(VLOOKUP(MONTH(A193),ManualTable,7)=1,(IF(W193&lt;&gt;0,(8*$HE193),0)),0))</f>
        <v> </v>
      </c>
      <c r="AG193" s="318" t="str">
        <f aca="false">IF($A193="N/A"," ",IF(VLOOKUP(MONTH(A193),ManualTable,8)=1,(IF(X193&lt;&gt;0,IF(Pricetype=1,(xSPRDOPT(O193,$E193,$CI193,0,($CD193+IF(Smile=TRUE(),VLOOKUP(MAX(-5,$H193-O193),Volsmile,2),0)),$CG193,$CH193,($A193-DateToday)+15,1,1))*(8*$HF193),8*$HF193),0)),0))</f>
        <v> </v>
      </c>
      <c r="AH193" s="318" t="str">
        <f aca="false">IF($A193="N/A"," ",IF(VLOOKUP(MONTH(A193),ManualTable,9)=1,(IF(Y193&lt;&gt;0,IF(Pricetype=1,(xSPRDOPT(P193,$E193,$CI193,0,($CD193+IF(Smile=TRUE(),VLOOKUP(MAX(-5,$H193-P193),Volsmile,2),0)),$CG193,$CH193,($A193-DateToday)+15,1,1))*(8*$HF193),8*$HF193),0)),0))</f>
        <v> </v>
      </c>
      <c r="AI193" s="318" t="str">
        <f aca="false">IF($A193="N/A"," ",IF(VLOOKUP(MONTH(A193),ManualTable,10)=1,(IF(Z193&lt;&gt;0,(8*($HF193)),0)),0))</f>
        <v> </v>
      </c>
      <c r="AJ193" s="344" t="str">
        <f aca="false">IF($A193="N/A"," ",RANK(R193,$R$184:$Z$195))</f>
        <v> </v>
      </c>
      <c r="AK193" s="321" t="str">
        <f aca="false">IF($A193="N/A"," ",RANK(S193,$R$184:$Z$195))</f>
        <v> </v>
      </c>
      <c r="AL193" s="321" t="str">
        <f aca="false">IF($A193="N/A"," ",RANK(T193,$R$184:$Z$195))</f>
        <v> </v>
      </c>
      <c r="AM193" s="321" t="str">
        <f aca="false">IF($A193="N/A"," ",RANK(U193,$R$184:$Z$195))</f>
        <v> </v>
      </c>
      <c r="AN193" s="321" t="str">
        <f aca="false">IF($A193="N/A"," ",RANK(V193,$R$184:$Z$195))</f>
        <v> </v>
      </c>
      <c r="AO193" s="321" t="str">
        <f aca="false">IF($A193="N/A"," ",RANK(W193,$R$184:$Z$195))</f>
        <v> </v>
      </c>
      <c r="AP193" s="321" t="str">
        <f aca="false">IF($A193="N/A"," ",RANK(X193,$R$184:$Z$195))</f>
        <v> </v>
      </c>
      <c r="AQ193" s="321" t="str">
        <f aca="false">IF($A193="N/A"," ",RANK(Y193,$R$184:$Z$195))</f>
        <v> </v>
      </c>
      <c r="AR193" s="345" t="str">
        <f aca="false">IF($A193="N/A"," ",RANK(Z193,$R$184:$Z$195))</f>
        <v> </v>
      </c>
      <c r="AS193" s="323" t="str">
        <f aca="false">IF($A193="N/A"," ",IF(AJ193&lt;=$AR$2,AA193,0))</f>
        <v> </v>
      </c>
      <c r="AT193" s="325" t="str">
        <f aca="false">IF($A193="N/A"," ",IF(AK193&lt;=$AR$2,AB193,0))</f>
        <v> </v>
      </c>
      <c r="AU193" s="325" t="str">
        <f aca="false">IF($A193="N/A"," ",IF(AL193&lt;=$AR$2,AC193,0))</f>
        <v> </v>
      </c>
      <c r="AV193" s="325" t="str">
        <f aca="false">IF($A193="N/A"," ",IF(AM193&lt;=$AR$2,AD193,0))</f>
        <v> </v>
      </c>
      <c r="AW193" s="325" t="str">
        <f aca="false">IF($A193="N/A"," ",IF(AN193&lt;=$AR$2,AE193,0))</f>
        <v> </v>
      </c>
      <c r="AX193" s="325" t="str">
        <f aca="false">IF($A193="N/A"," ",IF(AO193&lt;=$AR$2,AF193,0))</f>
        <v> </v>
      </c>
      <c r="AY193" s="325" t="str">
        <f aca="false">IF($A193="N/A"," ",IF(AP193&lt;=$AR$2,AG193,0))</f>
        <v> </v>
      </c>
      <c r="AZ193" s="325" t="str">
        <f aca="false">IF($A193="N/A"," ",IF(AQ193&lt;=$AR$2,AH193,0))</f>
        <v> </v>
      </c>
      <c r="BA193" s="325" t="str">
        <f aca="false">IF($A193="N/A"," ",IF(AR193&lt;=$AR$2,AI193,0))</f>
        <v> </v>
      </c>
      <c r="BB193" s="348" t="s">
        <v>1319</v>
      </c>
      <c r="BC193" s="326" t="str">
        <f aca="false">IF($A193="N/A"," ",IF(AND(AJ193=$AR$2+1,AS193=0),MIN($BB$195,AA193),0))</f>
        <v> </v>
      </c>
      <c r="BD193" s="346" t="str">
        <f aca="false">IF($A193="N/A"," ",IF(AND(AK193=$AR$2+1,AT193=0),MIN($BB$195,AB193),0))</f>
        <v> </v>
      </c>
      <c r="BE193" s="346" t="str">
        <f aca="false">IF($A193="N/A"," ",IF(AND(AL193=$AR$2+1,AU193=0),MIN($BB$195,AC193),0))</f>
        <v> </v>
      </c>
      <c r="BF193" s="346" t="str">
        <f aca="false">IF($A193="N/A"," ",IF(AND(AM193=$AR$2+1,AV193=0),MIN($BB$195,AD193),0))</f>
        <v> </v>
      </c>
      <c r="BG193" s="346" t="str">
        <f aca="false">IF($A193="N/A"," ",IF(AND(AN193=$AR$2+1,AW193=0),MIN($BB$195,AE193),0))</f>
        <v> </v>
      </c>
      <c r="BH193" s="346" t="str">
        <f aca="false">IF($A193="N/A"," ",IF(AND(AO193=$AR$2+1,AX193=0),MIN($BB$195,AF193),0))</f>
        <v> </v>
      </c>
      <c r="BI193" s="346" t="str">
        <f aca="false">IF($A193="N/A"," ",IF(AND(AP193=$AR$2+1,AY193=0),MIN($BB$195,AG193),0))</f>
        <v> </v>
      </c>
      <c r="BJ193" s="346" t="str">
        <f aca="false">IF($A193="N/A"," ",IF(AND(AQ193=$AR$2+1,AZ193=0),MIN($BB$195,AH193),0))</f>
        <v> </v>
      </c>
      <c r="BK193" s="346" t="str">
        <f aca="false">IF($A193="N/A"," ",IF(AND(AR193=$AR$2+1,BA193=0),MIN($BB$195,AI193),0))</f>
        <v> </v>
      </c>
      <c r="BL193" s="347" t="s">
        <v>1359</v>
      </c>
      <c r="BM193" s="329" t="str">
        <f aca="false">IF($A193="N/A"," ",(IF(MONTH(A193)&gt;=4,IF(MONTH(A193)&lt;=10,Inputs!$F$13-Inputs!$G$13,Inputs!$F$14-Inputs!$G$14),Inputs!$F$14-Inputs!$G$14))*$CK193*Availability)</f>
        <v> </v>
      </c>
      <c r="BN193" s="330" t="str">
        <f aca="false">IF($A193="N/A"," ",(IF(AS193&gt;0,($BM193*(8*($HD193))*R193),0)+IF(BC193&gt;0,($BM193*((BC193/AA193)*8*$HD193)*R193),0)))</f>
        <v> </v>
      </c>
      <c r="BO193" s="330" t="str">
        <f aca="false">IF($A193="N/A"," ",(IF(AT193&gt;0,($BM193*(8*($HD193))*S193),0)+IF(BD193&gt;0,($BM193*((BD193/AB193)*8*$HD193)*S193),0)))</f>
        <v> </v>
      </c>
      <c r="BP193" s="330" t="str">
        <f aca="false">IF($A193="N/A"," ",(IF(AU193&gt;0,($BM193*(8*($HD193))*T193),0)+IF(BE193&gt;0,($BM193*((BE193))*T193),0)))</f>
        <v> </v>
      </c>
      <c r="BQ193" s="330" t="str">
        <f aca="false">IF($A193="N/A"," ",(IF(AV193&gt;0,($BM193*(8*($HE193))*U193),0)+IF(BF193&gt;0,($BM193*((BF193/AD193)*8*$HE193)*U193),0)))</f>
        <v> </v>
      </c>
      <c r="BR193" s="330" t="str">
        <f aca="false">IF($A193="N/A"," ",(IF(AW193&gt;0,($BM193*(8*($HE193))*V193),0)+IF(BG193&gt;0,($BM193*((BG193/AE193)*8*$HE193)*V193),0)))</f>
        <v> </v>
      </c>
      <c r="BS193" s="330" t="str">
        <f aca="false">IF($A193="N/A"," ",(IF(AX193&gt;0,($BM193*(8*($HE193))*W193),0)+IF(BH193&gt;0,($BM193*((BH193))*W193),0)))</f>
        <v> </v>
      </c>
      <c r="BT193" s="330" t="str">
        <f aca="false">IF($A193="N/A"," ",(IF(AY193&gt;0,($BM193*(8*($HF193))*X193),0)+IF(BI193&gt;0,($BM193*((BI193/AG193)*8*$HF193)*X193),0)))</f>
        <v> </v>
      </c>
      <c r="BU193" s="330" t="str">
        <f aca="false">IF($A193="N/A"," ",(IF(AZ193&gt;0,($BM193*(8*($HF193))*Y193),0)+IF(BJ193&gt;0,($BM193*((BJ193/AH193)*8*$HF193)*Y193),0)))</f>
        <v> </v>
      </c>
      <c r="BV193" s="330" t="str">
        <f aca="false">IF($A193="N/A"," ",(IF(BA193&gt;0,($BM193*(8*($HF193))*Z193),0)+IF(BK193&gt;0,($BM193*((BK193))*Z193),0)))</f>
        <v> </v>
      </c>
      <c r="BW193" s="330" t="str">
        <f aca="false">IF($A193="N/A"," ",SUM(BN193:BV193))</f>
        <v> </v>
      </c>
      <c r="BX193" s="331" t="str">
        <f aca="false">IF($A193="N/A"," ",(H193*(SUM(AS193:BA193)+SUM(BC193:BK193))*BM193))</f>
        <v> </v>
      </c>
      <c r="BY193" s="332" t="str">
        <f aca="false">IF($A193="N/A"," ",((C193*D193)*(SUM($AS193:$BA193)+SUM($BC193:$BK193))*$BM193))</f>
        <v> </v>
      </c>
      <c r="BZ193" s="332" t="str">
        <f aca="false">IF($A193="N/A"," ",(F193*(SUM($AS193:$BA193)+SUM($BC193:$BK193))*$BM193))</f>
        <v> </v>
      </c>
      <c r="CA193" s="333" t="str">
        <f aca="false">IF($A193="N/A"," ",(G193*(SUM($AS193:$BA193)+SUM($BC193:$BK193))*$BM193))</f>
        <v> </v>
      </c>
      <c r="CB193" s="334" t="str">
        <f aca="false">IF(A193="N/A"," ",(VLOOKUP(A193,PowerVolTable,(IF(BMO=2,7,IF(BMO=1,6,8))),FALSE())))</f>
        <v> </v>
      </c>
      <c r="CC193" s="334" t="str">
        <f aca="false">IF(A193="N/A"," ",(VLOOKUP(A193,IntraPowerVol,(IF(BMO=2,3,IF(BMO=1,2,4))),FALSE())*VLOOKUP(MONTH($A193),Volscale,2)))</f>
        <v> </v>
      </c>
      <c r="CD193" s="335" t="str">
        <f aca="false">IF($A193="N/A"," ",(IF(DateToday&gt;$A193,$CC193,((($CB193^2)*((($A193-1)-DateToday)/((EOMONTH($A193,0)+1)-DateToday-15)))+((($CC193)^2)*((15)/((EOMONTH($A193,0)+1)-DateToday-15))))^0.5)))</f>
        <v> </v>
      </c>
      <c r="CE193" s="334" t="str">
        <f aca="false">IF($A193="N/A"," ",(VLOOKUP($A193,GasVolTable,(IF(BMO=2,6,IF(BMO=1,7,5))),FALSE())))</f>
        <v> </v>
      </c>
      <c r="CF193" s="334" t="str">
        <f aca="false">IF($A193="N/A"," ",(VLOOKUP($A193,OmicronVol,(IF(BMO=2,3,IF(BMO=1,4,2))),FALSE())))</f>
        <v> </v>
      </c>
      <c r="CG193" s="335" t="str">
        <f aca="false">IF($A193="N/A"," ",(IF(DateToday&gt;$A193,$CF193,((($CE193^2)*((($A193-1)-DateToday)/((EOMONTH($A193,0)+1)-DateToday-15)))+((($CF193)^2)*((15)/((EOMONTH($A193,0)+1)-DateToday-15))))^0.5)))</f>
        <v> </v>
      </c>
      <c r="CH193" s="334" t="str">
        <f aca="false">IF($A193="N/A"," ",VLOOKUP($A193,CorrelationTable,2,FALSE()))</f>
        <v> </v>
      </c>
      <c r="CI193" s="336" t="str">
        <f aca="false">IF($A193="N/A"," ",F193+G193+(D193*('Pricing Inputs'!T226)))</f>
        <v> </v>
      </c>
      <c r="CJ193" s="334" t="str">
        <f aca="false">IF($A193="N/A"," ",IF(PV=1,0,'Pricing Inputs'!U226))</f>
        <v> </v>
      </c>
      <c r="CK193" s="337" t="str">
        <f aca="false">IF($A193="N/A"," ",(1+CJ193/2)^(-2*((EOMONTH(A193,0)+20)-DateToday)/365.25))</f>
        <v> </v>
      </c>
      <c r="CL193" s="338" t="str">
        <f aca="false">IF(A193="N/A"," ",IF(CC=2,(VLOOKUP(MONTH($A193),Hrtable,3))/1000,0))</f>
        <v> </v>
      </c>
      <c r="CM193" s="339" t="str">
        <f aca="false">IF(A193="N/A"," ",IF(CC=2,(CL193*C193)+F193,0))</f>
        <v> </v>
      </c>
      <c r="CN193" s="340" t="str">
        <f aca="false">IF($A193="N/A"," ",IF(CC=2,(VLOOKUP(A193,ScaledPrice,(IF(AND(Dayrun&gt;=1,Dayrun&lt;=6),2,4)))-((IF(R193&lt;&gt;0,$D193,$CL193)*$C193)+$F193+$G193)),0))</f>
        <v> </v>
      </c>
      <c r="CO193" s="340" t="str">
        <f aca="false">IF($A193="N/A"," ",IF(CC=2,(IF(AND(Dayrun&gt;=1,Dayrun&lt;=6),I193,(VLOOKUP(A193,ScaledPrice,2))*(2-(VLOOKUP(A193,ScaledPrice,3))))-((IF(S193&lt;&gt;0,$D193,$CL193)*$C193)+$F193+$G193)),0))</f>
        <v> </v>
      </c>
      <c r="CP193" s="340" t="str">
        <f aca="false">IF(A193="N/A"," ",IF(CC=2,(VLOOKUP(A193,ScaledPrice,9)-((IF(T193&lt;&gt;0,$D193,$CL193)*$C193)+$F193+$G193)),0))</f>
        <v> </v>
      </c>
      <c r="CQ193" s="340" t="str">
        <f aca="false">IF(A193="N/A"," ",IF(CC=2,(IF(OR(Dayrun=2,Dayrun=3,Dayrun=5,Dayrun=6,Dayrun=8,Dayrun=9),VLOOKUP(A193,ScaledPrice,IF(AND(Dayrun&gt;=2,Dayrun&lt;=6),5,6)),0)-((IF(U193&lt;&gt;0,$D193,$CL193)*$C193)+$F193+$G193)),0))</f>
        <v> </v>
      </c>
      <c r="CR193" s="340" t="str">
        <f aca="false">IF(A193="N/A"," ",IF(CC=2,(IF(OR(Dayrun=2,Dayrun=3,Dayrun=5,Dayrun=6,Dayrun=8,Dayrun=9),IF(AND(Dayrun&gt;=2,Dayrun&lt;=6),L193,(VLOOKUP(A193,ScaledPrice,5))*(2-(VLOOKUP(A193,ScaledPrice,3)))),0)-((IF(V193&lt;&gt;0,$D193,$CL193)*$C193)+$F193+$G193)),0))</f>
        <v> </v>
      </c>
      <c r="CS193" s="340" t="str">
        <f aca="false">IF(A193="N/A"," ",IF(CC=2,(VLOOKUP(A193,ScaledPrice,9)-((IF(W193&lt;&gt;0,$D193,$CL193)*$C193)+$F193+$G193)),0))</f>
        <v> </v>
      </c>
      <c r="CT193" s="340" t="str">
        <f aca="false">IF(A193="N/A"," ",IF(CC=2,(IF(OR(Dayrun=3,Dayrun=6,Dayrun=9),(VLOOKUP(A193,ScaledPrice,IF(AND(Dayrun&gt;=3,Dayrun&lt;=6),7,8))),0)-((IF(X193&lt;&gt;0,$D193,$CL193)*$C193)+$F193+$G193)),0))</f>
        <v> </v>
      </c>
      <c r="CU193" s="340" t="str">
        <f aca="false">IF(A193="N/A"," ",IF(CC=2,(IF(OR(Dayrun=3,Dayrun=6,Dayrun=9),IF(AND(Dayrun&gt;=3,Dayrun&lt;=6),O193,(VLOOKUP(A193,ScaledPrice,7))*(2-(VLOOKUP(A193,ScaledPrice,3)))),0)-((IF(Y193&lt;&gt;0,$D193,$CL193)*$C193)+$F193+$G193)),0))</f>
        <v> </v>
      </c>
      <c r="CV193" s="340" t="str">
        <f aca="false">IF(A193="N/A"," ",IF(CC=2,(VLOOKUP(A193,ScaledPrice,9)-((IF(Z193&lt;&gt;0,$D193,$CL193)*$C193)+$F193+$G193)),0))</f>
        <v> </v>
      </c>
      <c r="CW193" s="318" t="str">
        <f aca="false">IF($A193="N/A"," ",IF(0&lt;&gt;CN193,IF(CC=2,8*$HD193,0),0))</f>
        <v> </v>
      </c>
      <c r="CX193" s="318" t="str">
        <f aca="false">IF($A193="N/A"," ",IF(0&lt;&gt;CO193,IF(CC=2,8*$HD193,0),0))</f>
        <v> </v>
      </c>
      <c r="CY193" s="318" t="str">
        <f aca="false">IF($A193="N/A"," ",IF(0&lt;&gt;CP193,IF(CC=2,8*$HD193,0),0))</f>
        <v> </v>
      </c>
      <c r="CZ193" s="318" t="str">
        <f aca="false">IF($A193="N/A"," ",IF(0&lt;&gt;CQ193,IF(CC=2,8*$HE193,0),0))</f>
        <v> </v>
      </c>
      <c r="DA193" s="318" t="str">
        <f aca="false">IF($A193="N/A"," ",IF(0&lt;&gt;CR193,IF(CC=2,8*$HE193,0),0))</f>
        <v> </v>
      </c>
      <c r="DB193" s="318" t="str">
        <f aca="false">IF($A193="N/A"," ",IF(0&lt;&gt;CS193,IF(CC=2,8*$HE193,0),0))</f>
        <v> </v>
      </c>
      <c r="DC193" s="318" t="str">
        <f aca="false">IF($A193="N/A"," ",IF(0&lt;&gt;CT193,IF(CC=2,8*$HF193,0),0))</f>
        <v> </v>
      </c>
      <c r="DD193" s="318" t="str">
        <f aca="false">IF($A193="N/A"," ",IF(0&lt;&gt;CU193,IF(CC=2,8*$HF193,0),0))</f>
        <v> </v>
      </c>
      <c r="DE193" s="318" t="str">
        <f aca="false">IF($A193="N/A"," ",IF(0&lt;&gt;CV193,IF(CC=2,8*$HF193,0),0))</f>
        <v> </v>
      </c>
      <c r="DF193" s="341" t="str">
        <f aca="false">IF($A193="N/A"," ",IF(CC=2,(IF(MONTH(A193)&gt;=4,IF(MONTH(A193)&lt;=10,Inputs!$G$13,Inputs!$G$14),Inputs!$G$14))*$CK193,0))</f>
        <v> </v>
      </c>
      <c r="DG193" s="342" t="str">
        <f aca="false">IF($A193="N/A"," ",IF(CC=2,$DF193*CW193*CN193,0))</f>
        <v> </v>
      </c>
      <c r="DH193" s="342" t="str">
        <f aca="false">IF($A193="N/A"," ",IF(CC=2,$DF193*CX193*CO193,0))</f>
        <v> </v>
      </c>
      <c r="DI193" s="342" t="str">
        <f aca="false">IF($A193="N/A"," ",IF(CC=2,$DF193*CY193*CP193,0))</f>
        <v> </v>
      </c>
      <c r="DJ193" s="342" t="str">
        <f aca="false">IF($A193="N/A"," ",IF(CC=2,$DF193*CZ193*CQ193,0))</f>
        <v> </v>
      </c>
      <c r="DK193" s="342" t="str">
        <f aca="false">IF($A193="N/A"," ",IF(CC=2,$DF193*DA193*CR193,0))</f>
        <v> </v>
      </c>
      <c r="DL193" s="342" t="str">
        <f aca="false">IF($A193="N/A"," ",IF(CC=2,$DF193*DB193*CS193,0))</f>
        <v> </v>
      </c>
      <c r="DM193" s="342" t="str">
        <f aca="false">IF($A193="N/A"," ",IF(CC=2,$DF193*DC193*CT193,0))</f>
        <v> </v>
      </c>
      <c r="DN193" s="342" t="str">
        <f aca="false">IF($A193="N/A"," ",IF(CC=2,$DF193*DD193*CU193,0))</f>
        <v> </v>
      </c>
      <c r="DO193" s="342" t="str">
        <f aca="false">IF($A193="N/A"," ",IF(CC=2,$DF193*DE193*CV193,0))</f>
        <v> </v>
      </c>
      <c r="DP193" s="343" t="str">
        <f aca="false">IF($A193="N/A"," ",IF(CC=2,SUM(DG193:DO193),0))</f>
        <v> </v>
      </c>
      <c r="DQ193" s="0" t="str">
        <f aca="false">IF(A193="N/A"," ",Perstart)</f>
        <v> </v>
      </c>
      <c r="HD193" s="0" t="str">
        <f aca="false">IF($A193="N/A"," ",VLOOKUP($A193,NumberofDaysTable,2))</f>
        <v> </v>
      </c>
      <c r="HE193" s="0" t="str">
        <f aca="false">IF($A193="N/A"," ",VLOOKUP($A193,NumberofDaysTable,3))</f>
        <v> </v>
      </c>
      <c r="HF193" s="0" t="str">
        <f aca="false">IF($A193="N/A"," ",VLOOKUP($A193,NumberofDaysTable,4))</f>
        <v> </v>
      </c>
    </row>
    <row r="194" customFormat="false" ht="12.75" hidden="false" customHeight="false" outlineLevel="0" collapsed="false">
      <c r="A194" s="308" t="str">
        <f aca="false">IF(A193="N/A","N/A",IF(EDATE(A193,1)&gt;Inputs!$K$3,"N/A",EDATE(A193,1)))</f>
        <v>N/A</v>
      </c>
      <c r="B194" s="309" t="str">
        <f aca="false">IF(A194="N/A"," ",YEAR(A194))</f>
        <v> </v>
      </c>
      <c r="C194" s="310" t="str">
        <f aca="false">IF(A194="N/A"," ",VLOOKUP(A194,ScaledPrice,10))</f>
        <v> </v>
      </c>
      <c r="D194" s="311" t="str">
        <f aca="false">IF(A194="N/A"," ",(VLOOKUP(MONTH($A194),Hrtable,2))/1000)</f>
        <v> </v>
      </c>
      <c r="E194" s="312" t="str">
        <f aca="false">IF($A194="N/A"," ",(C194-'Pricing Inputs'!T227)*D194)</f>
        <v> </v>
      </c>
      <c r="F194" s="313" t="str">
        <f aca="false">IF(A194="N/A"," ",$F182*(1+VOMesc))</f>
        <v> </v>
      </c>
      <c r="G194" s="313" t="str">
        <f aca="false">IF(A194="N/A"," ",Perstart/IF(AND(Dayrun&gt;=4,Dayrun&lt;=6),16,IF(AND(Dayrun&gt;=7,Dayrun&lt;=9),8,24))/(BM194/CK194))</f>
        <v> </v>
      </c>
      <c r="H194" s="314" t="str">
        <f aca="false">IF(A194="N/A"," ",(C194*D194)+F194+G194)</f>
        <v> </v>
      </c>
      <c r="I194" s="315" t="str">
        <f aca="false">VLOOKUP(A194,ScaledPrice,(IF(AND(Dayrun&gt;=1,Dayrun&lt;=6),2,4)))</f>
        <v> </v>
      </c>
      <c r="J194" s="315" t="str">
        <f aca="false">IF(A194="N/A"," ",IF(AND(Dayrun&gt;=1,Dayrun&lt;=6),I194,(VLOOKUP(A194,ScaledPrice,2))*(2-(VLOOKUP(A194,ScaledPrice,3)))))</f>
        <v> </v>
      </c>
      <c r="K194" s="315" t="str">
        <f aca="false">IF(A194="N/A"," ",IF(AND(Dayrun&gt;=1,Dayrun&lt;=3),VLOOKUP(A194,ScaledPrice,9),0))</f>
        <v> </v>
      </c>
      <c r="L194" s="315" t="str">
        <f aca="false">IF(A194="N/A"," ",IF(OR(Dayrun=2,Dayrun=3,Dayrun=5,Dayrun=6,Dayrun=8,Dayrun=9),VLOOKUP(A194,ScaledPrice,IF(AND(Dayrun&gt;=2,Dayrun&lt;=6),5,6)),0))</f>
        <v> </v>
      </c>
      <c r="M194" s="315" t="str">
        <f aca="false">IF(A194="N/A"," ",IF(OR(Dayrun=2,Dayrun=3,Dayrun=5,Dayrun=6,Dayrun=8,Dayrun=9),IF(AND(Dayrun&gt;=2,Dayrun&lt;=6),L194,(VLOOKUP(A194,ScaledPrice,5))*(2-(VLOOKUP(A194,ScaledPrice,3)))),0))</f>
        <v> </v>
      </c>
      <c r="N194" s="315" t="str">
        <f aca="false">IF(A194="N/A"," ",IF(AND(Dayrun&gt;1,Dayrun&lt;=3),VLOOKUP(A194,ScaledPrice,9),0))</f>
        <v> </v>
      </c>
      <c r="O194" s="315" t="str">
        <f aca="false">IF(A194="N/A"," ",IF(OR(Dayrun=3,Dayrun=6,Dayrun=9),(VLOOKUP(A194,ScaledPrice,IF(AND(Dayrun&gt;=3,Dayrun&lt;=6),7,8))),0))</f>
        <v> </v>
      </c>
      <c r="P194" s="315" t="str">
        <f aca="false">IF(A194="N/A"," ",IF(OR(Dayrun=3,Dayrun=6,Dayrun=9),IF(AND(Dayrun&gt;=3,Dayrun&lt;=6),O194,(VLOOKUP(A194,ScaledPrice,7))*(2-(VLOOKUP(A194,ScaledPrice,3)))),0))</f>
        <v> </v>
      </c>
      <c r="Q194" s="315" t="str">
        <f aca="false">IF(A194="N/A"," ",IF(AND(Dayrun&gt;2,Dayrun&lt;=3),VLOOKUP(A194,ScaledPrice,9),0))</f>
        <v> </v>
      </c>
      <c r="R194" s="316" t="str">
        <f aca="false">IF($A194="N/A"," ",IF(Pricetype=2,MAX(I194-$H194,0),IF(Pricetype=1,(xSPRDOPT(I194,$E194,$CI194,0,($CD194+IF(Smile=TRUE(),VLOOKUP(MAX(-5,$H194-I194),Volsmile,2),0)),$CG194,$CH194,($A194-DateToday)+15,1,0)),I194-$H194)))</f>
        <v> </v>
      </c>
      <c r="S194" s="316" t="str">
        <f aca="false">IF($A194="N/A"," ",IF(Pricetype=2,MAX(J194-$H194,0),IF(Pricetype=1,(xSPRDOPT(J194,$E194,$CI194,0,($CD194+IF(Smile=TRUE(),VLOOKUP(MAX(-5,$H194-J194),Volsmile,2),0)),$CG194,$CH194,($A194-DateToday)+15,1,0)),J194-$H194)))</f>
        <v> </v>
      </c>
      <c r="T194" s="317" t="str">
        <f aca="false">IF($A194="N/A"," ",(IF(Pricetype=2,IF((K194-$H194)&lt;=0,0,(K194-$H194)),IF(K194&lt;&gt;0,(K194-$H194),0))))</f>
        <v> </v>
      </c>
      <c r="U194" s="316" t="str">
        <f aca="false">IF($A194="N/A"," ",IF(Pricetype=2,MAX(L194-$H194,0),IF(L194&lt;&gt;0,IF(Pricetype=1,(xSPRDOPT(L194,$E194,$CI194,0,($CD194+IF(Smile=TRUE(),VLOOKUP(MAX(-5,$H194-L194),Volsmile,2),0)),$CG194,$CH194,($A194-DateToday)+15,1,0)),L194-$H194),0)))</f>
        <v> </v>
      </c>
      <c r="V194" s="316" t="str">
        <f aca="false">IF($A194="N/A"," ",IF(Pricetype=2,MAX(M194-$H194,0),IF(M194&lt;&gt;0,IF(Pricetype=1,(xSPRDOPT(M194,$E194,$CI194,0,($CD194+IF(Smile=TRUE(),VLOOKUP(MAX(-5,$H194-M194),Volsmile,2),0)),$CG194,$CH194,($A194-DateToday)+15,1,0)),M194-$H194),0)))</f>
        <v> </v>
      </c>
      <c r="W194" s="317" t="str">
        <f aca="false">IF($A194="N/A"," ",(IF(Pricetype=2,IF((N194-$H194)&lt;=0,0,(N194-$H194)),IF(N194&lt;&gt;0,(N194-$H194),0))))</f>
        <v> </v>
      </c>
      <c r="X194" s="316" t="str">
        <f aca="false">IF($A194="N/A"," ",IF(Pricetype=2,MAX(O194-$H194,0),IF(O194&lt;&gt;0,IF(Pricetype=1,(xSPRDOPT(O194,$E194,$CI194,0,($CD194+IF(Smile=TRUE(),VLOOKUP(MAX(-5,$H194-O194),Volsmile,2),0)),$CG194,$CH194,($A194-DateToday)+15,1,0)),O194-$H194),0)))</f>
        <v> </v>
      </c>
      <c r="Y194" s="316" t="str">
        <f aca="false">IF($A194="N/A"," ",IF(Pricetype=2,MAX(P194-$H194,0),IF(P194&lt;&gt;0,IF(Pricetype=1,(xSPRDOPT(P194,$E194,$CI194,0,($CD194+IF(Smile=TRUE(),VLOOKUP(MAX(-5,$H194-P194),Volsmile,2),0)),$CG194,$CH194,($A194-DateToday)+15,1,0)),P194-$H194),0)))</f>
        <v> </v>
      </c>
      <c r="Z194" s="317" t="str">
        <f aca="false">IF($A194="N/A"," ",(IF(Pricetype=2,IF((Q194-$H194)&lt;=0,0,(Q194-$H194)),IF(Q194&lt;&gt;0,(Q194-$H194),0))))</f>
        <v> </v>
      </c>
      <c r="AA194" s="318" t="str">
        <f aca="false">IF($A194="N/A"," ",IF(VLOOKUP(MONTH(A194),ManualTable,2)=1,(IF(0&lt;&gt;R194,IF(Pricetype=1,(xSPRDOPT(I194,$E194,$CI194,0,($CD194+IF(Smile=TRUE(),VLOOKUP(MAX(-5,$H194-I194),Volsmile,2),0)),$CG194,$CH194,($A194-DateToday)+15,1,1))*(8*$HD194),8*$HD194),0)),0))</f>
        <v> </v>
      </c>
      <c r="AB194" s="318" t="str">
        <f aca="false">IF($A194="N/A"," ",IF(VLOOKUP(MONTH(A194),ManualTable,3)=1,(IF(S194&lt;&gt;0,IF(Pricetype=1,(xSPRDOPT(J194,$E194,$CI194,0,($CD194+IF(Smile=TRUE(),VLOOKUP(MAX(-5,$H194-J194),Volsmile,2),0)),$CG194,$CH194,($A194-DateToday)+15,1,1))*(8*$HD194),8*$HD194),0)),0))</f>
        <v> </v>
      </c>
      <c r="AC194" s="318" t="str">
        <f aca="false">IF($A194="N/A"," ",IF(VLOOKUP(MONTH(A194),ManualTable,4)=1,(IF(T194&lt;&gt;0,(8*$HD194),0)),0))</f>
        <v> </v>
      </c>
      <c r="AD194" s="318" t="str">
        <f aca="false">IF($A194="N/A"," ",IF(VLOOKUP(MONTH(A194),ManualTable,5)=1,(IF(U194&lt;&gt;0,IF(Pricetype=1,(xSPRDOPT(L194,$E194,$CI194,0,($CD194+IF(Smile=TRUE(),VLOOKUP(MAX(-5,$H194-L194),Volsmile,2),0)),$CG194,$CH194,($A194-DateToday)+15,1,1))*(8*$HE194),8*$HE194),0)),0))</f>
        <v> </v>
      </c>
      <c r="AE194" s="318" t="str">
        <f aca="false">IF($A194="N/A"," ",IF(VLOOKUP(MONTH(A194),ManualTable,6)=1,(IF(V194&lt;&gt;0,IF(Pricetype=1,(xSPRDOPT(M194,$E194,$CI194,0,($CD194+IF(Smile=TRUE(),VLOOKUP(MAX(-5,$H194-M194),Volsmile,2),0)),$CG194,$CH194,($A194-DateToday)+15,1,1))*(8*$HE194),8*$HE194),0)),0))</f>
        <v> </v>
      </c>
      <c r="AF194" s="318" t="str">
        <f aca="false">IF($A194="N/A"," ",IF(VLOOKUP(MONTH(A194),ManualTable,7)=1,(IF(W194&lt;&gt;0,(8*$HE194),0)),0))</f>
        <v> </v>
      </c>
      <c r="AG194" s="318" t="str">
        <f aca="false">IF($A194="N/A"," ",IF(VLOOKUP(MONTH(A194),ManualTable,8)=1,(IF(X194&lt;&gt;0,IF(Pricetype=1,(xSPRDOPT(O194,$E194,$CI194,0,($CD194+IF(Smile=TRUE(),VLOOKUP(MAX(-5,$H194-O194),Volsmile,2),0)),$CG194,$CH194,($A194-DateToday)+15,1,1))*(8*$HF194),8*$HF194),0)),0))</f>
        <v> </v>
      </c>
      <c r="AH194" s="318" t="str">
        <f aca="false">IF($A194="N/A"," ",IF(VLOOKUP(MONTH(A194),ManualTable,9)=1,(IF(Y194&lt;&gt;0,IF(Pricetype=1,(xSPRDOPT(P194,$E194,$CI194,0,($CD194+IF(Smile=TRUE(),VLOOKUP(MAX(-5,$H194-P194),Volsmile,2),0)),$CG194,$CH194,($A194-DateToday)+15,1,1))*(8*$HF194),8*$HF194),0)),0))</f>
        <v> </v>
      </c>
      <c r="AI194" s="318" t="str">
        <f aca="false">IF($A194="N/A"," ",IF(VLOOKUP(MONTH(A194),ManualTable,10)=1,(IF(Z194&lt;&gt;0,(8*($HF194)),0)),0))</f>
        <v> </v>
      </c>
      <c r="AJ194" s="344" t="str">
        <f aca="false">IF($A194="N/A"," ",RANK(R194,$R$184:$Z$195))</f>
        <v> </v>
      </c>
      <c r="AK194" s="321" t="str">
        <f aca="false">IF($A194="N/A"," ",RANK(S194,$R$184:$Z$195))</f>
        <v> </v>
      </c>
      <c r="AL194" s="321" t="str">
        <f aca="false">IF($A194="N/A"," ",RANK(T194,$R$184:$Z$195))</f>
        <v> </v>
      </c>
      <c r="AM194" s="321" t="str">
        <f aca="false">IF($A194="N/A"," ",RANK(U194,$R$184:$Z$195))</f>
        <v> </v>
      </c>
      <c r="AN194" s="321" t="str">
        <f aca="false">IF($A194="N/A"," ",RANK(V194,$R$184:$Z$195))</f>
        <v> </v>
      </c>
      <c r="AO194" s="321" t="str">
        <f aca="false">IF($A194="N/A"," ",RANK(W194,$R$184:$Z$195))</f>
        <v> </v>
      </c>
      <c r="AP194" s="321" t="str">
        <f aca="false">IF($A194="N/A"," ",RANK(X194,$R$184:$Z$195))</f>
        <v> </v>
      </c>
      <c r="AQ194" s="321" t="str">
        <f aca="false">IF($A194="N/A"," ",RANK(Y194,$R$184:$Z$195))</f>
        <v> </v>
      </c>
      <c r="AR194" s="345" t="str">
        <f aca="false">IF($A194="N/A"," ",RANK(Z194,$R$184:$Z$195))</f>
        <v> </v>
      </c>
      <c r="AS194" s="323" t="str">
        <f aca="false">IF($A194="N/A"," ",IF(AJ194&lt;=$AR$2,AA194,0))</f>
        <v> </v>
      </c>
      <c r="AT194" s="325" t="str">
        <f aca="false">IF($A194="N/A"," ",IF(AK194&lt;=$AR$2,AB194,0))</f>
        <v> </v>
      </c>
      <c r="AU194" s="325" t="str">
        <f aca="false">IF($A194="N/A"," ",IF(AL194&lt;=$AR$2,AC194,0))</f>
        <v> </v>
      </c>
      <c r="AV194" s="325" t="str">
        <f aca="false">IF($A194="N/A"," ",IF(AM194&lt;=$AR$2,AD194,0))</f>
        <v> </v>
      </c>
      <c r="AW194" s="325" t="str">
        <f aca="false">IF($A194="N/A"," ",IF(AN194&lt;=$AR$2,AE194,0))</f>
        <v> </v>
      </c>
      <c r="AX194" s="325" t="str">
        <f aca="false">IF($A194="N/A"," ",IF(AO194&lt;=$AR$2,AF194,0))</f>
        <v> </v>
      </c>
      <c r="AY194" s="325" t="str">
        <f aca="false">IF($A194="N/A"," ",IF(AP194&lt;=$AR$2,AG194,0))</f>
        <v> </v>
      </c>
      <c r="AZ194" s="325" t="str">
        <f aca="false">IF($A194="N/A"," ",IF(AQ194&lt;=$AR$2,AH194,0))</f>
        <v> </v>
      </c>
      <c r="BA194" s="325" t="str">
        <f aca="false">IF($A194="N/A"," ",IF(AR194&lt;=$AR$2,AI194,0))</f>
        <v> </v>
      </c>
      <c r="BB194" s="345" t="n">
        <f aca="false">SUM(AS184:BA195)</f>
        <v>0</v>
      </c>
      <c r="BC194" s="326" t="str">
        <f aca="false">IF($A194="N/A"," ",IF(AND(AJ194=$AR$2+1,AS194=0),MIN($BB$195,AA194),0))</f>
        <v> </v>
      </c>
      <c r="BD194" s="346" t="str">
        <f aca="false">IF($A194="N/A"," ",IF(AND(AK194=$AR$2+1,AT194=0),MIN($BB$195,AB194),0))</f>
        <v> </v>
      </c>
      <c r="BE194" s="346" t="str">
        <f aca="false">IF($A194="N/A"," ",IF(AND(AL194=$AR$2+1,AU194=0),MIN($BB$195,AC194),0))</f>
        <v> </v>
      </c>
      <c r="BF194" s="346" t="str">
        <f aca="false">IF($A194="N/A"," ",IF(AND(AM194=$AR$2+1,AV194=0),MIN($BB$195,AD194),0))</f>
        <v> </v>
      </c>
      <c r="BG194" s="346" t="str">
        <f aca="false">IF($A194="N/A"," ",IF(AND(AN194=$AR$2+1,AW194=0),MIN($BB$195,AE194),0))</f>
        <v> </v>
      </c>
      <c r="BH194" s="346" t="str">
        <f aca="false">IF($A194="N/A"," ",IF(AND(AO194=$AR$2+1,AX194=0),MIN($BB$195,AF194),0))</f>
        <v> </v>
      </c>
      <c r="BI194" s="346" t="str">
        <f aca="false">IF($A194="N/A"," ",IF(AND(AP194=$AR$2+1,AY194=0),MIN($BB$195,AG194),0))</f>
        <v> </v>
      </c>
      <c r="BJ194" s="346" t="str">
        <f aca="false">IF($A194="N/A"," ",IF(AND(AQ194=$AR$2+1,AZ194=0),MIN($BB$195,AH194),0))</f>
        <v> </v>
      </c>
      <c r="BK194" s="346" t="str">
        <f aca="false">IF($A194="N/A"," ",IF(AND(AR194=$AR$2+1,BA194=0),MIN($BB$195,AI194),0))</f>
        <v> </v>
      </c>
      <c r="BL194" s="345" t="n">
        <f aca="false">SUM(BC184:BK195)</f>
        <v>0</v>
      </c>
      <c r="BM194" s="329" t="str">
        <f aca="false">IF($A194="N/A"," ",(IF(MONTH(A194)&gt;=4,IF(MONTH(A194)&lt;=10,Inputs!$F$13-Inputs!$G$13,Inputs!$F$14-Inputs!$G$14),Inputs!$F$14-Inputs!$G$14))*$CK194*Availability)</f>
        <v> </v>
      </c>
      <c r="BN194" s="330" t="str">
        <f aca="false">IF($A194="N/A"," ",(IF(AS194&gt;0,($BM194*(8*($HD194))*R194),0)+IF(BC194&gt;0,($BM194*((BC194/AA194)*8*$HD194)*R194),0)))</f>
        <v> </v>
      </c>
      <c r="BO194" s="330" t="str">
        <f aca="false">IF($A194="N/A"," ",(IF(AT194&gt;0,($BM194*(8*($HD194))*S194),0)+IF(BD194&gt;0,($BM194*((BD194/AB194)*8*$HD194)*S194),0)))</f>
        <v> </v>
      </c>
      <c r="BP194" s="330" t="str">
        <f aca="false">IF($A194="N/A"," ",(IF(AU194&gt;0,($BM194*(8*($HD194))*T194),0)+IF(BE194&gt;0,($BM194*((BE194))*T194),0)))</f>
        <v> </v>
      </c>
      <c r="BQ194" s="330" t="str">
        <f aca="false">IF($A194="N/A"," ",(IF(AV194&gt;0,($BM194*(8*($HE194))*U194),0)+IF(BF194&gt;0,($BM194*((BF194/AD194)*8*$HE194)*U194),0)))</f>
        <v> </v>
      </c>
      <c r="BR194" s="330" t="str">
        <f aca="false">IF($A194="N/A"," ",(IF(AW194&gt;0,($BM194*(8*($HE194))*V194),0)+IF(BG194&gt;0,($BM194*((BG194/AE194)*8*$HE194)*V194),0)))</f>
        <v> </v>
      </c>
      <c r="BS194" s="330" t="str">
        <f aca="false">IF($A194="N/A"," ",(IF(AX194&gt;0,($BM194*(8*($HE194))*W194),0)+IF(BH194&gt;0,($BM194*((BH194))*W194),0)))</f>
        <v> </v>
      </c>
      <c r="BT194" s="330" t="str">
        <f aca="false">IF($A194="N/A"," ",(IF(AY194&gt;0,($BM194*(8*($HF194))*X194),0)+IF(BI194&gt;0,($BM194*((BI194/AG194)*8*$HF194)*X194),0)))</f>
        <v> </v>
      </c>
      <c r="BU194" s="330" t="str">
        <f aca="false">IF($A194="N/A"," ",(IF(AZ194&gt;0,($BM194*(8*($HF194))*Y194),0)+IF(BJ194&gt;0,($BM194*((BJ194/AH194)*8*$HF194)*Y194),0)))</f>
        <v> </v>
      </c>
      <c r="BV194" s="330" t="str">
        <f aca="false">IF($A194="N/A"," ",(IF(BA194&gt;0,($BM194*(8*($HF194))*Z194),0)+IF(BK194&gt;0,($BM194*((BK194))*Z194),0)))</f>
        <v> </v>
      </c>
      <c r="BW194" s="330" t="str">
        <f aca="false">IF($A194="N/A"," ",SUM(BN194:BV194))</f>
        <v> </v>
      </c>
      <c r="BX194" s="331" t="str">
        <f aca="false">IF($A194="N/A"," ",(H194*(SUM(AS194:BA194)+SUM(BC194:BK194))*BM194))</f>
        <v> </v>
      </c>
      <c r="BY194" s="332" t="str">
        <f aca="false">IF($A194="N/A"," ",((C194*D194)*(SUM($AS194:$BA194)+SUM($BC194:$BK194))*$BM194))</f>
        <v> </v>
      </c>
      <c r="BZ194" s="332" t="str">
        <f aca="false">IF($A194="N/A"," ",(F194*(SUM($AS194:$BA194)+SUM($BC194:$BK194))*$BM194))</f>
        <v> </v>
      </c>
      <c r="CA194" s="333" t="str">
        <f aca="false">IF($A194="N/A"," ",(G194*(SUM($AS194:$BA194)+SUM($BC194:$BK194))*$BM194))</f>
        <v> </v>
      </c>
      <c r="CB194" s="334" t="str">
        <f aca="false">IF(A194="N/A"," ",(VLOOKUP(A194,PowerVolTable,(IF(BMO=2,7,IF(BMO=1,6,8))),FALSE())))</f>
        <v> </v>
      </c>
      <c r="CC194" s="334" t="str">
        <f aca="false">IF(A194="N/A"," ",(VLOOKUP(A194,IntraPowerVol,(IF(BMO=2,3,IF(BMO=1,2,4))),FALSE())*VLOOKUP(MONTH($A194),Volscale,2)))</f>
        <v> </v>
      </c>
      <c r="CD194" s="335" t="str">
        <f aca="false">IF($A194="N/A"," ",(IF(DateToday&gt;$A194,$CC194,((($CB194^2)*((($A194-1)-DateToday)/((EOMONTH($A194,0)+1)-DateToday-15)))+((($CC194)^2)*((15)/((EOMONTH($A194,0)+1)-DateToday-15))))^0.5)))</f>
        <v> </v>
      </c>
      <c r="CE194" s="334" t="str">
        <f aca="false">IF($A194="N/A"," ",(VLOOKUP($A194,GasVolTable,(IF(BMO=2,6,IF(BMO=1,7,5))),FALSE())))</f>
        <v> </v>
      </c>
      <c r="CF194" s="334" t="str">
        <f aca="false">IF($A194="N/A"," ",(VLOOKUP($A194,OmicronVol,(IF(BMO=2,3,IF(BMO=1,4,2))),FALSE())))</f>
        <v> </v>
      </c>
      <c r="CG194" s="335" t="str">
        <f aca="false">IF($A194="N/A"," ",(IF(DateToday&gt;$A194,$CF194,((($CE194^2)*((($A194-1)-DateToday)/((EOMONTH($A194,0)+1)-DateToday-15)))+((($CF194)^2)*((15)/((EOMONTH($A194,0)+1)-DateToday-15))))^0.5)))</f>
        <v> </v>
      </c>
      <c r="CH194" s="334" t="str">
        <f aca="false">IF($A194="N/A"," ",VLOOKUP($A194,CorrelationTable,2,FALSE()))</f>
        <v> </v>
      </c>
      <c r="CI194" s="336" t="str">
        <f aca="false">IF($A194="N/A"," ",F194+G194+(D194*('Pricing Inputs'!T227)))</f>
        <v> </v>
      </c>
      <c r="CJ194" s="334" t="str">
        <f aca="false">IF($A194="N/A"," ",IF(PV=1,0,'Pricing Inputs'!U227))</f>
        <v> </v>
      </c>
      <c r="CK194" s="337" t="str">
        <f aca="false">IF($A194="N/A"," ",(1+CJ194/2)^(-2*((EOMONTH(A194,0)+20)-DateToday)/365.25))</f>
        <v> </v>
      </c>
      <c r="CL194" s="338" t="str">
        <f aca="false">IF(A194="N/A"," ",IF(CC=2,(VLOOKUP(MONTH($A194),Hrtable,3))/1000,0))</f>
        <v> </v>
      </c>
      <c r="CM194" s="339" t="str">
        <f aca="false">IF(A194="N/A"," ",IF(CC=2,(CL194*C194)+F194,0))</f>
        <v> </v>
      </c>
      <c r="CN194" s="340" t="str">
        <f aca="false">IF($A194="N/A"," ",IF(CC=2,(VLOOKUP(A194,ScaledPrice,(IF(AND(Dayrun&gt;=1,Dayrun&lt;=6),2,4)))-((IF(R194&lt;&gt;0,$D194,$CL194)*$C194)+$F194+$G194)),0))</f>
        <v> </v>
      </c>
      <c r="CO194" s="340" t="str">
        <f aca="false">IF($A194="N/A"," ",IF(CC=2,(IF(AND(Dayrun&gt;=1,Dayrun&lt;=6),I194,(VLOOKUP(A194,ScaledPrice,2))*(2-(VLOOKUP(A194,ScaledPrice,3))))-((IF(S194&lt;&gt;0,$D194,$CL194)*$C194)+$F194+$G194)),0))</f>
        <v> </v>
      </c>
      <c r="CP194" s="340" t="str">
        <f aca="false">IF(A194="N/A"," ",IF(CC=2,(VLOOKUP(A194,ScaledPrice,9)-((IF(T194&lt;&gt;0,$D194,$CL194)*$C194)+$F194+$G194)),0))</f>
        <v> </v>
      </c>
      <c r="CQ194" s="340" t="str">
        <f aca="false">IF(A194="N/A"," ",IF(CC=2,(IF(OR(Dayrun=2,Dayrun=3,Dayrun=5,Dayrun=6,Dayrun=8,Dayrun=9),VLOOKUP(A194,ScaledPrice,IF(AND(Dayrun&gt;=2,Dayrun&lt;=6),5,6)),0)-((IF(U194&lt;&gt;0,$D194,$CL194)*$C194)+$F194+$G194)),0))</f>
        <v> </v>
      </c>
      <c r="CR194" s="340" t="str">
        <f aca="false">IF(A194="N/A"," ",IF(CC=2,(IF(OR(Dayrun=2,Dayrun=3,Dayrun=5,Dayrun=6,Dayrun=8,Dayrun=9),IF(AND(Dayrun&gt;=2,Dayrun&lt;=6),L194,(VLOOKUP(A194,ScaledPrice,5))*(2-(VLOOKUP(A194,ScaledPrice,3)))),0)-((IF(V194&lt;&gt;0,$D194,$CL194)*$C194)+$F194+$G194)),0))</f>
        <v> </v>
      </c>
      <c r="CS194" s="340" t="str">
        <f aca="false">IF(A194="N/A"," ",IF(CC=2,(VLOOKUP(A194,ScaledPrice,9)-((IF(W194&lt;&gt;0,$D194,$CL194)*$C194)+$F194+$G194)),0))</f>
        <v> </v>
      </c>
      <c r="CT194" s="340" t="str">
        <f aca="false">IF(A194="N/A"," ",IF(CC=2,(IF(OR(Dayrun=3,Dayrun=6,Dayrun=9),(VLOOKUP(A194,ScaledPrice,IF(AND(Dayrun&gt;=3,Dayrun&lt;=6),7,8))),0)-((IF(X194&lt;&gt;0,$D194,$CL194)*$C194)+$F194+$G194)),0))</f>
        <v> </v>
      </c>
      <c r="CU194" s="340" t="str">
        <f aca="false">IF(A194="N/A"," ",IF(CC=2,(IF(OR(Dayrun=3,Dayrun=6,Dayrun=9),IF(AND(Dayrun&gt;=3,Dayrun&lt;=6),O194,(VLOOKUP(A194,ScaledPrice,7))*(2-(VLOOKUP(A194,ScaledPrice,3)))),0)-((IF(Y194&lt;&gt;0,$D194,$CL194)*$C194)+$F194+$G194)),0))</f>
        <v> </v>
      </c>
      <c r="CV194" s="340" t="str">
        <f aca="false">IF(A194="N/A"," ",IF(CC=2,(VLOOKUP(A194,ScaledPrice,9)-((IF(Z194&lt;&gt;0,$D194,$CL194)*$C194)+$F194+$G194)),0))</f>
        <v> </v>
      </c>
      <c r="CW194" s="318" t="str">
        <f aca="false">IF($A194="N/A"," ",IF(0&lt;&gt;CN194,IF(CC=2,8*$HD194,0),0))</f>
        <v> </v>
      </c>
      <c r="CX194" s="318" t="str">
        <f aca="false">IF($A194="N/A"," ",IF(0&lt;&gt;CO194,IF(CC=2,8*$HD194,0),0))</f>
        <v> </v>
      </c>
      <c r="CY194" s="318" t="str">
        <f aca="false">IF($A194="N/A"," ",IF(0&lt;&gt;CP194,IF(CC=2,8*$HD194,0),0))</f>
        <v> </v>
      </c>
      <c r="CZ194" s="318" t="str">
        <f aca="false">IF($A194="N/A"," ",IF(0&lt;&gt;CQ194,IF(CC=2,8*$HE194,0),0))</f>
        <v> </v>
      </c>
      <c r="DA194" s="318" t="str">
        <f aca="false">IF($A194="N/A"," ",IF(0&lt;&gt;CR194,IF(CC=2,8*$HE194,0),0))</f>
        <v> </v>
      </c>
      <c r="DB194" s="318" t="str">
        <f aca="false">IF($A194="N/A"," ",IF(0&lt;&gt;CS194,IF(CC=2,8*$HE194,0),0))</f>
        <v> </v>
      </c>
      <c r="DC194" s="318" t="str">
        <f aca="false">IF($A194="N/A"," ",IF(0&lt;&gt;CT194,IF(CC=2,8*$HF194,0),0))</f>
        <v> </v>
      </c>
      <c r="DD194" s="318" t="str">
        <f aca="false">IF($A194="N/A"," ",IF(0&lt;&gt;CU194,IF(CC=2,8*$HF194,0),0))</f>
        <v> </v>
      </c>
      <c r="DE194" s="318" t="str">
        <f aca="false">IF($A194="N/A"," ",IF(0&lt;&gt;CV194,IF(CC=2,8*$HF194,0),0))</f>
        <v> </v>
      </c>
      <c r="DF194" s="341" t="str">
        <f aca="false">IF($A194="N/A"," ",IF(CC=2,(IF(MONTH(A194)&gt;=4,IF(MONTH(A194)&lt;=10,Inputs!$G$13,Inputs!$G$14),Inputs!$G$14))*$CK194,0))</f>
        <v> </v>
      </c>
      <c r="DG194" s="342" t="str">
        <f aca="false">IF($A194="N/A"," ",IF(CC=2,$DF194*CW194*CN194,0))</f>
        <v> </v>
      </c>
      <c r="DH194" s="342" t="str">
        <f aca="false">IF($A194="N/A"," ",IF(CC=2,$DF194*CX194*CO194,0))</f>
        <v> </v>
      </c>
      <c r="DI194" s="342" t="str">
        <f aca="false">IF($A194="N/A"," ",IF(CC=2,$DF194*CY194*CP194,0))</f>
        <v> </v>
      </c>
      <c r="DJ194" s="342" t="str">
        <f aca="false">IF($A194="N/A"," ",IF(CC=2,$DF194*CZ194*CQ194,0))</f>
        <v> </v>
      </c>
      <c r="DK194" s="342" t="str">
        <f aca="false">IF($A194="N/A"," ",IF(CC=2,$DF194*DA194*CR194,0))</f>
        <v> </v>
      </c>
      <c r="DL194" s="342" t="str">
        <f aca="false">IF($A194="N/A"," ",IF(CC=2,$DF194*DB194*CS194,0))</f>
        <v> </v>
      </c>
      <c r="DM194" s="342" t="str">
        <f aca="false">IF($A194="N/A"," ",IF(CC=2,$DF194*DC194*CT194,0))</f>
        <v> </v>
      </c>
      <c r="DN194" s="342" t="str">
        <f aca="false">IF($A194="N/A"," ",IF(CC=2,$DF194*DD194*CU194,0))</f>
        <v> </v>
      </c>
      <c r="DO194" s="342" t="str">
        <f aca="false">IF($A194="N/A"," ",IF(CC=2,$DF194*DE194*CV194,0))</f>
        <v> </v>
      </c>
      <c r="DP194" s="343" t="str">
        <f aca="false">IF($A194="N/A"," ",IF(CC=2,SUM(DG194:DO194),0))</f>
        <v> </v>
      </c>
      <c r="DQ194" s="0" t="str">
        <f aca="false">IF(A194="N/A"," ",Perstart)</f>
        <v> </v>
      </c>
      <c r="HD194" s="0" t="str">
        <f aca="false">IF($A194="N/A"," ",VLOOKUP($A194,NumberofDaysTable,2))</f>
        <v> </v>
      </c>
      <c r="HE194" s="0" t="str">
        <f aca="false">IF($A194="N/A"," ",VLOOKUP($A194,NumberofDaysTable,3))</f>
        <v> </v>
      </c>
      <c r="HF194" s="0" t="str">
        <f aca="false">IF($A194="N/A"," ",VLOOKUP($A194,NumberofDaysTable,4))</f>
        <v> </v>
      </c>
    </row>
    <row r="195" customFormat="false" ht="12.75" hidden="false" customHeight="false" outlineLevel="0" collapsed="false">
      <c r="A195" s="308" t="str">
        <f aca="false">IF(A194="N/A","N/A",IF(EDATE(A194,1)&gt;Inputs!$K$3,"N/A",EDATE(A194,1)))</f>
        <v>N/A</v>
      </c>
      <c r="B195" s="309" t="str">
        <f aca="false">IF(A195="N/A"," ",YEAR(A195))</f>
        <v> </v>
      </c>
      <c r="C195" s="310" t="str">
        <f aca="false">IF(A195="N/A"," ",VLOOKUP(A195,ScaledPrice,10))</f>
        <v> </v>
      </c>
      <c r="D195" s="311" t="str">
        <f aca="false">IF(A195="N/A"," ",(VLOOKUP(MONTH($A195),Hrtable,2))/1000)</f>
        <v> </v>
      </c>
      <c r="E195" s="312" t="str">
        <f aca="false">IF($A195="N/A"," ",(C195-'Pricing Inputs'!T228)*D195)</f>
        <v> </v>
      </c>
      <c r="F195" s="313" t="str">
        <f aca="false">IF(A195="N/A"," ",$F183*(1+VOMesc))</f>
        <v> </v>
      </c>
      <c r="G195" s="313" t="str">
        <f aca="false">IF(A195="N/A"," ",Perstart/IF(AND(Dayrun&gt;=4,Dayrun&lt;=6),16,IF(AND(Dayrun&gt;=7,Dayrun&lt;=9),8,24))/(BM195/CK195))</f>
        <v> </v>
      </c>
      <c r="H195" s="314" t="str">
        <f aca="false">IF(A195="N/A"," ",(C195*D195)+F195+G195)</f>
        <v> </v>
      </c>
      <c r="I195" s="315" t="str">
        <f aca="false">VLOOKUP(A195,ScaledPrice,(IF(AND(Dayrun&gt;=1,Dayrun&lt;=6),2,4)))</f>
        <v> </v>
      </c>
      <c r="J195" s="315" t="str">
        <f aca="false">IF(A195="N/A"," ",IF(AND(Dayrun&gt;=1,Dayrun&lt;=6),I195,(VLOOKUP(A195,ScaledPrice,2))*(2-(VLOOKUP(A195,ScaledPrice,3)))))</f>
        <v> </v>
      </c>
      <c r="K195" s="315" t="str">
        <f aca="false">IF(A195="N/A"," ",IF(AND(Dayrun&gt;=1,Dayrun&lt;=3),VLOOKUP(A195,ScaledPrice,9),0))</f>
        <v> </v>
      </c>
      <c r="L195" s="315" t="str">
        <f aca="false">IF(A195="N/A"," ",IF(OR(Dayrun=2,Dayrun=3,Dayrun=5,Dayrun=6,Dayrun=8,Dayrun=9),VLOOKUP(A195,ScaledPrice,IF(AND(Dayrun&gt;=2,Dayrun&lt;=6),5,6)),0))</f>
        <v> </v>
      </c>
      <c r="M195" s="315" t="str">
        <f aca="false">IF(A195="N/A"," ",IF(OR(Dayrun=2,Dayrun=3,Dayrun=5,Dayrun=6,Dayrun=8,Dayrun=9),IF(AND(Dayrun&gt;=2,Dayrun&lt;=6),L195,(VLOOKUP(A195,ScaledPrice,5))*(2-(VLOOKUP(A195,ScaledPrice,3)))),0))</f>
        <v> </v>
      </c>
      <c r="N195" s="315" t="str">
        <f aca="false">IF(A195="N/A"," ",IF(AND(Dayrun&gt;1,Dayrun&lt;=3),VLOOKUP(A195,ScaledPrice,9),0))</f>
        <v> </v>
      </c>
      <c r="O195" s="315" t="str">
        <f aca="false">IF(A195="N/A"," ",IF(OR(Dayrun=3,Dayrun=6,Dayrun=9),(VLOOKUP(A195,ScaledPrice,IF(AND(Dayrun&gt;=3,Dayrun&lt;=6),7,8))),0))</f>
        <v> </v>
      </c>
      <c r="P195" s="315" t="str">
        <f aca="false">IF(A195="N/A"," ",IF(OR(Dayrun=3,Dayrun=6,Dayrun=9),IF(AND(Dayrun&gt;=3,Dayrun&lt;=6),O195,(VLOOKUP(A195,ScaledPrice,7))*(2-(VLOOKUP(A195,ScaledPrice,3)))),0))</f>
        <v> </v>
      </c>
      <c r="Q195" s="315" t="str">
        <f aca="false">IF(A195="N/A"," ",IF(AND(Dayrun&gt;2,Dayrun&lt;=3),VLOOKUP(A195,ScaledPrice,9),0))</f>
        <v> </v>
      </c>
      <c r="R195" s="316" t="str">
        <f aca="false">IF($A195="N/A"," ",IF(Pricetype=2,MAX(I195-$H195,0),IF(Pricetype=1,(xSPRDOPT(I195,$E195,$CI195,0,($CD195+IF(Smile=TRUE(),VLOOKUP(MAX(-5,$H195-I195),Volsmile,2),0)),$CG195,$CH195,($A195-DateToday)+15,1,0)),I195-$H195)))</f>
        <v> </v>
      </c>
      <c r="S195" s="316" t="str">
        <f aca="false">IF($A195="N/A"," ",IF(Pricetype=2,MAX(J195-$H195,0),IF(Pricetype=1,(xSPRDOPT(J195,$E195,$CI195,0,($CD195+IF(Smile=TRUE(),VLOOKUP(MAX(-5,$H195-J195),Volsmile,2),0)),$CG195,$CH195,($A195-DateToday)+15,1,0)),J195-$H195)))</f>
        <v> </v>
      </c>
      <c r="T195" s="317" t="str">
        <f aca="false">IF($A195="N/A"," ",(IF(Pricetype=2,IF((K195-$H195)&lt;=0,0,(K195-$H195)),IF(K195&lt;&gt;0,(K195-$H195),0))))</f>
        <v> </v>
      </c>
      <c r="U195" s="316" t="str">
        <f aca="false">IF($A195="N/A"," ",IF(Pricetype=2,MAX(L195-$H195,0),IF(L195&lt;&gt;0,IF(Pricetype=1,(xSPRDOPT(L195,$E195,$CI195,0,($CD195+IF(Smile=TRUE(),VLOOKUP(MAX(-5,$H195-L195),Volsmile,2),0)),$CG195,$CH195,($A195-DateToday)+15,1,0)),L195-$H195),0)))</f>
        <v> </v>
      </c>
      <c r="V195" s="316" t="str">
        <f aca="false">IF($A195="N/A"," ",IF(Pricetype=2,MAX(M195-$H195,0),IF(M195&lt;&gt;0,IF(Pricetype=1,(xSPRDOPT(M195,$E195,$CI195,0,($CD195+IF(Smile=TRUE(),VLOOKUP(MAX(-5,$H195-M195),Volsmile,2),0)),$CG195,$CH195,($A195-DateToday)+15,1,0)),M195-$H195),0)))</f>
        <v> </v>
      </c>
      <c r="W195" s="317" t="str">
        <f aca="false">IF($A195="N/A"," ",(IF(Pricetype=2,IF((N195-$H195)&lt;=0,0,(N195-$H195)),IF(N195&lt;&gt;0,(N195-$H195),0))))</f>
        <v> </v>
      </c>
      <c r="X195" s="316" t="str">
        <f aca="false">IF($A195="N/A"," ",IF(Pricetype=2,MAX(O195-$H195,0),IF(O195&lt;&gt;0,IF(Pricetype=1,(xSPRDOPT(O195,$E195,$CI195,0,($CD195+IF(Smile=TRUE(),VLOOKUP(MAX(-5,$H195-O195),Volsmile,2),0)),$CG195,$CH195,($A195-DateToday)+15,1,0)),O195-$H195),0)))</f>
        <v> </v>
      </c>
      <c r="Y195" s="316" t="str">
        <f aca="false">IF($A195="N/A"," ",IF(Pricetype=2,MAX(P195-$H195,0),IF(P195&lt;&gt;0,IF(Pricetype=1,(xSPRDOPT(P195,$E195,$CI195,0,($CD195+IF(Smile=TRUE(),VLOOKUP(MAX(-5,$H195-P195),Volsmile,2),0)),$CG195,$CH195,($A195-DateToday)+15,1,0)),P195-$H195),0)))</f>
        <v> </v>
      </c>
      <c r="Z195" s="317" t="str">
        <f aca="false">IF($A195="N/A"," ",(IF(Pricetype=2,IF((Q195-$H195)&lt;=0,0,(Q195-$H195)),IF(Q195&lt;&gt;0,(Q195-$H195),0))))</f>
        <v> </v>
      </c>
      <c r="AA195" s="318" t="str">
        <f aca="false">IF($A195="N/A"," ",IF(VLOOKUP(MONTH(A195),ManualTable,2)=1,(IF(0&lt;&gt;R195,IF(Pricetype=1,(xSPRDOPT(I195,$E195,$CI195,0,($CD195+IF(Smile=TRUE(),VLOOKUP(MAX(-5,$H195-I195),Volsmile,2),0)),$CG195,$CH195,($A195-DateToday)+15,1,1))*(8*$HD195),8*$HD195),0)),0))</f>
        <v> </v>
      </c>
      <c r="AB195" s="318" t="str">
        <f aca="false">IF($A195="N/A"," ",IF(VLOOKUP(MONTH(A195),ManualTable,3)=1,(IF(S195&lt;&gt;0,IF(Pricetype=1,(xSPRDOPT(J195,$E195,$CI195,0,($CD195+IF(Smile=TRUE(),VLOOKUP(MAX(-5,$H195-J195),Volsmile,2),0)),$CG195,$CH195,($A195-DateToday)+15,1,1))*(8*$HD195),8*$HD195),0)),0))</f>
        <v> </v>
      </c>
      <c r="AC195" s="318" t="str">
        <f aca="false">IF($A195="N/A"," ",IF(VLOOKUP(MONTH(A195),ManualTable,4)=1,(IF(T195&lt;&gt;0,(8*$HD195),0)),0))</f>
        <v> </v>
      </c>
      <c r="AD195" s="318" t="str">
        <f aca="false">IF($A195="N/A"," ",IF(VLOOKUP(MONTH(A195),ManualTable,5)=1,(IF(U195&lt;&gt;0,IF(Pricetype=1,(xSPRDOPT(L195,$E195,$CI195,0,($CD195+IF(Smile=TRUE(),VLOOKUP(MAX(-5,$H195-L195),Volsmile,2),0)),$CG195,$CH195,($A195-DateToday)+15,1,1))*(8*$HE195),8*$HE195),0)),0))</f>
        <v> </v>
      </c>
      <c r="AE195" s="318" t="str">
        <f aca="false">IF($A195="N/A"," ",IF(VLOOKUP(MONTH(A195),ManualTable,6)=1,(IF(V195&lt;&gt;0,IF(Pricetype=1,(xSPRDOPT(M195,$E195,$CI195,0,($CD195+IF(Smile=TRUE(),VLOOKUP(MAX(-5,$H195-M195),Volsmile,2),0)),$CG195,$CH195,($A195-DateToday)+15,1,1))*(8*$HE195),8*$HE195),0)),0))</f>
        <v> </v>
      </c>
      <c r="AF195" s="318" t="str">
        <f aca="false">IF($A195="N/A"," ",IF(VLOOKUP(MONTH(A195),ManualTable,7)=1,(IF(W195&lt;&gt;0,(8*$HE195),0)),0))</f>
        <v> </v>
      </c>
      <c r="AG195" s="318" t="str">
        <f aca="false">IF($A195="N/A"," ",IF(VLOOKUP(MONTH(A195),ManualTable,8)=1,(IF(X195&lt;&gt;0,IF(Pricetype=1,(xSPRDOPT(O195,$E195,$CI195,0,($CD195+IF(Smile=TRUE(),VLOOKUP(MAX(-5,$H195-O195),Volsmile,2),0)),$CG195,$CH195,($A195-DateToday)+15,1,1))*(8*$HF195),8*$HF195),0)),0))</f>
        <v> </v>
      </c>
      <c r="AH195" s="318" t="str">
        <f aca="false">IF($A195="N/A"," ",IF(VLOOKUP(MONTH(A195),ManualTable,9)=1,(IF(Y195&lt;&gt;0,IF(Pricetype=1,(xSPRDOPT(P195,$E195,$CI195,0,($CD195+IF(Smile=TRUE(),VLOOKUP(MAX(-5,$H195-P195),Volsmile,2),0)),$CG195,$CH195,($A195-DateToday)+15,1,1))*(8*$HF195),8*$HF195),0)),0))</f>
        <v> </v>
      </c>
      <c r="AI195" s="318" t="str">
        <f aca="false">IF($A195="N/A"," ",IF(VLOOKUP(MONTH(A195),ManualTable,10)=1,(IF(Z195&lt;&gt;0,(8*($HF195)),0)),0))</f>
        <v> </v>
      </c>
      <c r="AJ195" s="349" t="str">
        <f aca="false">IF($A195="N/A"," ",RANK(R195,$R$184:$Z$195))</f>
        <v> </v>
      </c>
      <c r="AK195" s="350" t="str">
        <f aca="false">IF($A195="N/A"," ",RANK(S195,$R$184:$Z$195))</f>
        <v> </v>
      </c>
      <c r="AL195" s="350" t="str">
        <f aca="false">IF($A195="N/A"," ",RANK(T195,$R$184:$Z$195))</f>
        <v> </v>
      </c>
      <c r="AM195" s="350" t="str">
        <f aca="false">IF($A195="N/A"," ",RANK(U195,$R$184:$Z$195))</f>
        <v> </v>
      </c>
      <c r="AN195" s="350" t="str">
        <f aca="false">IF($A195="N/A"," ",RANK(V195,$R$184:$Z$195))</f>
        <v> </v>
      </c>
      <c r="AO195" s="350" t="str">
        <f aca="false">IF($A195="N/A"," ",RANK(W195,$R$184:$Z$195))</f>
        <v> </v>
      </c>
      <c r="AP195" s="350" t="str">
        <f aca="false">IF($A195="N/A"," ",RANK(X195,$R$184:$Z$195))</f>
        <v> </v>
      </c>
      <c r="AQ195" s="350" t="str">
        <f aca="false">IF($A195="N/A"," ",RANK(Y195,$R$184:$Z$195))</f>
        <v> </v>
      </c>
      <c r="AR195" s="351" t="str">
        <f aca="false">IF($A195="N/A"," ",RANK(Z195,$R$184:$Z$195))</f>
        <v> </v>
      </c>
      <c r="AS195" s="352" t="str">
        <f aca="false">IF($A195="N/A"," ",IF(AJ195&lt;=$AR$2,AA195,0))</f>
        <v> </v>
      </c>
      <c r="AT195" s="353" t="str">
        <f aca="false">IF($A195="N/A"," ",IF(AK195&lt;=$AR$2,AB195,0))</f>
        <v> </v>
      </c>
      <c r="AU195" s="353" t="str">
        <f aca="false">IF($A195="N/A"," ",IF(AL195&lt;=$AR$2,AC195,0))</f>
        <v> </v>
      </c>
      <c r="AV195" s="353" t="str">
        <f aca="false">IF($A195="N/A"," ",IF(AM195&lt;=$AR$2,AD195,0))</f>
        <v> </v>
      </c>
      <c r="AW195" s="353" t="str">
        <f aca="false">IF($A195="N/A"," ",IF(AN195&lt;=$AR$2,AE195,0))</f>
        <v> </v>
      </c>
      <c r="AX195" s="353" t="str">
        <f aca="false">IF($A195="N/A"," ",IF(AO195&lt;=$AR$2,AF195,0))</f>
        <v> </v>
      </c>
      <c r="AY195" s="353" t="str">
        <f aca="false">IF($A195="N/A"," ",IF(AP195&lt;=$AR$2,AG195,0))</f>
        <v> </v>
      </c>
      <c r="AZ195" s="353" t="str">
        <f aca="false">IF($A195="N/A"," ",IF(AQ195&lt;=$AR$2,AH195,0))</f>
        <v> </v>
      </c>
      <c r="BA195" s="353" t="str">
        <f aca="false">IF($A195="N/A"," ",IF(AR195&lt;=$AR$2,AI195,0))</f>
        <v> </v>
      </c>
      <c r="BB195" s="351" t="n">
        <f aca="false">IF(($AZ$2-BB194)&gt;=0,$AZ$2-BB194,0)</f>
        <v>980</v>
      </c>
      <c r="BC195" s="354" t="str">
        <f aca="false">IF($A195="N/A"," ",IF(AND(AJ195=$AR$2+1,AS195=0),MIN($BB$195,AA195),0))</f>
        <v> </v>
      </c>
      <c r="BD195" s="355" t="str">
        <f aca="false">IF($A195="N/A"," ",IF(AND(AK195=$AR$2+1,AT195=0),MIN($BB$195,AB195),0))</f>
        <v> </v>
      </c>
      <c r="BE195" s="346" t="str">
        <f aca="false">IF($A195="N/A"," ",IF(AND(AL195=$AR$2+1,AU195=0),MIN($BB$195,AC195),0))</f>
        <v> </v>
      </c>
      <c r="BF195" s="355" t="str">
        <f aca="false">IF($A195="N/A"," ",IF(AND(AM195=$AR$2+1,AV195=0),MIN($BB$195,AD195),0))</f>
        <v> </v>
      </c>
      <c r="BG195" s="355" t="str">
        <f aca="false">IF($A195="N/A"," ",IF(AND(AN195=$AR$2+1,AW195=0),MIN($BB$195,AE195),0))</f>
        <v> </v>
      </c>
      <c r="BH195" s="346" t="str">
        <f aca="false">IF($A195="N/A"," ",IF(AND(AO195=$AR$2+1,AX195=0),MIN($BB$195,AF195),0))</f>
        <v> </v>
      </c>
      <c r="BI195" s="355" t="str">
        <f aca="false">IF($A195="N/A"," ",IF(AND(AP195=$AR$2+1,AY195=0),MIN($BB$195,AG195),0))</f>
        <v> </v>
      </c>
      <c r="BJ195" s="355" t="str">
        <f aca="false">IF($A195="N/A"," ",IF(AND(AQ195=$AR$2+1,AZ195=0),MIN($BB$195,AH195),0))</f>
        <v> </v>
      </c>
      <c r="BK195" s="355" t="str">
        <f aca="false">IF($A195="N/A"," ",IF(AND(AR195=$AR$2+1,BA195=0),MIN($BB$195,AI195),0))</f>
        <v> </v>
      </c>
      <c r="BL195" s="356" t="n">
        <f aca="false">BB194+BL194</f>
        <v>0</v>
      </c>
      <c r="BM195" s="329" t="str">
        <f aca="false">IF($A195="N/A"," ",(IF(MONTH(A195)&gt;=4,IF(MONTH(A195)&lt;=10,Inputs!$F$13-Inputs!$G$13,Inputs!$F$14-Inputs!$G$14),Inputs!$F$14-Inputs!$G$14))*$CK195*Availability)</f>
        <v> </v>
      </c>
      <c r="BN195" s="330" t="str">
        <f aca="false">IF($A195="N/A"," ",(IF(AS195&gt;0,($BM195*(8*($HD195))*R195),0)+IF(BC195&gt;0,($BM195*((BC195/AA195)*8*$HD195)*R195),0)))</f>
        <v> </v>
      </c>
      <c r="BO195" s="330" t="str">
        <f aca="false">IF($A195="N/A"," ",(IF(AT195&gt;0,($BM195*(8*($HD195))*S195),0)+IF(BD195&gt;0,($BM195*((BD195/AB195)*8*$HD195)*S195),0)))</f>
        <v> </v>
      </c>
      <c r="BP195" s="330" t="str">
        <f aca="false">IF($A195="N/A"," ",(IF(AU195&gt;0,($BM195*(8*($HD195))*T195),0)+IF(BE195&gt;0,($BM195*((BE195))*T195),0)))</f>
        <v> </v>
      </c>
      <c r="BQ195" s="330" t="str">
        <f aca="false">IF($A195="N/A"," ",(IF(AV195&gt;0,($BM195*(8*($HE195))*U195),0)+IF(BF195&gt;0,($BM195*((BF195/AD195)*8*$HE195)*U195),0)))</f>
        <v> </v>
      </c>
      <c r="BR195" s="330" t="str">
        <f aca="false">IF($A195="N/A"," ",(IF(AW195&gt;0,($BM195*(8*($HE195))*V195),0)+IF(BG195&gt;0,($BM195*((BG195/AE195)*8*$HE195)*V195),0)))</f>
        <v> </v>
      </c>
      <c r="BS195" s="330" t="str">
        <f aca="false">IF($A195="N/A"," ",(IF(AX195&gt;0,($BM195*(8*($HE195))*W195),0)+IF(BH195&gt;0,($BM195*((BH195))*W195),0)))</f>
        <v> </v>
      </c>
      <c r="BT195" s="330" t="str">
        <f aca="false">IF($A195="N/A"," ",(IF(AY195&gt;0,($BM195*(8*($HF195))*X195),0)+IF(BI195&gt;0,($BM195*((BI195/AG195)*8*$HF195)*X195),0)))</f>
        <v> </v>
      </c>
      <c r="BU195" s="330" t="str">
        <f aca="false">IF($A195="N/A"," ",(IF(AZ195&gt;0,($BM195*(8*($HF195))*Y195),0)+IF(BJ195&gt;0,($BM195*((BJ195/AH195)*8*$HF195)*Y195),0)))</f>
        <v> </v>
      </c>
      <c r="BV195" s="330" t="str">
        <f aca="false">IF($A195="N/A"," ",(IF(BA195&gt;0,($BM195*(8*($HF195))*Z195),0)+IF(BK195&gt;0,($BM195*((BK195))*Z195),0)))</f>
        <v> </v>
      </c>
      <c r="BW195" s="330" t="str">
        <f aca="false">IF($A195="N/A"," ",SUM(BN195:BV195))</f>
        <v> </v>
      </c>
      <c r="BX195" s="331" t="str">
        <f aca="false">IF($A195="N/A"," ",(H195*(SUM(AS195:BA195)+SUM(BC195:BK195))*BM195))</f>
        <v> </v>
      </c>
      <c r="BY195" s="332" t="str">
        <f aca="false">IF($A195="N/A"," ",((C195*D195)*(SUM($AS195:$BA195)+SUM($BC195:$BK195))*$BM195))</f>
        <v> </v>
      </c>
      <c r="BZ195" s="332" t="str">
        <f aca="false">IF($A195="N/A"," ",(F195*(SUM($AS195:$BA195)+SUM($BC195:$BK195))*$BM195))</f>
        <v> </v>
      </c>
      <c r="CA195" s="333" t="str">
        <f aca="false">IF($A195="N/A"," ",(G195*(SUM($AS195:$BA195)+SUM($BC195:$BK195))*$BM195))</f>
        <v> </v>
      </c>
      <c r="CB195" s="334" t="str">
        <f aca="false">IF(A195="N/A"," ",(VLOOKUP(A195,PowerVolTable,(IF(BMO=2,7,IF(BMO=1,6,8))),FALSE())))</f>
        <v> </v>
      </c>
      <c r="CC195" s="334" t="str">
        <f aca="false">IF(A195="N/A"," ",(VLOOKUP(A195,IntraPowerVol,(IF(BMO=2,3,IF(BMO=1,2,4))),FALSE())*VLOOKUP(MONTH($A195),Volscale,2)))</f>
        <v> </v>
      </c>
      <c r="CD195" s="335" t="str">
        <f aca="false">IF($A195="N/A"," ",(IF(DateToday&gt;$A195,$CC195,((($CB195^2)*((($A195-1)-DateToday)/((EOMONTH($A195,0)+1)-DateToday-15)))+((($CC195)^2)*((15)/((EOMONTH($A195,0)+1)-DateToday-15))))^0.5)))</f>
        <v> </v>
      </c>
      <c r="CE195" s="334" t="str">
        <f aca="false">IF($A195="N/A"," ",(VLOOKUP($A195,GasVolTable,(IF(BMO=2,6,IF(BMO=1,7,5))),FALSE())))</f>
        <v> </v>
      </c>
      <c r="CF195" s="334" t="str">
        <f aca="false">IF($A195="N/A"," ",(VLOOKUP($A195,OmicronVol,(IF(BMO=2,3,IF(BMO=1,4,2))),FALSE())))</f>
        <v> </v>
      </c>
      <c r="CG195" s="335" t="str">
        <f aca="false">IF($A195="N/A"," ",(IF(DateToday&gt;$A195,$CF195,((($CE195^2)*((($A195-1)-DateToday)/((EOMONTH($A195,0)+1)-DateToday-15)))+((($CF195)^2)*((15)/((EOMONTH($A195,0)+1)-DateToday-15))))^0.5)))</f>
        <v> </v>
      </c>
      <c r="CH195" s="334" t="str">
        <f aca="false">IF($A195="N/A"," ",VLOOKUP($A195,CorrelationTable,2,FALSE()))</f>
        <v> </v>
      </c>
      <c r="CI195" s="336" t="str">
        <f aca="false">IF($A195="N/A"," ",F195+G195+(D195*('Pricing Inputs'!T228)))</f>
        <v> </v>
      </c>
      <c r="CJ195" s="334" t="str">
        <f aca="false">IF($A195="N/A"," ",IF(PV=1,0,'Pricing Inputs'!U228))</f>
        <v> </v>
      </c>
      <c r="CK195" s="337" t="str">
        <f aca="false">IF($A195="N/A"," ",(1+CJ195/2)^(-2*((EOMONTH(A195,0)+20)-DateToday)/365.25))</f>
        <v> </v>
      </c>
      <c r="CL195" s="338" t="str">
        <f aca="false">IF(A195="N/A"," ",IF(CC=2,(VLOOKUP(MONTH($A195),Hrtable,3))/1000,0))</f>
        <v> </v>
      </c>
      <c r="CM195" s="339" t="str">
        <f aca="false">IF(A195="N/A"," ",IF(CC=2,(CL195*C195)+F195,0))</f>
        <v> </v>
      </c>
      <c r="CN195" s="340" t="str">
        <f aca="false">IF($A195="N/A"," ",IF(CC=2,(VLOOKUP(A195,ScaledPrice,(IF(AND(Dayrun&gt;=1,Dayrun&lt;=6),2,4)))-((IF(R195&lt;&gt;0,$D195,$CL195)*$C195)+$F195+$G195)),0))</f>
        <v> </v>
      </c>
      <c r="CO195" s="340" t="str">
        <f aca="false">IF($A195="N/A"," ",IF(CC=2,(IF(AND(Dayrun&gt;=1,Dayrun&lt;=6),I195,(VLOOKUP(A195,ScaledPrice,2))*(2-(VLOOKUP(A195,ScaledPrice,3))))-((IF(S195&lt;&gt;0,$D195,$CL195)*$C195)+$F195+$G195)),0))</f>
        <v> </v>
      </c>
      <c r="CP195" s="340" t="str">
        <f aca="false">IF(A195="N/A"," ",IF(CC=2,(VLOOKUP(A195,ScaledPrice,9)-((IF(T195&lt;&gt;0,$D195,$CL195)*$C195)+$F195+$G195)),0))</f>
        <v> </v>
      </c>
      <c r="CQ195" s="340" t="str">
        <f aca="false">IF(A195="N/A"," ",IF(CC=2,(IF(OR(Dayrun=2,Dayrun=3,Dayrun=5,Dayrun=6,Dayrun=8,Dayrun=9),VLOOKUP(A195,ScaledPrice,IF(AND(Dayrun&gt;=2,Dayrun&lt;=6),5,6)),0)-((IF(U195&lt;&gt;0,$D195,$CL195)*$C195)+$F195+$G195)),0))</f>
        <v> </v>
      </c>
      <c r="CR195" s="340" t="str">
        <f aca="false">IF(A195="N/A"," ",IF(CC=2,(IF(OR(Dayrun=2,Dayrun=3,Dayrun=5,Dayrun=6,Dayrun=8,Dayrun=9),IF(AND(Dayrun&gt;=2,Dayrun&lt;=6),L195,(VLOOKUP(A195,ScaledPrice,5))*(2-(VLOOKUP(A195,ScaledPrice,3)))),0)-((IF(V195&lt;&gt;0,$D195,$CL195)*$C195)+$F195+$G195)),0))</f>
        <v> </v>
      </c>
      <c r="CS195" s="340" t="str">
        <f aca="false">IF(A195="N/A"," ",IF(CC=2,(VLOOKUP(A195,ScaledPrice,9)-((IF(W195&lt;&gt;0,$D195,$CL195)*$C195)+$F195+$G195)),0))</f>
        <v> </v>
      </c>
      <c r="CT195" s="340" t="str">
        <f aca="false">IF(A195="N/A"," ",IF(CC=2,(IF(OR(Dayrun=3,Dayrun=6,Dayrun=9),(VLOOKUP(A195,ScaledPrice,IF(AND(Dayrun&gt;=3,Dayrun&lt;=6),7,8))),0)-((IF(X195&lt;&gt;0,$D195,$CL195)*$C195)+$F195+$G195)),0))</f>
        <v> </v>
      </c>
      <c r="CU195" s="340" t="str">
        <f aca="false">IF(A195="N/A"," ",IF(CC=2,(IF(OR(Dayrun=3,Dayrun=6,Dayrun=9),IF(AND(Dayrun&gt;=3,Dayrun&lt;=6),O195,(VLOOKUP(A195,ScaledPrice,7))*(2-(VLOOKUP(A195,ScaledPrice,3)))),0)-((IF(Y195&lt;&gt;0,$D195,$CL195)*$C195)+$F195+$G195)),0))</f>
        <v> </v>
      </c>
      <c r="CV195" s="340" t="str">
        <f aca="false">IF(A195="N/A"," ",IF(CC=2,(VLOOKUP(A195,ScaledPrice,9)-((IF(Z195&lt;&gt;0,$D195,$CL195)*$C195)+$F195+$G195)),0))</f>
        <v> </v>
      </c>
      <c r="CW195" s="318" t="str">
        <f aca="false">IF($A195="N/A"," ",IF(0&lt;&gt;CN195,IF(CC=2,8*$HD195,0),0))</f>
        <v> </v>
      </c>
      <c r="CX195" s="318" t="str">
        <f aca="false">IF($A195="N/A"," ",IF(0&lt;&gt;CO195,IF(CC=2,8*$HD195,0),0))</f>
        <v> </v>
      </c>
      <c r="CY195" s="318" t="str">
        <f aca="false">IF($A195="N/A"," ",IF(0&lt;&gt;CP195,IF(CC=2,8*$HD195,0),0))</f>
        <v> </v>
      </c>
      <c r="CZ195" s="318" t="str">
        <f aca="false">IF($A195="N/A"," ",IF(0&lt;&gt;CQ195,IF(CC=2,8*$HE195,0),0))</f>
        <v> </v>
      </c>
      <c r="DA195" s="318" t="str">
        <f aca="false">IF($A195="N/A"," ",IF(0&lt;&gt;CR195,IF(CC=2,8*$HE195,0),0))</f>
        <v> </v>
      </c>
      <c r="DB195" s="318" t="str">
        <f aca="false">IF($A195="N/A"," ",IF(0&lt;&gt;CS195,IF(CC=2,8*$HE195,0),0))</f>
        <v> </v>
      </c>
      <c r="DC195" s="318" t="str">
        <f aca="false">IF($A195="N/A"," ",IF(0&lt;&gt;CT195,IF(CC=2,8*$HF195,0),0))</f>
        <v> </v>
      </c>
      <c r="DD195" s="318" t="str">
        <f aca="false">IF($A195="N/A"," ",IF(0&lt;&gt;CU195,IF(CC=2,8*$HF195,0),0))</f>
        <v> </v>
      </c>
      <c r="DE195" s="318" t="str">
        <f aca="false">IF($A195="N/A"," ",IF(0&lt;&gt;CV195,IF(CC=2,8*$HF195,0),0))</f>
        <v> </v>
      </c>
      <c r="DF195" s="341" t="str">
        <f aca="false">IF($A195="N/A"," ",IF(CC=2,(IF(MONTH(A195)&gt;=4,IF(MONTH(A195)&lt;=10,Inputs!$G$13,Inputs!$G$14),Inputs!$G$14))*$CK195,0))</f>
        <v> </v>
      </c>
      <c r="DG195" s="342" t="str">
        <f aca="false">IF($A195="N/A"," ",IF(CC=2,$DF195*CW195*CN195,0))</f>
        <v> </v>
      </c>
      <c r="DH195" s="342" t="str">
        <f aca="false">IF($A195="N/A"," ",IF(CC=2,$DF195*CX195*CO195,0))</f>
        <v> </v>
      </c>
      <c r="DI195" s="342" t="str">
        <f aca="false">IF($A195="N/A"," ",IF(CC=2,$DF195*CY195*CP195,0))</f>
        <v> </v>
      </c>
      <c r="DJ195" s="342" t="str">
        <f aca="false">IF($A195="N/A"," ",IF(CC=2,$DF195*CZ195*CQ195,0))</f>
        <v> </v>
      </c>
      <c r="DK195" s="342" t="str">
        <f aca="false">IF($A195="N/A"," ",IF(CC=2,$DF195*DA195*CR195,0))</f>
        <v> </v>
      </c>
      <c r="DL195" s="342" t="str">
        <f aca="false">IF($A195="N/A"," ",IF(CC=2,$DF195*DB195*CS195,0))</f>
        <v> </v>
      </c>
      <c r="DM195" s="342" t="str">
        <f aca="false">IF($A195="N/A"," ",IF(CC=2,$DF195*DC195*CT195,0))</f>
        <v> </v>
      </c>
      <c r="DN195" s="342" t="str">
        <f aca="false">IF($A195="N/A"," ",IF(CC=2,$DF195*DD195*CU195,0))</f>
        <v> </v>
      </c>
      <c r="DO195" s="342" t="str">
        <f aca="false">IF($A195="N/A"," ",IF(CC=2,$DF195*DE195*CV195,0))</f>
        <v> </v>
      </c>
      <c r="DP195" s="343" t="str">
        <f aca="false">IF($A195="N/A"," ",IF(CC=2,SUM(DG195:DO195),0))</f>
        <v> </v>
      </c>
      <c r="DQ195" s="0" t="str">
        <f aca="false">IF(A195="N/A"," ",Perstart)</f>
        <v> </v>
      </c>
      <c r="HD195" s="0" t="str">
        <f aca="false">IF($A195="N/A"," ",VLOOKUP($A195,NumberofDaysTable,2))</f>
        <v> </v>
      </c>
      <c r="HE195" s="0" t="str">
        <f aca="false">IF($A195="N/A"," ",VLOOKUP($A195,NumberofDaysTable,3))</f>
        <v> </v>
      </c>
      <c r="HF195" s="0" t="str">
        <f aca="false">IF($A195="N/A"," ",VLOOKUP($A195,NumberofDaysTable,4))</f>
        <v> </v>
      </c>
    </row>
    <row r="196" customFormat="false" ht="12.75" hidden="false" customHeight="false" outlineLevel="0" collapsed="false">
      <c r="A196" s="308" t="str">
        <f aca="false">IF(A195="N/A","N/A",IF(EDATE(A195,1)&gt;Inputs!$K$3,"N/A",EDATE(A195,1)))</f>
        <v>N/A</v>
      </c>
      <c r="B196" s="309" t="str">
        <f aca="false">IF(A196="N/A"," ",YEAR(A196))</f>
        <v> </v>
      </c>
      <c r="C196" s="310" t="str">
        <f aca="false">IF(A196="N/A"," ",VLOOKUP(A196,ScaledPrice,10))</f>
        <v> </v>
      </c>
      <c r="D196" s="311" t="str">
        <f aca="false">IF(A196="N/A"," ",(VLOOKUP(MONTH($A196),Hrtable,2))/1000)</f>
        <v> </v>
      </c>
      <c r="E196" s="312" t="str">
        <f aca="false">IF($A196="N/A"," ",(C196-'Pricing Inputs'!T229)*D196)</f>
        <v> </v>
      </c>
      <c r="F196" s="313" t="str">
        <f aca="false">IF(A196="N/A"," ",$F184*(1+VOMesc))</f>
        <v> </v>
      </c>
      <c r="G196" s="313" t="str">
        <f aca="false">IF(A196="N/A"," ",Perstart/IF(AND(Dayrun&gt;=4,Dayrun&lt;=6),16,IF(AND(Dayrun&gt;=7,Dayrun&lt;=9),8,24))/(BM196/CK196))</f>
        <v> </v>
      </c>
      <c r="H196" s="314" t="str">
        <f aca="false">IF(A196="N/A"," ",(C196*D196)+F196+G196)</f>
        <v> </v>
      </c>
      <c r="I196" s="315" t="str">
        <f aca="false">VLOOKUP(A196,ScaledPrice,(IF(AND(Dayrun&gt;=1,Dayrun&lt;=6),2,4)))</f>
        <v> </v>
      </c>
      <c r="J196" s="315" t="str">
        <f aca="false">IF(A196="N/A"," ",IF(AND(Dayrun&gt;=1,Dayrun&lt;=6),I196,(VLOOKUP(A196,ScaledPrice,2))*(2-(VLOOKUP(A196,ScaledPrice,3)))))</f>
        <v> </v>
      </c>
      <c r="K196" s="315" t="str">
        <f aca="false">IF(A196="N/A"," ",IF(AND(Dayrun&gt;=1,Dayrun&lt;=3),VLOOKUP(A196,ScaledPrice,9),0))</f>
        <v> </v>
      </c>
      <c r="L196" s="315" t="str">
        <f aca="false">IF(A196="N/A"," ",IF(OR(Dayrun=2,Dayrun=3,Dayrun=5,Dayrun=6,Dayrun=8,Dayrun=9),VLOOKUP(A196,ScaledPrice,IF(AND(Dayrun&gt;=2,Dayrun&lt;=6),5,6)),0))</f>
        <v> </v>
      </c>
      <c r="M196" s="315" t="str">
        <f aca="false">IF(A196="N/A"," ",IF(OR(Dayrun=2,Dayrun=3,Dayrun=5,Dayrun=6,Dayrun=8,Dayrun=9),IF(AND(Dayrun&gt;=2,Dayrun&lt;=6),L196,(VLOOKUP(A196,ScaledPrice,5))*(2-(VLOOKUP(A196,ScaledPrice,3)))),0))</f>
        <v> </v>
      </c>
      <c r="N196" s="315" t="str">
        <f aca="false">IF(A196="N/A"," ",IF(AND(Dayrun&gt;1,Dayrun&lt;=3),VLOOKUP(A196,ScaledPrice,9),0))</f>
        <v> </v>
      </c>
      <c r="O196" s="315" t="str">
        <f aca="false">IF(A196="N/A"," ",IF(OR(Dayrun=3,Dayrun=6,Dayrun=9),(VLOOKUP(A196,ScaledPrice,IF(AND(Dayrun&gt;=3,Dayrun&lt;=6),7,8))),0))</f>
        <v> </v>
      </c>
      <c r="P196" s="315" t="str">
        <f aca="false">IF(A196="N/A"," ",IF(OR(Dayrun=3,Dayrun=6,Dayrun=9),IF(AND(Dayrun&gt;=3,Dayrun&lt;=6),O196,(VLOOKUP(A196,ScaledPrice,7))*(2-(VLOOKUP(A196,ScaledPrice,3)))),0))</f>
        <v> </v>
      </c>
      <c r="Q196" s="315" t="str">
        <f aca="false">IF(A196="N/A"," ",IF(AND(Dayrun&gt;2,Dayrun&lt;=3),VLOOKUP(A196,ScaledPrice,9),0))</f>
        <v> </v>
      </c>
      <c r="R196" s="316" t="str">
        <f aca="false">IF($A196="N/A"," ",IF(Pricetype=2,MAX(I196-$H196,0),IF(Pricetype=1,(xSPRDOPT(I196,$E196,$CI196,0,($CD196+IF(Smile=TRUE(),VLOOKUP(MAX(-5,$H196-I196),Volsmile,2),0)),$CG196,$CH196,($A196-DateToday)+15,1,0)),I196-$H196)))</f>
        <v> </v>
      </c>
      <c r="S196" s="316" t="str">
        <f aca="false">IF($A196="N/A"," ",IF(Pricetype=2,MAX(J196-$H196,0),IF(Pricetype=1,(xSPRDOPT(J196,$E196,$CI196,0,($CD196+IF(Smile=TRUE(),VLOOKUP(MAX(-5,$H196-J196),Volsmile,2),0)),$CG196,$CH196,($A196-DateToday)+15,1,0)),J196-$H196)))</f>
        <v> </v>
      </c>
      <c r="T196" s="317" t="str">
        <f aca="false">IF($A196="N/A"," ",(IF(Pricetype=2,IF((K196-$H196)&lt;=0,0,(K196-$H196)),IF(K196&lt;&gt;0,(K196-$H196),0))))</f>
        <v> </v>
      </c>
      <c r="U196" s="316" t="str">
        <f aca="false">IF($A196="N/A"," ",IF(Pricetype=2,MAX(L196-$H196,0),IF(L196&lt;&gt;0,IF(Pricetype=1,(xSPRDOPT(L196,$E196,$CI196,0,($CD196+IF(Smile=TRUE(),VLOOKUP(MAX(-5,$H196-L196),Volsmile,2),0)),$CG196,$CH196,($A196-DateToday)+15,1,0)),L196-$H196),0)))</f>
        <v> </v>
      </c>
      <c r="V196" s="316" t="str">
        <f aca="false">IF($A196="N/A"," ",IF(Pricetype=2,MAX(M196-$H196,0),IF(M196&lt;&gt;0,IF(Pricetype=1,(xSPRDOPT(M196,$E196,$CI196,0,($CD196+IF(Smile=TRUE(),VLOOKUP(MAX(-5,$H196-M196),Volsmile,2),0)),$CG196,$CH196,($A196-DateToday)+15,1,0)),M196-$H196),0)))</f>
        <v> </v>
      </c>
      <c r="W196" s="317" t="str">
        <f aca="false">IF($A196="N/A"," ",(IF(Pricetype=2,IF((N196-$H196)&lt;=0,0,(N196-$H196)),IF(N196&lt;&gt;0,(N196-$H196),0))))</f>
        <v> </v>
      </c>
      <c r="X196" s="316" t="str">
        <f aca="false">IF($A196="N/A"," ",IF(Pricetype=2,MAX(O196-$H196,0),IF(O196&lt;&gt;0,IF(Pricetype=1,(xSPRDOPT(O196,$E196,$CI196,0,($CD196+IF(Smile=TRUE(),VLOOKUP(MAX(-5,$H196-O196),Volsmile,2),0)),$CG196,$CH196,($A196-DateToday)+15,1,0)),O196-$H196),0)))</f>
        <v> </v>
      </c>
      <c r="Y196" s="316" t="str">
        <f aca="false">IF($A196="N/A"," ",IF(Pricetype=2,MAX(P196-$H196,0),IF(P196&lt;&gt;0,IF(Pricetype=1,(xSPRDOPT(P196,$E196,$CI196,0,($CD196+IF(Smile=TRUE(),VLOOKUP(MAX(-5,$H196-P196),Volsmile,2),0)),$CG196,$CH196,($A196-DateToday)+15,1,0)),P196-$H196),0)))</f>
        <v> </v>
      </c>
      <c r="Z196" s="317" t="str">
        <f aca="false">IF($A196="N/A"," ",(IF(Pricetype=2,IF((Q196-$H196)&lt;=0,0,(Q196-$H196)),IF(Q196&lt;&gt;0,(Q196-$H196),0))))</f>
        <v> </v>
      </c>
      <c r="AA196" s="318" t="str">
        <f aca="false">IF($A196="N/A"," ",IF(VLOOKUP(MONTH(A196),ManualTable,2)=1,(IF(0&lt;&gt;R196,IF(Pricetype=1,(xSPRDOPT(I196,$E196,$CI196,0,($CD196+IF(Smile=TRUE(),VLOOKUP(MAX(-5,$H196-I196),Volsmile,2),0)),$CG196,$CH196,($A196-DateToday)+15,1,1))*(8*$HD196),8*$HD196),0)),0))</f>
        <v> </v>
      </c>
      <c r="AB196" s="318" t="str">
        <f aca="false">IF($A196="N/A"," ",IF(VLOOKUP(MONTH(A196),ManualTable,3)=1,(IF(S196&lt;&gt;0,IF(Pricetype=1,(xSPRDOPT(J196,$E196,$CI196,0,($CD196+IF(Smile=TRUE(),VLOOKUP(MAX(-5,$H196-J196),Volsmile,2),0)),$CG196,$CH196,($A196-DateToday)+15,1,1))*(8*$HD196),8*$HD196),0)),0))</f>
        <v> </v>
      </c>
      <c r="AC196" s="318" t="str">
        <f aca="false">IF($A196="N/A"," ",IF(VLOOKUP(MONTH(A196),ManualTable,4)=1,(IF(T196&lt;&gt;0,(8*$HD196),0)),0))</f>
        <v> </v>
      </c>
      <c r="AD196" s="318" t="str">
        <f aca="false">IF($A196="N/A"," ",IF(VLOOKUP(MONTH(A196),ManualTable,5)=1,(IF(U196&lt;&gt;0,IF(Pricetype=1,(xSPRDOPT(L196,$E196,$CI196,0,($CD196+IF(Smile=TRUE(),VLOOKUP(MAX(-5,$H196-L196),Volsmile,2),0)),$CG196,$CH196,($A196-DateToday)+15,1,1))*(8*$HE196),8*$HE196),0)),0))</f>
        <v> </v>
      </c>
      <c r="AE196" s="318" t="str">
        <f aca="false">IF($A196="N/A"," ",IF(VLOOKUP(MONTH(A196),ManualTable,6)=1,(IF(V196&lt;&gt;0,IF(Pricetype=1,(xSPRDOPT(M196,$E196,$CI196,0,($CD196+IF(Smile=TRUE(),VLOOKUP(MAX(-5,$H196-M196),Volsmile,2),0)),$CG196,$CH196,($A196-DateToday)+15,1,1))*(8*$HE196),8*$HE196),0)),0))</f>
        <v> </v>
      </c>
      <c r="AF196" s="318" t="str">
        <f aca="false">IF($A196="N/A"," ",IF(VLOOKUP(MONTH(A196),ManualTable,7)=1,(IF(W196&lt;&gt;0,(8*$HE196),0)),0))</f>
        <v> </v>
      </c>
      <c r="AG196" s="318" t="str">
        <f aca="false">IF($A196="N/A"," ",IF(VLOOKUP(MONTH(A196),ManualTable,8)=1,(IF(X196&lt;&gt;0,IF(Pricetype=1,(xSPRDOPT(O196,$E196,$CI196,0,($CD196+IF(Smile=TRUE(),VLOOKUP(MAX(-5,$H196-O196),Volsmile,2),0)),$CG196,$CH196,($A196-DateToday)+15,1,1))*(8*$HF196),8*$HF196),0)),0))</f>
        <v> </v>
      </c>
      <c r="AH196" s="318" t="str">
        <f aca="false">IF($A196="N/A"," ",IF(VLOOKUP(MONTH(A196),ManualTable,9)=1,(IF(Y196&lt;&gt;0,IF(Pricetype=1,(xSPRDOPT(P196,$E196,$CI196,0,($CD196+IF(Smile=TRUE(),VLOOKUP(MAX(-5,$H196-P196),Volsmile,2),0)),$CG196,$CH196,($A196-DateToday)+15,1,1))*(8*$HF196),8*$HF196),0)),0))</f>
        <v> </v>
      </c>
      <c r="AI196" s="318" t="str">
        <f aca="false">IF($A196="N/A"," ",IF(VLOOKUP(MONTH(A196),ManualTable,10)=1,(IF(Z196&lt;&gt;0,(8*($HF196)),0)),0))</f>
        <v> </v>
      </c>
      <c r="AJ196" s="319" t="str">
        <f aca="false">IF($A196="N/A"," ",RANK(R196,$R$196:$Z$207))</f>
        <v> </v>
      </c>
      <c r="AK196" s="320" t="str">
        <f aca="false">IF($A196="N/A"," ",RANK(S196,$R$196:$Z$207))</f>
        <v> </v>
      </c>
      <c r="AL196" s="320" t="str">
        <f aca="false">IF($A196="N/A"," ",RANK(T196,$R$196:$Z$207))</f>
        <v> </v>
      </c>
      <c r="AM196" s="320" t="str">
        <f aca="false">IF($A196="N/A"," ",RANK(U196,$R$196:$Z$207))</f>
        <v> </v>
      </c>
      <c r="AN196" s="320" t="str">
        <f aca="false">IF($A196="N/A"," ",RANK(V196,$R$196:$Z$207))</f>
        <v> </v>
      </c>
      <c r="AO196" s="320" t="str">
        <f aca="false">IF($A196="N/A"," ",RANK(W196,$R$196:$Z$207))</f>
        <v> </v>
      </c>
      <c r="AP196" s="320" t="str">
        <f aca="false">IF($A196="N/A"," ",RANK(X196,$R$196:$Z$207))</f>
        <v> </v>
      </c>
      <c r="AQ196" s="320" t="str">
        <f aca="false">IF($A196="N/A"," ",RANK(Y196,$R$196:$Z$207))</f>
        <v> </v>
      </c>
      <c r="AR196" s="322" t="str">
        <f aca="false">IF($A196="N/A"," ",RANK(Z196,$R$196:$Z$207))</f>
        <v> </v>
      </c>
      <c r="AS196" s="357" t="str">
        <f aca="false">IF($A196="N/A"," ",IF(AJ196&lt;=$AR$2,AA196,0))</f>
        <v> </v>
      </c>
      <c r="AT196" s="324" t="str">
        <f aca="false">IF($A196="N/A"," ",IF(AK196&lt;=$AR$2,AB196,0))</f>
        <v> </v>
      </c>
      <c r="AU196" s="325" t="str">
        <f aca="false">IF($A196="N/A"," ",IF(AL196&lt;=$AR$2,AC196,0))</f>
        <v> </v>
      </c>
      <c r="AV196" s="325" t="str">
        <f aca="false">IF($A196="N/A"," ",IF(AM196&lt;=$AR$2,AD196,0))</f>
        <v> </v>
      </c>
      <c r="AW196" s="325" t="str">
        <f aca="false">IF($A196="N/A"," ",IF(AN196&lt;=$AR$2,AE196,0))</f>
        <v> </v>
      </c>
      <c r="AX196" s="325" t="str">
        <f aca="false">IF($A196="N/A"," ",IF(AO196&lt;=$AR$2,AF196,0))</f>
        <v> </v>
      </c>
      <c r="AY196" s="324" t="str">
        <f aca="false">IF($A196="N/A"," ",IF(AP196&lt;=$AR$2,AG196,0))</f>
        <v> </v>
      </c>
      <c r="AZ196" s="324" t="str">
        <f aca="false">IF($A196="N/A"," ",IF(AQ196&lt;=$AR$2,AH196,0))</f>
        <v> </v>
      </c>
      <c r="BA196" s="324" t="str">
        <f aca="false">IF($A196="N/A"," ",IF(AR196&lt;=$AR$2,AI196,0))</f>
        <v> </v>
      </c>
      <c r="BB196" s="322"/>
      <c r="BC196" s="358" t="str">
        <f aca="false">IF($A196="N/A"," ",IF(AND(AJ196=$AR$2+1,AS196=0),MIN($BB$207,AA196),0))</f>
        <v> </v>
      </c>
      <c r="BD196" s="327" t="str">
        <f aca="false">IF($A196="N/A"," ",IF(AND(AK196=$AR$2+1,AT196=0),MIN($BB$207,AB196),0))</f>
        <v> </v>
      </c>
      <c r="BE196" s="327" t="str">
        <f aca="false">IF($A196="N/A"," ",IF(AND(AL196=$AR$2+1,AU196=0),MIN($BB$207,AC196),0))</f>
        <v> </v>
      </c>
      <c r="BF196" s="327" t="str">
        <f aca="false">IF($A196="N/A"," ",IF(AND(AM196=$AR$2+1,AV196=0),MIN($BB$207,AD196),0))</f>
        <v> </v>
      </c>
      <c r="BG196" s="327" t="str">
        <f aca="false">IF($A196="N/A"," ",IF(AND(AN196=$AR$2+1,AW196=0),MIN($BB$207,AE196),0))</f>
        <v> </v>
      </c>
      <c r="BH196" s="327" t="str">
        <f aca="false">IF($A196="N/A"," ",IF(AND(AO196=$AR$2+1,AX196=0),MIN($BB$207,AF196),0))</f>
        <v> </v>
      </c>
      <c r="BI196" s="327" t="str">
        <f aca="false">IF($A196="N/A"," ",IF(AND(AP196=$AR$2+1,AY196=0),MIN($BB$207,AG196),0))</f>
        <v> </v>
      </c>
      <c r="BJ196" s="327" t="str">
        <f aca="false">IF($A196="N/A"," ",IF(AND(AQ196=$AR$2+1,AZ196=0),MIN($BB$207,AH196),0))</f>
        <v> </v>
      </c>
      <c r="BK196" s="327" t="str">
        <f aca="false">IF($A196="N/A"," ",IF(AND(AR196=$AR$2+1,BA196=0),MIN($BB$207,AI196),0))</f>
        <v> </v>
      </c>
      <c r="BL196" s="322"/>
      <c r="BM196" s="329" t="str">
        <f aca="false">IF($A196="N/A"," ",(IF(MONTH(A196)&gt;=4,IF(MONTH(A196)&lt;=10,Inputs!$F$13-Inputs!$G$13,Inputs!$F$14-Inputs!$G$14),Inputs!$F$14-Inputs!$G$14))*$CK196*Availability)</f>
        <v> </v>
      </c>
      <c r="BN196" s="330" t="str">
        <f aca="false">IF($A196="N/A"," ",(IF(AS196&gt;0,($BM196*(8*($HD196))*R196),0)+IF(BC196&gt;0,($BM196*((BC196/AA196)*8*$HD196)*R196),0)))</f>
        <v> </v>
      </c>
      <c r="BO196" s="330" t="str">
        <f aca="false">IF($A196="N/A"," ",(IF(AT196&gt;0,($BM196*(8*($HD196))*S196),0)+IF(BD196&gt;0,($BM196*((BD196/AB196)*8*$HD196)*S196),0)))</f>
        <v> </v>
      </c>
      <c r="BP196" s="330" t="str">
        <f aca="false">IF($A196="N/A"," ",(IF(AU196&gt;0,($BM196*(8*($HD196))*T196),0)+IF(BE196&gt;0,($BM196*((BE196))*T196),0)))</f>
        <v> </v>
      </c>
      <c r="BQ196" s="330" t="str">
        <f aca="false">IF($A196="N/A"," ",(IF(AV196&gt;0,($BM196*(8*($HE196))*U196),0)+IF(BF196&gt;0,($BM196*((BF196/AD196)*8*$HE196)*U196),0)))</f>
        <v> </v>
      </c>
      <c r="BR196" s="330" t="str">
        <f aca="false">IF($A196="N/A"," ",(IF(AW196&gt;0,($BM196*(8*($HE196))*V196),0)+IF(BG196&gt;0,($BM196*((BG196/AE196)*8*$HE196)*V196),0)))</f>
        <v> </v>
      </c>
      <c r="BS196" s="330" t="str">
        <f aca="false">IF($A196="N/A"," ",(IF(AX196&gt;0,($BM196*(8*($HE196))*W196),0)+IF(BH196&gt;0,($BM196*((BH196))*W196),0)))</f>
        <v> </v>
      </c>
      <c r="BT196" s="330" t="str">
        <f aca="false">IF($A196="N/A"," ",(IF(AY196&gt;0,($BM196*(8*($HF196))*X196),0)+IF(BI196&gt;0,($BM196*((BI196/AG196)*8*$HF196)*X196),0)))</f>
        <v> </v>
      </c>
      <c r="BU196" s="330" t="str">
        <f aca="false">IF($A196="N/A"," ",(IF(AZ196&gt;0,($BM196*(8*($HF196))*Y196),0)+IF(BJ196&gt;0,($BM196*((BJ196/AH196)*8*$HF196)*Y196),0)))</f>
        <v> </v>
      </c>
      <c r="BV196" s="330" t="str">
        <f aca="false">IF($A196="N/A"," ",(IF(BA196&gt;0,($BM196*(8*($HF196))*Z196),0)+IF(BK196&gt;0,($BM196*((BK196))*Z196),0)))</f>
        <v> </v>
      </c>
      <c r="BW196" s="330" t="str">
        <f aca="false">IF($A196="N/A"," ",SUM(BN196:BV196))</f>
        <v> </v>
      </c>
      <c r="BX196" s="331" t="str">
        <f aca="false">IF($A196="N/A"," ",(H196*(SUM(AS196:BA196)+SUM(BC196:BK196))*BM196))</f>
        <v> </v>
      </c>
      <c r="BY196" s="332" t="str">
        <f aca="false">IF($A196="N/A"," ",((C196*D196)*(SUM($AS196:$BA196)+SUM($BC196:$BK196))*$BM196))</f>
        <v> </v>
      </c>
      <c r="BZ196" s="332" t="str">
        <f aca="false">IF($A196="N/A"," ",(F196*(SUM($AS196:$BA196)+SUM($BC196:$BK196))*$BM196))</f>
        <v> </v>
      </c>
      <c r="CA196" s="333" t="str">
        <f aca="false">IF($A196="N/A"," ",(G196*(SUM($AS196:$BA196)+SUM($BC196:$BK196))*$BM196))</f>
        <v> </v>
      </c>
      <c r="CB196" s="334" t="str">
        <f aca="false">IF(A196="N/A"," ",(VLOOKUP(A196,PowerVolTable,(IF(BMO=2,7,IF(BMO=1,6,8))),FALSE())))</f>
        <v> </v>
      </c>
      <c r="CC196" s="334" t="str">
        <f aca="false">IF(A196="N/A"," ",(VLOOKUP(A196,IntraPowerVol,(IF(BMO=2,3,IF(BMO=1,2,4))),FALSE())*VLOOKUP(MONTH($A196),Volscale,2)))</f>
        <v> </v>
      </c>
      <c r="CD196" s="335" t="str">
        <f aca="false">IF($A196="N/A"," ",(IF(DateToday&gt;$A196,$CC196,((($CB196^2)*((($A196-1)-DateToday)/((EOMONTH($A196,0)+1)-DateToday-15)))+((($CC196)^2)*((15)/((EOMONTH($A196,0)+1)-DateToday-15))))^0.5)))</f>
        <v> </v>
      </c>
      <c r="CE196" s="334" t="str">
        <f aca="false">IF($A196="N/A"," ",(VLOOKUP($A196,GasVolTable,(IF(BMO=2,6,IF(BMO=1,7,5))),FALSE())))</f>
        <v> </v>
      </c>
      <c r="CF196" s="334" t="str">
        <f aca="false">IF($A196="N/A"," ",(VLOOKUP($A196,OmicronVol,(IF(BMO=2,3,IF(BMO=1,4,2))),FALSE())))</f>
        <v> </v>
      </c>
      <c r="CG196" s="335" t="str">
        <f aca="false">IF($A196="N/A"," ",(IF(DateToday&gt;$A196,$CF196,((($CE196^2)*((($A196-1)-DateToday)/((EOMONTH($A196,0)+1)-DateToday-15)))+((($CF196)^2)*((15)/((EOMONTH($A196,0)+1)-DateToday-15))))^0.5)))</f>
        <v> </v>
      </c>
      <c r="CH196" s="334" t="str">
        <f aca="false">IF($A196="N/A"," ",VLOOKUP($A196,CorrelationTable,2,FALSE()))</f>
        <v> </v>
      </c>
      <c r="CI196" s="336" t="str">
        <f aca="false">IF($A196="N/A"," ",F196+G196+(D196*('Pricing Inputs'!T229)))</f>
        <v> </v>
      </c>
      <c r="CJ196" s="334" t="str">
        <f aca="false">IF($A196="N/A"," ",IF(PV=1,0,'Pricing Inputs'!U229))</f>
        <v> </v>
      </c>
      <c r="CK196" s="337" t="str">
        <f aca="false">IF($A196="N/A"," ",(1+CJ196/2)^(-2*((EOMONTH(A196,0)+20)-DateToday)/365.25))</f>
        <v> </v>
      </c>
      <c r="CL196" s="338" t="str">
        <f aca="false">IF(A196="N/A"," ",IF(CC=2,(VLOOKUP(MONTH($A196),Hrtable,3))/1000,0))</f>
        <v> </v>
      </c>
      <c r="CM196" s="339" t="str">
        <f aca="false">IF(A196="N/A"," ",IF(CC=2,(CL196*C196)+F196,0))</f>
        <v> </v>
      </c>
      <c r="CN196" s="340" t="str">
        <f aca="false">IF($A196="N/A"," ",IF(CC=2,(VLOOKUP(A196,ScaledPrice,(IF(AND(Dayrun&gt;=1,Dayrun&lt;=6),2,4)))-((IF(R196&lt;&gt;0,$D196,$CL196)*$C196)+$F196+$G196)),0))</f>
        <v> </v>
      </c>
      <c r="CO196" s="340" t="str">
        <f aca="false">IF($A196="N/A"," ",IF(CC=2,(IF(AND(Dayrun&gt;=1,Dayrun&lt;=6),I196,(VLOOKUP(A196,ScaledPrice,2))*(2-(VLOOKUP(A196,ScaledPrice,3))))-((IF(S196&lt;&gt;0,$D196,$CL196)*$C196)+$F196+$G196)),0))</f>
        <v> </v>
      </c>
      <c r="CP196" s="340" t="str">
        <f aca="false">IF(A196="N/A"," ",IF(CC=2,(VLOOKUP(A196,ScaledPrice,9)-((IF(T196&lt;&gt;0,$D196,$CL196)*$C196)+$F196+$G196)),0))</f>
        <v> </v>
      </c>
      <c r="CQ196" s="340" t="str">
        <f aca="false">IF(A196="N/A"," ",IF(CC=2,(IF(OR(Dayrun=2,Dayrun=3,Dayrun=5,Dayrun=6,Dayrun=8,Dayrun=9),VLOOKUP(A196,ScaledPrice,IF(AND(Dayrun&gt;=2,Dayrun&lt;=6),5,6)),0)-((IF(U196&lt;&gt;0,$D196,$CL196)*$C196)+$F196+$G196)),0))</f>
        <v> </v>
      </c>
      <c r="CR196" s="340" t="str">
        <f aca="false">IF(A196="N/A"," ",IF(CC=2,(IF(OR(Dayrun=2,Dayrun=3,Dayrun=5,Dayrun=6,Dayrun=8,Dayrun=9),IF(AND(Dayrun&gt;=2,Dayrun&lt;=6),L196,(VLOOKUP(A196,ScaledPrice,5))*(2-(VLOOKUP(A196,ScaledPrice,3)))),0)-((IF(V196&lt;&gt;0,$D196,$CL196)*$C196)+$F196+$G196)),0))</f>
        <v> </v>
      </c>
      <c r="CS196" s="340" t="str">
        <f aca="false">IF(A196="N/A"," ",IF(CC=2,(VLOOKUP(A196,ScaledPrice,9)-((IF(W196&lt;&gt;0,$D196,$CL196)*$C196)+$F196+$G196)),0))</f>
        <v> </v>
      </c>
      <c r="CT196" s="340" t="str">
        <f aca="false">IF(A196="N/A"," ",IF(CC=2,(IF(OR(Dayrun=3,Dayrun=6,Dayrun=9),(VLOOKUP(A196,ScaledPrice,IF(AND(Dayrun&gt;=3,Dayrun&lt;=6),7,8))),0)-((IF(X196&lt;&gt;0,$D196,$CL196)*$C196)+$F196+$G196)),0))</f>
        <v> </v>
      </c>
      <c r="CU196" s="340" t="str">
        <f aca="false">IF(A196="N/A"," ",IF(CC=2,(IF(OR(Dayrun=3,Dayrun=6,Dayrun=9),IF(AND(Dayrun&gt;=3,Dayrun&lt;=6),O196,(VLOOKUP(A196,ScaledPrice,7))*(2-(VLOOKUP(A196,ScaledPrice,3)))),0)-((IF(Y196&lt;&gt;0,$D196,$CL196)*$C196)+$F196+$G196)),0))</f>
        <v> </v>
      </c>
      <c r="CV196" s="340" t="str">
        <f aca="false">IF(A196="N/A"," ",IF(CC=2,(VLOOKUP(A196,ScaledPrice,9)-((IF(Z196&lt;&gt;0,$D196,$CL196)*$C196)+$F196+$G196)),0))</f>
        <v> </v>
      </c>
      <c r="CW196" s="318" t="str">
        <f aca="false">IF($A196="N/A"," ",IF(0&lt;&gt;CN196,IF(CC=2,8*$HD196,0),0))</f>
        <v> </v>
      </c>
      <c r="CX196" s="318" t="str">
        <f aca="false">IF($A196="N/A"," ",IF(0&lt;&gt;CO196,IF(CC=2,8*$HD196,0),0))</f>
        <v> </v>
      </c>
      <c r="CY196" s="318" t="str">
        <f aca="false">IF($A196="N/A"," ",IF(0&lt;&gt;CP196,IF(CC=2,8*$HD196,0),0))</f>
        <v> </v>
      </c>
      <c r="CZ196" s="318" t="str">
        <f aca="false">IF($A196="N/A"," ",IF(0&lt;&gt;CQ196,IF(CC=2,8*$HE196,0),0))</f>
        <v> </v>
      </c>
      <c r="DA196" s="318" t="str">
        <f aca="false">IF($A196="N/A"," ",IF(0&lt;&gt;CR196,IF(CC=2,8*$HE196,0),0))</f>
        <v> </v>
      </c>
      <c r="DB196" s="318" t="str">
        <f aca="false">IF($A196="N/A"," ",IF(0&lt;&gt;CS196,IF(CC=2,8*$HE196,0),0))</f>
        <v> </v>
      </c>
      <c r="DC196" s="318" t="str">
        <f aca="false">IF($A196="N/A"," ",IF(0&lt;&gt;CT196,IF(CC=2,8*$HF196,0),0))</f>
        <v> </v>
      </c>
      <c r="DD196" s="318" t="str">
        <f aca="false">IF($A196="N/A"," ",IF(0&lt;&gt;CU196,IF(CC=2,8*$HF196,0),0))</f>
        <v> </v>
      </c>
      <c r="DE196" s="318" t="str">
        <f aca="false">IF($A196="N/A"," ",IF(0&lt;&gt;CV196,IF(CC=2,8*$HF196,0),0))</f>
        <v> </v>
      </c>
      <c r="DF196" s="341" t="str">
        <f aca="false">IF($A196="N/A"," ",IF(CC=2,(IF(MONTH(A196)&gt;=4,IF(MONTH(A196)&lt;=10,Inputs!$G$13,Inputs!$G$14),Inputs!$G$14))*$CK196,0))</f>
        <v> </v>
      </c>
      <c r="DG196" s="342" t="str">
        <f aca="false">IF($A196="N/A"," ",IF(CC=2,$DF196*CW196*CN196,0))</f>
        <v> </v>
      </c>
      <c r="DH196" s="342" t="str">
        <f aca="false">IF($A196="N/A"," ",IF(CC=2,$DF196*CX196*CO196,0))</f>
        <v> </v>
      </c>
      <c r="DI196" s="342" t="str">
        <f aca="false">IF($A196="N/A"," ",IF(CC=2,$DF196*CY196*CP196,0))</f>
        <v> </v>
      </c>
      <c r="DJ196" s="342" t="str">
        <f aca="false">IF($A196="N/A"," ",IF(CC=2,$DF196*CZ196*CQ196,0))</f>
        <v> </v>
      </c>
      <c r="DK196" s="342" t="str">
        <f aca="false">IF($A196="N/A"," ",IF(CC=2,$DF196*DA196*CR196,0))</f>
        <v> </v>
      </c>
      <c r="DL196" s="342" t="str">
        <f aca="false">IF($A196="N/A"," ",IF(CC=2,$DF196*DB196*CS196,0))</f>
        <v> </v>
      </c>
      <c r="DM196" s="342" t="str">
        <f aca="false">IF($A196="N/A"," ",IF(CC=2,$DF196*DC196*CT196,0))</f>
        <v> </v>
      </c>
      <c r="DN196" s="342" t="str">
        <f aca="false">IF($A196="N/A"," ",IF(CC=2,$DF196*DD196*CU196,0))</f>
        <v> </v>
      </c>
      <c r="DO196" s="342" t="str">
        <f aca="false">IF($A196="N/A"," ",IF(CC=2,$DF196*DE196*CV196,0))</f>
        <v> </v>
      </c>
      <c r="DP196" s="343" t="str">
        <f aca="false">IF($A196="N/A"," ",IF(CC=2,SUM(DG196:DO196),0))</f>
        <v> </v>
      </c>
      <c r="DQ196" s="0" t="str">
        <f aca="false">IF(A196="N/A"," ",Perstart)</f>
        <v> </v>
      </c>
      <c r="HD196" s="0" t="str">
        <f aca="false">IF($A196="N/A"," ",VLOOKUP($A196,NumberofDaysTable,2))</f>
        <v> </v>
      </c>
      <c r="HE196" s="0" t="str">
        <f aca="false">IF($A196="N/A"," ",VLOOKUP($A196,NumberofDaysTable,3))</f>
        <v> </v>
      </c>
      <c r="HF196" s="0" t="str">
        <f aca="false">IF($A196="N/A"," ",VLOOKUP($A196,NumberofDaysTable,4))</f>
        <v> </v>
      </c>
    </row>
    <row r="197" customFormat="false" ht="12.75" hidden="false" customHeight="false" outlineLevel="0" collapsed="false">
      <c r="A197" s="308" t="str">
        <f aca="false">IF(A196="N/A","N/A",IF(EDATE(A196,1)&gt;Inputs!$K$3,"N/A",EDATE(A196,1)))</f>
        <v>N/A</v>
      </c>
      <c r="B197" s="309" t="str">
        <f aca="false">IF(A197="N/A"," ",YEAR(A197))</f>
        <v> </v>
      </c>
      <c r="C197" s="310" t="str">
        <f aca="false">IF(A197="N/A"," ",VLOOKUP(A197,ScaledPrice,10))</f>
        <v> </v>
      </c>
      <c r="D197" s="311" t="str">
        <f aca="false">IF(A197="N/A"," ",(VLOOKUP(MONTH($A197),Hrtable,2))/1000)</f>
        <v> </v>
      </c>
      <c r="E197" s="312" t="str">
        <f aca="false">IF($A197="N/A"," ",(C197-'Pricing Inputs'!T230)*D197)</f>
        <v> </v>
      </c>
      <c r="F197" s="313" t="str">
        <f aca="false">IF(A197="N/A"," ",$F185*(1+VOMesc))</f>
        <v> </v>
      </c>
      <c r="G197" s="313" t="str">
        <f aca="false">IF(A197="N/A"," ",Perstart/IF(AND(Dayrun&gt;=4,Dayrun&lt;=6),16,IF(AND(Dayrun&gt;=7,Dayrun&lt;=9),8,24))/(BM197/CK197))</f>
        <v> </v>
      </c>
      <c r="H197" s="314" t="str">
        <f aca="false">IF(A197="N/A"," ",(C197*D197)+F197+G197)</f>
        <v> </v>
      </c>
      <c r="I197" s="315" t="str">
        <f aca="false">VLOOKUP(A197,ScaledPrice,(IF(AND(Dayrun&gt;=1,Dayrun&lt;=6),2,4)))</f>
        <v> </v>
      </c>
      <c r="J197" s="315" t="str">
        <f aca="false">IF(A197="N/A"," ",IF(AND(Dayrun&gt;=1,Dayrun&lt;=6),I197,(VLOOKUP(A197,ScaledPrice,2))*(2-(VLOOKUP(A197,ScaledPrice,3)))))</f>
        <v> </v>
      </c>
      <c r="K197" s="315" t="str">
        <f aca="false">IF(A197="N/A"," ",IF(AND(Dayrun&gt;=1,Dayrun&lt;=3),VLOOKUP(A197,ScaledPrice,9),0))</f>
        <v> </v>
      </c>
      <c r="L197" s="315" t="str">
        <f aca="false">IF(A197="N/A"," ",IF(OR(Dayrun=2,Dayrun=3,Dayrun=5,Dayrun=6,Dayrun=8,Dayrun=9),VLOOKUP(A197,ScaledPrice,IF(AND(Dayrun&gt;=2,Dayrun&lt;=6),5,6)),0))</f>
        <v> </v>
      </c>
      <c r="M197" s="315" t="str">
        <f aca="false">IF(A197="N/A"," ",IF(OR(Dayrun=2,Dayrun=3,Dayrun=5,Dayrun=6,Dayrun=8,Dayrun=9),IF(AND(Dayrun&gt;=2,Dayrun&lt;=6),L197,(VLOOKUP(A197,ScaledPrice,5))*(2-(VLOOKUP(A197,ScaledPrice,3)))),0))</f>
        <v> </v>
      </c>
      <c r="N197" s="315" t="str">
        <f aca="false">IF(A197="N/A"," ",IF(AND(Dayrun&gt;1,Dayrun&lt;=3),VLOOKUP(A197,ScaledPrice,9),0))</f>
        <v> </v>
      </c>
      <c r="O197" s="315" t="str">
        <f aca="false">IF(A197="N/A"," ",IF(OR(Dayrun=3,Dayrun=6,Dayrun=9),(VLOOKUP(A197,ScaledPrice,IF(AND(Dayrun&gt;=3,Dayrun&lt;=6),7,8))),0))</f>
        <v> </v>
      </c>
      <c r="P197" s="315" t="str">
        <f aca="false">IF(A197="N/A"," ",IF(OR(Dayrun=3,Dayrun=6,Dayrun=9),IF(AND(Dayrun&gt;=3,Dayrun&lt;=6),O197,(VLOOKUP(A197,ScaledPrice,7))*(2-(VLOOKUP(A197,ScaledPrice,3)))),0))</f>
        <v> </v>
      </c>
      <c r="Q197" s="315" t="str">
        <f aca="false">IF(A197="N/A"," ",IF(AND(Dayrun&gt;2,Dayrun&lt;=3),VLOOKUP(A197,ScaledPrice,9),0))</f>
        <v> </v>
      </c>
      <c r="R197" s="316" t="str">
        <f aca="false">IF($A197="N/A"," ",IF(Pricetype=2,MAX(I197-$H197,0),IF(Pricetype=1,(xSPRDOPT(I197,$E197,$CI197,0,($CD197+IF(Smile=TRUE(),VLOOKUP(MAX(-5,$H197-I197),Volsmile,2),0)),$CG197,$CH197,($A197-DateToday)+15,1,0)),I197-$H197)))</f>
        <v> </v>
      </c>
      <c r="S197" s="316" t="str">
        <f aca="false">IF($A197="N/A"," ",IF(Pricetype=2,MAX(J197-$H197,0),IF(Pricetype=1,(xSPRDOPT(J197,$E197,$CI197,0,($CD197+IF(Smile=TRUE(),VLOOKUP(MAX(-5,$H197-J197),Volsmile,2),0)),$CG197,$CH197,($A197-DateToday)+15,1,0)),J197-$H197)))</f>
        <v> </v>
      </c>
      <c r="T197" s="317" t="str">
        <f aca="false">IF($A197="N/A"," ",(IF(Pricetype=2,IF((K197-$H197)&lt;=0,0,(K197-$H197)),IF(K197&lt;&gt;0,(K197-$H197),0))))</f>
        <v> </v>
      </c>
      <c r="U197" s="316" t="str">
        <f aca="false">IF($A197="N/A"," ",IF(Pricetype=2,MAX(L197-$H197,0),IF(L197&lt;&gt;0,IF(Pricetype=1,(xSPRDOPT(L197,$E197,$CI197,0,($CD197+IF(Smile=TRUE(),VLOOKUP(MAX(-5,$H197-L197),Volsmile,2),0)),$CG197,$CH197,($A197-DateToday)+15,1,0)),L197-$H197),0)))</f>
        <v> </v>
      </c>
      <c r="V197" s="316" t="str">
        <f aca="false">IF($A197="N/A"," ",IF(Pricetype=2,MAX(M197-$H197,0),IF(M197&lt;&gt;0,IF(Pricetype=1,(xSPRDOPT(M197,$E197,$CI197,0,($CD197+IF(Smile=TRUE(),VLOOKUP(MAX(-5,$H197-M197),Volsmile,2),0)),$CG197,$CH197,($A197-DateToday)+15,1,0)),M197-$H197),0)))</f>
        <v> </v>
      </c>
      <c r="W197" s="317" t="str">
        <f aca="false">IF($A197="N/A"," ",(IF(Pricetype=2,IF((N197-$H197)&lt;=0,0,(N197-$H197)),IF(N197&lt;&gt;0,(N197-$H197),0))))</f>
        <v> </v>
      </c>
      <c r="X197" s="316" t="str">
        <f aca="false">IF($A197="N/A"," ",IF(Pricetype=2,MAX(O197-$H197,0),IF(O197&lt;&gt;0,IF(Pricetype=1,(xSPRDOPT(O197,$E197,$CI197,0,($CD197+IF(Smile=TRUE(),VLOOKUP(MAX(-5,$H197-O197),Volsmile,2),0)),$CG197,$CH197,($A197-DateToday)+15,1,0)),O197-$H197),0)))</f>
        <v> </v>
      </c>
      <c r="Y197" s="316" t="str">
        <f aca="false">IF($A197="N/A"," ",IF(Pricetype=2,MAX(P197-$H197,0),IF(P197&lt;&gt;0,IF(Pricetype=1,(xSPRDOPT(P197,$E197,$CI197,0,($CD197+IF(Smile=TRUE(),VLOOKUP(MAX(-5,$H197-P197),Volsmile,2),0)),$CG197,$CH197,($A197-DateToday)+15,1,0)),P197-$H197),0)))</f>
        <v> </v>
      </c>
      <c r="Z197" s="317" t="str">
        <f aca="false">IF($A197="N/A"," ",(IF(Pricetype=2,IF((Q197-$H197)&lt;=0,0,(Q197-$H197)),IF(Q197&lt;&gt;0,(Q197-$H197),0))))</f>
        <v> </v>
      </c>
      <c r="AA197" s="318" t="str">
        <f aca="false">IF($A197="N/A"," ",IF(VLOOKUP(MONTH(A197),ManualTable,2)=1,(IF(0&lt;&gt;R197,IF(Pricetype=1,(xSPRDOPT(I197,$E197,$CI197,0,($CD197+IF(Smile=TRUE(),VLOOKUP(MAX(-5,$H197-I197),Volsmile,2),0)),$CG197,$CH197,($A197-DateToday)+15,1,1))*(8*$HD197),8*$HD197),0)),0))</f>
        <v> </v>
      </c>
      <c r="AB197" s="318" t="str">
        <f aca="false">IF($A197="N/A"," ",IF(VLOOKUP(MONTH(A197),ManualTable,3)=1,(IF(S197&lt;&gt;0,IF(Pricetype=1,(xSPRDOPT(J197,$E197,$CI197,0,($CD197+IF(Smile=TRUE(),VLOOKUP(MAX(-5,$H197-J197),Volsmile,2),0)),$CG197,$CH197,($A197-DateToday)+15,1,1))*(8*$HD197),8*$HD197),0)),0))</f>
        <v> </v>
      </c>
      <c r="AC197" s="318" t="str">
        <f aca="false">IF($A197="N/A"," ",IF(VLOOKUP(MONTH(A197),ManualTable,4)=1,(IF(T197&lt;&gt;0,(8*$HD197),0)),0))</f>
        <v> </v>
      </c>
      <c r="AD197" s="318" t="str">
        <f aca="false">IF($A197="N/A"," ",IF(VLOOKUP(MONTH(A197),ManualTable,5)=1,(IF(U197&lt;&gt;0,IF(Pricetype=1,(xSPRDOPT(L197,$E197,$CI197,0,($CD197+IF(Smile=TRUE(),VLOOKUP(MAX(-5,$H197-L197),Volsmile,2),0)),$CG197,$CH197,($A197-DateToday)+15,1,1))*(8*$HE197),8*$HE197),0)),0))</f>
        <v> </v>
      </c>
      <c r="AE197" s="318" t="str">
        <f aca="false">IF($A197="N/A"," ",IF(VLOOKUP(MONTH(A197),ManualTable,6)=1,(IF(V197&lt;&gt;0,IF(Pricetype=1,(xSPRDOPT(M197,$E197,$CI197,0,($CD197+IF(Smile=TRUE(),VLOOKUP(MAX(-5,$H197-M197),Volsmile,2),0)),$CG197,$CH197,($A197-DateToday)+15,1,1))*(8*$HE197),8*$HE197),0)),0))</f>
        <v> </v>
      </c>
      <c r="AF197" s="318" t="str">
        <f aca="false">IF($A197="N/A"," ",IF(VLOOKUP(MONTH(A197),ManualTable,7)=1,(IF(W197&lt;&gt;0,(8*$HE197),0)),0))</f>
        <v> </v>
      </c>
      <c r="AG197" s="318" t="str">
        <f aca="false">IF($A197="N/A"," ",IF(VLOOKUP(MONTH(A197),ManualTable,8)=1,(IF(X197&lt;&gt;0,IF(Pricetype=1,(xSPRDOPT(O197,$E197,$CI197,0,($CD197+IF(Smile=TRUE(),VLOOKUP(MAX(-5,$H197-O197),Volsmile,2),0)),$CG197,$CH197,($A197-DateToday)+15,1,1))*(8*$HF197),8*$HF197),0)),0))</f>
        <v> </v>
      </c>
      <c r="AH197" s="318" t="str">
        <f aca="false">IF($A197="N/A"," ",IF(VLOOKUP(MONTH(A197),ManualTable,9)=1,(IF(Y197&lt;&gt;0,IF(Pricetype=1,(xSPRDOPT(P197,$E197,$CI197,0,($CD197+IF(Smile=TRUE(),VLOOKUP(MAX(-5,$H197-P197),Volsmile,2),0)),$CG197,$CH197,($A197-DateToday)+15,1,1))*(8*$HF197),8*$HF197),0)),0))</f>
        <v> </v>
      </c>
      <c r="AI197" s="318" t="str">
        <f aca="false">IF($A197="N/A"," ",IF(VLOOKUP(MONTH(A197),ManualTable,10)=1,(IF(Z197&lt;&gt;0,(8*($HF197)),0)),0))</f>
        <v> </v>
      </c>
      <c r="AJ197" s="344" t="str">
        <f aca="false">IF($A197="N/A"," ",RANK(R197,$R$196:$Z$207))</f>
        <v> </v>
      </c>
      <c r="AK197" s="321" t="str">
        <f aca="false">IF($A197="N/A"," ",RANK(S197,$R$196:$Z$207))</f>
        <v> </v>
      </c>
      <c r="AL197" s="321" t="str">
        <f aca="false">IF($A197="N/A"," ",RANK(T197,$R$196:$Z$207))</f>
        <v> </v>
      </c>
      <c r="AM197" s="321" t="str">
        <f aca="false">IF($A197="N/A"," ",RANK(U197,$R$196:$Z$207))</f>
        <v> </v>
      </c>
      <c r="AN197" s="321" t="str">
        <f aca="false">IF($A197="N/A"," ",RANK(V197,$R$196:$Z$207))</f>
        <v> </v>
      </c>
      <c r="AO197" s="321" t="str">
        <f aca="false">IF($A197="N/A"," ",RANK(W197,$R$196:$Z$207))</f>
        <v> </v>
      </c>
      <c r="AP197" s="321" t="str">
        <f aca="false">IF($A197="N/A"," ",RANK(X197,$R$196:$Z$207))</f>
        <v> </v>
      </c>
      <c r="AQ197" s="321" t="str">
        <f aca="false">IF($A197="N/A"," ",RANK(Y197,$R$196:$Z$207))</f>
        <v> </v>
      </c>
      <c r="AR197" s="345" t="str">
        <f aca="false">IF($A197="N/A"," ",RANK(Z197,$R$196:$Z$207))</f>
        <v> </v>
      </c>
      <c r="AS197" s="323" t="str">
        <f aca="false">IF($A197="N/A"," ",IF(AJ197&lt;=$AR$2,AA197,0))</f>
        <v> </v>
      </c>
      <c r="AT197" s="325" t="str">
        <f aca="false">IF($A197="N/A"," ",IF(AK197&lt;=$AR$2,AB197,0))</f>
        <v> </v>
      </c>
      <c r="AU197" s="325" t="str">
        <f aca="false">IF($A197="N/A"," ",IF(AL197&lt;=$AR$2,AC197,0))</f>
        <v> </v>
      </c>
      <c r="AV197" s="325" t="str">
        <f aca="false">IF($A197="N/A"," ",IF(AM197&lt;=$AR$2,AD197,0))</f>
        <v> </v>
      </c>
      <c r="AW197" s="325" t="str">
        <f aca="false">IF($A197="N/A"," ",IF(AN197&lt;=$AR$2,AE197,0))</f>
        <v> </v>
      </c>
      <c r="AX197" s="325" t="str">
        <f aca="false">IF($A197="N/A"," ",IF(AO197&lt;=$AR$2,AF197,0))</f>
        <v> </v>
      </c>
      <c r="AY197" s="325" t="str">
        <f aca="false">IF($A197="N/A"," ",IF(AP197&lt;=$AR$2,AG197,0))</f>
        <v> </v>
      </c>
      <c r="AZ197" s="325" t="str">
        <f aca="false">IF($A197="N/A"," ",IF(AQ197&lt;=$AR$2,AH197,0))</f>
        <v> </v>
      </c>
      <c r="BA197" s="325" t="str">
        <f aca="false">IF($A197="N/A"," ",IF(AR197&lt;=$AR$2,AI197,0))</f>
        <v> </v>
      </c>
      <c r="BB197" s="345"/>
      <c r="BC197" s="326" t="str">
        <f aca="false">IF($A197="N/A"," ",IF(AND(AJ197=$AR$2+1,AS197=0),MIN($BB$207,AA197),0))</f>
        <v> </v>
      </c>
      <c r="BD197" s="346" t="str">
        <f aca="false">IF($A197="N/A"," ",IF(AND(AK197=$AR$2+1,AT197=0),MIN($BB$207,AB197),0))</f>
        <v> </v>
      </c>
      <c r="BE197" s="346" t="str">
        <f aca="false">IF($A197="N/A"," ",IF(AND(AL197=$AR$2+1,AU197=0),MIN($BB$207,AC197),0))</f>
        <v> </v>
      </c>
      <c r="BF197" s="346" t="str">
        <f aca="false">IF($A197="N/A"," ",IF(AND(AM197=$AR$2+1,AV197=0),MIN($BB$207,AD197),0))</f>
        <v> </v>
      </c>
      <c r="BG197" s="346" t="str">
        <f aca="false">IF($A197="N/A"," ",IF(AND(AN197=$AR$2+1,AW197=0),MIN($BB$207,AE197),0))</f>
        <v> </v>
      </c>
      <c r="BH197" s="346" t="str">
        <f aca="false">IF($A197="N/A"," ",IF(AND(AO197=$AR$2+1,AX197=0),MIN($BB$207,AF197),0))</f>
        <v> </v>
      </c>
      <c r="BI197" s="346" t="str">
        <f aca="false">IF($A197="N/A"," ",IF(AND(AP197=$AR$2+1,AY197=0),MIN($BB$207,AG197),0))</f>
        <v> </v>
      </c>
      <c r="BJ197" s="346" t="str">
        <f aca="false">IF($A197="N/A"," ",IF(AND(AQ197=$AR$2+1,AZ197=0),MIN($BB$207,AH197),0))</f>
        <v> </v>
      </c>
      <c r="BK197" s="346" t="str">
        <f aca="false">IF($A197="N/A"," ",IF(AND(AR197=$AR$2+1,BA197=0),MIN($BB$207,AI197),0))</f>
        <v> </v>
      </c>
      <c r="BL197" s="345"/>
      <c r="BM197" s="329" t="str">
        <f aca="false">IF($A197="N/A"," ",(IF(MONTH(A197)&gt;=4,IF(MONTH(A197)&lt;=10,Inputs!$F$13-Inputs!$G$13,Inputs!$F$14-Inputs!$G$14),Inputs!$F$14-Inputs!$G$14))*$CK197*Availability)</f>
        <v> </v>
      </c>
      <c r="BN197" s="330" t="str">
        <f aca="false">IF($A197="N/A"," ",(IF(AS197&gt;0,($BM197*(8*($HD197))*R197),0)+IF(BC197&gt;0,($BM197*((BC197/AA197)*8*$HD197)*R197),0)))</f>
        <v> </v>
      </c>
      <c r="BO197" s="330" t="str">
        <f aca="false">IF($A197="N/A"," ",(IF(AT197&gt;0,($BM197*(8*($HD197))*S197),0)+IF(BD197&gt;0,($BM197*((BD197/AB197)*8*$HD197)*S197),0)))</f>
        <v> </v>
      </c>
      <c r="BP197" s="330" t="str">
        <f aca="false">IF($A197="N/A"," ",(IF(AU197&gt;0,($BM197*(8*($HD197))*T197),0)+IF(BE197&gt;0,($BM197*((BE197))*T197),0)))</f>
        <v> </v>
      </c>
      <c r="BQ197" s="330" t="str">
        <f aca="false">IF($A197="N/A"," ",(IF(AV197&gt;0,($BM197*(8*($HE197))*U197),0)+IF(BF197&gt;0,($BM197*((BF197/AD197)*8*$HE197)*U197),0)))</f>
        <v> </v>
      </c>
      <c r="BR197" s="330" t="str">
        <f aca="false">IF($A197="N/A"," ",(IF(AW197&gt;0,($BM197*(8*($HE197))*V197),0)+IF(BG197&gt;0,($BM197*((BG197/AE197)*8*$HE197)*V197),0)))</f>
        <v> </v>
      </c>
      <c r="BS197" s="330" t="str">
        <f aca="false">IF($A197="N/A"," ",(IF(AX197&gt;0,($BM197*(8*($HE197))*W197),0)+IF(BH197&gt;0,($BM197*((BH197))*W197),0)))</f>
        <v> </v>
      </c>
      <c r="BT197" s="330" t="str">
        <f aca="false">IF($A197="N/A"," ",(IF(AY197&gt;0,($BM197*(8*($HF197))*X197),0)+IF(BI197&gt;0,($BM197*((BI197/AG197)*8*$HF197)*X197),0)))</f>
        <v> </v>
      </c>
      <c r="BU197" s="330" t="str">
        <f aca="false">IF($A197="N/A"," ",(IF(AZ197&gt;0,($BM197*(8*($HF197))*Y197),0)+IF(BJ197&gt;0,($BM197*((BJ197/AH197)*8*$HF197)*Y197),0)))</f>
        <v> </v>
      </c>
      <c r="BV197" s="330" t="str">
        <f aca="false">IF($A197="N/A"," ",(IF(BA197&gt;0,($BM197*(8*($HF197))*Z197),0)+IF(BK197&gt;0,($BM197*((BK197))*Z197),0)))</f>
        <v> </v>
      </c>
      <c r="BW197" s="330" t="str">
        <f aca="false">IF($A197="N/A"," ",SUM(BN197:BV197))</f>
        <v> </v>
      </c>
      <c r="BX197" s="331" t="str">
        <f aca="false">IF($A197="N/A"," ",(H197*(SUM(AS197:BA197)+SUM(BC197:BK197))*BM197))</f>
        <v> </v>
      </c>
      <c r="BY197" s="332" t="str">
        <f aca="false">IF($A197="N/A"," ",((C197*D197)*(SUM($AS197:$BA197)+SUM($BC197:$BK197))*$BM197))</f>
        <v> </v>
      </c>
      <c r="BZ197" s="332" t="str">
        <f aca="false">IF($A197="N/A"," ",(F197*(SUM($AS197:$BA197)+SUM($BC197:$BK197))*$BM197))</f>
        <v> </v>
      </c>
      <c r="CA197" s="333" t="str">
        <f aca="false">IF($A197="N/A"," ",(G197*(SUM($AS197:$BA197)+SUM($BC197:$BK197))*$BM197))</f>
        <v> </v>
      </c>
      <c r="CB197" s="334" t="str">
        <f aca="false">IF(A197="N/A"," ",(VLOOKUP(A197,PowerVolTable,(IF(BMO=2,7,IF(BMO=1,6,8))),FALSE())))</f>
        <v> </v>
      </c>
      <c r="CC197" s="334" t="str">
        <f aca="false">IF(A197="N/A"," ",(VLOOKUP(A197,IntraPowerVol,(IF(BMO=2,3,IF(BMO=1,2,4))),FALSE())*VLOOKUP(MONTH($A197),Volscale,2)))</f>
        <v> </v>
      </c>
      <c r="CD197" s="335" t="str">
        <f aca="false">IF($A197="N/A"," ",(IF(DateToday&gt;$A197,$CC197,((($CB197^2)*((($A197-1)-DateToday)/((EOMONTH($A197,0)+1)-DateToday-15)))+((($CC197)^2)*((15)/((EOMONTH($A197,0)+1)-DateToday-15))))^0.5)))</f>
        <v> </v>
      </c>
      <c r="CE197" s="334" t="str">
        <f aca="false">IF($A197="N/A"," ",(VLOOKUP($A197,GasVolTable,(IF(BMO=2,6,IF(BMO=1,7,5))),FALSE())))</f>
        <v> </v>
      </c>
      <c r="CF197" s="334" t="str">
        <f aca="false">IF($A197="N/A"," ",(VLOOKUP($A197,OmicronVol,(IF(BMO=2,3,IF(BMO=1,4,2))),FALSE())))</f>
        <v> </v>
      </c>
      <c r="CG197" s="335" t="str">
        <f aca="false">IF($A197="N/A"," ",(IF(DateToday&gt;$A197,$CF197,((($CE197^2)*((($A197-1)-DateToday)/((EOMONTH($A197,0)+1)-DateToday-15)))+((($CF197)^2)*((15)/((EOMONTH($A197,0)+1)-DateToday-15))))^0.5)))</f>
        <v> </v>
      </c>
      <c r="CH197" s="334" t="str">
        <f aca="false">IF($A197="N/A"," ",VLOOKUP($A197,CorrelationTable,2,FALSE()))</f>
        <v> </v>
      </c>
      <c r="CI197" s="336" t="str">
        <f aca="false">IF($A197="N/A"," ",F197+G197+(D197*('Pricing Inputs'!T230)))</f>
        <v> </v>
      </c>
      <c r="CJ197" s="334" t="str">
        <f aca="false">IF($A197="N/A"," ",IF(PV=1,0,'Pricing Inputs'!U230))</f>
        <v> </v>
      </c>
      <c r="CK197" s="337" t="str">
        <f aca="false">IF($A197="N/A"," ",(1+CJ197/2)^(-2*((EOMONTH(A197,0)+20)-DateToday)/365.25))</f>
        <v> </v>
      </c>
      <c r="CL197" s="338" t="str">
        <f aca="false">IF(A197="N/A"," ",IF(CC=2,(VLOOKUP(MONTH($A197),Hrtable,3))/1000,0))</f>
        <v> </v>
      </c>
      <c r="CM197" s="339" t="str">
        <f aca="false">IF(A197="N/A"," ",IF(CC=2,(CL197*C197)+F197,0))</f>
        <v> </v>
      </c>
      <c r="CN197" s="340" t="str">
        <f aca="false">IF($A197="N/A"," ",IF(CC=2,(VLOOKUP(A197,ScaledPrice,(IF(AND(Dayrun&gt;=1,Dayrun&lt;=6),2,4)))-((IF(R197&lt;&gt;0,$D197,$CL197)*$C197)+$F197+$G197)),0))</f>
        <v> </v>
      </c>
      <c r="CO197" s="340" t="str">
        <f aca="false">IF($A197="N/A"," ",IF(CC=2,(IF(AND(Dayrun&gt;=1,Dayrun&lt;=6),I197,(VLOOKUP(A197,ScaledPrice,2))*(2-(VLOOKUP(A197,ScaledPrice,3))))-((IF(S197&lt;&gt;0,$D197,$CL197)*$C197)+$F197+$G197)),0))</f>
        <v> </v>
      </c>
      <c r="CP197" s="340" t="str">
        <f aca="false">IF(A197="N/A"," ",IF(CC=2,(VLOOKUP(A197,ScaledPrice,9)-((IF(T197&lt;&gt;0,$D197,$CL197)*$C197)+$F197+$G197)),0))</f>
        <v> </v>
      </c>
      <c r="CQ197" s="340" t="str">
        <f aca="false">IF(A197="N/A"," ",IF(CC=2,(IF(OR(Dayrun=2,Dayrun=3,Dayrun=5,Dayrun=6,Dayrun=8,Dayrun=9),VLOOKUP(A197,ScaledPrice,IF(AND(Dayrun&gt;=2,Dayrun&lt;=6),5,6)),0)-((IF(U197&lt;&gt;0,$D197,$CL197)*$C197)+$F197+$G197)),0))</f>
        <v> </v>
      </c>
      <c r="CR197" s="340" t="str">
        <f aca="false">IF(A197="N/A"," ",IF(CC=2,(IF(OR(Dayrun=2,Dayrun=3,Dayrun=5,Dayrun=6,Dayrun=8,Dayrun=9),IF(AND(Dayrun&gt;=2,Dayrun&lt;=6),L197,(VLOOKUP(A197,ScaledPrice,5))*(2-(VLOOKUP(A197,ScaledPrice,3)))),0)-((IF(V197&lt;&gt;0,$D197,$CL197)*$C197)+$F197+$G197)),0))</f>
        <v> </v>
      </c>
      <c r="CS197" s="340" t="str">
        <f aca="false">IF(A197="N/A"," ",IF(CC=2,(VLOOKUP(A197,ScaledPrice,9)-((IF(W197&lt;&gt;0,$D197,$CL197)*$C197)+$F197+$G197)),0))</f>
        <v> </v>
      </c>
      <c r="CT197" s="340" t="str">
        <f aca="false">IF(A197="N/A"," ",IF(CC=2,(IF(OR(Dayrun=3,Dayrun=6,Dayrun=9),(VLOOKUP(A197,ScaledPrice,IF(AND(Dayrun&gt;=3,Dayrun&lt;=6),7,8))),0)-((IF(X197&lt;&gt;0,$D197,$CL197)*$C197)+$F197+$G197)),0))</f>
        <v> </v>
      </c>
      <c r="CU197" s="340" t="str">
        <f aca="false">IF(A197="N/A"," ",IF(CC=2,(IF(OR(Dayrun=3,Dayrun=6,Dayrun=9),IF(AND(Dayrun&gt;=3,Dayrun&lt;=6),O197,(VLOOKUP(A197,ScaledPrice,7))*(2-(VLOOKUP(A197,ScaledPrice,3)))),0)-((IF(Y197&lt;&gt;0,$D197,$CL197)*$C197)+$F197+$G197)),0))</f>
        <v> </v>
      </c>
      <c r="CV197" s="340" t="str">
        <f aca="false">IF(A197="N/A"," ",IF(CC=2,(VLOOKUP(A197,ScaledPrice,9)-((IF(Z197&lt;&gt;0,$D197,$CL197)*$C197)+$F197+$G197)),0))</f>
        <v> </v>
      </c>
      <c r="CW197" s="318" t="str">
        <f aca="false">IF($A197="N/A"," ",IF(0&lt;&gt;CN197,IF(CC=2,8*$HD197,0),0))</f>
        <v> </v>
      </c>
      <c r="CX197" s="318" t="str">
        <f aca="false">IF($A197="N/A"," ",IF(0&lt;&gt;CO197,IF(CC=2,8*$HD197,0),0))</f>
        <v> </v>
      </c>
      <c r="CY197" s="318" t="str">
        <f aca="false">IF($A197="N/A"," ",IF(0&lt;&gt;CP197,IF(CC=2,8*$HD197,0),0))</f>
        <v> </v>
      </c>
      <c r="CZ197" s="318" t="str">
        <f aca="false">IF($A197="N/A"," ",IF(0&lt;&gt;CQ197,IF(CC=2,8*$HE197,0),0))</f>
        <v> </v>
      </c>
      <c r="DA197" s="318" t="str">
        <f aca="false">IF($A197="N/A"," ",IF(0&lt;&gt;CR197,IF(CC=2,8*$HE197,0),0))</f>
        <v> </v>
      </c>
      <c r="DB197" s="318" t="str">
        <f aca="false">IF($A197="N/A"," ",IF(0&lt;&gt;CS197,IF(CC=2,8*$HE197,0),0))</f>
        <v> </v>
      </c>
      <c r="DC197" s="318" t="str">
        <f aca="false">IF($A197="N/A"," ",IF(0&lt;&gt;CT197,IF(CC=2,8*$HF197,0),0))</f>
        <v> </v>
      </c>
      <c r="DD197" s="318" t="str">
        <f aca="false">IF($A197="N/A"," ",IF(0&lt;&gt;CU197,IF(CC=2,8*$HF197,0),0))</f>
        <v> </v>
      </c>
      <c r="DE197" s="318" t="str">
        <f aca="false">IF($A197="N/A"," ",IF(0&lt;&gt;CV197,IF(CC=2,8*$HF197,0),0))</f>
        <v> </v>
      </c>
      <c r="DF197" s="341" t="str">
        <f aca="false">IF($A197="N/A"," ",IF(CC=2,(IF(MONTH(A197)&gt;=4,IF(MONTH(A197)&lt;=10,Inputs!$G$13,Inputs!$G$14),Inputs!$G$14))*$CK197,0))</f>
        <v> </v>
      </c>
      <c r="DG197" s="342" t="str">
        <f aca="false">IF($A197="N/A"," ",IF(CC=2,$DF197*CW197*CN197,0))</f>
        <v> </v>
      </c>
      <c r="DH197" s="342" t="str">
        <f aca="false">IF($A197="N/A"," ",IF(CC=2,$DF197*CX197*CO197,0))</f>
        <v> </v>
      </c>
      <c r="DI197" s="342" t="str">
        <f aca="false">IF($A197="N/A"," ",IF(CC=2,$DF197*CY197*CP197,0))</f>
        <v> </v>
      </c>
      <c r="DJ197" s="342" t="str">
        <f aca="false">IF($A197="N/A"," ",IF(CC=2,$DF197*CZ197*CQ197,0))</f>
        <v> </v>
      </c>
      <c r="DK197" s="342" t="str">
        <f aca="false">IF($A197="N/A"," ",IF(CC=2,$DF197*DA197*CR197,0))</f>
        <v> </v>
      </c>
      <c r="DL197" s="342" t="str">
        <f aca="false">IF($A197="N/A"," ",IF(CC=2,$DF197*DB197*CS197,0))</f>
        <v> </v>
      </c>
      <c r="DM197" s="342" t="str">
        <f aca="false">IF($A197="N/A"," ",IF(CC=2,$DF197*DC197*CT197,0))</f>
        <v> </v>
      </c>
      <c r="DN197" s="342" t="str">
        <f aca="false">IF($A197="N/A"," ",IF(CC=2,$DF197*DD197*CU197,0))</f>
        <v> </v>
      </c>
      <c r="DO197" s="342" t="str">
        <f aca="false">IF($A197="N/A"," ",IF(CC=2,$DF197*DE197*CV197,0))</f>
        <v> </v>
      </c>
      <c r="DP197" s="343" t="str">
        <f aca="false">IF($A197="N/A"," ",IF(CC=2,SUM(DG197:DO197),0))</f>
        <v> </v>
      </c>
      <c r="DQ197" s="0" t="str">
        <f aca="false">IF(A197="N/A"," ",Perstart)</f>
        <v> </v>
      </c>
      <c r="HD197" s="0" t="str">
        <f aca="false">IF($A197="N/A"," ",VLOOKUP($A197,NumberofDaysTable,2))</f>
        <v> </v>
      </c>
      <c r="HE197" s="0" t="str">
        <f aca="false">IF($A197="N/A"," ",VLOOKUP($A197,NumberofDaysTable,3))</f>
        <v> </v>
      </c>
      <c r="HF197" s="0" t="str">
        <f aca="false">IF($A197="N/A"," ",VLOOKUP($A197,NumberofDaysTable,4))</f>
        <v> </v>
      </c>
    </row>
    <row r="198" customFormat="false" ht="12.75" hidden="false" customHeight="false" outlineLevel="0" collapsed="false">
      <c r="A198" s="308" t="str">
        <f aca="false">IF(A197="N/A","N/A",IF(EDATE(A197,1)&gt;Inputs!$K$3,"N/A",EDATE(A197,1)))</f>
        <v>N/A</v>
      </c>
      <c r="B198" s="309" t="str">
        <f aca="false">IF(A198="N/A"," ",YEAR(A198))</f>
        <v> </v>
      </c>
      <c r="C198" s="310" t="str">
        <f aca="false">IF(A198="N/A"," ",VLOOKUP(A198,ScaledPrice,10))</f>
        <v> </v>
      </c>
      <c r="D198" s="311" t="str">
        <f aca="false">IF(A198="N/A"," ",(VLOOKUP(MONTH($A198),Hrtable,2))/1000)</f>
        <v> </v>
      </c>
      <c r="E198" s="312" t="str">
        <f aca="false">IF($A198="N/A"," ",(C198-'Pricing Inputs'!T231)*D198)</f>
        <v> </v>
      </c>
      <c r="F198" s="313" t="str">
        <f aca="false">IF(A198="N/A"," ",$F186*(1+VOMesc))</f>
        <v> </v>
      </c>
      <c r="G198" s="313" t="str">
        <f aca="false">IF(A198="N/A"," ",Perstart/IF(AND(Dayrun&gt;=4,Dayrun&lt;=6),16,IF(AND(Dayrun&gt;=7,Dayrun&lt;=9),8,24))/(BM198/CK198))</f>
        <v> </v>
      </c>
      <c r="H198" s="314" t="str">
        <f aca="false">IF(A198="N/A"," ",(C198*D198)+F198+G198)</f>
        <v> </v>
      </c>
      <c r="I198" s="315" t="str">
        <f aca="false">VLOOKUP(A198,ScaledPrice,(IF(AND(Dayrun&gt;=1,Dayrun&lt;=6),2,4)))</f>
        <v> </v>
      </c>
      <c r="J198" s="315" t="str">
        <f aca="false">IF(A198="N/A"," ",IF(AND(Dayrun&gt;=1,Dayrun&lt;=6),I198,(VLOOKUP(A198,ScaledPrice,2))*(2-(VLOOKUP(A198,ScaledPrice,3)))))</f>
        <v> </v>
      </c>
      <c r="K198" s="315" t="str">
        <f aca="false">IF(A198="N/A"," ",IF(AND(Dayrun&gt;=1,Dayrun&lt;=3),VLOOKUP(A198,ScaledPrice,9),0))</f>
        <v> </v>
      </c>
      <c r="L198" s="315" t="str">
        <f aca="false">IF(A198="N/A"," ",IF(OR(Dayrun=2,Dayrun=3,Dayrun=5,Dayrun=6,Dayrun=8,Dayrun=9),VLOOKUP(A198,ScaledPrice,IF(AND(Dayrun&gt;=2,Dayrun&lt;=6),5,6)),0))</f>
        <v> </v>
      </c>
      <c r="M198" s="315" t="str">
        <f aca="false">IF(A198="N/A"," ",IF(OR(Dayrun=2,Dayrun=3,Dayrun=5,Dayrun=6,Dayrun=8,Dayrun=9),IF(AND(Dayrun&gt;=2,Dayrun&lt;=6),L198,(VLOOKUP(A198,ScaledPrice,5))*(2-(VLOOKUP(A198,ScaledPrice,3)))),0))</f>
        <v> </v>
      </c>
      <c r="N198" s="315" t="str">
        <f aca="false">IF(A198="N/A"," ",IF(AND(Dayrun&gt;1,Dayrun&lt;=3),VLOOKUP(A198,ScaledPrice,9),0))</f>
        <v> </v>
      </c>
      <c r="O198" s="315" t="str">
        <f aca="false">IF(A198="N/A"," ",IF(OR(Dayrun=3,Dayrun=6,Dayrun=9),(VLOOKUP(A198,ScaledPrice,IF(AND(Dayrun&gt;=3,Dayrun&lt;=6),7,8))),0))</f>
        <v> </v>
      </c>
      <c r="P198" s="315" t="str">
        <f aca="false">IF(A198="N/A"," ",IF(OR(Dayrun=3,Dayrun=6,Dayrun=9),IF(AND(Dayrun&gt;=3,Dayrun&lt;=6),O198,(VLOOKUP(A198,ScaledPrice,7))*(2-(VLOOKUP(A198,ScaledPrice,3)))),0))</f>
        <v> </v>
      </c>
      <c r="Q198" s="315" t="str">
        <f aca="false">IF(A198="N/A"," ",IF(AND(Dayrun&gt;2,Dayrun&lt;=3),VLOOKUP(A198,ScaledPrice,9),0))</f>
        <v> </v>
      </c>
      <c r="R198" s="316" t="str">
        <f aca="false">IF($A198="N/A"," ",IF(Pricetype=2,MAX(I198-$H198,0),IF(Pricetype=1,(xSPRDOPT(I198,$E198,$CI198,0,($CD198+IF(Smile=TRUE(),VLOOKUP(MAX(-5,$H198-I198),Volsmile,2),0)),$CG198,$CH198,($A198-DateToday)+15,1,0)),I198-$H198)))</f>
        <v> </v>
      </c>
      <c r="S198" s="316" t="str">
        <f aca="false">IF($A198="N/A"," ",IF(Pricetype=2,MAX(J198-$H198,0),IF(Pricetype=1,(xSPRDOPT(J198,$E198,$CI198,0,($CD198+IF(Smile=TRUE(),VLOOKUP(MAX(-5,$H198-J198),Volsmile,2),0)),$CG198,$CH198,($A198-DateToday)+15,1,0)),J198-$H198)))</f>
        <v> </v>
      </c>
      <c r="T198" s="317" t="str">
        <f aca="false">IF($A198="N/A"," ",(IF(Pricetype=2,IF((K198-$H198)&lt;=0,0,(K198-$H198)),IF(K198&lt;&gt;0,(K198-$H198),0))))</f>
        <v> </v>
      </c>
      <c r="U198" s="316" t="str">
        <f aca="false">IF($A198="N/A"," ",IF(Pricetype=2,MAX(L198-$H198,0),IF(L198&lt;&gt;0,IF(Pricetype=1,(xSPRDOPT(L198,$E198,$CI198,0,($CD198+IF(Smile=TRUE(),VLOOKUP(MAX(-5,$H198-L198),Volsmile,2),0)),$CG198,$CH198,($A198-DateToday)+15,1,0)),L198-$H198),0)))</f>
        <v> </v>
      </c>
      <c r="V198" s="316" t="str">
        <f aca="false">IF($A198="N/A"," ",IF(Pricetype=2,MAX(M198-$H198,0),IF(M198&lt;&gt;0,IF(Pricetype=1,(xSPRDOPT(M198,$E198,$CI198,0,($CD198+IF(Smile=TRUE(),VLOOKUP(MAX(-5,$H198-M198),Volsmile,2),0)),$CG198,$CH198,($A198-DateToday)+15,1,0)),M198-$H198),0)))</f>
        <v> </v>
      </c>
      <c r="W198" s="317" t="str">
        <f aca="false">IF($A198="N/A"," ",(IF(Pricetype=2,IF((N198-$H198)&lt;=0,0,(N198-$H198)),IF(N198&lt;&gt;0,(N198-$H198),0))))</f>
        <v> </v>
      </c>
      <c r="X198" s="316" t="str">
        <f aca="false">IF($A198="N/A"," ",IF(Pricetype=2,MAX(O198-$H198,0),IF(O198&lt;&gt;0,IF(Pricetype=1,(xSPRDOPT(O198,$E198,$CI198,0,($CD198+IF(Smile=TRUE(),VLOOKUP(MAX(-5,$H198-O198),Volsmile,2),0)),$CG198,$CH198,($A198-DateToday)+15,1,0)),O198-$H198),0)))</f>
        <v> </v>
      </c>
      <c r="Y198" s="316" t="str">
        <f aca="false">IF($A198="N/A"," ",IF(Pricetype=2,MAX(P198-$H198,0),IF(P198&lt;&gt;0,IF(Pricetype=1,(xSPRDOPT(P198,$E198,$CI198,0,($CD198+IF(Smile=TRUE(),VLOOKUP(MAX(-5,$H198-P198),Volsmile,2),0)),$CG198,$CH198,($A198-DateToday)+15,1,0)),P198-$H198),0)))</f>
        <v> </v>
      </c>
      <c r="Z198" s="317" t="str">
        <f aca="false">IF($A198="N/A"," ",(IF(Pricetype=2,IF((Q198-$H198)&lt;=0,0,(Q198-$H198)),IF(Q198&lt;&gt;0,(Q198-$H198),0))))</f>
        <v> </v>
      </c>
      <c r="AA198" s="318" t="str">
        <f aca="false">IF($A198="N/A"," ",IF(VLOOKUP(MONTH(A198),ManualTable,2)=1,(IF(0&lt;&gt;R198,IF(Pricetype=1,(xSPRDOPT(I198,$E198,$CI198,0,($CD198+IF(Smile=TRUE(),VLOOKUP(MAX(-5,$H198-I198),Volsmile,2),0)),$CG198,$CH198,($A198-DateToday)+15,1,1))*(8*$HD198),8*$HD198),0)),0))</f>
        <v> </v>
      </c>
      <c r="AB198" s="318" t="str">
        <f aca="false">IF($A198="N/A"," ",IF(VLOOKUP(MONTH(A198),ManualTable,3)=1,(IF(S198&lt;&gt;0,IF(Pricetype=1,(xSPRDOPT(J198,$E198,$CI198,0,($CD198+IF(Smile=TRUE(),VLOOKUP(MAX(-5,$H198-J198),Volsmile,2),0)),$CG198,$CH198,($A198-DateToday)+15,1,1))*(8*$HD198),8*$HD198),0)),0))</f>
        <v> </v>
      </c>
      <c r="AC198" s="318" t="str">
        <f aca="false">IF($A198="N/A"," ",IF(VLOOKUP(MONTH(A198),ManualTable,4)=1,(IF(T198&lt;&gt;0,(8*$HD198),0)),0))</f>
        <v> </v>
      </c>
      <c r="AD198" s="318" t="str">
        <f aca="false">IF($A198="N/A"," ",IF(VLOOKUP(MONTH(A198),ManualTable,5)=1,(IF(U198&lt;&gt;0,IF(Pricetype=1,(xSPRDOPT(L198,$E198,$CI198,0,($CD198+IF(Smile=TRUE(),VLOOKUP(MAX(-5,$H198-L198),Volsmile,2),0)),$CG198,$CH198,($A198-DateToday)+15,1,1))*(8*$HE198),8*$HE198),0)),0))</f>
        <v> </v>
      </c>
      <c r="AE198" s="318" t="str">
        <f aca="false">IF($A198="N/A"," ",IF(VLOOKUP(MONTH(A198),ManualTable,6)=1,(IF(V198&lt;&gt;0,IF(Pricetype=1,(xSPRDOPT(M198,$E198,$CI198,0,($CD198+IF(Smile=TRUE(),VLOOKUP(MAX(-5,$H198-M198),Volsmile,2),0)),$CG198,$CH198,($A198-DateToday)+15,1,1))*(8*$HE198),8*$HE198),0)),0))</f>
        <v> </v>
      </c>
      <c r="AF198" s="318" t="str">
        <f aca="false">IF($A198="N/A"," ",IF(VLOOKUP(MONTH(A198),ManualTable,7)=1,(IF(W198&lt;&gt;0,(8*$HE198),0)),0))</f>
        <v> </v>
      </c>
      <c r="AG198" s="318" t="str">
        <f aca="false">IF($A198="N/A"," ",IF(VLOOKUP(MONTH(A198),ManualTable,8)=1,(IF(X198&lt;&gt;0,IF(Pricetype=1,(xSPRDOPT(O198,$E198,$CI198,0,($CD198+IF(Smile=TRUE(),VLOOKUP(MAX(-5,$H198-O198),Volsmile,2),0)),$CG198,$CH198,($A198-DateToday)+15,1,1))*(8*$HF198),8*$HF198),0)),0))</f>
        <v> </v>
      </c>
      <c r="AH198" s="318" t="str">
        <f aca="false">IF($A198="N/A"," ",IF(VLOOKUP(MONTH(A198),ManualTable,9)=1,(IF(Y198&lt;&gt;0,IF(Pricetype=1,(xSPRDOPT(P198,$E198,$CI198,0,($CD198+IF(Smile=TRUE(),VLOOKUP(MAX(-5,$H198-P198),Volsmile,2),0)),$CG198,$CH198,($A198-DateToday)+15,1,1))*(8*$HF198),8*$HF198),0)),0))</f>
        <v> </v>
      </c>
      <c r="AI198" s="318" t="str">
        <f aca="false">IF($A198="N/A"," ",IF(VLOOKUP(MONTH(A198),ManualTable,10)=1,(IF(Z198&lt;&gt;0,(8*($HF198)),0)),0))</f>
        <v> </v>
      </c>
      <c r="AJ198" s="344" t="str">
        <f aca="false">IF($A198="N/A"," ",RANK(R198,$R$196:$Z$207))</f>
        <v> </v>
      </c>
      <c r="AK198" s="321" t="str">
        <f aca="false">IF($A198="N/A"," ",RANK(S198,$R$196:$Z$207))</f>
        <v> </v>
      </c>
      <c r="AL198" s="321" t="str">
        <f aca="false">IF($A198="N/A"," ",RANK(T198,$R$196:$Z$207))</f>
        <v> </v>
      </c>
      <c r="AM198" s="321" t="str">
        <f aca="false">IF($A198="N/A"," ",RANK(U198,$R$196:$Z$207))</f>
        <v> </v>
      </c>
      <c r="AN198" s="321" t="str">
        <f aca="false">IF($A198="N/A"," ",RANK(V198,$R$196:$Z$207))</f>
        <v> </v>
      </c>
      <c r="AO198" s="321" t="str">
        <f aca="false">IF($A198="N/A"," ",RANK(W198,$R$196:$Z$207))</f>
        <v> </v>
      </c>
      <c r="AP198" s="321" t="str">
        <f aca="false">IF($A198="N/A"," ",RANK(X198,$R$196:$Z$207))</f>
        <v> </v>
      </c>
      <c r="AQ198" s="321" t="str">
        <f aca="false">IF($A198="N/A"," ",RANK(Y198,$R$196:$Z$207))</f>
        <v> </v>
      </c>
      <c r="AR198" s="345" t="str">
        <f aca="false">IF($A198="N/A"," ",RANK(Z198,$R$196:$Z$207))</f>
        <v> </v>
      </c>
      <c r="AS198" s="323" t="str">
        <f aca="false">IF($A198="N/A"," ",IF(AJ198&lt;=$AR$2,AA198,0))</f>
        <v> </v>
      </c>
      <c r="AT198" s="325" t="str">
        <f aca="false">IF($A198="N/A"," ",IF(AK198&lt;=$AR$2,AB198,0))</f>
        <v> </v>
      </c>
      <c r="AU198" s="325" t="str">
        <f aca="false">IF($A198="N/A"," ",IF(AL198&lt;=$AR$2,AC198,0))</f>
        <v> </v>
      </c>
      <c r="AV198" s="325" t="str">
        <f aca="false">IF($A198="N/A"," ",IF(AM198&lt;=$AR$2,AD198,0))</f>
        <v> </v>
      </c>
      <c r="AW198" s="325" t="str">
        <f aca="false">IF($A198="N/A"," ",IF(AN198&lt;=$AR$2,AE198,0))</f>
        <v> </v>
      </c>
      <c r="AX198" s="325" t="str">
        <f aca="false">IF($A198="N/A"," ",IF(AO198&lt;=$AR$2,AF198,0))</f>
        <v> </v>
      </c>
      <c r="AY198" s="325" t="str">
        <f aca="false">IF($A198="N/A"," ",IF(AP198&lt;=$AR$2,AG198,0))</f>
        <v> </v>
      </c>
      <c r="AZ198" s="325" t="str">
        <f aca="false">IF($A198="N/A"," ",IF(AQ198&lt;=$AR$2,AH198,0))</f>
        <v> </v>
      </c>
      <c r="BA198" s="325" t="str">
        <f aca="false">IF($A198="N/A"," ",IF(AR198&lt;=$AR$2,AI198,0))</f>
        <v> </v>
      </c>
      <c r="BB198" s="345"/>
      <c r="BC198" s="326" t="str">
        <f aca="false">IF($A198="N/A"," ",IF(AND(AJ198=$AR$2+1,AS198=0),MIN($BB$207,AA198),0))</f>
        <v> </v>
      </c>
      <c r="BD198" s="346" t="str">
        <f aca="false">IF($A198="N/A"," ",IF(AND(AK198=$AR$2+1,AT198=0),MIN($BB$207,AB198),0))</f>
        <v> </v>
      </c>
      <c r="BE198" s="346" t="str">
        <f aca="false">IF($A198="N/A"," ",IF(AND(AL198=$AR$2+1,AU198=0),MIN($BB$207,AC198),0))</f>
        <v> </v>
      </c>
      <c r="BF198" s="346" t="str">
        <f aca="false">IF($A198="N/A"," ",IF(AND(AM198=$AR$2+1,AV198=0),MIN($BB$207,AD198),0))</f>
        <v> </v>
      </c>
      <c r="BG198" s="346" t="str">
        <f aca="false">IF($A198="N/A"," ",IF(AND(AN198=$AR$2+1,AW198=0),MIN($BB$207,AE198),0))</f>
        <v> </v>
      </c>
      <c r="BH198" s="346" t="str">
        <f aca="false">IF($A198="N/A"," ",IF(AND(AO198=$AR$2+1,AX198=0),MIN($BB$207,AF198),0))</f>
        <v> </v>
      </c>
      <c r="BI198" s="346" t="str">
        <f aca="false">IF($A198="N/A"," ",IF(AND(AP198=$AR$2+1,AY198=0),MIN($BB$207,AG198),0))</f>
        <v> </v>
      </c>
      <c r="BJ198" s="346" t="str">
        <f aca="false">IF($A198="N/A"," ",IF(AND(AQ198=$AR$2+1,AZ198=0),MIN($BB$207,AH198),0))</f>
        <v> </v>
      </c>
      <c r="BK198" s="346" t="str">
        <f aca="false">IF($A198="N/A"," ",IF(AND(AR198=$AR$2+1,BA198=0),MIN($BB$207,AI198),0))</f>
        <v> </v>
      </c>
      <c r="BL198" s="345"/>
      <c r="BM198" s="329" t="str">
        <f aca="false">IF($A198="N/A"," ",(IF(MONTH(A198)&gt;=4,IF(MONTH(A198)&lt;=10,Inputs!$F$13-Inputs!$G$13,Inputs!$F$14-Inputs!$G$14),Inputs!$F$14-Inputs!$G$14))*$CK198*Availability)</f>
        <v> </v>
      </c>
      <c r="BN198" s="330" t="str">
        <f aca="false">IF($A198="N/A"," ",(IF(AS198&gt;0,($BM198*(8*($HD198))*R198),0)+IF(BC198&gt;0,($BM198*((BC198/AA198)*8*$HD198)*R198),0)))</f>
        <v> </v>
      </c>
      <c r="BO198" s="330" t="str">
        <f aca="false">IF($A198="N/A"," ",(IF(AT198&gt;0,($BM198*(8*($HD198))*S198),0)+IF(BD198&gt;0,($BM198*((BD198/AB198)*8*$HD198)*S198),0)))</f>
        <v> </v>
      </c>
      <c r="BP198" s="330" t="str">
        <f aca="false">IF($A198="N/A"," ",(IF(AU198&gt;0,($BM198*(8*($HD198))*T198),0)+IF(BE198&gt;0,($BM198*((BE198))*T198),0)))</f>
        <v> </v>
      </c>
      <c r="BQ198" s="330" t="str">
        <f aca="false">IF($A198="N/A"," ",(IF(AV198&gt;0,($BM198*(8*($HE198))*U198),0)+IF(BF198&gt;0,($BM198*((BF198/AD198)*8*$HE198)*U198),0)))</f>
        <v> </v>
      </c>
      <c r="BR198" s="330" t="str">
        <f aca="false">IF($A198="N/A"," ",(IF(AW198&gt;0,($BM198*(8*($HE198))*V198),0)+IF(BG198&gt;0,($BM198*((BG198/AE198)*8*$HE198)*V198),0)))</f>
        <v> </v>
      </c>
      <c r="BS198" s="330" t="str">
        <f aca="false">IF($A198="N/A"," ",(IF(AX198&gt;0,($BM198*(8*($HE198))*W198),0)+IF(BH198&gt;0,($BM198*((BH198))*W198),0)))</f>
        <v> </v>
      </c>
      <c r="BT198" s="330" t="str">
        <f aca="false">IF($A198="N/A"," ",(IF(AY198&gt;0,($BM198*(8*($HF198))*X198),0)+IF(BI198&gt;0,($BM198*((BI198/AG198)*8*$HF198)*X198),0)))</f>
        <v> </v>
      </c>
      <c r="BU198" s="330" t="str">
        <f aca="false">IF($A198="N/A"," ",(IF(AZ198&gt;0,($BM198*(8*($HF198))*Y198),0)+IF(BJ198&gt;0,($BM198*((BJ198/AH198)*8*$HF198)*Y198),0)))</f>
        <v> </v>
      </c>
      <c r="BV198" s="330" t="str">
        <f aca="false">IF($A198="N/A"," ",(IF(BA198&gt;0,($BM198*(8*($HF198))*Z198),0)+IF(BK198&gt;0,($BM198*((BK198))*Z198),0)))</f>
        <v> </v>
      </c>
      <c r="BW198" s="330" t="str">
        <f aca="false">IF($A198="N/A"," ",SUM(BN198:BV198))</f>
        <v> </v>
      </c>
      <c r="BX198" s="331" t="str">
        <f aca="false">IF($A198="N/A"," ",(H198*(SUM(AS198:BA198)+SUM(BC198:BK198))*BM198))</f>
        <v> </v>
      </c>
      <c r="BY198" s="332" t="str">
        <f aca="false">IF($A198="N/A"," ",((C198*D198)*(SUM($AS198:$BA198)+SUM($BC198:$BK198))*$BM198))</f>
        <v> </v>
      </c>
      <c r="BZ198" s="332" t="str">
        <f aca="false">IF($A198="N/A"," ",(F198*(SUM($AS198:$BA198)+SUM($BC198:$BK198))*$BM198))</f>
        <v> </v>
      </c>
      <c r="CA198" s="333" t="str">
        <f aca="false">IF($A198="N/A"," ",(G198*(SUM($AS198:$BA198)+SUM($BC198:$BK198))*$BM198))</f>
        <v> </v>
      </c>
      <c r="CB198" s="334" t="str">
        <f aca="false">IF(A198="N/A"," ",(VLOOKUP(A198,PowerVolTable,(IF(BMO=2,7,IF(BMO=1,6,8))),FALSE())))</f>
        <v> </v>
      </c>
      <c r="CC198" s="334" t="str">
        <f aca="false">IF(A198="N/A"," ",(VLOOKUP(A198,IntraPowerVol,(IF(BMO=2,3,IF(BMO=1,2,4))),FALSE())*VLOOKUP(MONTH($A198),Volscale,2)))</f>
        <v> </v>
      </c>
      <c r="CD198" s="335" t="str">
        <f aca="false">IF($A198="N/A"," ",(IF(DateToday&gt;$A198,$CC198,((($CB198^2)*((($A198-1)-DateToday)/((EOMONTH($A198,0)+1)-DateToday-15)))+((($CC198)^2)*((15)/((EOMONTH($A198,0)+1)-DateToday-15))))^0.5)))</f>
        <v> </v>
      </c>
      <c r="CE198" s="334" t="str">
        <f aca="false">IF($A198="N/A"," ",(VLOOKUP($A198,GasVolTable,(IF(BMO=2,6,IF(BMO=1,7,5))),FALSE())))</f>
        <v> </v>
      </c>
      <c r="CF198" s="334" t="str">
        <f aca="false">IF($A198="N/A"," ",(VLOOKUP($A198,OmicronVol,(IF(BMO=2,3,IF(BMO=1,4,2))),FALSE())))</f>
        <v> </v>
      </c>
      <c r="CG198" s="335" t="str">
        <f aca="false">IF($A198="N/A"," ",(IF(DateToday&gt;$A198,$CF198,((($CE198^2)*((($A198-1)-DateToday)/((EOMONTH($A198,0)+1)-DateToday-15)))+((($CF198)^2)*((15)/((EOMONTH($A198,0)+1)-DateToday-15))))^0.5)))</f>
        <v> </v>
      </c>
      <c r="CH198" s="334" t="str">
        <f aca="false">IF($A198="N/A"," ",VLOOKUP($A198,CorrelationTable,2,FALSE()))</f>
        <v> </v>
      </c>
      <c r="CI198" s="336" t="str">
        <f aca="false">IF($A198="N/A"," ",F198+G198+(D198*('Pricing Inputs'!T231)))</f>
        <v> </v>
      </c>
      <c r="CJ198" s="334" t="str">
        <f aca="false">IF($A198="N/A"," ",IF(PV=1,0,'Pricing Inputs'!U231))</f>
        <v> </v>
      </c>
      <c r="CK198" s="337" t="str">
        <f aca="false">IF($A198="N/A"," ",(1+CJ198/2)^(-2*((EOMONTH(A198,0)+20)-DateToday)/365.25))</f>
        <v> </v>
      </c>
      <c r="CL198" s="338" t="str">
        <f aca="false">IF(A198="N/A"," ",IF(CC=2,(VLOOKUP(MONTH($A198),Hrtable,3))/1000,0))</f>
        <v> </v>
      </c>
      <c r="CM198" s="339" t="str">
        <f aca="false">IF(A198="N/A"," ",IF(CC=2,(CL198*C198)+F198,0))</f>
        <v> </v>
      </c>
      <c r="CN198" s="340" t="str">
        <f aca="false">IF($A198="N/A"," ",IF(CC=2,(VLOOKUP(A198,ScaledPrice,(IF(AND(Dayrun&gt;=1,Dayrun&lt;=6),2,4)))-((IF(R198&lt;&gt;0,$D198,$CL198)*$C198)+$F198+$G198)),0))</f>
        <v> </v>
      </c>
      <c r="CO198" s="340" t="str">
        <f aca="false">IF($A198="N/A"," ",IF(CC=2,(IF(AND(Dayrun&gt;=1,Dayrun&lt;=6),I198,(VLOOKUP(A198,ScaledPrice,2))*(2-(VLOOKUP(A198,ScaledPrice,3))))-((IF(S198&lt;&gt;0,$D198,$CL198)*$C198)+$F198+$G198)),0))</f>
        <v> </v>
      </c>
      <c r="CP198" s="340" t="str">
        <f aca="false">IF(A198="N/A"," ",IF(CC=2,(VLOOKUP(A198,ScaledPrice,9)-((IF(T198&lt;&gt;0,$D198,$CL198)*$C198)+$F198+$G198)),0))</f>
        <v> </v>
      </c>
      <c r="CQ198" s="340" t="str">
        <f aca="false">IF(A198="N/A"," ",IF(CC=2,(IF(OR(Dayrun=2,Dayrun=3,Dayrun=5,Dayrun=6,Dayrun=8,Dayrun=9),VLOOKUP(A198,ScaledPrice,IF(AND(Dayrun&gt;=2,Dayrun&lt;=6),5,6)),0)-((IF(U198&lt;&gt;0,$D198,$CL198)*$C198)+$F198+$G198)),0))</f>
        <v> </v>
      </c>
      <c r="CR198" s="340" t="str">
        <f aca="false">IF(A198="N/A"," ",IF(CC=2,(IF(OR(Dayrun=2,Dayrun=3,Dayrun=5,Dayrun=6,Dayrun=8,Dayrun=9),IF(AND(Dayrun&gt;=2,Dayrun&lt;=6),L198,(VLOOKUP(A198,ScaledPrice,5))*(2-(VLOOKUP(A198,ScaledPrice,3)))),0)-((IF(V198&lt;&gt;0,$D198,$CL198)*$C198)+$F198+$G198)),0))</f>
        <v> </v>
      </c>
      <c r="CS198" s="340" t="str">
        <f aca="false">IF(A198="N/A"," ",IF(CC=2,(VLOOKUP(A198,ScaledPrice,9)-((IF(W198&lt;&gt;0,$D198,$CL198)*$C198)+$F198+$G198)),0))</f>
        <v> </v>
      </c>
      <c r="CT198" s="340" t="str">
        <f aca="false">IF(A198="N/A"," ",IF(CC=2,(IF(OR(Dayrun=3,Dayrun=6,Dayrun=9),(VLOOKUP(A198,ScaledPrice,IF(AND(Dayrun&gt;=3,Dayrun&lt;=6),7,8))),0)-((IF(X198&lt;&gt;0,$D198,$CL198)*$C198)+$F198+$G198)),0))</f>
        <v> </v>
      </c>
      <c r="CU198" s="340" t="str">
        <f aca="false">IF(A198="N/A"," ",IF(CC=2,(IF(OR(Dayrun=3,Dayrun=6,Dayrun=9),IF(AND(Dayrun&gt;=3,Dayrun&lt;=6),O198,(VLOOKUP(A198,ScaledPrice,7))*(2-(VLOOKUP(A198,ScaledPrice,3)))),0)-((IF(Y198&lt;&gt;0,$D198,$CL198)*$C198)+$F198+$G198)),0))</f>
        <v> </v>
      </c>
      <c r="CV198" s="340" t="str">
        <f aca="false">IF(A198="N/A"," ",IF(CC=2,(VLOOKUP(A198,ScaledPrice,9)-((IF(Z198&lt;&gt;0,$D198,$CL198)*$C198)+$F198+$G198)),0))</f>
        <v> </v>
      </c>
      <c r="CW198" s="318" t="str">
        <f aca="false">IF($A198="N/A"," ",IF(0&lt;&gt;CN198,IF(CC=2,8*$HD198,0),0))</f>
        <v> </v>
      </c>
      <c r="CX198" s="318" t="str">
        <f aca="false">IF($A198="N/A"," ",IF(0&lt;&gt;CO198,IF(CC=2,8*$HD198,0),0))</f>
        <v> </v>
      </c>
      <c r="CY198" s="318" t="str">
        <f aca="false">IF($A198="N/A"," ",IF(0&lt;&gt;CP198,IF(CC=2,8*$HD198,0),0))</f>
        <v> </v>
      </c>
      <c r="CZ198" s="318" t="str">
        <f aca="false">IF($A198="N/A"," ",IF(0&lt;&gt;CQ198,IF(CC=2,8*$HE198,0),0))</f>
        <v> </v>
      </c>
      <c r="DA198" s="318" t="str">
        <f aca="false">IF($A198="N/A"," ",IF(0&lt;&gt;CR198,IF(CC=2,8*$HE198,0),0))</f>
        <v> </v>
      </c>
      <c r="DB198" s="318" t="str">
        <f aca="false">IF($A198="N/A"," ",IF(0&lt;&gt;CS198,IF(CC=2,8*$HE198,0),0))</f>
        <v> </v>
      </c>
      <c r="DC198" s="318" t="str">
        <f aca="false">IF($A198="N/A"," ",IF(0&lt;&gt;CT198,IF(CC=2,8*$HF198,0),0))</f>
        <v> </v>
      </c>
      <c r="DD198" s="318" t="str">
        <f aca="false">IF($A198="N/A"," ",IF(0&lt;&gt;CU198,IF(CC=2,8*$HF198,0),0))</f>
        <v> </v>
      </c>
      <c r="DE198" s="318" t="str">
        <f aca="false">IF($A198="N/A"," ",IF(0&lt;&gt;CV198,IF(CC=2,8*$HF198,0),0))</f>
        <v> </v>
      </c>
      <c r="DF198" s="341" t="str">
        <f aca="false">IF($A198="N/A"," ",IF(CC=2,(IF(MONTH(A198)&gt;=4,IF(MONTH(A198)&lt;=10,Inputs!$G$13,Inputs!$G$14),Inputs!$G$14))*$CK198,0))</f>
        <v> </v>
      </c>
      <c r="DG198" s="342" t="str">
        <f aca="false">IF($A198="N/A"," ",IF(CC=2,$DF198*CW198*CN198,0))</f>
        <v> </v>
      </c>
      <c r="DH198" s="342" t="str">
        <f aca="false">IF($A198="N/A"," ",IF(CC=2,$DF198*CX198*CO198,0))</f>
        <v> </v>
      </c>
      <c r="DI198" s="342" t="str">
        <f aca="false">IF($A198="N/A"," ",IF(CC=2,$DF198*CY198*CP198,0))</f>
        <v> </v>
      </c>
      <c r="DJ198" s="342" t="str">
        <f aca="false">IF($A198="N/A"," ",IF(CC=2,$DF198*CZ198*CQ198,0))</f>
        <v> </v>
      </c>
      <c r="DK198" s="342" t="str">
        <f aca="false">IF($A198="N/A"," ",IF(CC=2,$DF198*DA198*CR198,0))</f>
        <v> </v>
      </c>
      <c r="DL198" s="342" t="str">
        <f aca="false">IF($A198="N/A"," ",IF(CC=2,$DF198*DB198*CS198,0))</f>
        <v> </v>
      </c>
      <c r="DM198" s="342" t="str">
        <f aca="false">IF($A198="N/A"," ",IF(CC=2,$DF198*DC198*CT198,0))</f>
        <v> </v>
      </c>
      <c r="DN198" s="342" t="str">
        <f aca="false">IF($A198="N/A"," ",IF(CC=2,$DF198*DD198*CU198,0))</f>
        <v> </v>
      </c>
      <c r="DO198" s="342" t="str">
        <f aca="false">IF($A198="N/A"," ",IF(CC=2,$DF198*DE198*CV198,0))</f>
        <v> </v>
      </c>
      <c r="DP198" s="343" t="str">
        <f aca="false">IF($A198="N/A"," ",IF(CC=2,SUM(DG198:DO198),0))</f>
        <v> </v>
      </c>
      <c r="DQ198" s="0" t="str">
        <f aca="false">IF(A198="N/A"," ",Perstart)</f>
        <v> </v>
      </c>
      <c r="HD198" s="0" t="str">
        <f aca="false">IF($A198="N/A"," ",VLOOKUP($A198,NumberofDaysTable,2))</f>
        <v> </v>
      </c>
      <c r="HE198" s="0" t="str">
        <f aca="false">IF($A198="N/A"," ",VLOOKUP($A198,NumberofDaysTable,3))</f>
        <v> </v>
      </c>
      <c r="HF198" s="0" t="str">
        <f aca="false">IF($A198="N/A"," ",VLOOKUP($A198,NumberofDaysTable,4))</f>
        <v> </v>
      </c>
    </row>
    <row r="199" customFormat="false" ht="12.75" hidden="false" customHeight="false" outlineLevel="0" collapsed="false">
      <c r="A199" s="308" t="str">
        <f aca="false">IF(A198="N/A","N/A",IF(EDATE(A198,1)&gt;Inputs!$K$3,"N/A",EDATE(A198,1)))</f>
        <v>N/A</v>
      </c>
      <c r="B199" s="309" t="str">
        <f aca="false">IF(A199="N/A"," ",YEAR(A199))</f>
        <v> </v>
      </c>
      <c r="C199" s="310" t="str">
        <f aca="false">IF(A199="N/A"," ",VLOOKUP(A199,ScaledPrice,10))</f>
        <v> </v>
      </c>
      <c r="D199" s="311" t="str">
        <f aca="false">IF(A199="N/A"," ",(VLOOKUP(MONTH($A199),Hrtable,2))/1000)</f>
        <v> </v>
      </c>
      <c r="E199" s="312" t="str">
        <f aca="false">IF($A199="N/A"," ",(C199-'Pricing Inputs'!T232)*D199)</f>
        <v> </v>
      </c>
      <c r="F199" s="313" t="str">
        <f aca="false">IF(A199="N/A"," ",$F187*(1+VOMesc))</f>
        <v> </v>
      </c>
      <c r="G199" s="313" t="str">
        <f aca="false">IF(A199="N/A"," ",Perstart/IF(AND(Dayrun&gt;=4,Dayrun&lt;=6),16,IF(AND(Dayrun&gt;=7,Dayrun&lt;=9),8,24))/(BM199/CK199))</f>
        <v> </v>
      </c>
      <c r="H199" s="314" t="str">
        <f aca="false">IF(A199="N/A"," ",(C199*D199)+F199+G199)</f>
        <v> </v>
      </c>
      <c r="I199" s="315" t="str">
        <f aca="false">VLOOKUP(A199,ScaledPrice,(IF(AND(Dayrun&gt;=1,Dayrun&lt;=6),2,4)))</f>
        <v> </v>
      </c>
      <c r="J199" s="315" t="str">
        <f aca="false">IF(A199="N/A"," ",IF(AND(Dayrun&gt;=1,Dayrun&lt;=6),I199,(VLOOKUP(A199,ScaledPrice,2))*(2-(VLOOKUP(A199,ScaledPrice,3)))))</f>
        <v> </v>
      </c>
      <c r="K199" s="315" t="str">
        <f aca="false">IF(A199="N/A"," ",IF(AND(Dayrun&gt;=1,Dayrun&lt;=3),VLOOKUP(A199,ScaledPrice,9),0))</f>
        <v> </v>
      </c>
      <c r="L199" s="315" t="str">
        <f aca="false">IF(A199="N/A"," ",IF(OR(Dayrun=2,Dayrun=3,Dayrun=5,Dayrun=6,Dayrun=8,Dayrun=9),VLOOKUP(A199,ScaledPrice,IF(AND(Dayrun&gt;=2,Dayrun&lt;=6),5,6)),0))</f>
        <v> </v>
      </c>
      <c r="M199" s="315" t="str">
        <f aca="false">IF(A199="N/A"," ",IF(OR(Dayrun=2,Dayrun=3,Dayrun=5,Dayrun=6,Dayrun=8,Dayrun=9),IF(AND(Dayrun&gt;=2,Dayrun&lt;=6),L199,(VLOOKUP(A199,ScaledPrice,5))*(2-(VLOOKUP(A199,ScaledPrice,3)))),0))</f>
        <v> </v>
      </c>
      <c r="N199" s="315" t="str">
        <f aca="false">IF(A199="N/A"," ",IF(AND(Dayrun&gt;1,Dayrun&lt;=3),VLOOKUP(A199,ScaledPrice,9),0))</f>
        <v> </v>
      </c>
      <c r="O199" s="315" t="str">
        <f aca="false">IF(A199="N/A"," ",IF(OR(Dayrun=3,Dayrun=6,Dayrun=9),(VLOOKUP(A199,ScaledPrice,IF(AND(Dayrun&gt;=3,Dayrun&lt;=6),7,8))),0))</f>
        <v> </v>
      </c>
      <c r="P199" s="315" t="str">
        <f aca="false">IF(A199="N/A"," ",IF(OR(Dayrun=3,Dayrun=6,Dayrun=9),IF(AND(Dayrun&gt;=3,Dayrun&lt;=6),O199,(VLOOKUP(A199,ScaledPrice,7))*(2-(VLOOKUP(A199,ScaledPrice,3)))),0))</f>
        <v> </v>
      </c>
      <c r="Q199" s="315" t="str">
        <f aca="false">IF(A199="N/A"," ",IF(AND(Dayrun&gt;2,Dayrun&lt;=3),VLOOKUP(A199,ScaledPrice,9),0))</f>
        <v> </v>
      </c>
      <c r="R199" s="316" t="str">
        <f aca="false">IF($A199="N/A"," ",IF(Pricetype=2,MAX(I199-$H199,0),IF(Pricetype=1,(xSPRDOPT(I199,$E199,$CI199,0,($CD199+IF(Smile=TRUE(),VLOOKUP(MAX(-5,$H199-I199),Volsmile,2),0)),$CG199,$CH199,($A199-DateToday)+15,1,0)),I199-$H199)))</f>
        <v> </v>
      </c>
      <c r="S199" s="316" t="str">
        <f aca="false">IF($A199="N/A"," ",IF(Pricetype=2,MAX(J199-$H199,0),IF(Pricetype=1,(xSPRDOPT(J199,$E199,$CI199,0,($CD199+IF(Smile=TRUE(),VLOOKUP(MAX(-5,$H199-J199),Volsmile,2),0)),$CG199,$CH199,($A199-DateToday)+15,1,0)),J199-$H199)))</f>
        <v> </v>
      </c>
      <c r="T199" s="317" t="str">
        <f aca="false">IF($A199="N/A"," ",(IF(Pricetype=2,IF((K199-$H199)&lt;=0,0,(K199-$H199)),IF(K199&lt;&gt;0,(K199-$H199),0))))</f>
        <v> </v>
      </c>
      <c r="U199" s="316" t="str">
        <f aca="false">IF($A199="N/A"," ",IF(Pricetype=2,MAX(L199-$H199,0),IF(L199&lt;&gt;0,IF(Pricetype=1,(xSPRDOPT(L199,$E199,$CI199,0,($CD199+IF(Smile=TRUE(),VLOOKUP(MAX(-5,$H199-L199),Volsmile,2),0)),$CG199,$CH199,($A199-DateToday)+15,1,0)),L199-$H199),0)))</f>
        <v> </v>
      </c>
      <c r="V199" s="316" t="str">
        <f aca="false">IF($A199="N/A"," ",IF(Pricetype=2,MAX(M199-$H199,0),IF(M199&lt;&gt;0,IF(Pricetype=1,(xSPRDOPT(M199,$E199,$CI199,0,($CD199+IF(Smile=TRUE(),VLOOKUP(MAX(-5,$H199-M199),Volsmile,2),0)),$CG199,$CH199,($A199-DateToday)+15,1,0)),M199-$H199),0)))</f>
        <v> </v>
      </c>
      <c r="W199" s="317" t="str">
        <f aca="false">IF($A199="N/A"," ",(IF(Pricetype=2,IF((N199-$H199)&lt;=0,0,(N199-$H199)),IF(N199&lt;&gt;0,(N199-$H199),0))))</f>
        <v> </v>
      </c>
      <c r="X199" s="316" t="str">
        <f aca="false">IF($A199="N/A"," ",IF(Pricetype=2,MAX(O199-$H199,0),IF(O199&lt;&gt;0,IF(Pricetype=1,(xSPRDOPT(O199,$E199,$CI199,0,($CD199+IF(Smile=TRUE(),VLOOKUP(MAX(-5,$H199-O199),Volsmile,2),0)),$CG199,$CH199,($A199-DateToday)+15,1,0)),O199-$H199),0)))</f>
        <v> </v>
      </c>
      <c r="Y199" s="316" t="str">
        <f aca="false">IF($A199="N/A"," ",IF(Pricetype=2,MAX(P199-$H199,0),IF(P199&lt;&gt;0,IF(Pricetype=1,(xSPRDOPT(P199,$E199,$CI199,0,($CD199+IF(Smile=TRUE(),VLOOKUP(MAX(-5,$H199-P199),Volsmile,2),0)),$CG199,$CH199,($A199-DateToday)+15,1,0)),P199-$H199),0)))</f>
        <v> </v>
      </c>
      <c r="Z199" s="317" t="str">
        <f aca="false">IF($A199="N/A"," ",(IF(Pricetype=2,IF((Q199-$H199)&lt;=0,0,(Q199-$H199)),IF(Q199&lt;&gt;0,(Q199-$H199),0))))</f>
        <v> </v>
      </c>
      <c r="AA199" s="318" t="str">
        <f aca="false">IF($A199="N/A"," ",IF(VLOOKUP(MONTH(A199),ManualTable,2)=1,(IF(0&lt;&gt;R199,IF(Pricetype=1,(xSPRDOPT(I199,$E199,$CI199,0,($CD199+IF(Smile=TRUE(),VLOOKUP(MAX(-5,$H199-I199),Volsmile,2),0)),$CG199,$CH199,($A199-DateToday)+15,1,1))*(8*$HD199),8*$HD199),0)),0))</f>
        <v> </v>
      </c>
      <c r="AB199" s="318" t="str">
        <f aca="false">IF($A199="N/A"," ",IF(VLOOKUP(MONTH(A199),ManualTable,3)=1,(IF(S199&lt;&gt;0,IF(Pricetype=1,(xSPRDOPT(J199,$E199,$CI199,0,($CD199+IF(Smile=TRUE(),VLOOKUP(MAX(-5,$H199-J199),Volsmile,2),0)),$CG199,$CH199,($A199-DateToday)+15,1,1))*(8*$HD199),8*$HD199),0)),0))</f>
        <v> </v>
      </c>
      <c r="AC199" s="318" t="str">
        <f aca="false">IF($A199="N/A"," ",IF(VLOOKUP(MONTH(A199),ManualTable,4)=1,(IF(T199&lt;&gt;0,(8*$HD199),0)),0))</f>
        <v> </v>
      </c>
      <c r="AD199" s="318" t="str">
        <f aca="false">IF($A199="N/A"," ",IF(VLOOKUP(MONTH(A199),ManualTable,5)=1,(IF(U199&lt;&gt;0,IF(Pricetype=1,(xSPRDOPT(L199,$E199,$CI199,0,($CD199+IF(Smile=TRUE(),VLOOKUP(MAX(-5,$H199-L199),Volsmile,2),0)),$CG199,$CH199,($A199-DateToday)+15,1,1))*(8*$HE199),8*$HE199),0)),0))</f>
        <v> </v>
      </c>
      <c r="AE199" s="318" t="str">
        <f aca="false">IF($A199="N/A"," ",IF(VLOOKUP(MONTH(A199),ManualTable,6)=1,(IF(V199&lt;&gt;0,IF(Pricetype=1,(xSPRDOPT(M199,$E199,$CI199,0,($CD199+IF(Smile=TRUE(),VLOOKUP(MAX(-5,$H199-M199),Volsmile,2),0)),$CG199,$CH199,($A199-DateToday)+15,1,1))*(8*$HE199),8*$HE199),0)),0))</f>
        <v> </v>
      </c>
      <c r="AF199" s="318" t="str">
        <f aca="false">IF($A199="N/A"," ",IF(VLOOKUP(MONTH(A199),ManualTable,7)=1,(IF(W199&lt;&gt;0,(8*$HE199),0)),0))</f>
        <v> </v>
      </c>
      <c r="AG199" s="318" t="str">
        <f aca="false">IF($A199="N/A"," ",IF(VLOOKUP(MONTH(A199),ManualTable,8)=1,(IF(X199&lt;&gt;0,IF(Pricetype=1,(xSPRDOPT(O199,$E199,$CI199,0,($CD199+IF(Smile=TRUE(),VLOOKUP(MAX(-5,$H199-O199),Volsmile,2),0)),$CG199,$CH199,($A199-DateToday)+15,1,1))*(8*$HF199),8*$HF199),0)),0))</f>
        <v> </v>
      </c>
      <c r="AH199" s="318" t="str">
        <f aca="false">IF($A199="N/A"," ",IF(VLOOKUP(MONTH(A199),ManualTable,9)=1,(IF(Y199&lt;&gt;0,IF(Pricetype=1,(xSPRDOPT(P199,$E199,$CI199,0,($CD199+IF(Smile=TRUE(),VLOOKUP(MAX(-5,$H199-P199),Volsmile,2),0)),$CG199,$CH199,($A199-DateToday)+15,1,1))*(8*$HF199),8*$HF199),0)),0))</f>
        <v> </v>
      </c>
      <c r="AI199" s="318" t="str">
        <f aca="false">IF($A199="N/A"," ",IF(VLOOKUP(MONTH(A199),ManualTable,10)=1,(IF(Z199&lt;&gt;0,(8*($HF199)),0)),0))</f>
        <v> </v>
      </c>
      <c r="AJ199" s="344" t="str">
        <f aca="false">IF($A199="N/A"," ",RANK(R199,$R$196:$Z$207))</f>
        <v> </v>
      </c>
      <c r="AK199" s="321" t="str">
        <f aca="false">IF($A199="N/A"," ",RANK(S199,$R$196:$Z$207))</f>
        <v> </v>
      </c>
      <c r="AL199" s="321" t="str">
        <f aca="false">IF($A199="N/A"," ",RANK(T199,$R$196:$Z$207))</f>
        <v> </v>
      </c>
      <c r="AM199" s="321" t="str">
        <f aca="false">IF($A199="N/A"," ",RANK(U199,$R$196:$Z$207))</f>
        <v> </v>
      </c>
      <c r="AN199" s="321" t="str">
        <f aca="false">IF($A199="N/A"," ",RANK(V199,$R$196:$Z$207))</f>
        <v> </v>
      </c>
      <c r="AO199" s="321" t="str">
        <f aca="false">IF($A199="N/A"," ",RANK(W199,$R$196:$Z$207))</f>
        <v> </v>
      </c>
      <c r="AP199" s="321" t="str">
        <f aca="false">IF($A199="N/A"," ",RANK(X199,$R$196:$Z$207))</f>
        <v> </v>
      </c>
      <c r="AQ199" s="321" t="str">
        <f aca="false">IF($A199="N/A"," ",RANK(Y199,$R$196:$Z$207))</f>
        <v> </v>
      </c>
      <c r="AR199" s="345" t="str">
        <f aca="false">IF($A199="N/A"," ",RANK(Z199,$R$196:$Z$207))</f>
        <v> </v>
      </c>
      <c r="AS199" s="323" t="str">
        <f aca="false">IF($A199="N/A"," ",IF(AJ199&lt;=$AR$2,AA199,0))</f>
        <v> </v>
      </c>
      <c r="AT199" s="325" t="str">
        <f aca="false">IF($A199="N/A"," ",IF(AK199&lt;=$AR$2,AB199,0))</f>
        <v> </v>
      </c>
      <c r="AU199" s="325" t="str">
        <f aca="false">IF($A199="N/A"," ",IF(AL199&lt;=$AR$2,AC199,0))</f>
        <v> </v>
      </c>
      <c r="AV199" s="325" t="str">
        <f aca="false">IF($A199="N/A"," ",IF(AM199&lt;=$AR$2,AD199,0))</f>
        <v> </v>
      </c>
      <c r="AW199" s="325" t="str">
        <f aca="false">IF($A199="N/A"," ",IF(AN199&lt;=$AR$2,AE199,0))</f>
        <v> </v>
      </c>
      <c r="AX199" s="325" t="str">
        <f aca="false">IF($A199="N/A"," ",IF(AO199&lt;=$AR$2,AF199,0))</f>
        <v> </v>
      </c>
      <c r="AY199" s="325" t="str">
        <f aca="false">IF($A199="N/A"," ",IF(AP199&lt;=$AR$2,AG199,0))</f>
        <v> </v>
      </c>
      <c r="AZ199" s="325" t="str">
        <f aca="false">IF($A199="N/A"," ",IF(AQ199&lt;=$AR$2,AH199,0))</f>
        <v> </v>
      </c>
      <c r="BA199" s="325" t="str">
        <f aca="false">IF($A199="N/A"," ",IF(AR199&lt;=$AR$2,AI199,0))</f>
        <v> </v>
      </c>
      <c r="BB199" s="345"/>
      <c r="BC199" s="326" t="str">
        <f aca="false">IF($A199="N/A"," ",IF(AND(AJ199=$AR$2+1,AS199=0),MIN($BB$207,AA199),0))</f>
        <v> </v>
      </c>
      <c r="BD199" s="346" t="str">
        <f aca="false">IF($A199="N/A"," ",IF(AND(AK199=$AR$2+1,AT199=0),MIN($BB$207,AB199),0))</f>
        <v> </v>
      </c>
      <c r="BE199" s="346" t="str">
        <f aca="false">IF($A199="N/A"," ",IF(AND(AL199=$AR$2+1,AU199=0),MIN($BB$207,AC199),0))</f>
        <v> </v>
      </c>
      <c r="BF199" s="346" t="str">
        <f aca="false">IF($A199="N/A"," ",IF(AND(AM199=$AR$2+1,AV199=0),MIN($BB$207,AD199),0))</f>
        <v> </v>
      </c>
      <c r="BG199" s="346" t="str">
        <f aca="false">IF($A199="N/A"," ",IF(AND(AN199=$AR$2+1,AW199=0),MIN($BB$207,AE199),0))</f>
        <v> </v>
      </c>
      <c r="BH199" s="346" t="str">
        <f aca="false">IF($A199="N/A"," ",IF(AND(AO199=$AR$2+1,AX199=0),MIN($BB$207,AF199),0))</f>
        <v> </v>
      </c>
      <c r="BI199" s="346" t="str">
        <f aca="false">IF($A199="N/A"," ",IF(AND(AP199=$AR$2+1,AY199=0),MIN($BB$207,AG199),0))</f>
        <v> </v>
      </c>
      <c r="BJ199" s="346" t="str">
        <f aca="false">IF($A199="N/A"," ",IF(AND(AQ199=$AR$2+1,AZ199=0),MIN($BB$207,AH199),0))</f>
        <v> </v>
      </c>
      <c r="BK199" s="346" t="str">
        <f aca="false">IF($A199="N/A"," ",IF(AND(AR199=$AR$2+1,BA199=0),MIN($BB$207,AI199),0))</f>
        <v> </v>
      </c>
      <c r="BL199" s="345"/>
      <c r="BM199" s="329" t="str">
        <f aca="false">IF($A199="N/A"," ",(IF(MONTH(A199)&gt;=4,IF(MONTH(A199)&lt;=10,Inputs!$F$13-Inputs!$G$13,Inputs!$F$14-Inputs!$G$14),Inputs!$F$14-Inputs!$G$14))*$CK199*Availability)</f>
        <v> </v>
      </c>
      <c r="BN199" s="330" t="str">
        <f aca="false">IF($A199="N/A"," ",(IF(AS199&gt;0,($BM199*(8*($HD199))*R199),0)+IF(BC199&gt;0,($BM199*((BC199/AA199)*8*$HD199)*R199),0)))</f>
        <v> </v>
      </c>
      <c r="BO199" s="330" t="str">
        <f aca="false">IF($A199="N/A"," ",(IF(AT199&gt;0,($BM199*(8*($HD199))*S199),0)+IF(BD199&gt;0,($BM199*((BD199/AB199)*8*$HD199)*S199),0)))</f>
        <v> </v>
      </c>
      <c r="BP199" s="330" t="str">
        <f aca="false">IF($A199="N/A"," ",(IF(AU199&gt;0,($BM199*(8*($HD199))*T199),0)+IF(BE199&gt;0,($BM199*((BE199))*T199),0)))</f>
        <v> </v>
      </c>
      <c r="BQ199" s="330" t="str">
        <f aca="false">IF($A199="N/A"," ",(IF(AV199&gt;0,($BM199*(8*($HE199))*U199),0)+IF(BF199&gt;0,($BM199*((BF199/AD199)*8*$HE199)*U199),0)))</f>
        <v> </v>
      </c>
      <c r="BR199" s="330" t="str">
        <f aca="false">IF($A199="N/A"," ",(IF(AW199&gt;0,($BM199*(8*($HE199))*V199),0)+IF(BG199&gt;0,($BM199*((BG199/AE199)*8*$HE199)*V199),0)))</f>
        <v> </v>
      </c>
      <c r="BS199" s="330" t="str">
        <f aca="false">IF($A199="N/A"," ",(IF(AX199&gt;0,($BM199*(8*($HE199))*W199),0)+IF(BH199&gt;0,($BM199*((BH199))*W199),0)))</f>
        <v> </v>
      </c>
      <c r="BT199" s="330" t="str">
        <f aca="false">IF($A199="N/A"," ",(IF(AY199&gt;0,($BM199*(8*($HF199))*X199),0)+IF(BI199&gt;0,($BM199*((BI199/AG199)*8*$HF199)*X199),0)))</f>
        <v> </v>
      </c>
      <c r="BU199" s="330" t="str">
        <f aca="false">IF($A199="N/A"," ",(IF(AZ199&gt;0,($BM199*(8*($HF199))*Y199),0)+IF(BJ199&gt;0,($BM199*((BJ199/AH199)*8*$HF199)*Y199),0)))</f>
        <v> </v>
      </c>
      <c r="BV199" s="330" t="str">
        <f aca="false">IF($A199="N/A"," ",(IF(BA199&gt;0,($BM199*(8*($HF199))*Z199),0)+IF(BK199&gt;0,($BM199*((BK199))*Z199),0)))</f>
        <v> </v>
      </c>
      <c r="BW199" s="330" t="str">
        <f aca="false">IF($A199="N/A"," ",SUM(BN199:BV199))</f>
        <v> </v>
      </c>
      <c r="BX199" s="331" t="str">
        <f aca="false">IF($A199="N/A"," ",(H199*(SUM(AS199:BA199)+SUM(BC199:BK199))*BM199))</f>
        <v> </v>
      </c>
      <c r="BY199" s="332" t="str">
        <f aca="false">IF($A199="N/A"," ",((C199*D199)*(SUM($AS199:$BA199)+SUM($BC199:$BK199))*$BM199))</f>
        <v> </v>
      </c>
      <c r="BZ199" s="332" t="str">
        <f aca="false">IF($A199="N/A"," ",(F199*(SUM($AS199:$BA199)+SUM($BC199:$BK199))*$BM199))</f>
        <v> </v>
      </c>
      <c r="CA199" s="333" t="str">
        <f aca="false">IF($A199="N/A"," ",(G199*(SUM($AS199:$BA199)+SUM($BC199:$BK199))*$BM199))</f>
        <v> </v>
      </c>
      <c r="CB199" s="334" t="str">
        <f aca="false">IF(A199="N/A"," ",(VLOOKUP(A199,PowerVolTable,(IF(BMO=2,7,IF(BMO=1,6,8))),FALSE())))</f>
        <v> </v>
      </c>
      <c r="CC199" s="334" t="str">
        <f aca="false">IF(A199="N/A"," ",(VLOOKUP(A199,IntraPowerVol,(IF(BMO=2,3,IF(BMO=1,2,4))),FALSE())*VLOOKUP(MONTH($A199),Volscale,2)))</f>
        <v> </v>
      </c>
      <c r="CD199" s="335" t="str">
        <f aca="false">IF($A199="N/A"," ",(IF(DateToday&gt;$A199,$CC199,((($CB199^2)*((($A199-1)-DateToday)/((EOMONTH($A199,0)+1)-DateToday-15)))+((($CC199)^2)*((15)/((EOMONTH($A199,0)+1)-DateToday-15))))^0.5)))</f>
        <v> </v>
      </c>
      <c r="CE199" s="334" t="str">
        <f aca="false">IF($A199="N/A"," ",(VLOOKUP($A199,GasVolTable,(IF(BMO=2,6,IF(BMO=1,7,5))),FALSE())))</f>
        <v> </v>
      </c>
      <c r="CF199" s="334" t="str">
        <f aca="false">IF($A199="N/A"," ",(VLOOKUP($A199,OmicronVol,(IF(BMO=2,3,IF(BMO=1,4,2))),FALSE())))</f>
        <v> </v>
      </c>
      <c r="CG199" s="335" t="str">
        <f aca="false">IF($A199="N/A"," ",(IF(DateToday&gt;$A199,$CF199,((($CE199^2)*((($A199-1)-DateToday)/((EOMONTH($A199,0)+1)-DateToday-15)))+((($CF199)^2)*((15)/((EOMONTH($A199,0)+1)-DateToday-15))))^0.5)))</f>
        <v> </v>
      </c>
      <c r="CH199" s="334" t="str">
        <f aca="false">IF($A199="N/A"," ",VLOOKUP($A199,CorrelationTable,2,FALSE()))</f>
        <v> </v>
      </c>
      <c r="CI199" s="336" t="str">
        <f aca="false">IF($A199="N/A"," ",F199+G199+(D199*('Pricing Inputs'!T232)))</f>
        <v> </v>
      </c>
      <c r="CJ199" s="334" t="str">
        <f aca="false">IF($A199="N/A"," ",IF(PV=1,0,'Pricing Inputs'!U232))</f>
        <v> </v>
      </c>
      <c r="CK199" s="337" t="str">
        <f aca="false">IF($A199="N/A"," ",(1+CJ199/2)^(-2*((EOMONTH(A199,0)+20)-DateToday)/365.25))</f>
        <v> </v>
      </c>
      <c r="CL199" s="338" t="str">
        <f aca="false">IF(A199="N/A"," ",IF(CC=2,(VLOOKUP(MONTH($A199),Hrtable,3))/1000,0))</f>
        <v> </v>
      </c>
      <c r="CM199" s="339" t="str">
        <f aca="false">IF(A199="N/A"," ",IF(CC=2,(CL199*C199)+F199,0))</f>
        <v> </v>
      </c>
      <c r="CN199" s="340" t="str">
        <f aca="false">IF($A199="N/A"," ",IF(CC=2,(VLOOKUP(A199,ScaledPrice,(IF(AND(Dayrun&gt;=1,Dayrun&lt;=6),2,4)))-((IF(R199&lt;&gt;0,$D199,$CL199)*$C199)+$F199+$G199)),0))</f>
        <v> </v>
      </c>
      <c r="CO199" s="340" t="str">
        <f aca="false">IF($A199="N/A"," ",IF(CC=2,(IF(AND(Dayrun&gt;=1,Dayrun&lt;=6),I199,(VLOOKUP(A199,ScaledPrice,2))*(2-(VLOOKUP(A199,ScaledPrice,3))))-((IF(S199&lt;&gt;0,$D199,$CL199)*$C199)+$F199+$G199)),0))</f>
        <v> </v>
      </c>
      <c r="CP199" s="340" t="str">
        <f aca="false">IF(A199="N/A"," ",IF(CC=2,(VLOOKUP(A199,ScaledPrice,9)-((IF(T199&lt;&gt;0,$D199,$CL199)*$C199)+$F199+$G199)),0))</f>
        <v> </v>
      </c>
      <c r="CQ199" s="340" t="str">
        <f aca="false">IF(A199="N/A"," ",IF(CC=2,(IF(OR(Dayrun=2,Dayrun=3,Dayrun=5,Dayrun=6,Dayrun=8,Dayrun=9),VLOOKUP(A199,ScaledPrice,IF(AND(Dayrun&gt;=2,Dayrun&lt;=6),5,6)),0)-((IF(U199&lt;&gt;0,$D199,$CL199)*$C199)+$F199+$G199)),0))</f>
        <v> </v>
      </c>
      <c r="CR199" s="340" t="str">
        <f aca="false">IF(A199="N/A"," ",IF(CC=2,(IF(OR(Dayrun=2,Dayrun=3,Dayrun=5,Dayrun=6,Dayrun=8,Dayrun=9),IF(AND(Dayrun&gt;=2,Dayrun&lt;=6),L199,(VLOOKUP(A199,ScaledPrice,5))*(2-(VLOOKUP(A199,ScaledPrice,3)))),0)-((IF(V199&lt;&gt;0,$D199,$CL199)*$C199)+$F199+$G199)),0))</f>
        <v> </v>
      </c>
      <c r="CS199" s="340" t="str">
        <f aca="false">IF(A199="N/A"," ",IF(CC=2,(VLOOKUP(A199,ScaledPrice,9)-((IF(W199&lt;&gt;0,$D199,$CL199)*$C199)+$F199+$G199)),0))</f>
        <v> </v>
      </c>
      <c r="CT199" s="340" t="str">
        <f aca="false">IF(A199="N/A"," ",IF(CC=2,(IF(OR(Dayrun=3,Dayrun=6,Dayrun=9),(VLOOKUP(A199,ScaledPrice,IF(AND(Dayrun&gt;=3,Dayrun&lt;=6),7,8))),0)-((IF(X199&lt;&gt;0,$D199,$CL199)*$C199)+$F199+$G199)),0))</f>
        <v> </v>
      </c>
      <c r="CU199" s="340" t="str">
        <f aca="false">IF(A199="N/A"," ",IF(CC=2,(IF(OR(Dayrun=3,Dayrun=6,Dayrun=9),IF(AND(Dayrun&gt;=3,Dayrun&lt;=6),O199,(VLOOKUP(A199,ScaledPrice,7))*(2-(VLOOKUP(A199,ScaledPrice,3)))),0)-((IF(Y199&lt;&gt;0,$D199,$CL199)*$C199)+$F199+$G199)),0))</f>
        <v> </v>
      </c>
      <c r="CV199" s="340" t="str">
        <f aca="false">IF(A199="N/A"," ",IF(CC=2,(VLOOKUP(A199,ScaledPrice,9)-((IF(Z199&lt;&gt;0,$D199,$CL199)*$C199)+$F199+$G199)),0))</f>
        <v> </v>
      </c>
      <c r="CW199" s="318" t="str">
        <f aca="false">IF($A199="N/A"," ",IF(0&lt;&gt;CN199,IF(CC=2,8*$HD199,0),0))</f>
        <v> </v>
      </c>
      <c r="CX199" s="318" t="str">
        <f aca="false">IF($A199="N/A"," ",IF(0&lt;&gt;CO199,IF(CC=2,8*$HD199,0),0))</f>
        <v> </v>
      </c>
      <c r="CY199" s="318" t="str">
        <f aca="false">IF($A199="N/A"," ",IF(0&lt;&gt;CP199,IF(CC=2,8*$HD199,0),0))</f>
        <v> </v>
      </c>
      <c r="CZ199" s="318" t="str">
        <f aca="false">IF($A199="N/A"," ",IF(0&lt;&gt;CQ199,IF(CC=2,8*$HE199,0),0))</f>
        <v> </v>
      </c>
      <c r="DA199" s="318" t="str">
        <f aca="false">IF($A199="N/A"," ",IF(0&lt;&gt;CR199,IF(CC=2,8*$HE199,0),0))</f>
        <v> </v>
      </c>
      <c r="DB199" s="318" t="str">
        <f aca="false">IF($A199="N/A"," ",IF(0&lt;&gt;CS199,IF(CC=2,8*$HE199,0),0))</f>
        <v> </v>
      </c>
      <c r="DC199" s="318" t="str">
        <f aca="false">IF($A199="N/A"," ",IF(0&lt;&gt;CT199,IF(CC=2,8*$HF199,0),0))</f>
        <v> </v>
      </c>
      <c r="DD199" s="318" t="str">
        <f aca="false">IF($A199="N/A"," ",IF(0&lt;&gt;CU199,IF(CC=2,8*$HF199,0),0))</f>
        <v> </v>
      </c>
      <c r="DE199" s="318" t="str">
        <f aca="false">IF($A199="N/A"," ",IF(0&lt;&gt;CV199,IF(CC=2,8*$HF199,0),0))</f>
        <v> </v>
      </c>
      <c r="DF199" s="341" t="str">
        <f aca="false">IF($A199="N/A"," ",IF(CC=2,(IF(MONTH(A199)&gt;=4,IF(MONTH(A199)&lt;=10,Inputs!$G$13,Inputs!$G$14),Inputs!$G$14))*$CK199,0))</f>
        <v> </v>
      </c>
      <c r="DG199" s="342" t="str">
        <f aca="false">IF($A199="N/A"," ",IF(CC=2,$DF199*CW199*CN199,0))</f>
        <v> </v>
      </c>
      <c r="DH199" s="342" t="str">
        <f aca="false">IF($A199="N/A"," ",IF(CC=2,$DF199*CX199*CO199,0))</f>
        <v> </v>
      </c>
      <c r="DI199" s="342" t="str">
        <f aca="false">IF($A199="N/A"," ",IF(CC=2,$DF199*CY199*CP199,0))</f>
        <v> </v>
      </c>
      <c r="DJ199" s="342" t="str">
        <f aca="false">IF($A199="N/A"," ",IF(CC=2,$DF199*CZ199*CQ199,0))</f>
        <v> </v>
      </c>
      <c r="DK199" s="342" t="str">
        <f aca="false">IF($A199="N/A"," ",IF(CC=2,$DF199*DA199*CR199,0))</f>
        <v> </v>
      </c>
      <c r="DL199" s="342" t="str">
        <f aca="false">IF($A199="N/A"," ",IF(CC=2,$DF199*DB199*CS199,0))</f>
        <v> </v>
      </c>
      <c r="DM199" s="342" t="str">
        <f aca="false">IF($A199="N/A"," ",IF(CC=2,$DF199*DC199*CT199,0))</f>
        <v> </v>
      </c>
      <c r="DN199" s="342" t="str">
        <f aca="false">IF($A199="N/A"," ",IF(CC=2,$DF199*DD199*CU199,0))</f>
        <v> </v>
      </c>
      <c r="DO199" s="342" t="str">
        <f aca="false">IF($A199="N/A"," ",IF(CC=2,$DF199*DE199*CV199,0))</f>
        <v> </v>
      </c>
      <c r="DP199" s="343" t="str">
        <f aca="false">IF($A199="N/A"," ",IF(CC=2,SUM(DG199:DO199),0))</f>
        <v> </v>
      </c>
      <c r="DQ199" s="0" t="str">
        <f aca="false">IF(A199="N/A"," ",Perstart)</f>
        <v> </v>
      </c>
      <c r="HD199" s="0" t="str">
        <f aca="false">IF($A199="N/A"," ",VLOOKUP($A199,NumberofDaysTable,2))</f>
        <v> </v>
      </c>
      <c r="HE199" s="0" t="str">
        <f aca="false">IF($A199="N/A"," ",VLOOKUP($A199,NumberofDaysTable,3))</f>
        <v> </v>
      </c>
      <c r="HF199" s="0" t="str">
        <f aca="false">IF($A199="N/A"," ",VLOOKUP($A199,NumberofDaysTable,4))</f>
        <v> </v>
      </c>
    </row>
    <row r="200" customFormat="false" ht="12.75" hidden="false" customHeight="false" outlineLevel="0" collapsed="false">
      <c r="A200" s="308" t="str">
        <f aca="false">IF(A199="N/A","N/A",IF(EDATE(A199,1)&gt;Inputs!$K$3,"N/A",EDATE(A199,1)))</f>
        <v>N/A</v>
      </c>
      <c r="B200" s="309" t="str">
        <f aca="false">IF(A200="N/A"," ",YEAR(A200))</f>
        <v> </v>
      </c>
      <c r="C200" s="310" t="str">
        <f aca="false">IF(A200="N/A"," ",VLOOKUP(A200,ScaledPrice,10))</f>
        <v> </v>
      </c>
      <c r="D200" s="311" t="str">
        <f aca="false">IF(A200="N/A"," ",(VLOOKUP(MONTH($A200),Hrtable,2))/1000)</f>
        <v> </v>
      </c>
      <c r="E200" s="312" t="str">
        <f aca="false">IF($A200="N/A"," ",(C200-'Pricing Inputs'!T233)*D200)</f>
        <v> </v>
      </c>
      <c r="F200" s="313" t="str">
        <f aca="false">IF(A200="N/A"," ",$F188*(1+VOMesc))</f>
        <v> </v>
      </c>
      <c r="G200" s="313" t="str">
        <f aca="false">IF(A200="N/A"," ",Perstart/IF(AND(Dayrun&gt;=4,Dayrun&lt;=6),16,IF(AND(Dayrun&gt;=7,Dayrun&lt;=9),8,24))/(BM200/CK200))</f>
        <v> </v>
      </c>
      <c r="H200" s="314" t="str">
        <f aca="false">IF(A200="N/A"," ",(C200*D200)+F200+G200)</f>
        <v> </v>
      </c>
      <c r="I200" s="315" t="str">
        <f aca="false">VLOOKUP(A200,ScaledPrice,(IF(AND(Dayrun&gt;=1,Dayrun&lt;=6),2,4)))</f>
        <v> </v>
      </c>
      <c r="J200" s="315" t="str">
        <f aca="false">IF(A200="N/A"," ",IF(AND(Dayrun&gt;=1,Dayrun&lt;=6),I200,(VLOOKUP(A200,ScaledPrice,2))*(2-(VLOOKUP(A200,ScaledPrice,3)))))</f>
        <v> </v>
      </c>
      <c r="K200" s="315" t="str">
        <f aca="false">IF(A200="N/A"," ",IF(AND(Dayrun&gt;=1,Dayrun&lt;=3),VLOOKUP(A200,ScaledPrice,9),0))</f>
        <v> </v>
      </c>
      <c r="L200" s="315" t="str">
        <f aca="false">IF(A200="N/A"," ",IF(OR(Dayrun=2,Dayrun=3,Dayrun=5,Dayrun=6,Dayrun=8,Dayrun=9),VLOOKUP(A200,ScaledPrice,IF(AND(Dayrun&gt;=2,Dayrun&lt;=6),5,6)),0))</f>
        <v> </v>
      </c>
      <c r="M200" s="315" t="str">
        <f aca="false">IF(A200="N/A"," ",IF(OR(Dayrun=2,Dayrun=3,Dayrun=5,Dayrun=6,Dayrun=8,Dayrun=9),IF(AND(Dayrun&gt;=2,Dayrun&lt;=6),L200,(VLOOKUP(A200,ScaledPrice,5))*(2-(VLOOKUP(A200,ScaledPrice,3)))),0))</f>
        <v> </v>
      </c>
      <c r="N200" s="315" t="str">
        <f aca="false">IF(A200="N/A"," ",IF(AND(Dayrun&gt;1,Dayrun&lt;=3),VLOOKUP(A200,ScaledPrice,9),0))</f>
        <v> </v>
      </c>
      <c r="O200" s="315" t="str">
        <f aca="false">IF(A200="N/A"," ",IF(OR(Dayrun=3,Dayrun=6,Dayrun=9),(VLOOKUP(A200,ScaledPrice,IF(AND(Dayrun&gt;=3,Dayrun&lt;=6),7,8))),0))</f>
        <v> </v>
      </c>
      <c r="P200" s="315" t="str">
        <f aca="false">IF(A200="N/A"," ",IF(OR(Dayrun=3,Dayrun=6,Dayrun=9),IF(AND(Dayrun&gt;=3,Dayrun&lt;=6),O200,(VLOOKUP(A200,ScaledPrice,7))*(2-(VLOOKUP(A200,ScaledPrice,3)))),0))</f>
        <v> </v>
      </c>
      <c r="Q200" s="315" t="str">
        <f aca="false">IF(A200="N/A"," ",IF(AND(Dayrun&gt;2,Dayrun&lt;=3),VLOOKUP(A200,ScaledPrice,9),0))</f>
        <v> </v>
      </c>
      <c r="R200" s="316" t="str">
        <f aca="false">IF($A200="N/A"," ",IF(Pricetype=2,MAX(I200-$H200,0),IF(Pricetype=1,(xSPRDOPT(I200,$E200,$CI200,0,($CD200+IF(Smile=TRUE(),VLOOKUP(MAX(-5,$H200-I200),Volsmile,2),0)),$CG200,$CH200,($A200-DateToday)+15,1,0)),I200-$H200)))</f>
        <v> </v>
      </c>
      <c r="S200" s="316" t="str">
        <f aca="false">IF($A200="N/A"," ",IF(Pricetype=2,MAX(J200-$H200,0),IF(Pricetype=1,(xSPRDOPT(J200,$E200,$CI200,0,($CD200+IF(Smile=TRUE(),VLOOKUP(MAX(-5,$H200-J200),Volsmile,2),0)),$CG200,$CH200,($A200-DateToday)+15,1,0)),J200-$H200)))</f>
        <v> </v>
      </c>
      <c r="T200" s="317" t="str">
        <f aca="false">IF($A200="N/A"," ",(IF(Pricetype=2,IF((K200-$H200)&lt;=0,0,(K200-$H200)),IF(K200&lt;&gt;0,(K200-$H200),0))))</f>
        <v> </v>
      </c>
      <c r="U200" s="316" t="str">
        <f aca="false">IF($A200="N/A"," ",IF(Pricetype=2,MAX(L200-$H200,0),IF(L200&lt;&gt;0,IF(Pricetype=1,(xSPRDOPT(L200,$E200,$CI200,0,($CD200+IF(Smile=TRUE(),VLOOKUP(MAX(-5,$H200-L200),Volsmile,2),0)),$CG200,$CH200,($A200-DateToday)+15,1,0)),L200-$H200),0)))</f>
        <v> </v>
      </c>
      <c r="V200" s="316" t="str">
        <f aca="false">IF($A200="N/A"," ",IF(Pricetype=2,MAX(M200-$H200,0),IF(M200&lt;&gt;0,IF(Pricetype=1,(xSPRDOPT(M200,$E200,$CI200,0,($CD200+IF(Smile=TRUE(),VLOOKUP(MAX(-5,$H200-M200),Volsmile,2),0)),$CG200,$CH200,($A200-DateToday)+15,1,0)),M200-$H200),0)))</f>
        <v> </v>
      </c>
      <c r="W200" s="317" t="str">
        <f aca="false">IF($A200="N/A"," ",(IF(Pricetype=2,IF((N200-$H200)&lt;=0,0,(N200-$H200)),IF(N200&lt;&gt;0,(N200-$H200),0))))</f>
        <v> </v>
      </c>
      <c r="X200" s="316" t="str">
        <f aca="false">IF($A200="N/A"," ",IF(Pricetype=2,MAX(O200-$H200,0),IF(O200&lt;&gt;0,IF(Pricetype=1,(xSPRDOPT(O200,$E200,$CI200,0,($CD200+IF(Smile=TRUE(),VLOOKUP(MAX(-5,$H200-O200),Volsmile,2),0)),$CG200,$CH200,($A200-DateToday)+15,1,0)),O200-$H200),0)))</f>
        <v> </v>
      </c>
      <c r="Y200" s="316" t="str">
        <f aca="false">IF($A200="N/A"," ",IF(Pricetype=2,MAX(P200-$H200,0),IF(P200&lt;&gt;0,IF(Pricetype=1,(xSPRDOPT(P200,$E200,$CI200,0,($CD200+IF(Smile=TRUE(),VLOOKUP(MAX(-5,$H200-P200),Volsmile,2),0)),$CG200,$CH200,($A200-DateToday)+15,1,0)),P200-$H200),0)))</f>
        <v> </v>
      </c>
      <c r="Z200" s="317" t="str">
        <f aca="false">IF($A200="N/A"," ",(IF(Pricetype=2,IF((Q200-$H200)&lt;=0,0,(Q200-$H200)),IF(Q200&lt;&gt;0,(Q200-$H200),0))))</f>
        <v> </v>
      </c>
      <c r="AA200" s="318" t="str">
        <f aca="false">IF($A200="N/A"," ",IF(VLOOKUP(MONTH(A200),ManualTable,2)=1,(IF(0&lt;&gt;R200,IF(Pricetype=1,(xSPRDOPT(I200,$E200,$CI200,0,($CD200+IF(Smile=TRUE(),VLOOKUP(MAX(-5,$H200-I200),Volsmile,2),0)),$CG200,$CH200,($A200-DateToday)+15,1,1))*(8*$HD200),8*$HD200),0)),0))</f>
        <v> </v>
      </c>
      <c r="AB200" s="318" t="str">
        <f aca="false">IF($A200="N/A"," ",IF(VLOOKUP(MONTH(A200),ManualTable,3)=1,(IF(S200&lt;&gt;0,IF(Pricetype=1,(xSPRDOPT(J200,$E200,$CI200,0,($CD200+IF(Smile=TRUE(),VLOOKUP(MAX(-5,$H200-J200),Volsmile,2),0)),$CG200,$CH200,($A200-DateToday)+15,1,1))*(8*$HD200),8*$HD200),0)),0))</f>
        <v> </v>
      </c>
      <c r="AC200" s="318" t="str">
        <f aca="false">IF($A200="N/A"," ",IF(VLOOKUP(MONTH(A200),ManualTable,4)=1,(IF(T200&lt;&gt;0,(8*$HD200),0)),0))</f>
        <v> </v>
      </c>
      <c r="AD200" s="318" t="str">
        <f aca="false">IF($A200="N/A"," ",IF(VLOOKUP(MONTH(A200),ManualTable,5)=1,(IF(U200&lt;&gt;0,IF(Pricetype=1,(xSPRDOPT(L200,$E200,$CI200,0,($CD200+IF(Smile=TRUE(),VLOOKUP(MAX(-5,$H200-L200),Volsmile,2),0)),$CG200,$CH200,($A200-DateToday)+15,1,1))*(8*$HE200),8*$HE200),0)),0))</f>
        <v> </v>
      </c>
      <c r="AE200" s="318" t="str">
        <f aca="false">IF($A200="N/A"," ",IF(VLOOKUP(MONTH(A200),ManualTable,6)=1,(IF(V200&lt;&gt;0,IF(Pricetype=1,(xSPRDOPT(M200,$E200,$CI200,0,($CD200+IF(Smile=TRUE(),VLOOKUP(MAX(-5,$H200-M200),Volsmile,2),0)),$CG200,$CH200,($A200-DateToday)+15,1,1))*(8*$HE200),8*$HE200),0)),0))</f>
        <v> </v>
      </c>
      <c r="AF200" s="318" t="str">
        <f aca="false">IF($A200="N/A"," ",IF(VLOOKUP(MONTH(A200),ManualTable,7)=1,(IF(W200&lt;&gt;0,(8*$HE200),0)),0))</f>
        <v> </v>
      </c>
      <c r="AG200" s="318" t="str">
        <f aca="false">IF($A200="N/A"," ",IF(VLOOKUP(MONTH(A200),ManualTable,8)=1,(IF(X200&lt;&gt;0,IF(Pricetype=1,(xSPRDOPT(O200,$E200,$CI200,0,($CD200+IF(Smile=TRUE(),VLOOKUP(MAX(-5,$H200-O200),Volsmile,2),0)),$CG200,$CH200,($A200-DateToday)+15,1,1))*(8*$HF200),8*$HF200),0)),0))</f>
        <v> </v>
      </c>
      <c r="AH200" s="318" t="str">
        <f aca="false">IF($A200="N/A"," ",IF(VLOOKUP(MONTH(A200),ManualTable,9)=1,(IF(Y200&lt;&gt;0,IF(Pricetype=1,(xSPRDOPT(P200,$E200,$CI200,0,($CD200+IF(Smile=TRUE(),VLOOKUP(MAX(-5,$H200-P200),Volsmile,2),0)),$CG200,$CH200,($A200-DateToday)+15,1,1))*(8*$HF200),8*$HF200),0)),0))</f>
        <v> </v>
      </c>
      <c r="AI200" s="318" t="str">
        <f aca="false">IF($A200="N/A"," ",IF(VLOOKUP(MONTH(A200),ManualTable,10)=1,(IF(Z200&lt;&gt;0,(8*($HF200)),0)),0))</f>
        <v> </v>
      </c>
      <c r="AJ200" s="344" t="str">
        <f aca="false">IF($A200="N/A"," ",RANK(R200,$R$196:$Z$207))</f>
        <v> </v>
      </c>
      <c r="AK200" s="321" t="str">
        <f aca="false">IF($A200="N/A"," ",RANK(S200,$R$196:$Z$207))</f>
        <v> </v>
      </c>
      <c r="AL200" s="321" t="str">
        <f aca="false">IF($A200="N/A"," ",RANK(T200,$R$196:$Z$207))</f>
        <v> </v>
      </c>
      <c r="AM200" s="321" t="str">
        <f aca="false">IF($A200="N/A"," ",RANK(U200,$R$196:$Z$207))</f>
        <v> </v>
      </c>
      <c r="AN200" s="321" t="str">
        <f aca="false">IF($A200="N/A"," ",RANK(V200,$R$196:$Z$207))</f>
        <v> </v>
      </c>
      <c r="AO200" s="321" t="str">
        <f aca="false">IF($A200="N/A"," ",RANK(W200,$R$196:$Z$207))</f>
        <v> </v>
      </c>
      <c r="AP200" s="321" t="str">
        <f aca="false">IF($A200="N/A"," ",RANK(X200,$R$196:$Z$207))</f>
        <v> </v>
      </c>
      <c r="AQ200" s="321" t="str">
        <f aca="false">IF($A200="N/A"," ",RANK(Y200,$R$196:$Z$207))</f>
        <v> </v>
      </c>
      <c r="AR200" s="345" t="str">
        <f aca="false">IF($A200="N/A"," ",RANK(Z200,$R$196:$Z$207))</f>
        <v> </v>
      </c>
      <c r="AS200" s="323" t="str">
        <f aca="false">IF($A200="N/A"," ",IF(AJ200&lt;=$AR$2,AA200,0))</f>
        <v> </v>
      </c>
      <c r="AT200" s="325" t="str">
        <f aca="false">IF($A200="N/A"," ",IF(AK200&lt;=$AR$2,AB200,0))</f>
        <v> </v>
      </c>
      <c r="AU200" s="325" t="str">
        <f aca="false">IF($A200="N/A"," ",IF(AL200&lt;=$AR$2,AC200,0))</f>
        <v> </v>
      </c>
      <c r="AV200" s="325" t="str">
        <f aca="false">IF($A200="N/A"," ",IF(AM200&lt;=$AR$2,AD200,0))</f>
        <v> </v>
      </c>
      <c r="AW200" s="325" t="str">
        <f aca="false">IF($A200="N/A"," ",IF(AN200&lt;=$AR$2,AE200,0))</f>
        <v> </v>
      </c>
      <c r="AX200" s="325" t="str">
        <f aca="false">IF($A200="N/A"," ",IF(AO200&lt;=$AR$2,AF200,0))</f>
        <v> </v>
      </c>
      <c r="AY200" s="325" t="str">
        <f aca="false">IF($A200="N/A"," ",IF(AP200&lt;=$AR$2,AG200,0))</f>
        <v> </v>
      </c>
      <c r="AZ200" s="325" t="str">
        <f aca="false">IF($A200="N/A"," ",IF(AQ200&lt;=$AR$2,AH200,0))</f>
        <v> </v>
      </c>
      <c r="BA200" s="325" t="str">
        <f aca="false">IF($A200="N/A"," ",IF(AR200&lt;=$AR$2,AI200,0))</f>
        <v> </v>
      </c>
      <c r="BB200" s="345"/>
      <c r="BC200" s="326" t="str">
        <f aca="false">IF($A200="N/A"," ",IF(AND(AJ200=$AR$2+1,AS200=0),MIN($BB$207,AA200),0))</f>
        <v> </v>
      </c>
      <c r="BD200" s="346" t="str">
        <f aca="false">IF($A200="N/A"," ",IF(AND(AK200=$AR$2+1,AT200=0),MIN($BB$207,AB200),0))</f>
        <v> </v>
      </c>
      <c r="BE200" s="346" t="str">
        <f aca="false">IF($A200="N/A"," ",IF(AND(AL200=$AR$2+1,AU200=0),MIN($BB$207,AC200),0))</f>
        <v> </v>
      </c>
      <c r="BF200" s="346" t="str">
        <f aca="false">IF($A200="N/A"," ",IF(AND(AM200=$AR$2+1,AV200=0),MIN($BB$207,AD200),0))</f>
        <v> </v>
      </c>
      <c r="BG200" s="346" t="str">
        <f aca="false">IF($A200="N/A"," ",IF(AND(AN200=$AR$2+1,AW200=0),MIN($BB$207,AE200),0))</f>
        <v> </v>
      </c>
      <c r="BH200" s="346" t="str">
        <f aca="false">IF($A200="N/A"," ",IF(AND(AO200=$AR$2+1,AX200=0),MIN($BB$207,AF200),0))</f>
        <v> </v>
      </c>
      <c r="BI200" s="346" t="str">
        <f aca="false">IF($A200="N/A"," ",IF(AND(AP200=$AR$2+1,AY200=0),MIN($BB$207,AG200),0))</f>
        <v> </v>
      </c>
      <c r="BJ200" s="346" t="str">
        <f aca="false">IF($A200="N/A"," ",IF(AND(AQ200=$AR$2+1,AZ200=0),MIN($BB$207,AH200),0))</f>
        <v> </v>
      </c>
      <c r="BK200" s="346" t="str">
        <f aca="false">IF($A200="N/A"," ",IF(AND(AR200=$AR$2+1,BA200=0),MIN($BB$207,AI200),0))</f>
        <v> </v>
      </c>
      <c r="BL200" s="345"/>
      <c r="BM200" s="329" t="str">
        <f aca="false">IF($A200="N/A"," ",(IF(MONTH(A200)&gt;=4,IF(MONTH(A200)&lt;=10,Inputs!$F$13-Inputs!$G$13,Inputs!$F$14-Inputs!$G$14),Inputs!$F$14-Inputs!$G$14))*$CK200*Availability)</f>
        <v> </v>
      </c>
      <c r="BN200" s="330" t="str">
        <f aca="false">IF($A200="N/A"," ",(IF(AS200&gt;0,($BM200*(8*($HD200))*R200),0)+IF(BC200&gt;0,($BM200*((BC200/AA200)*8*$HD200)*R200),0)))</f>
        <v> </v>
      </c>
      <c r="BO200" s="330" t="str">
        <f aca="false">IF($A200="N/A"," ",(IF(AT200&gt;0,($BM200*(8*($HD200))*S200),0)+IF(BD200&gt;0,($BM200*((BD200/AB200)*8*$HD200)*S200),0)))</f>
        <v> </v>
      </c>
      <c r="BP200" s="330" t="str">
        <f aca="false">IF($A200="N/A"," ",(IF(AU200&gt;0,($BM200*(8*($HD200))*T200),0)+IF(BE200&gt;0,($BM200*((BE200))*T200),0)))</f>
        <v> </v>
      </c>
      <c r="BQ200" s="330" t="str">
        <f aca="false">IF($A200="N/A"," ",(IF(AV200&gt;0,($BM200*(8*($HE200))*U200),0)+IF(BF200&gt;0,($BM200*((BF200/AD200)*8*$HE200)*U200),0)))</f>
        <v> </v>
      </c>
      <c r="BR200" s="330" t="str">
        <f aca="false">IF($A200="N/A"," ",(IF(AW200&gt;0,($BM200*(8*($HE200))*V200),0)+IF(BG200&gt;0,($BM200*((BG200/AE200)*8*$HE200)*V200),0)))</f>
        <v> </v>
      </c>
      <c r="BS200" s="330" t="str">
        <f aca="false">IF($A200="N/A"," ",(IF(AX200&gt;0,($BM200*(8*($HE200))*W200),0)+IF(BH200&gt;0,($BM200*((BH200))*W200),0)))</f>
        <v> </v>
      </c>
      <c r="BT200" s="330" t="str">
        <f aca="false">IF($A200="N/A"," ",(IF(AY200&gt;0,($BM200*(8*($HF200))*X200),0)+IF(BI200&gt;0,($BM200*((BI200/AG200)*8*$HF200)*X200),0)))</f>
        <v> </v>
      </c>
      <c r="BU200" s="330" t="str">
        <f aca="false">IF($A200="N/A"," ",(IF(AZ200&gt;0,($BM200*(8*($HF200))*Y200),0)+IF(BJ200&gt;0,($BM200*((BJ200/AH200)*8*$HF200)*Y200),0)))</f>
        <v> </v>
      </c>
      <c r="BV200" s="330" t="str">
        <f aca="false">IF($A200="N/A"," ",(IF(BA200&gt;0,($BM200*(8*($HF200))*Z200),0)+IF(BK200&gt;0,($BM200*((BK200))*Z200),0)))</f>
        <v> </v>
      </c>
      <c r="BW200" s="330" t="str">
        <f aca="false">IF($A200="N/A"," ",SUM(BN200:BV200))</f>
        <v> </v>
      </c>
      <c r="BX200" s="331" t="str">
        <f aca="false">IF($A200="N/A"," ",(H200*(SUM(AS200:BA200)+SUM(BC200:BK200))*BM200))</f>
        <v> </v>
      </c>
      <c r="BY200" s="332" t="str">
        <f aca="false">IF($A200="N/A"," ",((C200*D200)*(SUM($AS200:$BA200)+SUM($BC200:$BK200))*$BM200))</f>
        <v> </v>
      </c>
      <c r="BZ200" s="332" t="str">
        <f aca="false">IF($A200="N/A"," ",(F200*(SUM($AS200:$BA200)+SUM($BC200:$BK200))*$BM200))</f>
        <v> </v>
      </c>
      <c r="CA200" s="333" t="str">
        <f aca="false">IF($A200="N/A"," ",(G200*(SUM($AS200:$BA200)+SUM($BC200:$BK200))*$BM200))</f>
        <v> </v>
      </c>
      <c r="CB200" s="334" t="str">
        <f aca="false">IF(A200="N/A"," ",(VLOOKUP(A200,PowerVolTable,(IF(BMO=2,7,IF(BMO=1,6,8))),FALSE())))</f>
        <v> </v>
      </c>
      <c r="CC200" s="334" t="str">
        <f aca="false">IF(A200="N/A"," ",(VLOOKUP(A200,IntraPowerVol,(IF(BMO=2,3,IF(BMO=1,2,4))),FALSE())*VLOOKUP(MONTH($A200),Volscale,2)))</f>
        <v> </v>
      </c>
      <c r="CD200" s="335" t="str">
        <f aca="false">IF($A200="N/A"," ",(IF(DateToday&gt;$A200,$CC200,((($CB200^2)*((($A200-1)-DateToday)/((EOMONTH($A200,0)+1)-DateToday-15)))+((($CC200)^2)*((15)/((EOMONTH($A200,0)+1)-DateToday-15))))^0.5)))</f>
        <v> </v>
      </c>
      <c r="CE200" s="334" t="str">
        <f aca="false">IF($A200="N/A"," ",(VLOOKUP($A200,GasVolTable,(IF(BMO=2,6,IF(BMO=1,7,5))),FALSE())))</f>
        <v> </v>
      </c>
      <c r="CF200" s="334" t="str">
        <f aca="false">IF($A200="N/A"," ",(VLOOKUP($A200,OmicronVol,(IF(BMO=2,3,IF(BMO=1,4,2))),FALSE())))</f>
        <v> </v>
      </c>
      <c r="CG200" s="335" t="str">
        <f aca="false">IF($A200="N/A"," ",(IF(DateToday&gt;$A200,$CF200,((($CE200^2)*((($A200-1)-DateToday)/((EOMONTH($A200,0)+1)-DateToday-15)))+((($CF200)^2)*((15)/((EOMONTH($A200,0)+1)-DateToday-15))))^0.5)))</f>
        <v> </v>
      </c>
      <c r="CH200" s="334" t="str">
        <f aca="false">IF($A200="N/A"," ",VLOOKUP($A200,CorrelationTable,2,FALSE()))</f>
        <v> </v>
      </c>
      <c r="CI200" s="336" t="str">
        <f aca="false">IF($A200="N/A"," ",F200+G200+(D200*('Pricing Inputs'!T233)))</f>
        <v> </v>
      </c>
      <c r="CJ200" s="334" t="str">
        <f aca="false">IF($A200="N/A"," ",IF(PV=1,0,'Pricing Inputs'!U233))</f>
        <v> </v>
      </c>
      <c r="CK200" s="337" t="str">
        <f aca="false">IF($A200="N/A"," ",(1+CJ200/2)^(-2*((EOMONTH(A200,0)+20)-DateToday)/365.25))</f>
        <v> </v>
      </c>
      <c r="CL200" s="338" t="str">
        <f aca="false">IF(A200="N/A"," ",IF(CC=2,(VLOOKUP(MONTH($A200),Hrtable,3))/1000,0))</f>
        <v> </v>
      </c>
      <c r="CM200" s="339" t="str">
        <f aca="false">IF(A200="N/A"," ",IF(CC=2,(CL200*C200)+F200,0))</f>
        <v> </v>
      </c>
      <c r="CN200" s="340" t="str">
        <f aca="false">IF($A200="N/A"," ",IF(CC=2,(VLOOKUP(A200,ScaledPrice,(IF(AND(Dayrun&gt;=1,Dayrun&lt;=6),2,4)))-((IF(R200&lt;&gt;0,$D200,$CL200)*$C200)+$F200+$G200)),0))</f>
        <v> </v>
      </c>
      <c r="CO200" s="340" t="str">
        <f aca="false">IF($A200="N/A"," ",IF(CC=2,(IF(AND(Dayrun&gt;=1,Dayrun&lt;=6),I200,(VLOOKUP(A200,ScaledPrice,2))*(2-(VLOOKUP(A200,ScaledPrice,3))))-((IF(S200&lt;&gt;0,$D200,$CL200)*$C200)+$F200+$G200)),0))</f>
        <v> </v>
      </c>
      <c r="CP200" s="340" t="str">
        <f aca="false">IF(A200="N/A"," ",IF(CC=2,(VLOOKUP(A200,ScaledPrice,9)-((IF(T200&lt;&gt;0,$D200,$CL200)*$C200)+$F200+$G200)),0))</f>
        <v> </v>
      </c>
      <c r="CQ200" s="340" t="str">
        <f aca="false">IF(A200="N/A"," ",IF(CC=2,(IF(OR(Dayrun=2,Dayrun=3,Dayrun=5,Dayrun=6,Dayrun=8,Dayrun=9),VLOOKUP(A200,ScaledPrice,IF(AND(Dayrun&gt;=2,Dayrun&lt;=6),5,6)),0)-((IF(U200&lt;&gt;0,$D200,$CL200)*$C200)+$F200+$G200)),0))</f>
        <v> </v>
      </c>
      <c r="CR200" s="340" t="str">
        <f aca="false">IF(A200="N/A"," ",IF(CC=2,(IF(OR(Dayrun=2,Dayrun=3,Dayrun=5,Dayrun=6,Dayrun=8,Dayrun=9),IF(AND(Dayrun&gt;=2,Dayrun&lt;=6),L200,(VLOOKUP(A200,ScaledPrice,5))*(2-(VLOOKUP(A200,ScaledPrice,3)))),0)-((IF(V200&lt;&gt;0,$D200,$CL200)*$C200)+$F200+$G200)),0))</f>
        <v> </v>
      </c>
      <c r="CS200" s="340" t="str">
        <f aca="false">IF(A200="N/A"," ",IF(CC=2,(VLOOKUP(A200,ScaledPrice,9)-((IF(W200&lt;&gt;0,$D200,$CL200)*$C200)+$F200+$G200)),0))</f>
        <v> </v>
      </c>
      <c r="CT200" s="340" t="str">
        <f aca="false">IF(A200="N/A"," ",IF(CC=2,(IF(OR(Dayrun=3,Dayrun=6,Dayrun=9),(VLOOKUP(A200,ScaledPrice,IF(AND(Dayrun&gt;=3,Dayrun&lt;=6),7,8))),0)-((IF(X200&lt;&gt;0,$D200,$CL200)*$C200)+$F200+$G200)),0))</f>
        <v> </v>
      </c>
      <c r="CU200" s="340" t="str">
        <f aca="false">IF(A200="N/A"," ",IF(CC=2,(IF(OR(Dayrun=3,Dayrun=6,Dayrun=9),IF(AND(Dayrun&gt;=3,Dayrun&lt;=6),O200,(VLOOKUP(A200,ScaledPrice,7))*(2-(VLOOKUP(A200,ScaledPrice,3)))),0)-((IF(Y200&lt;&gt;0,$D200,$CL200)*$C200)+$F200+$G200)),0))</f>
        <v> </v>
      </c>
      <c r="CV200" s="340" t="str">
        <f aca="false">IF(A200="N/A"," ",IF(CC=2,(VLOOKUP(A200,ScaledPrice,9)-((IF(Z200&lt;&gt;0,$D200,$CL200)*$C200)+$F200+$G200)),0))</f>
        <v> </v>
      </c>
      <c r="CW200" s="318" t="str">
        <f aca="false">IF($A200="N/A"," ",IF(0&lt;&gt;CN200,IF(CC=2,8*$HD200,0),0))</f>
        <v> </v>
      </c>
      <c r="CX200" s="318" t="str">
        <f aca="false">IF($A200="N/A"," ",IF(0&lt;&gt;CO200,IF(CC=2,8*$HD200,0),0))</f>
        <v> </v>
      </c>
      <c r="CY200" s="318" t="str">
        <f aca="false">IF($A200="N/A"," ",IF(0&lt;&gt;CP200,IF(CC=2,8*$HD200,0),0))</f>
        <v> </v>
      </c>
      <c r="CZ200" s="318" t="str">
        <f aca="false">IF($A200="N/A"," ",IF(0&lt;&gt;CQ200,IF(CC=2,8*$HE200,0),0))</f>
        <v> </v>
      </c>
      <c r="DA200" s="318" t="str">
        <f aca="false">IF($A200="N/A"," ",IF(0&lt;&gt;CR200,IF(CC=2,8*$HE200,0),0))</f>
        <v> </v>
      </c>
      <c r="DB200" s="318" t="str">
        <f aca="false">IF($A200="N/A"," ",IF(0&lt;&gt;CS200,IF(CC=2,8*$HE200,0),0))</f>
        <v> </v>
      </c>
      <c r="DC200" s="318" t="str">
        <f aca="false">IF($A200="N/A"," ",IF(0&lt;&gt;CT200,IF(CC=2,8*$HF200,0),0))</f>
        <v> </v>
      </c>
      <c r="DD200" s="318" t="str">
        <f aca="false">IF($A200="N/A"," ",IF(0&lt;&gt;CU200,IF(CC=2,8*$HF200,0),0))</f>
        <v> </v>
      </c>
      <c r="DE200" s="318" t="str">
        <f aca="false">IF($A200="N/A"," ",IF(0&lt;&gt;CV200,IF(CC=2,8*$HF200,0),0))</f>
        <v> </v>
      </c>
      <c r="DF200" s="341" t="str">
        <f aca="false">IF($A200="N/A"," ",IF(CC=2,(IF(MONTH(A200)&gt;=4,IF(MONTH(A200)&lt;=10,Inputs!$G$13,Inputs!$G$14),Inputs!$G$14))*$CK200,0))</f>
        <v> </v>
      </c>
      <c r="DG200" s="342" t="str">
        <f aca="false">IF($A200="N/A"," ",IF(CC=2,$DF200*CW200*CN200,0))</f>
        <v> </v>
      </c>
      <c r="DH200" s="342" t="str">
        <f aca="false">IF($A200="N/A"," ",IF(CC=2,$DF200*CX200*CO200,0))</f>
        <v> </v>
      </c>
      <c r="DI200" s="342" t="str">
        <f aca="false">IF($A200="N/A"," ",IF(CC=2,$DF200*CY200*CP200,0))</f>
        <v> </v>
      </c>
      <c r="DJ200" s="342" t="str">
        <f aca="false">IF($A200="N/A"," ",IF(CC=2,$DF200*CZ200*CQ200,0))</f>
        <v> </v>
      </c>
      <c r="DK200" s="342" t="str">
        <f aca="false">IF($A200="N/A"," ",IF(CC=2,$DF200*DA200*CR200,0))</f>
        <v> </v>
      </c>
      <c r="DL200" s="342" t="str">
        <f aca="false">IF($A200="N/A"," ",IF(CC=2,$DF200*DB200*CS200,0))</f>
        <v> </v>
      </c>
      <c r="DM200" s="342" t="str">
        <f aca="false">IF($A200="N/A"," ",IF(CC=2,$DF200*DC200*CT200,0))</f>
        <v> </v>
      </c>
      <c r="DN200" s="342" t="str">
        <f aca="false">IF($A200="N/A"," ",IF(CC=2,$DF200*DD200*CU200,0))</f>
        <v> </v>
      </c>
      <c r="DO200" s="342" t="str">
        <f aca="false">IF($A200="N/A"," ",IF(CC=2,$DF200*DE200*CV200,0))</f>
        <v> </v>
      </c>
      <c r="DP200" s="343" t="str">
        <f aca="false">IF($A200="N/A"," ",IF(CC=2,SUM(DG200:DO200),0))</f>
        <v> </v>
      </c>
      <c r="DQ200" s="0" t="str">
        <f aca="false">IF(A200="N/A"," ",Perstart)</f>
        <v> </v>
      </c>
      <c r="HD200" s="0" t="str">
        <f aca="false">IF($A200="N/A"," ",VLOOKUP($A200,NumberofDaysTable,2))</f>
        <v> </v>
      </c>
      <c r="HE200" s="0" t="str">
        <f aca="false">IF($A200="N/A"," ",VLOOKUP($A200,NumberofDaysTable,3))</f>
        <v> </v>
      </c>
      <c r="HF200" s="0" t="str">
        <f aca="false">IF($A200="N/A"," ",VLOOKUP($A200,NumberofDaysTable,4))</f>
        <v> </v>
      </c>
    </row>
    <row r="201" customFormat="false" ht="12.75" hidden="false" customHeight="false" outlineLevel="0" collapsed="false">
      <c r="A201" s="308" t="str">
        <f aca="false">IF(A200="N/A","N/A",IF(EDATE(A200,1)&gt;Inputs!$K$3,"N/A",EDATE(A200,1)))</f>
        <v>N/A</v>
      </c>
      <c r="B201" s="309" t="str">
        <f aca="false">IF(A201="N/A"," ",YEAR(A201))</f>
        <v> </v>
      </c>
      <c r="C201" s="310" t="str">
        <f aca="false">IF(A201="N/A"," ",VLOOKUP(A201,ScaledPrice,10))</f>
        <v> </v>
      </c>
      <c r="D201" s="311" t="str">
        <f aca="false">IF(A201="N/A"," ",(VLOOKUP(MONTH($A201),Hrtable,2))/1000)</f>
        <v> </v>
      </c>
      <c r="E201" s="312" t="str">
        <f aca="false">IF($A201="N/A"," ",(C201-'Pricing Inputs'!T234)*D201)</f>
        <v> </v>
      </c>
      <c r="F201" s="313" t="str">
        <f aca="false">IF(A201="N/A"," ",$F189*(1+VOMesc))</f>
        <v> </v>
      </c>
      <c r="G201" s="313" t="str">
        <f aca="false">IF(A201="N/A"," ",Perstart/IF(AND(Dayrun&gt;=4,Dayrun&lt;=6),16,IF(AND(Dayrun&gt;=7,Dayrun&lt;=9),8,24))/(BM201/CK201))</f>
        <v> </v>
      </c>
      <c r="H201" s="314" t="str">
        <f aca="false">IF(A201="N/A"," ",(C201*D201)+F201+G201)</f>
        <v> </v>
      </c>
      <c r="I201" s="315" t="str">
        <f aca="false">VLOOKUP(A201,ScaledPrice,(IF(AND(Dayrun&gt;=1,Dayrun&lt;=6),2,4)))</f>
        <v> </v>
      </c>
      <c r="J201" s="315" t="str">
        <f aca="false">IF(A201="N/A"," ",IF(AND(Dayrun&gt;=1,Dayrun&lt;=6),I201,(VLOOKUP(A201,ScaledPrice,2))*(2-(VLOOKUP(A201,ScaledPrice,3)))))</f>
        <v> </v>
      </c>
      <c r="K201" s="315" t="str">
        <f aca="false">IF(A201="N/A"," ",IF(AND(Dayrun&gt;=1,Dayrun&lt;=3),VLOOKUP(A201,ScaledPrice,9),0))</f>
        <v> </v>
      </c>
      <c r="L201" s="315" t="str">
        <f aca="false">IF(A201="N/A"," ",IF(OR(Dayrun=2,Dayrun=3,Dayrun=5,Dayrun=6,Dayrun=8,Dayrun=9),VLOOKUP(A201,ScaledPrice,IF(AND(Dayrun&gt;=2,Dayrun&lt;=6),5,6)),0))</f>
        <v> </v>
      </c>
      <c r="M201" s="315" t="str">
        <f aca="false">IF(A201="N/A"," ",IF(OR(Dayrun=2,Dayrun=3,Dayrun=5,Dayrun=6,Dayrun=8,Dayrun=9),IF(AND(Dayrun&gt;=2,Dayrun&lt;=6),L201,(VLOOKUP(A201,ScaledPrice,5))*(2-(VLOOKUP(A201,ScaledPrice,3)))),0))</f>
        <v> </v>
      </c>
      <c r="N201" s="315" t="str">
        <f aca="false">IF(A201="N/A"," ",IF(AND(Dayrun&gt;1,Dayrun&lt;=3),VLOOKUP(A201,ScaledPrice,9),0))</f>
        <v> </v>
      </c>
      <c r="O201" s="315" t="str">
        <f aca="false">IF(A201="N/A"," ",IF(OR(Dayrun=3,Dayrun=6,Dayrun=9),(VLOOKUP(A201,ScaledPrice,IF(AND(Dayrun&gt;=3,Dayrun&lt;=6),7,8))),0))</f>
        <v> </v>
      </c>
      <c r="P201" s="315" t="str">
        <f aca="false">IF(A201="N/A"," ",IF(OR(Dayrun=3,Dayrun=6,Dayrun=9),IF(AND(Dayrun&gt;=3,Dayrun&lt;=6),O201,(VLOOKUP(A201,ScaledPrice,7))*(2-(VLOOKUP(A201,ScaledPrice,3)))),0))</f>
        <v> </v>
      </c>
      <c r="Q201" s="315" t="str">
        <f aca="false">IF(A201="N/A"," ",IF(AND(Dayrun&gt;2,Dayrun&lt;=3),VLOOKUP(A201,ScaledPrice,9),0))</f>
        <v> </v>
      </c>
      <c r="R201" s="316" t="str">
        <f aca="false">IF($A201="N/A"," ",IF(Pricetype=2,MAX(I201-$H201,0),IF(Pricetype=1,(xSPRDOPT(I201,$E201,$CI201,0,($CD201+IF(Smile=TRUE(),VLOOKUP(MAX(-5,$H201-I201),Volsmile,2),0)),$CG201,$CH201,($A201-DateToday)+15,1,0)),I201-$H201)))</f>
        <v> </v>
      </c>
      <c r="S201" s="316" t="str">
        <f aca="false">IF($A201="N/A"," ",IF(Pricetype=2,MAX(J201-$H201,0),IF(Pricetype=1,(xSPRDOPT(J201,$E201,$CI201,0,($CD201+IF(Smile=TRUE(),VLOOKUP(MAX(-5,$H201-J201),Volsmile,2),0)),$CG201,$CH201,($A201-DateToday)+15,1,0)),J201-$H201)))</f>
        <v> </v>
      </c>
      <c r="T201" s="317" t="str">
        <f aca="false">IF($A201="N/A"," ",(IF(Pricetype=2,IF((K201-$H201)&lt;=0,0,(K201-$H201)),IF(K201&lt;&gt;0,(K201-$H201),0))))</f>
        <v> </v>
      </c>
      <c r="U201" s="316" t="str">
        <f aca="false">IF($A201="N/A"," ",IF(Pricetype=2,MAX(L201-$H201,0),IF(L201&lt;&gt;0,IF(Pricetype=1,(xSPRDOPT(L201,$E201,$CI201,0,($CD201+IF(Smile=TRUE(),VLOOKUP(MAX(-5,$H201-L201),Volsmile,2),0)),$CG201,$CH201,($A201-DateToday)+15,1,0)),L201-$H201),0)))</f>
        <v> </v>
      </c>
      <c r="V201" s="316" t="str">
        <f aca="false">IF($A201="N/A"," ",IF(Pricetype=2,MAX(M201-$H201,0),IF(M201&lt;&gt;0,IF(Pricetype=1,(xSPRDOPT(M201,$E201,$CI201,0,($CD201+IF(Smile=TRUE(),VLOOKUP(MAX(-5,$H201-M201),Volsmile,2),0)),$CG201,$CH201,($A201-DateToday)+15,1,0)),M201-$H201),0)))</f>
        <v> </v>
      </c>
      <c r="W201" s="317" t="str">
        <f aca="false">IF($A201="N/A"," ",(IF(Pricetype=2,IF((N201-$H201)&lt;=0,0,(N201-$H201)),IF(N201&lt;&gt;0,(N201-$H201),0))))</f>
        <v> </v>
      </c>
      <c r="X201" s="316" t="str">
        <f aca="false">IF($A201="N/A"," ",IF(Pricetype=2,MAX(O201-$H201,0),IF(O201&lt;&gt;0,IF(Pricetype=1,(xSPRDOPT(O201,$E201,$CI201,0,($CD201+IF(Smile=TRUE(),VLOOKUP(MAX(-5,$H201-O201),Volsmile,2),0)),$CG201,$CH201,($A201-DateToday)+15,1,0)),O201-$H201),0)))</f>
        <v> </v>
      </c>
      <c r="Y201" s="316" t="str">
        <f aca="false">IF($A201="N/A"," ",IF(Pricetype=2,MAX(P201-$H201,0),IF(P201&lt;&gt;0,IF(Pricetype=1,(xSPRDOPT(P201,$E201,$CI201,0,($CD201+IF(Smile=TRUE(),VLOOKUP(MAX(-5,$H201-P201),Volsmile,2),0)),$CG201,$CH201,($A201-DateToday)+15,1,0)),P201-$H201),0)))</f>
        <v> </v>
      </c>
      <c r="Z201" s="317" t="str">
        <f aca="false">IF($A201="N/A"," ",(IF(Pricetype=2,IF((Q201-$H201)&lt;=0,0,(Q201-$H201)),IF(Q201&lt;&gt;0,(Q201-$H201),0))))</f>
        <v> </v>
      </c>
      <c r="AA201" s="318" t="str">
        <f aca="false">IF($A201="N/A"," ",IF(VLOOKUP(MONTH(A201),ManualTable,2)=1,(IF(0&lt;&gt;R201,IF(Pricetype=1,(xSPRDOPT(I201,$E201,$CI201,0,($CD201+IF(Smile=TRUE(),VLOOKUP(MAX(-5,$H201-I201),Volsmile,2),0)),$CG201,$CH201,($A201-DateToday)+15,1,1))*(8*$HD201),8*$HD201),0)),0))</f>
        <v> </v>
      </c>
      <c r="AB201" s="318" t="str">
        <f aca="false">IF($A201="N/A"," ",IF(VLOOKUP(MONTH(A201),ManualTable,3)=1,(IF(S201&lt;&gt;0,IF(Pricetype=1,(xSPRDOPT(J201,$E201,$CI201,0,($CD201+IF(Smile=TRUE(),VLOOKUP(MAX(-5,$H201-J201),Volsmile,2),0)),$CG201,$CH201,($A201-DateToday)+15,1,1))*(8*$HD201),8*$HD201),0)),0))</f>
        <v> </v>
      </c>
      <c r="AC201" s="318" t="str">
        <f aca="false">IF($A201="N/A"," ",IF(VLOOKUP(MONTH(A201),ManualTable,4)=1,(IF(T201&lt;&gt;0,(8*$HD201),0)),0))</f>
        <v> </v>
      </c>
      <c r="AD201" s="318" t="str">
        <f aca="false">IF($A201="N/A"," ",IF(VLOOKUP(MONTH(A201),ManualTable,5)=1,(IF(U201&lt;&gt;0,IF(Pricetype=1,(xSPRDOPT(L201,$E201,$CI201,0,($CD201+IF(Smile=TRUE(),VLOOKUP(MAX(-5,$H201-L201),Volsmile,2),0)),$CG201,$CH201,($A201-DateToday)+15,1,1))*(8*$HE201),8*$HE201),0)),0))</f>
        <v> </v>
      </c>
      <c r="AE201" s="318" t="str">
        <f aca="false">IF($A201="N/A"," ",IF(VLOOKUP(MONTH(A201),ManualTable,6)=1,(IF(V201&lt;&gt;0,IF(Pricetype=1,(xSPRDOPT(M201,$E201,$CI201,0,($CD201+IF(Smile=TRUE(),VLOOKUP(MAX(-5,$H201-M201),Volsmile,2),0)),$CG201,$CH201,($A201-DateToday)+15,1,1))*(8*$HE201),8*$HE201),0)),0))</f>
        <v> </v>
      </c>
      <c r="AF201" s="318" t="str">
        <f aca="false">IF($A201="N/A"," ",IF(VLOOKUP(MONTH(A201),ManualTable,7)=1,(IF(W201&lt;&gt;0,(8*$HE201),0)),0))</f>
        <v> </v>
      </c>
      <c r="AG201" s="318" t="str">
        <f aca="false">IF($A201="N/A"," ",IF(VLOOKUP(MONTH(A201),ManualTable,8)=1,(IF(X201&lt;&gt;0,IF(Pricetype=1,(xSPRDOPT(O201,$E201,$CI201,0,($CD201+IF(Smile=TRUE(),VLOOKUP(MAX(-5,$H201-O201),Volsmile,2),0)),$CG201,$CH201,($A201-DateToday)+15,1,1))*(8*$HF201),8*$HF201),0)),0))</f>
        <v> </v>
      </c>
      <c r="AH201" s="318" t="str">
        <f aca="false">IF($A201="N/A"," ",IF(VLOOKUP(MONTH(A201),ManualTable,9)=1,(IF(Y201&lt;&gt;0,IF(Pricetype=1,(xSPRDOPT(P201,$E201,$CI201,0,($CD201+IF(Smile=TRUE(),VLOOKUP(MAX(-5,$H201-P201),Volsmile,2),0)),$CG201,$CH201,($A201-DateToday)+15,1,1))*(8*$HF201),8*$HF201),0)),0))</f>
        <v> </v>
      </c>
      <c r="AI201" s="318" t="str">
        <f aca="false">IF($A201="N/A"," ",IF(VLOOKUP(MONTH(A201),ManualTable,10)=1,(IF(Z201&lt;&gt;0,(8*($HF201)),0)),0))</f>
        <v> </v>
      </c>
      <c r="AJ201" s="344" t="str">
        <f aca="false">IF($A201="N/A"," ",RANK(R201,$R$196:$Z$207))</f>
        <v> </v>
      </c>
      <c r="AK201" s="321" t="str">
        <f aca="false">IF($A201="N/A"," ",RANK(S201,$R$196:$Z$207))</f>
        <v> </v>
      </c>
      <c r="AL201" s="321" t="str">
        <f aca="false">IF($A201="N/A"," ",RANK(T201,$R$196:$Z$207))</f>
        <v> </v>
      </c>
      <c r="AM201" s="321" t="str">
        <f aca="false">IF($A201="N/A"," ",RANK(U201,$R$196:$Z$207))</f>
        <v> </v>
      </c>
      <c r="AN201" s="321" t="str">
        <f aca="false">IF($A201="N/A"," ",RANK(V201,$R$196:$Z$207))</f>
        <v> </v>
      </c>
      <c r="AO201" s="321" t="str">
        <f aca="false">IF($A201="N/A"," ",RANK(W201,$R$196:$Z$207))</f>
        <v> </v>
      </c>
      <c r="AP201" s="321" t="str">
        <f aca="false">IF($A201="N/A"," ",RANK(X201,$R$196:$Z$207))</f>
        <v> </v>
      </c>
      <c r="AQ201" s="321" t="str">
        <f aca="false">IF($A201="N/A"," ",RANK(Y201,$R$196:$Z$207))</f>
        <v> </v>
      </c>
      <c r="AR201" s="345" t="str">
        <f aca="false">IF($A201="N/A"," ",RANK(Z201,$R$196:$Z$207))</f>
        <v> </v>
      </c>
      <c r="AS201" s="323" t="str">
        <f aca="false">IF($A201="N/A"," ",IF(AJ201&lt;=$AR$2,AA201,0))</f>
        <v> </v>
      </c>
      <c r="AT201" s="325" t="str">
        <f aca="false">IF($A201="N/A"," ",IF(AK201&lt;=$AR$2,AB201,0))</f>
        <v> </v>
      </c>
      <c r="AU201" s="325" t="str">
        <f aca="false">IF($A201="N/A"," ",IF(AL201&lt;=$AR$2,AC201,0))</f>
        <v> </v>
      </c>
      <c r="AV201" s="325" t="str">
        <f aca="false">IF($A201="N/A"," ",IF(AM201&lt;=$AR$2,AD201,0))</f>
        <v> </v>
      </c>
      <c r="AW201" s="325" t="str">
        <f aca="false">IF($A201="N/A"," ",IF(AN201&lt;=$AR$2,AE201,0))</f>
        <v> </v>
      </c>
      <c r="AX201" s="325" t="str">
        <f aca="false">IF($A201="N/A"," ",IF(AO201&lt;=$AR$2,AF201,0))</f>
        <v> </v>
      </c>
      <c r="AY201" s="325" t="str">
        <f aca="false">IF($A201="N/A"," ",IF(AP201&lt;=$AR$2,AG201,0))</f>
        <v> </v>
      </c>
      <c r="AZ201" s="325" t="str">
        <f aca="false">IF($A201="N/A"," ",IF(AQ201&lt;=$AR$2,AH201,0))</f>
        <v> </v>
      </c>
      <c r="BA201" s="325" t="str">
        <f aca="false">IF($A201="N/A"," ",IF(AR201&lt;=$AR$2,AI201,0))</f>
        <v> </v>
      </c>
      <c r="BB201" s="345"/>
      <c r="BC201" s="326" t="str">
        <f aca="false">IF($A201="N/A"," ",IF(AND(AJ201=$AR$2+1,AS201=0),MIN($BB$207,AA201),0))</f>
        <v> </v>
      </c>
      <c r="BD201" s="346" t="str">
        <f aca="false">IF($A201="N/A"," ",IF(AND(AK201=$AR$2+1,AT201=0),MIN($BB$207,AB201),0))</f>
        <v> </v>
      </c>
      <c r="BE201" s="346" t="str">
        <f aca="false">IF($A201="N/A"," ",IF(AND(AL201=$AR$2+1,AU201=0),MIN($BB$207,AC201),0))</f>
        <v> </v>
      </c>
      <c r="BF201" s="346" t="str">
        <f aca="false">IF($A201="N/A"," ",IF(AND(AM201=$AR$2+1,AV201=0),MIN($BB$207,AD201),0))</f>
        <v> </v>
      </c>
      <c r="BG201" s="346" t="str">
        <f aca="false">IF($A201="N/A"," ",IF(AND(AN201=$AR$2+1,AW201=0),MIN($BB$207,AE201),0))</f>
        <v> </v>
      </c>
      <c r="BH201" s="346" t="str">
        <f aca="false">IF($A201="N/A"," ",IF(AND(AO201=$AR$2+1,AX201=0),MIN($BB$207,AF201),0))</f>
        <v> </v>
      </c>
      <c r="BI201" s="346" t="str">
        <f aca="false">IF($A201="N/A"," ",IF(AND(AP201=$AR$2+1,AY201=0),MIN($BB$207,AG201),0))</f>
        <v> </v>
      </c>
      <c r="BJ201" s="346" t="str">
        <f aca="false">IF($A201="N/A"," ",IF(AND(AQ201=$AR$2+1,AZ201=0),MIN($BB$207,AH201),0))</f>
        <v> </v>
      </c>
      <c r="BK201" s="346" t="str">
        <f aca="false">IF($A201="N/A"," ",IF(AND(AR201=$AR$2+1,BA201=0),MIN($BB$207,AI201),0))</f>
        <v> </v>
      </c>
      <c r="BL201" s="345"/>
      <c r="BM201" s="329" t="str">
        <f aca="false">IF($A201="N/A"," ",(IF(MONTH(A201)&gt;=4,IF(MONTH(A201)&lt;=10,Inputs!$F$13-Inputs!$G$13,Inputs!$F$14-Inputs!$G$14),Inputs!$F$14-Inputs!$G$14))*$CK201*Availability)</f>
        <v> </v>
      </c>
      <c r="BN201" s="330" t="str">
        <f aca="false">IF($A201="N/A"," ",(IF(AS201&gt;0,($BM201*(8*($HD201))*R201),0)+IF(BC201&gt;0,($BM201*((BC201/AA201)*8*$HD201)*R201),0)))</f>
        <v> </v>
      </c>
      <c r="BO201" s="330" t="str">
        <f aca="false">IF($A201="N/A"," ",(IF(AT201&gt;0,($BM201*(8*($HD201))*S201),0)+IF(BD201&gt;0,($BM201*((BD201/AB201)*8*$HD201)*S201),0)))</f>
        <v> </v>
      </c>
      <c r="BP201" s="330" t="str">
        <f aca="false">IF($A201="N/A"," ",(IF(AU201&gt;0,($BM201*(8*($HD201))*T201),0)+IF(BE201&gt;0,($BM201*((BE201))*T201),0)))</f>
        <v> </v>
      </c>
      <c r="BQ201" s="330" t="str">
        <f aca="false">IF($A201="N/A"," ",(IF(AV201&gt;0,($BM201*(8*($HE201))*U201),0)+IF(BF201&gt;0,($BM201*((BF201/AD201)*8*$HE201)*U201),0)))</f>
        <v> </v>
      </c>
      <c r="BR201" s="330" t="str">
        <f aca="false">IF($A201="N/A"," ",(IF(AW201&gt;0,($BM201*(8*($HE201))*V201),0)+IF(BG201&gt;0,($BM201*((BG201/AE201)*8*$HE201)*V201),0)))</f>
        <v> </v>
      </c>
      <c r="BS201" s="330" t="str">
        <f aca="false">IF($A201="N/A"," ",(IF(AX201&gt;0,($BM201*(8*($HE201))*W201),0)+IF(BH201&gt;0,($BM201*((BH201))*W201),0)))</f>
        <v> </v>
      </c>
      <c r="BT201" s="330" t="str">
        <f aca="false">IF($A201="N/A"," ",(IF(AY201&gt;0,($BM201*(8*($HF201))*X201),0)+IF(BI201&gt;0,($BM201*((BI201/AG201)*8*$HF201)*X201),0)))</f>
        <v> </v>
      </c>
      <c r="BU201" s="330" t="str">
        <f aca="false">IF($A201="N/A"," ",(IF(AZ201&gt;0,($BM201*(8*($HF201))*Y201),0)+IF(BJ201&gt;0,($BM201*((BJ201/AH201)*8*$HF201)*Y201),0)))</f>
        <v> </v>
      </c>
      <c r="BV201" s="330" t="str">
        <f aca="false">IF($A201="N/A"," ",(IF(BA201&gt;0,($BM201*(8*($HF201))*Z201),0)+IF(BK201&gt;0,($BM201*((BK201))*Z201),0)))</f>
        <v> </v>
      </c>
      <c r="BW201" s="330" t="str">
        <f aca="false">IF($A201="N/A"," ",SUM(BN201:BV201))</f>
        <v> </v>
      </c>
      <c r="BX201" s="331" t="str">
        <f aca="false">IF($A201="N/A"," ",(H201*(SUM(AS201:BA201)+SUM(BC201:BK201))*BM201))</f>
        <v> </v>
      </c>
      <c r="BY201" s="332" t="str">
        <f aca="false">IF($A201="N/A"," ",((C201*D201)*(SUM($AS201:$BA201)+SUM($BC201:$BK201))*$BM201))</f>
        <v> </v>
      </c>
      <c r="BZ201" s="332" t="str">
        <f aca="false">IF($A201="N/A"," ",(F201*(SUM($AS201:$BA201)+SUM($BC201:$BK201))*$BM201))</f>
        <v> </v>
      </c>
      <c r="CA201" s="333" t="str">
        <f aca="false">IF($A201="N/A"," ",(G201*(SUM($AS201:$BA201)+SUM($BC201:$BK201))*$BM201))</f>
        <v> </v>
      </c>
      <c r="CB201" s="334" t="str">
        <f aca="false">IF(A201="N/A"," ",(VLOOKUP(A201,PowerVolTable,(IF(BMO=2,7,IF(BMO=1,6,8))),FALSE())))</f>
        <v> </v>
      </c>
      <c r="CC201" s="334" t="str">
        <f aca="false">IF(A201="N/A"," ",(VLOOKUP(A201,IntraPowerVol,(IF(BMO=2,3,IF(BMO=1,2,4))),FALSE())*VLOOKUP(MONTH($A201),Volscale,2)))</f>
        <v> </v>
      </c>
      <c r="CD201" s="335" t="str">
        <f aca="false">IF($A201="N/A"," ",(IF(DateToday&gt;$A201,$CC201,((($CB201^2)*((($A201-1)-DateToday)/((EOMONTH($A201,0)+1)-DateToday-15)))+((($CC201)^2)*((15)/((EOMONTH($A201,0)+1)-DateToday-15))))^0.5)))</f>
        <v> </v>
      </c>
      <c r="CE201" s="334" t="str">
        <f aca="false">IF($A201="N/A"," ",(VLOOKUP($A201,GasVolTable,(IF(BMO=2,6,IF(BMO=1,7,5))),FALSE())))</f>
        <v> </v>
      </c>
      <c r="CF201" s="334" t="str">
        <f aca="false">IF($A201="N/A"," ",(VLOOKUP($A201,OmicronVol,(IF(BMO=2,3,IF(BMO=1,4,2))),FALSE())))</f>
        <v> </v>
      </c>
      <c r="CG201" s="335" t="str">
        <f aca="false">IF($A201="N/A"," ",(IF(DateToday&gt;$A201,$CF201,((($CE201^2)*((($A201-1)-DateToday)/((EOMONTH($A201,0)+1)-DateToday-15)))+((($CF201)^2)*((15)/((EOMONTH($A201,0)+1)-DateToday-15))))^0.5)))</f>
        <v> </v>
      </c>
      <c r="CH201" s="334" t="str">
        <f aca="false">IF($A201="N/A"," ",VLOOKUP($A201,CorrelationTable,2,FALSE()))</f>
        <v> </v>
      </c>
      <c r="CI201" s="336" t="str">
        <f aca="false">IF($A201="N/A"," ",F201+G201+(D201*('Pricing Inputs'!T234)))</f>
        <v> </v>
      </c>
      <c r="CJ201" s="334" t="str">
        <f aca="false">IF($A201="N/A"," ",IF(PV=1,0,'Pricing Inputs'!U234))</f>
        <v> </v>
      </c>
      <c r="CK201" s="337" t="str">
        <f aca="false">IF($A201="N/A"," ",(1+CJ201/2)^(-2*((EOMONTH(A201,0)+20)-DateToday)/365.25))</f>
        <v> </v>
      </c>
      <c r="CL201" s="338" t="str">
        <f aca="false">IF(A201="N/A"," ",IF(CC=2,(VLOOKUP(MONTH($A201),Hrtable,3))/1000,0))</f>
        <v> </v>
      </c>
      <c r="CM201" s="339" t="str">
        <f aca="false">IF(A201="N/A"," ",IF(CC=2,(CL201*C201)+F201,0))</f>
        <v> </v>
      </c>
      <c r="CN201" s="340" t="str">
        <f aca="false">IF($A201="N/A"," ",IF(CC=2,(VLOOKUP(A201,ScaledPrice,(IF(AND(Dayrun&gt;=1,Dayrun&lt;=6),2,4)))-((IF(R201&lt;&gt;0,$D201,$CL201)*$C201)+$F201+$G201)),0))</f>
        <v> </v>
      </c>
      <c r="CO201" s="340" t="str">
        <f aca="false">IF($A201="N/A"," ",IF(CC=2,(IF(AND(Dayrun&gt;=1,Dayrun&lt;=6),I201,(VLOOKUP(A201,ScaledPrice,2))*(2-(VLOOKUP(A201,ScaledPrice,3))))-((IF(S201&lt;&gt;0,$D201,$CL201)*$C201)+$F201+$G201)),0))</f>
        <v> </v>
      </c>
      <c r="CP201" s="340" t="str">
        <f aca="false">IF(A201="N/A"," ",IF(CC=2,(VLOOKUP(A201,ScaledPrice,9)-((IF(T201&lt;&gt;0,$D201,$CL201)*$C201)+$F201+$G201)),0))</f>
        <v> </v>
      </c>
      <c r="CQ201" s="340" t="str">
        <f aca="false">IF(A201="N/A"," ",IF(CC=2,(IF(OR(Dayrun=2,Dayrun=3,Dayrun=5,Dayrun=6,Dayrun=8,Dayrun=9),VLOOKUP(A201,ScaledPrice,IF(AND(Dayrun&gt;=2,Dayrun&lt;=6),5,6)),0)-((IF(U201&lt;&gt;0,$D201,$CL201)*$C201)+$F201+$G201)),0))</f>
        <v> </v>
      </c>
      <c r="CR201" s="340" t="str">
        <f aca="false">IF(A201="N/A"," ",IF(CC=2,(IF(OR(Dayrun=2,Dayrun=3,Dayrun=5,Dayrun=6,Dayrun=8,Dayrun=9),IF(AND(Dayrun&gt;=2,Dayrun&lt;=6),L201,(VLOOKUP(A201,ScaledPrice,5))*(2-(VLOOKUP(A201,ScaledPrice,3)))),0)-((IF(V201&lt;&gt;0,$D201,$CL201)*$C201)+$F201+$G201)),0))</f>
        <v> </v>
      </c>
      <c r="CS201" s="340" t="str">
        <f aca="false">IF(A201="N/A"," ",IF(CC=2,(VLOOKUP(A201,ScaledPrice,9)-((IF(W201&lt;&gt;0,$D201,$CL201)*$C201)+$F201+$G201)),0))</f>
        <v> </v>
      </c>
      <c r="CT201" s="340" t="str">
        <f aca="false">IF(A201="N/A"," ",IF(CC=2,(IF(OR(Dayrun=3,Dayrun=6,Dayrun=9),(VLOOKUP(A201,ScaledPrice,IF(AND(Dayrun&gt;=3,Dayrun&lt;=6),7,8))),0)-((IF(X201&lt;&gt;0,$D201,$CL201)*$C201)+$F201+$G201)),0))</f>
        <v> </v>
      </c>
      <c r="CU201" s="340" t="str">
        <f aca="false">IF(A201="N/A"," ",IF(CC=2,(IF(OR(Dayrun=3,Dayrun=6,Dayrun=9),IF(AND(Dayrun&gt;=3,Dayrun&lt;=6),O201,(VLOOKUP(A201,ScaledPrice,7))*(2-(VLOOKUP(A201,ScaledPrice,3)))),0)-((IF(Y201&lt;&gt;0,$D201,$CL201)*$C201)+$F201+$G201)),0))</f>
        <v> </v>
      </c>
      <c r="CV201" s="340" t="str">
        <f aca="false">IF(A201="N/A"," ",IF(CC=2,(VLOOKUP(A201,ScaledPrice,9)-((IF(Z201&lt;&gt;0,$D201,$CL201)*$C201)+$F201+$G201)),0))</f>
        <v> </v>
      </c>
      <c r="CW201" s="318" t="str">
        <f aca="false">IF($A201="N/A"," ",IF(0&lt;&gt;CN201,IF(CC=2,8*$HD201,0),0))</f>
        <v> </v>
      </c>
      <c r="CX201" s="318" t="str">
        <f aca="false">IF($A201="N/A"," ",IF(0&lt;&gt;CO201,IF(CC=2,8*$HD201,0),0))</f>
        <v> </v>
      </c>
      <c r="CY201" s="318" t="str">
        <f aca="false">IF($A201="N/A"," ",IF(0&lt;&gt;CP201,IF(CC=2,8*$HD201,0),0))</f>
        <v> </v>
      </c>
      <c r="CZ201" s="318" t="str">
        <f aca="false">IF($A201="N/A"," ",IF(0&lt;&gt;CQ201,IF(CC=2,8*$HE201,0),0))</f>
        <v> </v>
      </c>
      <c r="DA201" s="318" t="str">
        <f aca="false">IF($A201="N/A"," ",IF(0&lt;&gt;CR201,IF(CC=2,8*$HE201,0),0))</f>
        <v> </v>
      </c>
      <c r="DB201" s="318" t="str">
        <f aca="false">IF($A201="N/A"," ",IF(0&lt;&gt;CS201,IF(CC=2,8*$HE201,0),0))</f>
        <v> </v>
      </c>
      <c r="DC201" s="318" t="str">
        <f aca="false">IF($A201="N/A"," ",IF(0&lt;&gt;CT201,IF(CC=2,8*$HF201,0),0))</f>
        <v> </v>
      </c>
      <c r="DD201" s="318" t="str">
        <f aca="false">IF($A201="N/A"," ",IF(0&lt;&gt;CU201,IF(CC=2,8*$HF201,0),0))</f>
        <v> </v>
      </c>
      <c r="DE201" s="318" t="str">
        <f aca="false">IF($A201="N/A"," ",IF(0&lt;&gt;CV201,IF(CC=2,8*$HF201,0),0))</f>
        <v> </v>
      </c>
      <c r="DF201" s="341" t="str">
        <f aca="false">IF($A201="N/A"," ",IF(CC=2,(IF(MONTH(A201)&gt;=4,IF(MONTH(A201)&lt;=10,Inputs!$G$13,Inputs!$G$14),Inputs!$G$14))*$CK201,0))</f>
        <v> </v>
      </c>
      <c r="DG201" s="342" t="str">
        <f aca="false">IF($A201="N/A"," ",IF(CC=2,$DF201*CW201*CN201,0))</f>
        <v> </v>
      </c>
      <c r="DH201" s="342" t="str">
        <f aca="false">IF($A201="N/A"," ",IF(CC=2,$DF201*CX201*CO201,0))</f>
        <v> </v>
      </c>
      <c r="DI201" s="342" t="str">
        <f aca="false">IF($A201="N/A"," ",IF(CC=2,$DF201*CY201*CP201,0))</f>
        <v> </v>
      </c>
      <c r="DJ201" s="342" t="str">
        <f aca="false">IF($A201="N/A"," ",IF(CC=2,$DF201*CZ201*CQ201,0))</f>
        <v> </v>
      </c>
      <c r="DK201" s="342" t="str">
        <f aca="false">IF($A201="N/A"," ",IF(CC=2,$DF201*DA201*CR201,0))</f>
        <v> </v>
      </c>
      <c r="DL201" s="342" t="str">
        <f aca="false">IF($A201="N/A"," ",IF(CC=2,$DF201*DB201*CS201,0))</f>
        <v> </v>
      </c>
      <c r="DM201" s="342" t="str">
        <f aca="false">IF($A201="N/A"," ",IF(CC=2,$DF201*DC201*CT201,0))</f>
        <v> </v>
      </c>
      <c r="DN201" s="342" t="str">
        <f aca="false">IF($A201="N/A"," ",IF(CC=2,$DF201*DD201*CU201,0))</f>
        <v> </v>
      </c>
      <c r="DO201" s="342" t="str">
        <f aca="false">IF($A201="N/A"," ",IF(CC=2,$DF201*DE201*CV201,0))</f>
        <v> </v>
      </c>
      <c r="DP201" s="343" t="str">
        <f aca="false">IF($A201="N/A"," ",IF(CC=2,SUM(DG201:DO201),0))</f>
        <v> </v>
      </c>
      <c r="DQ201" s="0" t="str">
        <f aca="false">IF(A201="N/A"," ",Perstart)</f>
        <v> </v>
      </c>
      <c r="HD201" s="0" t="str">
        <f aca="false">IF($A201="N/A"," ",VLOOKUP($A201,NumberofDaysTable,2))</f>
        <v> </v>
      </c>
      <c r="HE201" s="0" t="str">
        <f aca="false">IF($A201="N/A"," ",VLOOKUP($A201,NumberofDaysTable,3))</f>
        <v> </v>
      </c>
      <c r="HF201" s="0" t="str">
        <f aca="false">IF($A201="N/A"," ",VLOOKUP($A201,NumberofDaysTable,4))</f>
        <v> </v>
      </c>
    </row>
    <row r="202" customFormat="false" ht="12.75" hidden="false" customHeight="false" outlineLevel="0" collapsed="false">
      <c r="A202" s="308" t="str">
        <f aca="false">IF(A201="N/A","N/A",IF(EDATE(A201,1)&gt;Inputs!$K$3,"N/A",EDATE(A201,1)))</f>
        <v>N/A</v>
      </c>
      <c r="B202" s="309" t="str">
        <f aca="false">IF(A202="N/A"," ",YEAR(A202))</f>
        <v> </v>
      </c>
      <c r="C202" s="310" t="str">
        <f aca="false">IF(A202="N/A"," ",VLOOKUP(A202,ScaledPrice,10))</f>
        <v> </v>
      </c>
      <c r="D202" s="311" t="str">
        <f aca="false">IF(A202="N/A"," ",(VLOOKUP(MONTH($A202),Hrtable,2))/1000)</f>
        <v> </v>
      </c>
      <c r="E202" s="312" t="str">
        <f aca="false">IF($A202="N/A"," ",(C202-'Pricing Inputs'!T235)*D202)</f>
        <v> </v>
      </c>
      <c r="F202" s="313" t="str">
        <f aca="false">IF(A202="N/A"," ",$F190*(1+VOMesc))</f>
        <v> </v>
      </c>
      <c r="G202" s="313" t="str">
        <f aca="false">IF(A202="N/A"," ",Perstart/IF(AND(Dayrun&gt;=4,Dayrun&lt;=6),16,IF(AND(Dayrun&gt;=7,Dayrun&lt;=9),8,24))/(BM202/CK202))</f>
        <v> </v>
      </c>
      <c r="H202" s="314" t="str">
        <f aca="false">IF(A202="N/A"," ",(C202*D202)+F202+G202)</f>
        <v> </v>
      </c>
      <c r="I202" s="315" t="str">
        <f aca="false">VLOOKUP(A202,ScaledPrice,(IF(AND(Dayrun&gt;=1,Dayrun&lt;=6),2,4)))</f>
        <v> </v>
      </c>
      <c r="J202" s="315" t="str">
        <f aca="false">IF(A202="N/A"," ",IF(AND(Dayrun&gt;=1,Dayrun&lt;=6),I202,(VLOOKUP(A202,ScaledPrice,2))*(2-(VLOOKUP(A202,ScaledPrice,3)))))</f>
        <v> </v>
      </c>
      <c r="K202" s="315" t="str">
        <f aca="false">IF(A202="N/A"," ",IF(AND(Dayrun&gt;=1,Dayrun&lt;=3),VLOOKUP(A202,ScaledPrice,9),0))</f>
        <v> </v>
      </c>
      <c r="L202" s="315" t="str">
        <f aca="false">IF(A202="N/A"," ",IF(OR(Dayrun=2,Dayrun=3,Dayrun=5,Dayrun=6,Dayrun=8,Dayrun=9),VLOOKUP(A202,ScaledPrice,IF(AND(Dayrun&gt;=2,Dayrun&lt;=6),5,6)),0))</f>
        <v> </v>
      </c>
      <c r="M202" s="315" t="str">
        <f aca="false">IF(A202="N/A"," ",IF(OR(Dayrun=2,Dayrun=3,Dayrun=5,Dayrun=6,Dayrun=8,Dayrun=9),IF(AND(Dayrun&gt;=2,Dayrun&lt;=6),L202,(VLOOKUP(A202,ScaledPrice,5))*(2-(VLOOKUP(A202,ScaledPrice,3)))),0))</f>
        <v> </v>
      </c>
      <c r="N202" s="315" t="str">
        <f aca="false">IF(A202="N/A"," ",IF(AND(Dayrun&gt;1,Dayrun&lt;=3),VLOOKUP(A202,ScaledPrice,9),0))</f>
        <v> </v>
      </c>
      <c r="O202" s="315" t="str">
        <f aca="false">IF(A202="N/A"," ",IF(OR(Dayrun=3,Dayrun=6,Dayrun=9),(VLOOKUP(A202,ScaledPrice,IF(AND(Dayrun&gt;=3,Dayrun&lt;=6),7,8))),0))</f>
        <v> </v>
      </c>
      <c r="P202" s="315" t="str">
        <f aca="false">IF(A202="N/A"," ",IF(OR(Dayrun=3,Dayrun=6,Dayrun=9),IF(AND(Dayrun&gt;=3,Dayrun&lt;=6),O202,(VLOOKUP(A202,ScaledPrice,7))*(2-(VLOOKUP(A202,ScaledPrice,3)))),0))</f>
        <v> </v>
      </c>
      <c r="Q202" s="315" t="str">
        <f aca="false">IF(A202="N/A"," ",IF(AND(Dayrun&gt;2,Dayrun&lt;=3),VLOOKUP(A202,ScaledPrice,9),0))</f>
        <v> </v>
      </c>
      <c r="R202" s="316" t="str">
        <f aca="false">IF($A202="N/A"," ",IF(Pricetype=2,MAX(I202-$H202,0),IF(Pricetype=1,(xSPRDOPT(I202,$E202,$CI202,0,($CD202+IF(Smile=TRUE(),VLOOKUP(MAX(-5,$H202-I202),Volsmile,2),0)),$CG202,$CH202,($A202-DateToday)+15,1,0)),I202-$H202)))</f>
        <v> </v>
      </c>
      <c r="S202" s="316" t="str">
        <f aca="false">IF($A202="N/A"," ",IF(Pricetype=2,MAX(J202-$H202,0),IF(Pricetype=1,(xSPRDOPT(J202,$E202,$CI202,0,($CD202+IF(Smile=TRUE(),VLOOKUP(MAX(-5,$H202-J202),Volsmile,2),0)),$CG202,$CH202,($A202-DateToday)+15,1,0)),J202-$H202)))</f>
        <v> </v>
      </c>
      <c r="T202" s="317" t="str">
        <f aca="false">IF($A202="N/A"," ",(IF(Pricetype=2,IF((K202-$H202)&lt;=0,0,(K202-$H202)),IF(K202&lt;&gt;0,(K202-$H202),0))))</f>
        <v> </v>
      </c>
      <c r="U202" s="316" t="str">
        <f aca="false">IF($A202="N/A"," ",IF(Pricetype=2,MAX(L202-$H202,0),IF(L202&lt;&gt;0,IF(Pricetype=1,(xSPRDOPT(L202,$E202,$CI202,0,($CD202+IF(Smile=TRUE(),VLOOKUP(MAX(-5,$H202-L202),Volsmile,2),0)),$CG202,$CH202,($A202-DateToday)+15,1,0)),L202-$H202),0)))</f>
        <v> </v>
      </c>
      <c r="V202" s="316" t="str">
        <f aca="false">IF($A202="N/A"," ",IF(Pricetype=2,MAX(M202-$H202,0),IF(M202&lt;&gt;0,IF(Pricetype=1,(xSPRDOPT(M202,$E202,$CI202,0,($CD202+IF(Smile=TRUE(),VLOOKUP(MAX(-5,$H202-M202),Volsmile,2),0)),$CG202,$CH202,($A202-DateToday)+15,1,0)),M202-$H202),0)))</f>
        <v> </v>
      </c>
      <c r="W202" s="317" t="str">
        <f aca="false">IF($A202="N/A"," ",(IF(Pricetype=2,IF((N202-$H202)&lt;=0,0,(N202-$H202)),IF(N202&lt;&gt;0,(N202-$H202),0))))</f>
        <v> </v>
      </c>
      <c r="X202" s="316" t="str">
        <f aca="false">IF($A202="N/A"," ",IF(Pricetype=2,MAX(O202-$H202,0),IF(O202&lt;&gt;0,IF(Pricetype=1,(xSPRDOPT(O202,$E202,$CI202,0,($CD202+IF(Smile=TRUE(),VLOOKUP(MAX(-5,$H202-O202),Volsmile,2),0)),$CG202,$CH202,($A202-DateToday)+15,1,0)),O202-$H202),0)))</f>
        <v> </v>
      </c>
      <c r="Y202" s="316" t="str">
        <f aca="false">IF($A202="N/A"," ",IF(Pricetype=2,MAX(P202-$H202,0),IF(P202&lt;&gt;0,IF(Pricetype=1,(xSPRDOPT(P202,$E202,$CI202,0,($CD202+IF(Smile=TRUE(),VLOOKUP(MAX(-5,$H202-P202),Volsmile,2),0)),$CG202,$CH202,($A202-DateToday)+15,1,0)),P202-$H202),0)))</f>
        <v> </v>
      </c>
      <c r="Z202" s="317" t="str">
        <f aca="false">IF($A202="N/A"," ",(IF(Pricetype=2,IF((Q202-$H202)&lt;=0,0,(Q202-$H202)),IF(Q202&lt;&gt;0,(Q202-$H202),0))))</f>
        <v> </v>
      </c>
      <c r="AA202" s="318" t="str">
        <f aca="false">IF($A202="N/A"," ",IF(VLOOKUP(MONTH(A202),ManualTable,2)=1,(IF(0&lt;&gt;R202,IF(Pricetype=1,(xSPRDOPT(I202,$E202,$CI202,0,($CD202+IF(Smile=TRUE(),VLOOKUP(MAX(-5,$H202-I202),Volsmile,2),0)),$CG202,$CH202,($A202-DateToday)+15,1,1))*(8*$HD202),8*$HD202),0)),0))</f>
        <v> </v>
      </c>
      <c r="AB202" s="318" t="str">
        <f aca="false">IF($A202="N/A"," ",IF(VLOOKUP(MONTH(A202),ManualTable,3)=1,(IF(S202&lt;&gt;0,IF(Pricetype=1,(xSPRDOPT(J202,$E202,$CI202,0,($CD202+IF(Smile=TRUE(),VLOOKUP(MAX(-5,$H202-J202),Volsmile,2),0)),$CG202,$CH202,($A202-DateToday)+15,1,1))*(8*$HD202),8*$HD202),0)),0))</f>
        <v> </v>
      </c>
      <c r="AC202" s="318" t="str">
        <f aca="false">IF($A202="N/A"," ",IF(VLOOKUP(MONTH(A202),ManualTable,4)=1,(IF(T202&lt;&gt;0,(8*$HD202),0)),0))</f>
        <v> </v>
      </c>
      <c r="AD202" s="318" t="str">
        <f aca="false">IF($A202="N/A"," ",IF(VLOOKUP(MONTH(A202),ManualTable,5)=1,(IF(U202&lt;&gt;0,IF(Pricetype=1,(xSPRDOPT(L202,$E202,$CI202,0,($CD202+IF(Smile=TRUE(),VLOOKUP(MAX(-5,$H202-L202),Volsmile,2),0)),$CG202,$CH202,($A202-DateToday)+15,1,1))*(8*$HE202),8*$HE202),0)),0))</f>
        <v> </v>
      </c>
      <c r="AE202" s="318" t="str">
        <f aca="false">IF($A202="N/A"," ",IF(VLOOKUP(MONTH(A202),ManualTable,6)=1,(IF(V202&lt;&gt;0,IF(Pricetype=1,(xSPRDOPT(M202,$E202,$CI202,0,($CD202+IF(Smile=TRUE(),VLOOKUP(MAX(-5,$H202-M202),Volsmile,2),0)),$CG202,$CH202,($A202-DateToday)+15,1,1))*(8*$HE202),8*$HE202),0)),0))</f>
        <v> </v>
      </c>
      <c r="AF202" s="318" t="str">
        <f aca="false">IF($A202="N/A"," ",IF(VLOOKUP(MONTH(A202),ManualTable,7)=1,(IF(W202&lt;&gt;0,(8*$HE202),0)),0))</f>
        <v> </v>
      </c>
      <c r="AG202" s="318" t="str">
        <f aca="false">IF($A202="N/A"," ",IF(VLOOKUP(MONTH(A202),ManualTable,8)=1,(IF(X202&lt;&gt;0,IF(Pricetype=1,(xSPRDOPT(O202,$E202,$CI202,0,($CD202+IF(Smile=TRUE(),VLOOKUP(MAX(-5,$H202-O202),Volsmile,2),0)),$CG202,$CH202,($A202-DateToday)+15,1,1))*(8*$HF202),8*$HF202),0)),0))</f>
        <v> </v>
      </c>
      <c r="AH202" s="318" t="str">
        <f aca="false">IF($A202="N/A"," ",IF(VLOOKUP(MONTH(A202),ManualTable,9)=1,(IF(Y202&lt;&gt;0,IF(Pricetype=1,(xSPRDOPT(P202,$E202,$CI202,0,($CD202+IF(Smile=TRUE(),VLOOKUP(MAX(-5,$H202-P202),Volsmile,2),0)),$CG202,$CH202,($A202-DateToday)+15,1,1))*(8*$HF202),8*$HF202),0)),0))</f>
        <v> </v>
      </c>
      <c r="AI202" s="318" t="str">
        <f aca="false">IF($A202="N/A"," ",IF(VLOOKUP(MONTH(A202),ManualTable,10)=1,(IF(Z202&lt;&gt;0,(8*($HF202)),0)),0))</f>
        <v> </v>
      </c>
      <c r="AJ202" s="344" t="str">
        <f aca="false">IF($A202="N/A"," ",RANK(R202,$R$196:$Z$207))</f>
        <v> </v>
      </c>
      <c r="AK202" s="321" t="str">
        <f aca="false">IF($A202="N/A"," ",RANK(S202,$R$196:$Z$207))</f>
        <v> </v>
      </c>
      <c r="AL202" s="321" t="str">
        <f aca="false">IF($A202="N/A"," ",RANK(T202,$R$196:$Z$207))</f>
        <v> </v>
      </c>
      <c r="AM202" s="321" t="str">
        <f aca="false">IF($A202="N/A"," ",RANK(U202,$R$196:$Z$207))</f>
        <v> </v>
      </c>
      <c r="AN202" s="321" t="str">
        <f aca="false">IF($A202="N/A"," ",RANK(V202,$R$196:$Z$207))</f>
        <v> </v>
      </c>
      <c r="AO202" s="321" t="str">
        <f aca="false">IF($A202="N/A"," ",RANK(W202,$R$196:$Z$207))</f>
        <v> </v>
      </c>
      <c r="AP202" s="321" t="str">
        <f aca="false">IF($A202="N/A"," ",RANK(X202,$R$196:$Z$207))</f>
        <v> </v>
      </c>
      <c r="AQ202" s="321" t="str">
        <f aca="false">IF($A202="N/A"," ",RANK(Y202,$R$196:$Z$207))</f>
        <v> </v>
      </c>
      <c r="AR202" s="345" t="str">
        <f aca="false">IF($A202="N/A"," ",RANK(Z202,$R$196:$Z$207))</f>
        <v> </v>
      </c>
      <c r="AS202" s="323" t="str">
        <f aca="false">IF($A202="N/A"," ",IF(AJ202&lt;=$AR$2,AA202,0))</f>
        <v> </v>
      </c>
      <c r="AT202" s="325" t="str">
        <f aca="false">IF($A202="N/A"," ",IF(AK202&lt;=$AR$2,AB202,0))</f>
        <v> </v>
      </c>
      <c r="AU202" s="325" t="str">
        <f aca="false">IF($A202="N/A"," ",IF(AL202&lt;=$AR$2,AC202,0))</f>
        <v> </v>
      </c>
      <c r="AV202" s="325" t="str">
        <f aca="false">IF($A202="N/A"," ",IF(AM202&lt;=$AR$2,AD202,0))</f>
        <v> </v>
      </c>
      <c r="AW202" s="325" t="str">
        <f aca="false">IF($A202="N/A"," ",IF(AN202&lt;=$AR$2,AE202,0))</f>
        <v> </v>
      </c>
      <c r="AX202" s="325" t="str">
        <f aca="false">IF($A202="N/A"," ",IF(AO202&lt;=$AR$2,AF202,0))</f>
        <v> </v>
      </c>
      <c r="AY202" s="325" t="str">
        <f aca="false">IF($A202="N/A"," ",IF(AP202&lt;=$AR$2,AG202,0))</f>
        <v> </v>
      </c>
      <c r="AZ202" s="325" t="str">
        <f aca="false">IF($A202="N/A"," ",IF(AQ202&lt;=$AR$2,AH202,0))</f>
        <v> </v>
      </c>
      <c r="BA202" s="325" t="str">
        <f aca="false">IF($A202="N/A"," ",IF(AR202&lt;=$AR$2,AI202,0))</f>
        <v> </v>
      </c>
      <c r="BB202" s="345"/>
      <c r="BC202" s="326" t="str">
        <f aca="false">IF($A202="N/A"," ",IF(AND(AJ202=$AR$2+1,AS202=0),MIN($BB$207,AA202),0))</f>
        <v> </v>
      </c>
      <c r="BD202" s="346" t="str">
        <f aca="false">IF($A202="N/A"," ",IF(AND(AK202=$AR$2+1,AT202=0),MIN($BB$207,AB202),0))</f>
        <v> </v>
      </c>
      <c r="BE202" s="346" t="str">
        <f aca="false">IF($A202="N/A"," ",IF(AND(AL202=$AR$2+1,AU202=0),MIN($BB$207,AC202),0))</f>
        <v> </v>
      </c>
      <c r="BF202" s="346" t="str">
        <f aca="false">IF($A202="N/A"," ",IF(AND(AM202=$AR$2+1,AV202=0),MIN($BB$207,AD202),0))</f>
        <v> </v>
      </c>
      <c r="BG202" s="346" t="str">
        <f aca="false">IF($A202="N/A"," ",IF(AND(AN202=$AR$2+1,AW202=0),MIN($BB$207,AE202),0))</f>
        <v> </v>
      </c>
      <c r="BH202" s="346" t="str">
        <f aca="false">IF($A202="N/A"," ",IF(AND(AO202=$AR$2+1,AX202=0),MIN($BB$207,AF202),0))</f>
        <v> </v>
      </c>
      <c r="BI202" s="346" t="str">
        <f aca="false">IF($A202="N/A"," ",IF(AND(AP202=$AR$2+1,AY202=0),MIN($BB$207,AG202),0))</f>
        <v> </v>
      </c>
      <c r="BJ202" s="346" t="str">
        <f aca="false">IF($A202="N/A"," ",IF(AND(AQ202=$AR$2+1,AZ202=0),MIN($BB$207,AH202),0))</f>
        <v> </v>
      </c>
      <c r="BK202" s="346" t="str">
        <f aca="false">IF($A202="N/A"," ",IF(AND(AR202=$AR$2+1,BA202=0),MIN($BB$207,AI202),0))</f>
        <v> </v>
      </c>
      <c r="BL202" s="345"/>
      <c r="BM202" s="329" t="str">
        <f aca="false">IF($A202="N/A"," ",(IF(MONTH(A202)&gt;=4,IF(MONTH(A202)&lt;=10,Inputs!$F$13-Inputs!$G$13,Inputs!$F$14-Inputs!$G$14),Inputs!$F$14-Inputs!$G$14))*$CK202*Availability)</f>
        <v> </v>
      </c>
      <c r="BN202" s="330" t="str">
        <f aca="false">IF($A202="N/A"," ",(IF(AS202&gt;0,($BM202*(8*($HD202))*R202),0)+IF(BC202&gt;0,($BM202*((BC202/AA202)*8*$HD202)*R202),0)))</f>
        <v> </v>
      </c>
      <c r="BO202" s="330" t="str">
        <f aca="false">IF($A202="N/A"," ",(IF(AT202&gt;0,($BM202*(8*($HD202))*S202),0)+IF(BD202&gt;0,($BM202*((BD202/AB202)*8*$HD202)*S202),0)))</f>
        <v> </v>
      </c>
      <c r="BP202" s="330" t="str">
        <f aca="false">IF($A202="N/A"," ",(IF(AU202&gt;0,($BM202*(8*($HD202))*T202),0)+IF(BE202&gt;0,($BM202*((BE202))*T202),0)))</f>
        <v> </v>
      </c>
      <c r="BQ202" s="330" t="str">
        <f aca="false">IF($A202="N/A"," ",(IF(AV202&gt;0,($BM202*(8*($HE202))*U202),0)+IF(BF202&gt;0,($BM202*((BF202/AD202)*8*$HE202)*U202),0)))</f>
        <v> </v>
      </c>
      <c r="BR202" s="330" t="str">
        <f aca="false">IF($A202="N/A"," ",(IF(AW202&gt;0,($BM202*(8*($HE202))*V202),0)+IF(BG202&gt;0,($BM202*((BG202/AE202)*8*$HE202)*V202),0)))</f>
        <v> </v>
      </c>
      <c r="BS202" s="330" t="str">
        <f aca="false">IF($A202="N/A"," ",(IF(AX202&gt;0,($BM202*(8*($HE202))*W202),0)+IF(BH202&gt;0,($BM202*((BH202))*W202),0)))</f>
        <v> </v>
      </c>
      <c r="BT202" s="330" t="str">
        <f aca="false">IF($A202="N/A"," ",(IF(AY202&gt;0,($BM202*(8*($HF202))*X202),0)+IF(BI202&gt;0,($BM202*((BI202/AG202)*8*$HF202)*X202),0)))</f>
        <v> </v>
      </c>
      <c r="BU202" s="330" t="str">
        <f aca="false">IF($A202="N/A"," ",(IF(AZ202&gt;0,($BM202*(8*($HF202))*Y202),0)+IF(BJ202&gt;0,($BM202*((BJ202/AH202)*8*$HF202)*Y202),0)))</f>
        <v> </v>
      </c>
      <c r="BV202" s="330" t="str">
        <f aca="false">IF($A202="N/A"," ",(IF(BA202&gt;0,($BM202*(8*($HF202))*Z202),0)+IF(BK202&gt;0,($BM202*((BK202))*Z202),0)))</f>
        <v> </v>
      </c>
      <c r="BW202" s="330" t="str">
        <f aca="false">IF($A202="N/A"," ",SUM(BN202:BV202))</f>
        <v> </v>
      </c>
      <c r="BX202" s="331" t="str">
        <f aca="false">IF($A202="N/A"," ",(H202*(SUM(AS202:BA202)+SUM(BC202:BK202))*BM202))</f>
        <v> </v>
      </c>
      <c r="BY202" s="332" t="str">
        <f aca="false">IF($A202="N/A"," ",((C202*D202)*(SUM($AS202:$BA202)+SUM($BC202:$BK202))*$BM202))</f>
        <v> </v>
      </c>
      <c r="BZ202" s="332" t="str">
        <f aca="false">IF($A202="N/A"," ",(F202*(SUM($AS202:$BA202)+SUM($BC202:$BK202))*$BM202))</f>
        <v> </v>
      </c>
      <c r="CA202" s="333" t="str">
        <f aca="false">IF($A202="N/A"," ",(G202*(SUM($AS202:$BA202)+SUM($BC202:$BK202))*$BM202))</f>
        <v> </v>
      </c>
      <c r="CB202" s="334" t="str">
        <f aca="false">IF(A202="N/A"," ",(VLOOKUP(A202,PowerVolTable,(IF(BMO=2,7,IF(BMO=1,6,8))),FALSE())))</f>
        <v> </v>
      </c>
      <c r="CC202" s="334" t="str">
        <f aca="false">IF(A202="N/A"," ",(VLOOKUP(A202,IntraPowerVol,(IF(BMO=2,3,IF(BMO=1,2,4))),FALSE())*VLOOKUP(MONTH($A202),Volscale,2)))</f>
        <v> </v>
      </c>
      <c r="CD202" s="335" t="str">
        <f aca="false">IF($A202="N/A"," ",(IF(DateToday&gt;$A202,$CC202,((($CB202^2)*((($A202-1)-DateToday)/((EOMONTH($A202,0)+1)-DateToday-15)))+((($CC202)^2)*((15)/((EOMONTH($A202,0)+1)-DateToday-15))))^0.5)))</f>
        <v> </v>
      </c>
      <c r="CE202" s="334" t="str">
        <f aca="false">IF($A202="N/A"," ",(VLOOKUP($A202,GasVolTable,(IF(BMO=2,6,IF(BMO=1,7,5))),FALSE())))</f>
        <v> </v>
      </c>
      <c r="CF202" s="334" t="str">
        <f aca="false">IF($A202="N/A"," ",(VLOOKUP($A202,OmicronVol,(IF(BMO=2,3,IF(BMO=1,4,2))),FALSE())))</f>
        <v> </v>
      </c>
      <c r="CG202" s="335" t="str">
        <f aca="false">IF($A202="N/A"," ",(IF(DateToday&gt;$A202,$CF202,((($CE202^2)*((($A202-1)-DateToday)/((EOMONTH($A202,0)+1)-DateToday-15)))+((($CF202)^2)*((15)/((EOMONTH($A202,0)+1)-DateToday-15))))^0.5)))</f>
        <v> </v>
      </c>
      <c r="CH202" s="334" t="str">
        <f aca="false">IF($A202="N/A"," ",VLOOKUP($A202,CorrelationTable,2,FALSE()))</f>
        <v> </v>
      </c>
      <c r="CI202" s="336" t="str">
        <f aca="false">IF($A202="N/A"," ",F202+G202+(D202*('Pricing Inputs'!T235)))</f>
        <v> </v>
      </c>
      <c r="CJ202" s="334" t="str">
        <f aca="false">IF($A202="N/A"," ",IF(PV=1,0,'Pricing Inputs'!U235))</f>
        <v> </v>
      </c>
      <c r="CK202" s="337" t="str">
        <f aca="false">IF($A202="N/A"," ",(1+CJ202/2)^(-2*((EOMONTH(A202,0)+20)-DateToday)/365.25))</f>
        <v> </v>
      </c>
      <c r="CL202" s="338" t="str">
        <f aca="false">IF(A202="N/A"," ",IF(CC=2,(VLOOKUP(MONTH($A202),Hrtable,3))/1000,0))</f>
        <v> </v>
      </c>
      <c r="CM202" s="339" t="str">
        <f aca="false">IF(A202="N/A"," ",IF(CC=2,(CL202*C202)+F202,0))</f>
        <v> </v>
      </c>
      <c r="CN202" s="340" t="str">
        <f aca="false">IF($A202="N/A"," ",IF(CC=2,(VLOOKUP(A202,ScaledPrice,(IF(AND(Dayrun&gt;=1,Dayrun&lt;=6),2,4)))-((IF(R202&lt;&gt;0,$D202,$CL202)*$C202)+$F202+$G202)),0))</f>
        <v> </v>
      </c>
      <c r="CO202" s="340" t="str">
        <f aca="false">IF($A202="N/A"," ",IF(CC=2,(IF(AND(Dayrun&gt;=1,Dayrun&lt;=6),I202,(VLOOKUP(A202,ScaledPrice,2))*(2-(VLOOKUP(A202,ScaledPrice,3))))-((IF(S202&lt;&gt;0,$D202,$CL202)*$C202)+$F202+$G202)),0))</f>
        <v> </v>
      </c>
      <c r="CP202" s="340" t="str">
        <f aca="false">IF(A202="N/A"," ",IF(CC=2,(VLOOKUP(A202,ScaledPrice,9)-((IF(T202&lt;&gt;0,$D202,$CL202)*$C202)+$F202+$G202)),0))</f>
        <v> </v>
      </c>
      <c r="CQ202" s="340" t="str">
        <f aca="false">IF(A202="N/A"," ",IF(CC=2,(IF(OR(Dayrun=2,Dayrun=3,Dayrun=5,Dayrun=6,Dayrun=8,Dayrun=9),VLOOKUP(A202,ScaledPrice,IF(AND(Dayrun&gt;=2,Dayrun&lt;=6),5,6)),0)-((IF(U202&lt;&gt;0,$D202,$CL202)*$C202)+$F202+$G202)),0))</f>
        <v> </v>
      </c>
      <c r="CR202" s="340" t="str">
        <f aca="false">IF(A202="N/A"," ",IF(CC=2,(IF(OR(Dayrun=2,Dayrun=3,Dayrun=5,Dayrun=6,Dayrun=8,Dayrun=9),IF(AND(Dayrun&gt;=2,Dayrun&lt;=6),L202,(VLOOKUP(A202,ScaledPrice,5))*(2-(VLOOKUP(A202,ScaledPrice,3)))),0)-((IF(V202&lt;&gt;0,$D202,$CL202)*$C202)+$F202+$G202)),0))</f>
        <v> </v>
      </c>
      <c r="CS202" s="340" t="str">
        <f aca="false">IF(A202="N/A"," ",IF(CC=2,(VLOOKUP(A202,ScaledPrice,9)-((IF(W202&lt;&gt;0,$D202,$CL202)*$C202)+$F202+$G202)),0))</f>
        <v> </v>
      </c>
      <c r="CT202" s="340" t="str">
        <f aca="false">IF(A202="N/A"," ",IF(CC=2,(IF(OR(Dayrun=3,Dayrun=6,Dayrun=9),(VLOOKUP(A202,ScaledPrice,IF(AND(Dayrun&gt;=3,Dayrun&lt;=6),7,8))),0)-((IF(X202&lt;&gt;0,$D202,$CL202)*$C202)+$F202+$G202)),0))</f>
        <v> </v>
      </c>
      <c r="CU202" s="340" t="str">
        <f aca="false">IF(A202="N/A"," ",IF(CC=2,(IF(OR(Dayrun=3,Dayrun=6,Dayrun=9),IF(AND(Dayrun&gt;=3,Dayrun&lt;=6),O202,(VLOOKUP(A202,ScaledPrice,7))*(2-(VLOOKUP(A202,ScaledPrice,3)))),0)-((IF(Y202&lt;&gt;0,$D202,$CL202)*$C202)+$F202+$G202)),0))</f>
        <v> </v>
      </c>
      <c r="CV202" s="340" t="str">
        <f aca="false">IF(A202="N/A"," ",IF(CC=2,(VLOOKUP(A202,ScaledPrice,9)-((IF(Z202&lt;&gt;0,$D202,$CL202)*$C202)+$F202+$G202)),0))</f>
        <v> </v>
      </c>
      <c r="CW202" s="318" t="str">
        <f aca="false">IF($A202="N/A"," ",IF(0&lt;&gt;CN202,IF(CC=2,8*$HD202,0),0))</f>
        <v> </v>
      </c>
      <c r="CX202" s="318" t="str">
        <f aca="false">IF($A202="N/A"," ",IF(0&lt;&gt;CO202,IF(CC=2,8*$HD202,0),0))</f>
        <v> </v>
      </c>
      <c r="CY202" s="318" t="str">
        <f aca="false">IF($A202="N/A"," ",IF(0&lt;&gt;CP202,IF(CC=2,8*$HD202,0),0))</f>
        <v> </v>
      </c>
      <c r="CZ202" s="318" t="str">
        <f aca="false">IF($A202="N/A"," ",IF(0&lt;&gt;CQ202,IF(CC=2,8*$HE202,0),0))</f>
        <v> </v>
      </c>
      <c r="DA202" s="318" t="str">
        <f aca="false">IF($A202="N/A"," ",IF(0&lt;&gt;CR202,IF(CC=2,8*$HE202,0),0))</f>
        <v> </v>
      </c>
      <c r="DB202" s="318" t="str">
        <f aca="false">IF($A202="N/A"," ",IF(0&lt;&gt;CS202,IF(CC=2,8*$HE202,0),0))</f>
        <v> </v>
      </c>
      <c r="DC202" s="318" t="str">
        <f aca="false">IF($A202="N/A"," ",IF(0&lt;&gt;CT202,IF(CC=2,8*$HF202,0),0))</f>
        <v> </v>
      </c>
      <c r="DD202" s="318" t="str">
        <f aca="false">IF($A202="N/A"," ",IF(0&lt;&gt;CU202,IF(CC=2,8*$HF202,0),0))</f>
        <v> </v>
      </c>
      <c r="DE202" s="318" t="str">
        <f aca="false">IF($A202="N/A"," ",IF(0&lt;&gt;CV202,IF(CC=2,8*$HF202,0),0))</f>
        <v> </v>
      </c>
      <c r="DF202" s="341" t="str">
        <f aca="false">IF($A202="N/A"," ",IF(CC=2,(IF(MONTH(A202)&gt;=4,IF(MONTH(A202)&lt;=10,Inputs!$G$13,Inputs!$G$14),Inputs!$G$14))*$CK202,0))</f>
        <v> </v>
      </c>
      <c r="DG202" s="342" t="str">
        <f aca="false">IF($A202="N/A"," ",IF(CC=2,$DF202*CW202*CN202,0))</f>
        <v> </v>
      </c>
      <c r="DH202" s="342" t="str">
        <f aca="false">IF($A202="N/A"," ",IF(CC=2,$DF202*CX202*CO202,0))</f>
        <v> </v>
      </c>
      <c r="DI202" s="342" t="str">
        <f aca="false">IF($A202="N/A"," ",IF(CC=2,$DF202*CY202*CP202,0))</f>
        <v> </v>
      </c>
      <c r="DJ202" s="342" t="str">
        <f aca="false">IF($A202="N/A"," ",IF(CC=2,$DF202*CZ202*CQ202,0))</f>
        <v> </v>
      </c>
      <c r="DK202" s="342" t="str">
        <f aca="false">IF($A202="N/A"," ",IF(CC=2,$DF202*DA202*CR202,0))</f>
        <v> </v>
      </c>
      <c r="DL202" s="342" t="str">
        <f aca="false">IF($A202="N/A"," ",IF(CC=2,$DF202*DB202*CS202,0))</f>
        <v> </v>
      </c>
      <c r="DM202" s="342" t="str">
        <f aca="false">IF($A202="N/A"," ",IF(CC=2,$DF202*DC202*CT202,0))</f>
        <v> </v>
      </c>
      <c r="DN202" s="342" t="str">
        <f aca="false">IF($A202="N/A"," ",IF(CC=2,$DF202*DD202*CU202,0))</f>
        <v> </v>
      </c>
      <c r="DO202" s="342" t="str">
        <f aca="false">IF($A202="N/A"," ",IF(CC=2,$DF202*DE202*CV202,0))</f>
        <v> </v>
      </c>
      <c r="DP202" s="343" t="str">
        <f aca="false">IF($A202="N/A"," ",IF(CC=2,SUM(DG202:DO202),0))</f>
        <v> </v>
      </c>
      <c r="DQ202" s="0" t="str">
        <f aca="false">IF(A202="N/A"," ",Perstart)</f>
        <v> </v>
      </c>
      <c r="HD202" s="0" t="str">
        <f aca="false">IF($A202="N/A"," ",VLOOKUP($A202,NumberofDaysTable,2))</f>
        <v> </v>
      </c>
      <c r="HE202" s="0" t="str">
        <f aca="false">IF($A202="N/A"," ",VLOOKUP($A202,NumberofDaysTable,3))</f>
        <v> </v>
      </c>
      <c r="HF202" s="0" t="str">
        <f aca="false">IF($A202="N/A"," ",VLOOKUP($A202,NumberofDaysTable,4))</f>
        <v> </v>
      </c>
    </row>
    <row r="203" customFormat="false" ht="12.75" hidden="false" customHeight="false" outlineLevel="0" collapsed="false">
      <c r="A203" s="308" t="str">
        <f aca="false">IF(A202="N/A","N/A",IF(EDATE(A202,1)&gt;Inputs!$K$3,"N/A",EDATE(A202,1)))</f>
        <v>N/A</v>
      </c>
      <c r="B203" s="309" t="str">
        <f aca="false">IF(A203="N/A"," ",YEAR(A203))</f>
        <v> </v>
      </c>
      <c r="C203" s="310" t="str">
        <f aca="false">IF(A203="N/A"," ",VLOOKUP(A203,ScaledPrice,10))</f>
        <v> </v>
      </c>
      <c r="D203" s="311" t="str">
        <f aca="false">IF(A203="N/A"," ",(VLOOKUP(MONTH($A203),Hrtable,2))/1000)</f>
        <v> </v>
      </c>
      <c r="E203" s="312" t="str">
        <f aca="false">IF($A203="N/A"," ",(C203-'Pricing Inputs'!T236)*D203)</f>
        <v> </v>
      </c>
      <c r="F203" s="313" t="str">
        <f aca="false">IF(A203="N/A"," ",$F191*(1+VOMesc))</f>
        <v> </v>
      </c>
      <c r="G203" s="313" t="str">
        <f aca="false">IF(A203="N/A"," ",Perstart/IF(AND(Dayrun&gt;=4,Dayrun&lt;=6),16,IF(AND(Dayrun&gt;=7,Dayrun&lt;=9),8,24))/(BM203/CK203))</f>
        <v> </v>
      </c>
      <c r="H203" s="314" t="str">
        <f aca="false">IF(A203="N/A"," ",(C203*D203)+F203+G203)</f>
        <v> </v>
      </c>
      <c r="I203" s="315" t="str">
        <f aca="false">VLOOKUP(A203,ScaledPrice,(IF(AND(Dayrun&gt;=1,Dayrun&lt;=6),2,4)))</f>
        <v> </v>
      </c>
      <c r="J203" s="315" t="str">
        <f aca="false">IF(A203="N/A"," ",IF(AND(Dayrun&gt;=1,Dayrun&lt;=6),I203,(VLOOKUP(A203,ScaledPrice,2))*(2-(VLOOKUP(A203,ScaledPrice,3)))))</f>
        <v> </v>
      </c>
      <c r="K203" s="315" t="str">
        <f aca="false">IF(A203="N/A"," ",IF(AND(Dayrun&gt;=1,Dayrun&lt;=3),VLOOKUP(A203,ScaledPrice,9),0))</f>
        <v> </v>
      </c>
      <c r="L203" s="315" t="str">
        <f aca="false">IF(A203="N/A"," ",IF(OR(Dayrun=2,Dayrun=3,Dayrun=5,Dayrun=6,Dayrun=8,Dayrun=9),VLOOKUP(A203,ScaledPrice,IF(AND(Dayrun&gt;=2,Dayrun&lt;=6),5,6)),0))</f>
        <v> </v>
      </c>
      <c r="M203" s="315" t="str">
        <f aca="false">IF(A203="N/A"," ",IF(OR(Dayrun=2,Dayrun=3,Dayrun=5,Dayrun=6,Dayrun=8,Dayrun=9),IF(AND(Dayrun&gt;=2,Dayrun&lt;=6),L203,(VLOOKUP(A203,ScaledPrice,5))*(2-(VLOOKUP(A203,ScaledPrice,3)))),0))</f>
        <v> </v>
      </c>
      <c r="N203" s="315" t="str">
        <f aca="false">IF(A203="N/A"," ",IF(AND(Dayrun&gt;1,Dayrun&lt;=3),VLOOKUP(A203,ScaledPrice,9),0))</f>
        <v> </v>
      </c>
      <c r="O203" s="315" t="str">
        <f aca="false">IF(A203="N/A"," ",IF(OR(Dayrun=3,Dayrun=6,Dayrun=9),(VLOOKUP(A203,ScaledPrice,IF(AND(Dayrun&gt;=3,Dayrun&lt;=6),7,8))),0))</f>
        <v> </v>
      </c>
      <c r="P203" s="315" t="str">
        <f aca="false">IF(A203="N/A"," ",IF(OR(Dayrun=3,Dayrun=6,Dayrun=9),IF(AND(Dayrun&gt;=3,Dayrun&lt;=6),O203,(VLOOKUP(A203,ScaledPrice,7))*(2-(VLOOKUP(A203,ScaledPrice,3)))),0))</f>
        <v> </v>
      </c>
      <c r="Q203" s="315" t="str">
        <f aca="false">IF(A203="N/A"," ",IF(AND(Dayrun&gt;2,Dayrun&lt;=3),VLOOKUP(A203,ScaledPrice,9),0))</f>
        <v> </v>
      </c>
      <c r="R203" s="316" t="str">
        <f aca="false">IF($A203="N/A"," ",IF(Pricetype=2,MAX(I203-$H203,0),IF(Pricetype=1,(xSPRDOPT(I203,$E203,$CI203,0,($CD203+IF(Smile=TRUE(),VLOOKUP(MAX(-5,$H203-I203),Volsmile,2),0)),$CG203,$CH203,($A203-DateToday)+15,1,0)),I203-$H203)))</f>
        <v> </v>
      </c>
      <c r="S203" s="316" t="str">
        <f aca="false">IF($A203="N/A"," ",IF(Pricetype=2,MAX(J203-$H203,0),IF(Pricetype=1,(xSPRDOPT(J203,$E203,$CI203,0,($CD203+IF(Smile=TRUE(),VLOOKUP(MAX(-5,$H203-J203),Volsmile,2),0)),$CG203,$CH203,($A203-DateToday)+15,1,0)),J203-$H203)))</f>
        <v> </v>
      </c>
      <c r="T203" s="317" t="str">
        <f aca="false">IF($A203="N/A"," ",(IF(Pricetype=2,IF((K203-$H203)&lt;=0,0,(K203-$H203)),IF(K203&lt;&gt;0,(K203-$H203),0))))</f>
        <v> </v>
      </c>
      <c r="U203" s="316" t="str">
        <f aca="false">IF($A203="N/A"," ",IF(Pricetype=2,MAX(L203-$H203,0),IF(L203&lt;&gt;0,IF(Pricetype=1,(xSPRDOPT(L203,$E203,$CI203,0,($CD203+IF(Smile=TRUE(),VLOOKUP(MAX(-5,$H203-L203),Volsmile,2),0)),$CG203,$CH203,($A203-DateToday)+15,1,0)),L203-$H203),0)))</f>
        <v> </v>
      </c>
      <c r="V203" s="316" t="str">
        <f aca="false">IF($A203="N/A"," ",IF(Pricetype=2,MAX(M203-$H203,0),IF(M203&lt;&gt;0,IF(Pricetype=1,(xSPRDOPT(M203,$E203,$CI203,0,($CD203+IF(Smile=TRUE(),VLOOKUP(MAX(-5,$H203-M203),Volsmile,2),0)),$CG203,$CH203,($A203-DateToday)+15,1,0)),M203-$H203),0)))</f>
        <v> </v>
      </c>
      <c r="W203" s="317" t="str">
        <f aca="false">IF($A203="N/A"," ",(IF(Pricetype=2,IF((N203-$H203)&lt;=0,0,(N203-$H203)),IF(N203&lt;&gt;0,(N203-$H203),0))))</f>
        <v> </v>
      </c>
      <c r="X203" s="316" t="str">
        <f aca="false">IF($A203="N/A"," ",IF(Pricetype=2,MAX(O203-$H203,0),IF(O203&lt;&gt;0,IF(Pricetype=1,(xSPRDOPT(O203,$E203,$CI203,0,($CD203+IF(Smile=TRUE(),VLOOKUP(MAX(-5,$H203-O203),Volsmile,2),0)),$CG203,$CH203,($A203-DateToday)+15,1,0)),O203-$H203),0)))</f>
        <v> </v>
      </c>
      <c r="Y203" s="316" t="str">
        <f aca="false">IF($A203="N/A"," ",IF(Pricetype=2,MAX(P203-$H203,0),IF(P203&lt;&gt;0,IF(Pricetype=1,(xSPRDOPT(P203,$E203,$CI203,0,($CD203+IF(Smile=TRUE(),VLOOKUP(MAX(-5,$H203-P203),Volsmile,2),0)),$CG203,$CH203,($A203-DateToday)+15,1,0)),P203-$H203),0)))</f>
        <v> </v>
      </c>
      <c r="Z203" s="317" t="str">
        <f aca="false">IF($A203="N/A"," ",(IF(Pricetype=2,IF((Q203-$H203)&lt;=0,0,(Q203-$H203)),IF(Q203&lt;&gt;0,(Q203-$H203),0))))</f>
        <v> </v>
      </c>
      <c r="AA203" s="318" t="str">
        <f aca="false">IF($A203="N/A"," ",IF(VLOOKUP(MONTH(A203),ManualTable,2)=1,(IF(0&lt;&gt;R203,IF(Pricetype=1,(xSPRDOPT(I203,$E203,$CI203,0,($CD203+IF(Smile=TRUE(),VLOOKUP(MAX(-5,$H203-I203),Volsmile,2),0)),$CG203,$CH203,($A203-DateToday)+15,1,1))*(8*$HD203),8*$HD203),0)),0))</f>
        <v> </v>
      </c>
      <c r="AB203" s="318" t="str">
        <f aca="false">IF($A203="N/A"," ",IF(VLOOKUP(MONTH(A203),ManualTable,3)=1,(IF(S203&lt;&gt;0,IF(Pricetype=1,(xSPRDOPT(J203,$E203,$CI203,0,($CD203+IF(Smile=TRUE(),VLOOKUP(MAX(-5,$H203-J203),Volsmile,2),0)),$CG203,$CH203,($A203-DateToday)+15,1,1))*(8*$HD203),8*$HD203),0)),0))</f>
        <v> </v>
      </c>
      <c r="AC203" s="318" t="str">
        <f aca="false">IF($A203="N/A"," ",IF(VLOOKUP(MONTH(A203),ManualTable,4)=1,(IF(T203&lt;&gt;0,(8*$HD203),0)),0))</f>
        <v> </v>
      </c>
      <c r="AD203" s="318" t="str">
        <f aca="false">IF($A203="N/A"," ",IF(VLOOKUP(MONTH(A203),ManualTable,5)=1,(IF(U203&lt;&gt;0,IF(Pricetype=1,(xSPRDOPT(L203,$E203,$CI203,0,($CD203+IF(Smile=TRUE(),VLOOKUP(MAX(-5,$H203-L203),Volsmile,2),0)),$CG203,$CH203,($A203-DateToday)+15,1,1))*(8*$HE203),8*$HE203),0)),0))</f>
        <v> </v>
      </c>
      <c r="AE203" s="318" t="str">
        <f aca="false">IF($A203="N/A"," ",IF(VLOOKUP(MONTH(A203),ManualTable,6)=1,(IF(V203&lt;&gt;0,IF(Pricetype=1,(xSPRDOPT(M203,$E203,$CI203,0,($CD203+IF(Smile=TRUE(),VLOOKUP(MAX(-5,$H203-M203),Volsmile,2),0)),$CG203,$CH203,($A203-DateToday)+15,1,1))*(8*$HE203),8*$HE203),0)),0))</f>
        <v> </v>
      </c>
      <c r="AF203" s="318" t="str">
        <f aca="false">IF($A203="N/A"," ",IF(VLOOKUP(MONTH(A203),ManualTable,7)=1,(IF(W203&lt;&gt;0,(8*$HE203),0)),0))</f>
        <v> </v>
      </c>
      <c r="AG203" s="318" t="str">
        <f aca="false">IF($A203="N/A"," ",IF(VLOOKUP(MONTH(A203),ManualTable,8)=1,(IF(X203&lt;&gt;0,IF(Pricetype=1,(xSPRDOPT(O203,$E203,$CI203,0,($CD203+IF(Smile=TRUE(),VLOOKUP(MAX(-5,$H203-O203),Volsmile,2),0)),$CG203,$CH203,($A203-DateToday)+15,1,1))*(8*$HF203),8*$HF203),0)),0))</f>
        <v> </v>
      </c>
      <c r="AH203" s="318" t="str">
        <f aca="false">IF($A203="N/A"," ",IF(VLOOKUP(MONTH(A203),ManualTable,9)=1,(IF(Y203&lt;&gt;0,IF(Pricetype=1,(xSPRDOPT(P203,$E203,$CI203,0,($CD203+IF(Smile=TRUE(),VLOOKUP(MAX(-5,$H203-P203),Volsmile,2),0)),$CG203,$CH203,($A203-DateToday)+15,1,1))*(8*$HF203),8*$HF203),0)),0))</f>
        <v> </v>
      </c>
      <c r="AI203" s="318" t="str">
        <f aca="false">IF($A203="N/A"," ",IF(VLOOKUP(MONTH(A203),ManualTable,10)=1,(IF(Z203&lt;&gt;0,(8*($HF203)),0)),0))</f>
        <v> </v>
      </c>
      <c r="AJ203" s="344" t="str">
        <f aca="false">IF($A203="N/A"," ",RANK(R203,$R$196:$Z$207))</f>
        <v> </v>
      </c>
      <c r="AK203" s="321" t="str">
        <f aca="false">IF($A203="N/A"," ",RANK(S203,$R$196:$Z$207))</f>
        <v> </v>
      </c>
      <c r="AL203" s="321" t="str">
        <f aca="false">IF($A203="N/A"," ",RANK(T203,$R$196:$Z$207))</f>
        <v> </v>
      </c>
      <c r="AM203" s="321" t="str">
        <f aca="false">IF($A203="N/A"," ",RANK(U203,$R$196:$Z$207))</f>
        <v> </v>
      </c>
      <c r="AN203" s="321" t="str">
        <f aca="false">IF($A203="N/A"," ",RANK(V203,$R$196:$Z$207))</f>
        <v> </v>
      </c>
      <c r="AO203" s="321" t="str">
        <f aca="false">IF($A203="N/A"," ",RANK(W203,$R$196:$Z$207))</f>
        <v> </v>
      </c>
      <c r="AP203" s="321" t="str">
        <f aca="false">IF($A203="N/A"," ",RANK(X203,$R$196:$Z$207))</f>
        <v> </v>
      </c>
      <c r="AQ203" s="321" t="str">
        <f aca="false">IF($A203="N/A"," ",RANK(Y203,$R$196:$Z$207))</f>
        <v> </v>
      </c>
      <c r="AR203" s="345" t="str">
        <f aca="false">IF($A203="N/A"," ",RANK(Z203,$R$196:$Z$207))</f>
        <v> </v>
      </c>
      <c r="AS203" s="323" t="str">
        <f aca="false">IF($A203="N/A"," ",IF(AJ203&lt;=$AR$2,AA203,0))</f>
        <v> </v>
      </c>
      <c r="AT203" s="325" t="str">
        <f aca="false">IF($A203="N/A"," ",IF(AK203&lt;=$AR$2,AB203,0))</f>
        <v> </v>
      </c>
      <c r="AU203" s="325" t="str">
        <f aca="false">IF($A203="N/A"," ",IF(AL203&lt;=$AR$2,AC203,0))</f>
        <v> </v>
      </c>
      <c r="AV203" s="325" t="str">
        <f aca="false">IF($A203="N/A"," ",IF(AM203&lt;=$AR$2,AD203,0))</f>
        <v> </v>
      </c>
      <c r="AW203" s="325" t="str">
        <f aca="false">IF($A203="N/A"," ",IF(AN203&lt;=$AR$2,AE203,0))</f>
        <v> </v>
      </c>
      <c r="AX203" s="325" t="str">
        <f aca="false">IF($A203="N/A"," ",IF(AO203&lt;=$AR$2,AF203,0))</f>
        <v> </v>
      </c>
      <c r="AY203" s="325" t="str">
        <f aca="false">IF($A203="N/A"," ",IF(AP203&lt;=$AR$2,AG203,0))</f>
        <v> </v>
      </c>
      <c r="AZ203" s="325" t="str">
        <f aca="false">IF($A203="N/A"," ",IF(AQ203&lt;=$AR$2,AH203,0))</f>
        <v> </v>
      </c>
      <c r="BA203" s="325" t="str">
        <f aca="false">IF($A203="N/A"," ",IF(AR203&lt;=$AR$2,AI203,0))</f>
        <v> </v>
      </c>
      <c r="BB203" s="345"/>
      <c r="BC203" s="326" t="str">
        <f aca="false">IF($A203="N/A"," ",IF(AND(AJ203=$AR$2+1,AS203=0),MIN($BB$207,AA203),0))</f>
        <v> </v>
      </c>
      <c r="BD203" s="346" t="str">
        <f aca="false">IF($A203="N/A"," ",IF(AND(AK203=$AR$2+1,AT203=0),MIN($BB$207,AB203),0))</f>
        <v> </v>
      </c>
      <c r="BE203" s="346" t="str">
        <f aca="false">IF($A203="N/A"," ",IF(AND(AL203=$AR$2+1,AU203=0),MIN($BB$207,AC203),0))</f>
        <v> </v>
      </c>
      <c r="BF203" s="346" t="str">
        <f aca="false">IF($A203="N/A"," ",IF(AND(AM203=$AR$2+1,AV203=0),MIN($BB$207,AD203),0))</f>
        <v> </v>
      </c>
      <c r="BG203" s="346" t="str">
        <f aca="false">IF($A203="N/A"," ",IF(AND(AN203=$AR$2+1,AW203=0),MIN($BB$207,AE203),0))</f>
        <v> </v>
      </c>
      <c r="BH203" s="346" t="str">
        <f aca="false">IF($A203="N/A"," ",IF(AND(AO203=$AR$2+1,AX203=0),MIN($BB$207,AF203),0))</f>
        <v> </v>
      </c>
      <c r="BI203" s="346" t="str">
        <f aca="false">IF($A203="N/A"," ",IF(AND(AP203=$AR$2+1,AY203=0),MIN($BB$207,AG203),0))</f>
        <v> </v>
      </c>
      <c r="BJ203" s="346" t="str">
        <f aca="false">IF($A203="N/A"," ",IF(AND(AQ203=$AR$2+1,AZ203=0),MIN($BB$207,AH203),0))</f>
        <v> </v>
      </c>
      <c r="BK203" s="346" t="str">
        <f aca="false">IF($A203="N/A"," ",IF(AND(AR203=$AR$2+1,BA203=0),MIN($BB$207,AI203),0))</f>
        <v> </v>
      </c>
      <c r="BL203" s="345"/>
      <c r="BM203" s="329" t="str">
        <f aca="false">IF($A203="N/A"," ",(IF(MONTH(A203)&gt;=4,IF(MONTH(A203)&lt;=10,Inputs!$F$13-Inputs!$G$13,Inputs!$F$14-Inputs!$G$14),Inputs!$F$14-Inputs!$G$14))*$CK203*Availability)</f>
        <v> </v>
      </c>
      <c r="BN203" s="330" t="str">
        <f aca="false">IF($A203="N/A"," ",(IF(AS203&gt;0,($BM203*(8*($HD203))*R203),0)+IF(BC203&gt;0,($BM203*((BC203/AA203)*8*$HD203)*R203),0)))</f>
        <v> </v>
      </c>
      <c r="BO203" s="330" t="str">
        <f aca="false">IF($A203="N/A"," ",(IF(AT203&gt;0,($BM203*(8*($HD203))*S203),0)+IF(BD203&gt;0,($BM203*((BD203/AB203)*8*$HD203)*S203),0)))</f>
        <v> </v>
      </c>
      <c r="BP203" s="330" t="str">
        <f aca="false">IF($A203="N/A"," ",(IF(AU203&gt;0,($BM203*(8*($HD203))*T203),0)+IF(BE203&gt;0,($BM203*((BE203))*T203),0)))</f>
        <v> </v>
      </c>
      <c r="BQ203" s="330" t="str">
        <f aca="false">IF($A203="N/A"," ",(IF(AV203&gt;0,($BM203*(8*($HE203))*U203),0)+IF(BF203&gt;0,($BM203*((BF203/AD203)*8*$HE203)*U203),0)))</f>
        <v> </v>
      </c>
      <c r="BR203" s="330" t="str">
        <f aca="false">IF($A203="N/A"," ",(IF(AW203&gt;0,($BM203*(8*($HE203))*V203),0)+IF(BG203&gt;0,($BM203*((BG203/AE203)*8*$HE203)*V203),0)))</f>
        <v> </v>
      </c>
      <c r="BS203" s="330" t="str">
        <f aca="false">IF($A203="N/A"," ",(IF(AX203&gt;0,($BM203*(8*($HE203))*W203),0)+IF(BH203&gt;0,($BM203*((BH203))*W203),0)))</f>
        <v> </v>
      </c>
      <c r="BT203" s="330" t="str">
        <f aca="false">IF($A203="N/A"," ",(IF(AY203&gt;0,($BM203*(8*($HF203))*X203),0)+IF(BI203&gt;0,($BM203*((BI203/AG203)*8*$HF203)*X203),0)))</f>
        <v> </v>
      </c>
      <c r="BU203" s="330" t="str">
        <f aca="false">IF($A203="N/A"," ",(IF(AZ203&gt;0,($BM203*(8*($HF203))*Y203),0)+IF(BJ203&gt;0,($BM203*((BJ203/AH203)*8*$HF203)*Y203),0)))</f>
        <v> </v>
      </c>
      <c r="BV203" s="330" t="str">
        <f aca="false">IF($A203="N/A"," ",(IF(BA203&gt;0,($BM203*(8*($HF203))*Z203),0)+IF(BK203&gt;0,($BM203*((BK203))*Z203),0)))</f>
        <v> </v>
      </c>
      <c r="BW203" s="330" t="str">
        <f aca="false">IF($A203="N/A"," ",SUM(BN203:BV203))</f>
        <v> </v>
      </c>
      <c r="BX203" s="331" t="str">
        <f aca="false">IF($A203="N/A"," ",(H203*(SUM(AS203:BA203)+SUM(BC203:BK203))*BM203))</f>
        <v> </v>
      </c>
      <c r="BY203" s="332" t="str">
        <f aca="false">IF($A203="N/A"," ",((C203*D203)*(SUM($AS203:$BA203)+SUM($BC203:$BK203))*$BM203))</f>
        <v> </v>
      </c>
      <c r="BZ203" s="332" t="str">
        <f aca="false">IF($A203="N/A"," ",(F203*(SUM($AS203:$BA203)+SUM($BC203:$BK203))*$BM203))</f>
        <v> </v>
      </c>
      <c r="CA203" s="333" t="str">
        <f aca="false">IF($A203="N/A"," ",(G203*(SUM($AS203:$BA203)+SUM($BC203:$BK203))*$BM203))</f>
        <v> </v>
      </c>
      <c r="CB203" s="334" t="str">
        <f aca="false">IF(A203="N/A"," ",(VLOOKUP(A203,PowerVolTable,(IF(BMO=2,7,IF(BMO=1,6,8))),FALSE())))</f>
        <v> </v>
      </c>
      <c r="CC203" s="334" t="str">
        <f aca="false">IF(A203="N/A"," ",(VLOOKUP(A203,IntraPowerVol,(IF(BMO=2,3,IF(BMO=1,2,4))),FALSE())*VLOOKUP(MONTH($A203),Volscale,2)))</f>
        <v> </v>
      </c>
      <c r="CD203" s="335" t="str">
        <f aca="false">IF($A203="N/A"," ",(IF(DateToday&gt;$A203,$CC203,((($CB203^2)*((($A203-1)-DateToday)/((EOMONTH($A203,0)+1)-DateToday-15)))+((($CC203)^2)*((15)/((EOMONTH($A203,0)+1)-DateToday-15))))^0.5)))</f>
        <v> </v>
      </c>
      <c r="CE203" s="334" t="str">
        <f aca="false">IF($A203="N/A"," ",(VLOOKUP($A203,GasVolTable,(IF(BMO=2,6,IF(BMO=1,7,5))),FALSE())))</f>
        <v> </v>
      </c>
      <c r="CF203" s="334" t="str">
        <f aca="false">IF($A203="N/A"," ",(VLOOKUP($A203,OmicronVol,(IF(BMO=2,3,IF(BMO=1,4,2))),FALSE())))</f>
        <v> </v>
      </c>
      <c r="CG203" s="335" t="str">
        <f aca="false">IF($A203="N/A"," ",(IF(DateToday&gt;$A203,$CF203,((($CE203^2)*((($A203-1)-DateToday)/((EOMONTH($A203,0)+1)-DateToday-15)))+((($CF203)^2)*((15)/((EOMONTH($A203,0)+1)-DateToday-15))))^0.5)))</f>
        <v> </v>
      </c>
      <c r="CH203" s="334" t="str">
        <f aca="false">IF($A203="N/A"," ",VLOOKUP($A203,CorrelationTable,2,FALSE()))</f>
        <v> </v>
      </c>
      <c r="CI203" s="336" t="str">
        <f aca="false">IF($A203="N/A"," ",F203+G203+(D203*('Pricing Inputs'!T236)))</f>
        <v> </v>
      </c>
      <c r="CJ203" s="334" t="str">
        <f aca="false">IF($A203="N/A"," ",IF(PV=1,0,'Pricing Inputs'!U236))</f>
        <v> </v>
      </c>
      <c r="CK203" s="337" t="str">
        <f aca="false">IF($A203="N/A"," ",(1+CJ203/2)^(-2*((EOMONTH(A203,0)+20)-DateToday)/365.25))</f>
        <v> </v>
      </c>
      <c r="CL203" s="338" t="str">
        <f aca="false">IF(A203="N/A"," ",IF(CC=2,(VLOOKUP(MONTH($A203),Hrtable,3))/1000,0))</f>
        <v> </v>
      </c>
      <c r="CM203" s="339" t="str">
        <f aca="false">IF(A203="N/A"," ",IF(CC=2,(CL203*C203)+F203,0))</f>
        <v> </v>
      </c>
      <c r="CN203" s="340" t="str">
        <f aca="false">IF($A203="N/A"," ",IF(CC=2,(VLOOKUP(A203,ScaledPrice,(IF(AND(Dayrun&gt;=1,Dayrun&lt;=6),2,4)))-((IF(R203&lt;&gt;0,$D203,$CL203)*$C203)+$F203+$G203)),0))</f>
        <v> </v>
      </c>
      <c r="CO203" s="340" t="str">
        <f aca="false">IF($A203="N/A"," ",IF(CC=2,(IF(AND(Dayrun&gt;=1,Dayrun&lt;=6),I203,(VLOOKUP(A203,ScaledPrice,2))*(2-(VLOOKUP(A203,ScaledPrice,3))))-((IF(S203&lt;&gt;0,$D203,$CL203)*$C203)+$F203+$G203)),0))</f>
        <v> </v>
      </c>
      <c r="CP203" s="340" t="str">
        <f aca="false">IF(A203="N/A"," ",IF(CC=2,(VLOOKUP(A203,ScaledPrice,9)-((IF(T203&lt;&gt;0,$D203,$CL203)*$C203)+$F203+$G203)),0))</f>
        <v> </v>
      </c>
      <c r="CQ203" s="340" t="str">
        <f aca="false">IF(A203="N/A"," ",IF(CC=2,(IF(OR(Dayrun=2,Dayrun=3,Dayrun=5,Dayrun=6,Dayrun=8,Dayrun=9),VLOOKUP(A203,ScaledPrice,IF(AND(Dayrun&gt;=2,Dayrun&lt;=6),5,6)),0)-((IF(U203&lt;&gt;0,$D203,$CL203)*$C203)+$F203+$G203)),0))</f>
        <v> </v>
      </c>
      <c r="CR203" s="340" t="str">
        <f aca="false">IF(A203="N/A"," ",IF(CC=2,(IF(OR(Dayrun=2,Dayrun=3,Dayrun=5,Dayrun=6,Dayrun=8,Dayrun=9),IF(AND(Dayrun&gt;=2,Dayrun&lt;=6),L203,(VLOOKUP(A203,ScaledPrice,5))*(2-(VLOOKUP(A203,ScaledPrice,3)))),0)-((IF(V203&lt;&gt;0,$D203,$CL203)*$C203)+$F203+$G203)),0))</f>
        <v> </v>
      </c>
      <c r="CS203" s="340" t="str">
        <f aca="false">IF(A203="N/A"," ",IF(CC=2,(VLOOKUP(A203,ScaledPrice,9)-((IF(W203&lt;&gt;0,$D203,$CL203)*$C203)+$F203+$G203)),0))</f>
        <v> </v>
      </c>
      <c r="CT203" s="340" t="str">
        <f aca="false">IF(A203="N/A"," ",IF(CC=2,(IF(OR(Dayrun=3,Dayrun=6,Dayrun=9),(VLOOKUP(A203,ScaledPrice,IF(AND(Dayrun&gt;=3,Dayrun&lt;=6),7,8))),0)-((IF(X203&lt;&gt;0,$D203,$CL203)*$C203)+$F203+$G203)),0))</f>
        <v> </v>
      </c>
      <c r="CU203" s="340" t="str">
        <f aca="false">IF(A203="N/A"," ",IF(CC=2,(IF(OR(Dayrun=3,Dayrun=6,Dayrun=9),IF(AND(Dayrun&gt;=3,Dayrun&lt;=6),O203,(VLOOKUP(A203,ScaledPrice,7))*(2-(VLOOKUP(A203,ScaledPrice,3)))),0)-((IF(Y203&lt;&gt;0,$D203,$CL203)*$C203)+$F203+$G203)),0))</f>
        <v> </v>
      </c>
      <c r="CV203" s="340" t="str">
        <f aca="false">IF(A203="N/A"," ",IF(CC=2,(VLOOKUP(A203,ScaledPrice,9)-((IF(Z203&lt;&gt;0,$D203,$CL203)*$C203)+$F203+$G203)),0))</f>
        <v> </v>
      </c>
      <c r="CW203" s="318" t="str">
        <f aca="false">IF($A203="N/A"," ",IF(0&lt;&gt;CN203,IF(CC=2,8*$HD203,0),0))</f>
        <v> </v>
      </c>
      <c r="CX203" s="318" t="str">
        <f aca="false">IF($A203="N/A"," ",IF(0&lt;&gt;CO203,IF(CC=2,8*$HD203,0),0))</f>
        <v> </v>
      </c>
      <c r="CY203" s="318" t="str">
        <f aca="false">IF($A203="N/A"," ",IF(0&lt;&gt;CP203,IF(CC=2,8*$HD203,0),0))</f>
        <v> </v>
      </c>
      <c r="CZ203" s="318" t="str">
        <f aca="false">IF($A203="N/A"," ",IF(0&lt;&gt;CQ203,IF(CC=2,8*$HE203,0),0))</f>
        <v> </v>
      </c>
      <c r="DA203" s="318" t="str">
        <f aca="false">IF($A203="N/A"," ",IF(0&lt;&gt;CR203,IF(CC=2,8*$HE203,0),0))</f>
        <v> </v>
      </c>
      <c r="DB203" s="318" t="str">
        <f aca="false">IF($A203="N/A"," ",IF(0&lt;&gt;CS203,IF(CC=2,8*$HE203,0),0))</f>
        <v> </v>
      </c>
      <c r="DC203" s="318" t="str">
        <f aca="false">IF($A203="N/A"," ",IF(0&lt;&gt;CT203,IF(CC=2,8*$HF203,0),0))</f>
        <v> </v>
      </c>
      <c r="DD203" s="318" t="str">
        <f aca="false">IF($A203="N/A"," ",IF(0&lt;&gt;CU203,IF(CC=2,8*$HF203,0),0))</f>
        <v> </v>
      </c>
      <c r="DE203" s="318" t="str">
        <f aca="false">IF($A203="N/A"," ",IF(0&lt;&gt;CV203,IF(CC=2,8*$HF203,0),0))</f>
        <v> </v>
      </c>
      <c r="DF203" s="341" t="str">
        <f aca="false">IF($A203="N/A"," ",IF(CC=2,(IF(MONTH(A203)&gt;=4,IF(MONTH(A203)&lt;=10,Inputs!$G$13,Inputs!$G$14),Inputs!$G$14))*$CK203,0))</f>
        <v> </v>
      </c>
      <c r="DG203" s="342" t="str">
        <f aca="false">IF($A203="N/A"," ",IF(CC=2,$DF203*CW203*CN203,0))</f>
        <v> </v>
      </c>
      <c r="DH203" s="342" t="str">
        <f aca="false">IF($A203="N/A"," ",IF(CC=2,$DF203*CX203*CO203,0))</f>
        <v> </v>
      </c>
      <c r="DI203" s="342" t="str">
        <f aca="false">IF($A203="N/A"," ",IF(CC=2,$DF203*CY203*CP203,0))</f>
        <v> </v>
      </c>
      <c r="DJ203" s="342" t="str">
        <f aca="false">IF($A203="N/A"," ",IF(CC=2,$DF203*CZ203*CQ203,0))</f>
        <v> </v>
      </c>
      <c r="DK203" s="342" t="str">
        <f aca="false">IF($A203="N/A"," ",IF(CC=2,$DF203*DA203*CR203,0))</f>
        <v> </v>
      </c>
      <c r="DL203" s="342" t="str">
        <f aca="false">IF($A203="N/A"," ",IF(CC=2,$DF203*DB203*CS203,0))</f>
        <v> </v>
      </c>
      <c r="DM203" s="342" t="str">
        <f aca="false">IF($A203="N/A"," ",IF(CC=2,$DF203*DC203*CT203,0))</f>
        <v> </v>
      </c>
      <c r="DN203" s="342" t="str">
        <f aca="false">IF($A203="N/A"," ",IF(CC=2,$DF203*DD203*CU203,0))</f>
        <v> </v>
      </c>
      <c r="DO203" s="342" t="str">
        <f aca="false">IF($A203="N/A"," ",IF(CC=2,$DF203*DE203*CV203,0))</f>
        <v> </v>
      </c>
      <c r="DP203" s="343" t="str">
        <f aca="false">IF($A203="N/A"," ",IF(CC=2,SUM(DG203:DO203),0))</f>
        <v> </v>
      </c>
      <c r="DQ203" s="0" t="str">
        <f aca="false">IF(A203="N/A"," ",Perstart)</f>
        <v> </v>
      </c>
      <c r="HD203" s="0" t="str">
        <f aca="false">IF($A203="N/A"," ",VLOOKUP($A203,NumberofDaysTable,2))</f>
        <v> </v>
      </c>
      <c r="HE203" s="0" t="str">
        <f aca="false">IF($A203="N/A"," ",VLOOKUP($A203,NumberofDaysTable,3))</f>
        <v> </v>
      </c>
      <c r="HF203" s="0" t="str">
        <f aca="false">IF($A203="N/A"," ",VLOOKUP($A203,NumberofDaysTable,4))</f>
        <v> </v>
      </c>
    </row>
    <row r="204" customFormat="false" ht="12.75" hidden="false" customHeight="false" outlineLevel="0" collapsed="false">
      <c r="A204" s="308" t="str">
        <f aca="false">IF(A203="N/A","N/A",IF(EDATE(A203,1)&gt;Inputs!$K$3,"N/A",EDATE(A203,1)))</f>
        <v>N/A</v>
      </c>
      <c r="B204" s="309" t="str">
        <f aca="false">IF(A204="N/A"," ",YEAR(A204))</f>
        <v> </v>
      </c>
      <c r="C204" s="310" t="str">
        <f aca="false">IF(A204="N/A"," ",VLOOKUP(A204,ScaledPrice,10))</f>
        <v> </v>
      </c>
      <c r="D204" s="311" t="str">
        <f aca="false">IF(A204="N/A"," ",(VLOOKUP(MONTH($A204),Hrtable,2))/1000)</f>
        <v> </v>
      </c>
      <c r="E204" s="312" t="str">
        <f aca="false">IF($A204="N/A"," ",(C204-'Pricing Inputs'!T237)*D204)</f>
        <v> </v>
      </c>
      <c r="F204" s="313" t="str">
        <f aca="false">IF(A204="N/A"," ",$F192*(1+VOMesc))</f>
        <v> </v>
      </c>
      <c r="G204" s="313" t="str">
        <f aca="false">IF(A204="N/A"," ",Perstart/IF(AND(Dayrun&gt;=4,Dayrun&lt;=6),16,IF(AND(Dayrun&gt;=7,Dayrun&lt;=9),8,24))/(BM204/CK204))</f>
        <v> </v>
      </c>
      <c r="H204" s="314" t="str">
        <f aca="false">IF(A204="N/A"," ",(C204*D204)+F204+G204)</f>
        <v> </v>
      </c>
      <c r="I204" s="315" t="str">
        <f aca="false">VLOOKUP(A204,ScaledPrice,(IF(AND(Dayrun&gt;=1,Dayrun&lt;=6),2,4)))</f>
        <v> </v>
      </c>
      <c r="J204" s="315" t="str">
        <f aca="false">IF(A204="N/A"," ",IF(AND(Dayrun&gt;=1,Dayrun&lt;=6),I204,(VLOOKUP(A204,ScaledPrice,2))*(2-(VLOOKUP(A204,ScaledPrice,3)))))</f>
        <v> </v>
      </c>
      <c r="K204" s="315" t="str">
        <f aca="false">IF(A204="N/A"," ",IF(AND(Dayrun&gt;=1,Dayrun&lt;=3),VLOOKUP(A204,ScaledPrice,9),0))</f>
        <v> </v>
      </c>
      <c r="L204" s="315" t="str">
        <f aca="false">IF(A204="N/A"," ",IF(OR(Dayrun=2,Dayrun=3,Dayrun=5,Dayrun=6,Dayrun=8,Dayrun=9),VLOOKUP(A204,ScaledPrice,IF(AND(Dayrun&gt;=2,Dayrun&lt;=6),5,6)),0))</f>
        <v> </v>
      </c>
      <c r="M204" s="315" t="str">
        <f aca="false">IF(A204="N/A"," ",IF(OR(Dayrun=2,Dayrun=3,Dayrun=5,Dayrun=6,Dayrun=8,Dayrun=9),IF(AND(Dayrun&gt;=2,Dayrun&lt;=6),L204,(VLOOKUP(A204,ScaledPrice,5))*(2-(VLOOKUP(A204,ScaledPrice,3)))),0))</f>
        <v> </v>
      </c>
      <c r="N204" s="315" t="str">
        <f aca="false">IF(A204="N/A"," ",IF(AND(Dayrun&gt;1,Dayrun&lt;=3),VLOOKUP(A204,ScaledPrice,9),0))</f>
        <v> </v>
      </c>
      <c r="O204" s="315" t="str">
        <f aca="false">IF(A204="N/A"," ",IF(OR(Dayrun=3,Dayrun=6,Dayrun=9),(VLOOKUP(A204,ScaledPrice,IF(AND(Dayrun&gt;=3,Dayrun&lt;=6),7,8))),0))</f>
        <v> </v>
      </c>
      <c r="P204" s="315" t="str">
        <f aca="false">IF(A204="N/A"," ",IF(OR(Dayrun=3,Dayrun=6,Dayrun=9),IF(AND(Dayrun&gt;=3,Dayrun&lt;=6),O204,(VLOOKUP(A204,ScaledPrice,7))*(2-(VLOOKUP(A204,ScaledPrice,3)))),0))</f>
        <v> </v>
      </c>
      <c r="Q204" s="315" t="str">
        <f aca="false">IF(A204="N/A"," ",IF(AND(Dayrun&gt;2,Dayrun&lt;=3),VLOOKUP(A204,ScaledPrice,9),0))</f>
        <v> </v>
      </c>
      <c r="R204" s="316" t="str">
        <f aca="false">IF($A204="N/A"," ",IF(Pricetype=2,MAX(I204-$H204,0),IF(Pricetype=1,(xSPRDOPT(I204,$E204,$CI204,0,($CD204+IF(Smile=TRUE(),VLOOKUP(MAX(-5,$H204-I204),Volsmile,2),0)),$CG204,$CH204,($A204-DateToday)+15,1,0)),I204-$H204)))</f>
        <v> </v>
      </c>
      <c r="S204" s="316" t="str">
        <f aca="false">IF($A204="N/A"," ",IF(Pricetype=2,MAX(J204-$H204,0),IF(Pricetype=1,(xSPRDOPT(J204,$E204,$CI204,0,($CD204+IF(Smile=TRUE(),VLOOKUP(MAX(-5,$H204-J204),Volsmile,2),0)),$CG204,$CH204,($A204-DateToday)+15,1,0)),J204-$H204)))</f>
        <v> </v>
      </c>
      <c r="T204" s="317" t="str">
        <f aca="false">IF($A204="N/A"," ",(IF(Pricetype=2,IF((K204-$H204)&lt;=0,0,(K204-$H204)),IF(K204&lt;&gt;0,(K204-$H204),0))))</f>
        <v> </v>
      </c>
      <c r="U204" s="316" t="str">
        <f aca="false">IF($A204="N/A"," ",IF(Pricetype=2,MAX(L204-$H204,0),IF(L204&lt;&gt;0,IF(Pricetype=1,(xSPRDOPT(L204,$E204,$CI204,0,($CD204+IF(Smile=TRUE(),VLOOKUP(MAX(-5,$H204-L204),Volsmile,2),0)),$CG204,$CH204,($A204-DateToday)+15,1,0)),L204-$H204),0)))</f>
        <v> </v>
      </c>
      <c r="V204" s="316" t="str">
        <f aca="false">IF($A204="N/A"," ",IF(Pricetype=2,MAX(M204-$H204,0),IF(M204&lt;&gt;0,IF(Pricetype=1,(xSPRDOPT(M204,$E204,$CI204,0,($CD204+IF(Smile=TRUE(),VLOOKUP(MAX(-5,$H204-M204),Volsmile,2),0)),$CG204,$CH204,($A204-DateToday)+15,1,0)),M204-$H204),0)))</f>
        <v> </v>
      </c>
      <c r="W204" s="317" t="str">
        <f aca="false">IF($A204="N/A"," ",(IF(Pricetype=2,IF((N204-$H204)&lt;=0,0,(N204-$H204)),IF(N204&lt;&gt;0,(N204-$H204),0))))</f>
        <v> </v>
      </c>
      <c r="X204" s="316" t="str">
        <f aca="false">IF($A204="N/A"," ",IF(Pricetype=2,MAX(O204-$H204,0),IF(O204&lt;&gt;0,IF(Pricetype=1,(xSPRDOPT(O204,$E204,$CI204,0,($CD204+IF(Smile=TRUE(),VLOOKUP(MAX(-5,$H204-O204),Volsmile,2),0)),$CG204,$CH204,($A204-DateToday)+15,1,0)),O204-$H204),0)))</f>
        <v> </v>
      </c>
      <c r="Y204" s="316" t="str">
        <f aca="false">IF($A204="N/A"," ",IF(Pricetype=2,MAX(P204-$H204,0),IF(P204&lt;&gt;0,IF(Pricetype=1,(xSPRDOPT(P204,$E204,$CI204,0,($CD204+IF(Smile=TRUE(),VLOOKUP(MAX(-5,$H204-P204),Volsmile,2),0)),$CG204,$CH204,($A204-DateToday)+15,1,0)),P204-$H204),0)))</f>
        <v> </v>
      </c>
      <c r="Z204" s="317" t="str">
        <f aca="false">IF($A204="N/A"," ",(IF(Pricetype=2,IF((Q204-$H204)&lt;=0,0,(Q204-$H204)),IF(Q204&lt;&gt;0,(Q204-$H204),0))))</f>
        <v> </v>
      </c>
      <c r="AA204" s="318" t="str">
        <f aca="false">IF($A204="N/A"," ",IF(VLOOKUP(MONTH(A204),ManualTable,2)=1,(IF(0&lt;&gt;R204,IF(Pricetype=1,(xSPRDOPT(I204,$E204,$CI204,0,($CD204+IF(Smile=TRUE(),VLOOKUP(MAX(-5,$H204-I204),Volsmile,2),0)),$CG204,$CH204,($A204-DateToday)+15,1,1))*(8*$HD204),8*$HD204),0)),0))</f>
        <v> </v>
      </c>
      <c r="AB204" s="318" t="str">
        <f aca="false">IF($A204="N/A"," ",IF(VLOOKUP(MONTH(A204),ManualTable,3)=1,(IF(S204&lt;&gt;0,IF(Pricetype=1,(xSPRDOPT(J204,$E204,$CI204,0,($CD204+IF(Smile=TRUE(),VLOOKUP(MAX(-5,$H204-J204),Volsmile,2),0)),$CG204,$CH204,($A204-DateToday)+15,1,1))*(8*$HD204),8*$HD204),0)),0))</f>
        <v> </v>
      </c>
      <c r="AC204" s="318" t="str">
        <f aca="false">IF($A204="N/A"," ",IF(VLOOKUP(MONTH(A204),ManualTable,4)=1,(IF(T204&lt;&gt;0,(8*$HD204),0)),0))</f>
        <v> </v>
      </c>
      <c r="AD204" s="318" t="str">
        <f aca="false">IF($A204="N/A"," ",IF(VLOOKUP(MONTH(A204),ManualTable,5)=1,(IF(U204&lt;&gt;0,IF(Pricetype=1,(xSPRDOPT(L204,$E204,$CI204,0,($CD204+IF(Smile=TRUE(),VLOOKUP(MAX(-5,$H204-L204),Volsmile,2),0)),$CG204,$CH204,($A204-DateToday)+15,1,1))*(8*$HE204),8*$HE204),0)),0))</f>
        <v> </v>
      </c>
      <c r="AE204" s="318" t="str">
        <f aca="false">IF($A204="N/A"," ",IF(VLOOKUP(MONTH(A204),ManualTable,6)=1,(IF(V204&lt;&gt;0,IF(Pricetype=1,(xSPRDOPT(M204,$E204,$CI204,0,($CD204+IF(Smile=TRUE(),VLOOKUP(MAX(-5,$H204-M204),Volsmile,2),0)),$CG204,$CH204,($A204-DateToday)+15,1,1))*(8*$HE204),8*$HE204),0)),0))</f>
        <v> </v>
      </c>
      <c r="AF204" s="318" t="str">
        <f aca="false">IF($A204="N/A"," ",IF(VLOOKUP(MONTH(A204),ManualTable,7)=1,(IF(W204&lt;&gt;0,(8*$HE204),0)),0))</f>
        <v> </v>
      </c>
      <c r="AG204" s="318" t="str">
        <f aca="false">IF($A204="N/A"," ",IF(VLOOKUP(MONTH(A204),ManualTable,8)=1,(IF(X204&lt;&gt;0,IF(Pricetype=1,(xSPRDOPT(O204,$E204,$CI204,0,($CD204+IF(Smile=TRUE(),VLOOKUP(MAX(-5,$H204-O204),Volsmile,2),0)),$CG204,$CH204,($A204-DateToday)+15,1,1))*(8*$HF204),8*$HF204),0)),0))</f>
        <v> </v>
      </c>
      <c r="AH204" s="318" t="str">
        <f aca="false">IF($A204="N/A"," ",IF(VLOOKUP(MONTH(A204),ManualTable,9)=1,(IF(Y204&lt;&gt;0,IF(Pricetype=1,(xSPRDOPT(P204,$E204,$CI204,0,($CD204+IF(Smile=TRUE(),VLOOKUP(MAX(-5,$H204-P204),Volsmile,2),0)),$CG204,$CH204,($A204-DateToday)+15,1,1))*(8*$HF204),8*$HF204),0)),0))</f>
        <v> </v>
      </c>
      <c r="AI204" s="318" t="str">
        <f aca="false">IF($A204="N/A"," ",IF(VLOOKUP(MONTH(A204),ManualTable,10)=1,(IF(Z204&lt;&gt;0,(8*($HF204)),0)),0))</f>
        <v> </v>
      </c>
      <c r="AJ204" s="344" t="str">
        <f aca="false">IF($A204="N/A"," ",RANK(R204,$R$196:$Z$207))</f>
        <v> </v>
      </c>
      <c r="AK204" s="321" t="str">
        <f aca="false">IF($A204="N/A"," ",RANK(S204,$R$196:$Z$207))</f>
        <v> </v>
      </c>
      <c r="AL204" s="321" t="str">
        <f aca="false">IF($A204="N/A"," ",RANK(T204,$R$196:$Z$207))</f>
        <v> </v>
      </c>
      <c r="AM204" s="321" t="str">
        <f aca="false">IF($A204="N/A"," ",RANK(U204,$R$196:$Z$207))</f>
        <v> </v>
      </c>
      <c r="AN204" s="321" t="str">
        <f aca="false">IF($A204="N/A"," ",RANK(V204,$R$196:$Z$207))</f>
        <v> </v>
      </c>
      <c r="AO204" s="321" t="str">
        <f aca="false">IF($A204="N/A"," ",RANK(W204,$R$196:$Z$207))</f>
        <v> </v>
      </c>
      <c r="AP204" s="321" t="str">
        <f aca="false">IF($A204="N/A"," ",RANK(X204,$R$196:$Z$207))</f>
        <v> </v>
      </c>
      <c r="AQ204" s="321" t="str">
        <f aca="false">IF($A204="N/A"," ",RANK(Y204,$R$196:$Z$207))</f>
        <v> </v>
      </c>
      <c r="AR204" s="345" t="str">
        <f aca="false">IF($A204="N/A"," ",RANK(Z204,$R$196:$Z$207))</f>
        <v> </v>
      </c>
      <c r="AS204" s="323" t="str">
        <f aca="false">IF($A204="N/A"," ",IF(AJ204&lt;=$AR$2,AA204,0))</f>
        <v> </v>
      </c>
      <c r="AT204" s="325" t="str">
        <f aca="false">IF($A204="N/A"," ",IF(AK204&lt;=$AR$2,AB204,0))</f>
        <v> </v>
      </c>
      <c r="AU204" s="325" t="str">
        <f aca="false">IF($A204="N/A"," ",IF(AL204&lt;=$AR$2,AC204,0))</f>
        <v> </v>
      </c>
      <c r="AV204" s="325" t="str">
        <f aca="false">IF($A204="N/A"," ",IF(AM204&lt;=$AR$2,AD204,0))</f>
        <v> </v>
      </c>
      <c r="AW204" s="325" t="str">
        <f aca="false">IF($A204="N/A"," ",IF(AN204&lt;=$AR$2,AE204,0))</f>
        <v> </v>
      </c>
      <c r="AX204" s="325" t="str">
        <f aca="false">IF($A204="N/A"," ",IF(AO204&lt;=$AR$2,AF204,0))</f>
        <v> </v>
      </c>
      <c r="AY204" s="325" t="str">
        <f aca="false">IF($A204="N/A"," ",IF(AP204&lt;=$AR$2,AG204,0))</f>
        <v> </v>
      </c>
      <c r="AZ204" s="325" t="str">
        <f aca="false">IF($A204="N/A"," ",IF(AQ204&lt;=$AR$2,AH204,0))</f>
        <v> </v>
      </c>
      <c r="BA204" s="325" t="str">
        <f aca="false">IF($A204="N/A"," ",IF(AR204&lt;=$AR$2,AI204,0))</f>
        <v> </v>
      </c>
      <c r="BB204" s="345"/>
      <c r="BC204" s="326" t="str">
        <f aca="false">IF($A204="N/A"," ",IF(AND(AJ204=$AR$2+1,AS204=0),MIN($BB$207,AA204),0))</f>
        <v> </v>
      </c>
      <c r="BD204" s="346" t="str">
        <f aca="false">IF($A204="N/A"," ",IF(AND(AK204=$AR$2+1,AT204=0),MIN($BB$207,AB204),0))</f>
        <v> </v>
      </c>
      <c r="BE204" s="346" t="str">
        <f aca="false">IF($A204="N/A"," ",IF(AND(AL204=$AR$2+1,AU204=0),MIN($BB$207,AC204),0))</f>
        <v> </v>
      </c>
      <c r="BF204" s="346" t="str">
        <f aca="false">IF($A204="N/A"," ",IF(AND(AM204=$AR$2+1,AV204=0),MIN($BB$207,AD204),0))</f>
        <v> </v>
      </c>
      <c r="BG204" s="346" t="str">
        <f aca="false">IF($A204="N/A"," ",IF(AND(AN204=$AR$2+1,AW204=0),MIN($BB$207,AE204),0))</f>
        <v> </v>
      </c>
      <c r="BH204" s="346" t="str">
        <f aca="false">IF($A204="N/A"," ",IF(AND(AO204=$AR$2+1,AX204=0),MIN($BB$207,AF204),0))</f>
        <v> </v>
      </c>
      <c r="BI204" s="346" t="str">
        <f aca="false">IF($A204="N/A"," ",IF(AND(AP204=$AR$2+1,AY204=0),MIN($BB$207,AG204),0))</f>
        <v> </v>
      </c>
      <c r="BJ204" s="346" t="str">
        <f aca="false">IF($A204="N/A"," ",IF(AND(AQ204=$AR$2+1,AZ204=0),MIN($BB$207,AH204),0))</f>
        <v> </v>
      </c>
      <c r="BK204" s="346" t="str">
        <f aca="false">IF($A204="N/A"," ",IF(AND(AR204=$AR$2+1,BA204=0),MIN($BB$207,AI204),0))</f>
        <v> </v>
      </c>
      <c r="BL204" s="345"/>
      <c r="BM204" s="329" t="str">
        <f aca="false">IF($A204="N/A"," ",(IF(MONTH(A204)&gt;=4,IF(MONTH(A204)&lt;=10,Inputs!$F$13-Inputs!$G$13,Inputs!$F$14-Inputs!$G$14),Inputs!$F$14-Inputs!$G$14))*$CK204*Availability)</f>
        <v> </v>
      </c>
      <c r="BN204" s="330" t="str">
        <f aca="false">IF($A204="N/A"," ",(IF(AS204&gt;0,($BM204*(8*($HD204))*R204),0)+IF(BC204&gt;0,($BM204*((BC204/AA204)*8*$HD204)*R204),0)))</f>
        <v> </v>
      </c>
      <c r="BO204" s="330" t="str">
        <f aca="false">IF($A204="N/A"," ",(IF(AT204&gt;0,($BM204*(8*($HD204))*S204),0)+IF(BD204&gt;0,($BM204*((BD204/AB204)*8*$HD204)*S204),0)))</f>
        <v> </v>
      </c>
      <c r="BP204" s="330" t="str">
        <f aca="false">IF($A204="N/A"," ",(IF(AU204&gt;0,($BM204*(8*($HD204))*T204),0)+IF(BE204&gt;0,($BM204*((BE204))*T204),0)))</f>
        <v> </v>
      </c>
      <c r="BQ204" s="330" t="str">
        <f aca="false">IF($A204="N/A"," ",(IF(AV204&gt;0,($BM204*(8*($HE204))*U204),0)+IF(BF204&gt;0,($BM204*((BF204/AD204)*8*$HE204)*U204),0)))</f>
        <v> </v>
      </c>
      <c r="BR204" s="330" t="str">
        <f aca="false">IF($A204="N/A"," ",(IF(AW204&gt;0,($BM204*(8*($HE204))*V204),0)+IF(BG204&gt;0,($BM204*((BG204/AE204)*8*$HE204)*V204),0)))</f>
        <v> </v>
      </c>
      <c r="BS204" s="330" t="str">
        <f aca="false">IF($A204="N/A"," ",(IF(AX204&gt;0,($BM204*(8*($HE204))*W204),0)+IF(BH204&gt;0,($BM204*((BH204))*W204),0)))</f>
        <v> </v>
      </c>
      <c r="BT204" s="330" t="str">
        <f aca="false">IF($A204="N/A"," ",(IF(AY204&gt;0,($BM204*(8*($HF204))*X204),0)+IF(BI204&gt;0,($BM204*((BI204/AG204)*8*$HF204)*X204),0)))</f>
        <v> </v>
      </c>
      <c r="BU204" s="330" t="str">
        <f aca="false">IF($A204="N/A"," ",(IF(AZ204&gt;0,($BM204*(8*($HF204))*Y204),0)+IF(BJ204&gt;0,($BM204*((BJ204/AH204)*8*$HF204)*Y204),0)))</f>
        <v> </v>
      </c>
      <c r="BV204" s="330" t="str">
        <f aca="false">IF($A204="N/A"," ",(IF(BA204&gt;0,($BM204*(8*($HF204))*Z204),0)+IF(BK204&gt;0,($BM204*((BK204))*Z204),0)))</f>
        <v> </v>
      </c>
      <c r="BW204" s="330" t="str">
        <f aca="false">IF($A204="N/A"," ",SUM(BN204:BV204))</f>
        <v> </v>
      </c>
      <c r="BX204" s="331" t="str">
        <f aca="false">IF($A204="N/A"," ",(H204*(SUM(AS204:BA204)+SUM(BC204:BK204))*BM204))</f>
        <v> </v>
      </c>
      <c r="BY204" s="332" t="str">
        <f aca="false">IF($A204="N/A"," ",((C204*D204)*(SUM($AS204:$BA204)+SUM($BC204:$BK204))*$BM204))</f>
        <v> </v>
      </c>
      <c r="BZ204" s="332" t="str">
        <f aca="false">IF($A204="N/A"," ",(F204*(SUM($AS204:$BA204)+SUM($BC204:$BK204))*$BM204))</f>
        <v> </v>
      </c>
      <c r="CA204" s="333" t="str">
        <f aca="false">IF($A204="N/A"," ",(G204*(SUM($AS204:$BA204)+SUM($BC204:$BK204))*$BM204))</f>
        <v> </v>
      </c>
      <c r="CB204" s="334" t="str">
        <f aca="false">IF(A204="N/A"," ",(VLOOKUP(A204,PowerVolTable,(IF(BMO=2,7,IF(BMO=1,6,8))),FALSE())))</f>
        <v> </v>
      </c>
      <c r="CC204" s="334" t="str">
        <f aca="false">IF(A204="N/A"," ",(VLOOKUP(A204,IntraPowerVol,(IF(BMO=2,3,IF(BMO=1,2,4))),FALSE())*VLOOKUP(MONTH($A204),Volscale,2)))</f>
        <v> </v>
      </c>
      <c r="CD204" s="335" t="str">
        <f aca="false">IF($A204="N/A"," ",(IF(DateToday&gt;$A204,$CC204,((($CB204^2)*((($A204-1)-DateToday)/((EOMONTH($A204,0)+1)-DateToday-15)))+((($CC204)^2)*((15)/((EOMONTH($A204,0)+1)-DateToday-15))))^0.5)))</f>
        <v> </v>
      </c>
      <c r="CE204" s="334" t="str">
        <f aca="false">IF($A204="N/A"," ",(VLOOKUP($A204,GasVolTable,(IF(BMO=2,6,IF(BMO=1,7,5))),FALSE())))</f>
        <v> </v>
      </c>
      <c r="CF204" s="334" t="str">
        <f aca="false">IF($A204="N/A"," ",(VLOOKUP($A204,OmicronVol,(IF(BMO=2,3,IF(BMO=1,4,2))),FALSE())))</f>
        <v> </v>
      </c>
      <c r="CG204" s="335" t="str">
        <f aca="false">IF($A204="N/A"," ",(IF(DateToday&gt;$A204,$CF204,((($CE204^2)*((($A204-1)-DateToday)/((EOMONTH($A204,0)+1)-DateToday-15)))+((($CF204)^2)*((15)/((EOMONTH($A204,0)+1)-DateToday-15))))^0.5)))</f>
        <v> </v>
      </c>
      <c r="CH204" s="334" t="str">
        <f aca="false">IF($A204="N/A"," ",VLOOKUP($A204,CorrelationTable,2,FALSE()))</f>
        <v> </v>
      </c>
      <c r="CI204" s="336" t="str">
        <f aca="false">IF($A204="N/A"," ",F204+G204+(D204*('Pricing Inputs'!T237)))</f>
        <v> </v>
      </c>
      <c r="CJ204" s="334" t="str">
        <f aca="false">IF($A204="N/A"," ",IF(PV=1,0,'Pricing Inputs'!U237))</f>
        <v> </v>
      </c>
      <c r="CK204" s="337" t="str">
        <f aca="false">IF($A204="N/A"," ",(1+CJ204/2)^(-2*((EOMONTH(A204,0)+20)-DateToday)/365.25))</f>
        <v> </v>
      </c>
      <c r="CL204" s="338" t="str">
        <f aca="false">IF(A204="N/A"," ",IF(CC=2,(VLOOKUP(MONTH($A204),Hrtable,3))/1000,0))</f>
        <v> </v>
      </c>
      <c r="CM204" s="339" t="str">
        <f aca="false">IF(A204="N/A"," ",IF(CC=2,(CL204*C204)+F204,0))</f>
        <v> </v>
      </c>
      <c r="CN204" s="340" t="str">
        <f aca="false">IF($A204="N/A"," ",IF(CC=2,(VLOOKUP(A204,ScaledPrice,(IF(AND(Dayrun&gt;=1,Dayrun&lt;=6),2,4)))-((IF(R204&lt;&gt;0,$D204,$CL204)*$C204)+$F204+$G204)),0))</f>
        <v> </v>
      </c>
      <c r="CO204" s="340" t="str">
        <f aca="false">IF($A204="N/A"," ",IF(CC=2,(IF(AND(Dayrun&gt;=1,Dayrun&lt;=6),I204,(VLOOKUP(A204,ScaledPrice,2))*(2-(VLOOKUP(A204,ScaledPrice,3))))-((IF(S204&lt;&gt;0,$D204,$CL204)*$C204)+$F204+$G204)),0))</f>
        <v> </v>
      </c>
      <c r="CP204" s="340" t="str">
        <f aca="false">IF(A204="N/A"," ",IF(CC=2,(VLOOKUP(A204,ScaledPrice,9)-((IF(T204&lt;&gt;0,$D204,$CL204)*$C204)+$F204+$G204)),0))</f>
        <v> </v>
      </c>
      <c r="CQ204" s="340" t="str">
        <f aca="false">IF(A204="N/A"," ",IF(CC=2,(IF(OR(Dayrun=2,Dayrun=3,Dayrun=5,Dayrun=6,Dayrun=8,Dayrun=9),VLOOKUP(A204,ScaledPrice,IF(AND(Dayrun&gt;=2,Dayrun&lt;=6),5,6)),0)-((IF(U204&lt;&gt;0,$D204,$CL204)*$C204)+$F204+$G204)),0))</f>
        <v> </v>
      </c>
      <c r="CR204" s="340" t="str">
        <f aca="false">IF(A204="N/A"," ",IF(CC=2,(IF(OR(Dayrun=2,Dayrun=3,Dayrun=5,Dayrun=6,Dayrun=8,Dayrun=9),IF(AND(Dayrun&gt;=2,Dayrun&lt;=6),L204,(VLOOKUP(A204,ScaledPrice,5))*(2-(VLOOKUP(A204,ScaledPrice,3)))),0)-((IF(V204&lt;&gt;0,$D204,$CL204)*$C204)+$F204+$G204)),0))</f>
        <v> </v>
      </c>
      <c r="CS204" s="340" t="str">
        <f aca="false">IF(A204="N/A"," ",IF(CC=2,(VLOOKUP(A204,ScaledPrice,9)-((IF(W204&lt;&gt;0,$D204,$CL204)*$C204)+$F204+$G204)),0))</f>
        <v> </v>
      </c>
      <c r="CT204" s="340" t="str">
        <f aca="false">IF(A204="N/A"," ",IF(CC=2,(IF(OR(Dayrun=3,Dayrun=6,Dayrun=9),(VLOOKUP(A204,ScaledPrice,IF(AND(Dayrun&gt;=3,Dayrun&lt;=6),7,8))),0)-((IF(X204&lt;&gt;0,$D204,$CL204)*$C204)+$F204+$G204)),0))</f>
        <v> </v>
      </c>
      <c r="CU204" s="340" t="str">
        <f aca="false">IF(A204="N/A"," ",IF(CC=2,(IF(OR(Dayrun=3,Dayrun=6,Dayrun=9),IF(AND(Dayrun&gt;=3,Dayrun&lt;=6),O204,(VLOOKUP(A204,ScaledPrice,7))*(2-(VLOOKUP(A204,ScaledPrice,3)))),0)-((IF(Y204&lt;&gt;0,$D204,$CL204)*$C204)+$F204+$G204)),0))</f>
        <v> </v>
      </c>
      <c r="CV204" s="340" t="str">
        <f aca="false">IF(A204="N/A"," ",IF(CC=2,(VLOOKUP(A204,ScaledPrice,9)-((IF(Z204&lt;&gt;0,$D204,$CL204)*$C204)+$F204+$G204)),0))</f>
        <v> </v>
      </c>
      <c r="CW204" s="318" t="str">
        <f aca="false">IF($A204="N/A"," ",IF(0&lt;&gt;CN204,IF(CC=2,8*$HD204,0),0))</f>
        <v> </v>
      </c>
      <c r="CX204" s="318" t="str">
        <f aca="false">IF($A204="N/A"," ",IF(0&lt;&gt;CO204,IF(CC=2,8*$HD204,0),0))</f>
        <v> </v>
      </c>
      <c r="CY204" s="318" t="str">
        <f aca="false">IF($A204="N/A"," ",IF(0&lt;&gt;CP204,IF(CC=2,8*$HD204,0),0))</f>
        <v> </v>
      </c>
      <c r="CZ204" s="318" t="str">
        <f aca="false">IF($A204="N/A"," ",IF(0&lt;&gt;CQ204,IF(CC=2,8*$HE204,0),0))</f>
        <v> </v>
      </c>
      <c r="DA204" s="318" t="str">
        <f aca="false">IF($A204="N/A"," ",IF(0&lt;&gt;CR204,IF(CC=2,8*$HE204,0),0))</f>
        <v> </v>
      </c>
      <c r="DB204" s="318" t="str">
        <f aca="false">IF($A204="N/A"," ",IF(0&lt;&gt;CS204,IF(CC=2,8*$HE204,0),0))</f>
        <v> </v>
      </c>
      <c r="DC204" s="318" t="str">
        <f aca="false">IF($A204="N/A"," ",IF(0&lt;&gt;CT204,IF(CC=2,8*$HF204,0),0))</f>
        <v> </v>
      </c>
      <c r="DD204" s="318" t="str">
        <f aca="false">IF($A204="N/A"," ",IF(0&lt;&gt;CU204,IF(CC=2,8*$HF204,0),0))</f>
        <v> </v>
      </c>
      <c r="DE204" s="318" t="str">
        <f aca="false">IF($A204="N/A"," ",IF(0&lt;&gt;CV204,IF(CC=2,8*$HF204,0),0))</f>
        <v> </v>
      </c>
      <c r="DF204" s="341" t="str">
        <f aca="false">IF($A204="N/A"," ",IF(CC=2,(IF(MONTH(A204)&gt;=4,IF(MONTH(A204)&lt;=10,Inputs!$G$13,Inputs!$G$14),Inputs!$G$14))*$CK204,0))</f>
        <v> </v>
      </c>
      <c r="DG204" s="342" t="str">
        <f aca="false">IF($A204="N/A"," ",IF(CC=2,$DF204*CW204*CN204,0))</f>
        <v> </v>
      </c>
      <c r="DH204" s="342" t="str">
        <f aca="false">IF($A204="N/A"," ",IF(CC=2,$DF204*CX204*CO204,0))</f>
        <v> </v>
      </c>
      <c r="DI204" s="342" t="str">
        <f aca="false">IF($A204="N/A"," ",IF(CC=2,$DF204*CY204*CP204,0))</f>
        <v> </v>
      </c>
      <c r="DJ204" s="342" t="str">
        <f aca="false">IF($A204="N/A"," ",IF(CC=2,$DF204*CZ204*CQ204,0))</f>
        <v> </v>
      </c>
      <c r="DK204" s="342" t="str">
        <f aca="false">IF($A204="N/A"," ",IF(CC=2,$DF204*DA204*CR204,0))</f>
        <v> </v>
      </c>
      <c r="DL204" s="342" t="str">
        <f aca="false">IF($A204="N/A"," ",IF(CC=2,$DF204*DB204*CS204,0))</f>
        <v> </v>
      </c>
      <c r="DM204" s="342" t="str">
        <f aca="false">IF($A204="N/A"," ",IF(CC=2,$DF204*DC204*CT204,0))</f>
        <v> </v>
      </c>
      <c r="DN204" s="342" t="str">
        <f aca="false">IF($A204="N/A"," ",IF(CC=2,$DF204*DD204*CU204,0))</f>
        <v> </v>
      </c>
      <c r="DO204" s="342" t="str">
        <f aca="false">IF($A204="N/A"," ",IF(CC=2,$DF204*DE204*CV204,0))</f>
        <v> </v>
      </c>
      <c r="DP204" s="343" t="str">
        <f aca="false">IF($A204="N/A"," ",IF(CC=2,SUM(DG204:DO204),0))</f>
        <v> </v>
      </c>
      <c r="DQ204" s="0" t="str">
        <f aca="false">IF(A204="N/A"," ",Perstart)</f>
        <v> </v>
      </c>
      <c r="HD204" s="0" t="str">
        <f aca="false">IF($A204="N/A"," ",VLOOKUP($A204,NumberofDaysTable,2))</f>
        <v> </v>
      </c>
      <c r="HE204" s="0" t="str">
        <f aca="false">IF($A204="N/A"," ",VLOOKUP($A204,NumberofDaysTable,3))</f>
        <v> </v>
      </c>
      <c r="HF204" s="0" t="str">
        <f aca="false">IF($A204="N/A"," ",VLOOKUP($A204,NumberofDaysTable,4))</f>
        <v> </v>
      </c>
    </row>
    <row r="205" customFormat="false" ht="12.75" hidden="false" customHeight="false" outlineLevel="0" collapsed="false">
      <c r="A205" s="308" t="str">
        <f aca="false">IF(A204="N/A","N/A",IF(EDATE(A204,1)&gt;Inputs!$K$3,"N/A",EDATE(A204,1)))</f>
        <v>N/A</v>
      </c>
      <c r="B205" s="309" t="str">
        <f aca="false">IF(A205="N/A"," ",YEAR(A205))</f>
        <v> </v>
      </c>
      <c r="C205" s="310" t="str">
        <f aca="false">IF(A205="N/A"," ",VLOOKUP(A205,ScaledPrice,10))</f>
        <v> </v>
      </c>
      <c r="D205" s="311" t="str">
        <f aca="false">IF(A205="N/A"," ",(VLOOKUP(MONTH($A205),Hrtable,2))/1000)</f>
        <v> </v>
      </c>
      <c r="E205" s="312" t="str">
        <f aca="false">IF($A205="N/A"," ",(C205-'Pricing Inputs'!T238)*D205)</f>
        <v> </v>
      </c>
      <c r="F205" s="313" t="str">
        <f aca="false">IF(A205="N/A"," ",$F193*(1+VOMesc))</f>
        <v> </v>
      </c>
      <c r="G205" s="313" t="str">
        <f aca="false">IF(A205="N/A"," ",Perstart/IF(AND(Dayrun&gt;=4,Dayrun&lt;=6),16,IF(AND(Dayrun&gt;=7,Dayrun&lt;=9),8,24))/(BM205/CK205))</f>
        <v> </v>
      </c>
      <c r="H205" s="314" t="str">
        <f aca="false">IF(A205="N/A"," ",(C205*D205)+F205+G205)</f>
        <v> </v>
      </c>
      <c r="I205" s="315" t="str">
        <f aca="false">VLOOKUP(A205,ScaledPrice,(IF(AND(Dayrun&gt;=1,Dayrun&lt;=6),2,4)))</f>
        <v> </v>
      </c>
      <c r="J205" s="315" t="str">
        <f aca="false">IF(A205="N/A"," ",IF(AND(Dayrun&gt;=1,Dayrun&lt;=6),I205,(VLOOKUP(A205,ScaledPrice,2))*(2-(VLOOKUP(A205,ScaledPrice,3)))))</f>
        <v> </v>
      </c>
      <c r="K205" s="315" t="str">
        <f aca="false">IF(A205="N/A"," ",IF(AND(Dayrun&gt;=1,Dayrun&lt;=3),VLOOKUP(A205,ScaledPrice,9),0))</f>
        <v> </v>
      </c>
      <c r="L205" s="315" t="str">
        <f aca="false">IF(A205="N/A"," ",IF(OR(Dayrun=2,Dayrun=3,Dayrun=5,Dayrun=6,Dayrun=8,Dayrun=9),VLOOKUP(A205,ScaledPrice,IF(AND(Dayrun&gt;=2,Dayrun&lt;=6),5,6)),0))</f>
        <v> </v>
      </c>
      <c r="M205" s="315" t="str">
        <f aca="false">IF(A205="N/A"," ",IF(OR(Dayrun=2,Dayrun=3,Dayrun=5,Dayrun=6,Dayrun=8,Dayrun=9),IF(AND(Dayrun&gt;=2,Dayrun&lt;=6),L205,(VLOOKUP(A205,ScaledPrice,5))*(2-(VLOOKUP(A205,ScaledPrice,3)))),0))</f>
        <v> </v>
      </c>
      <c r="N205" s="315" t="str">
        <f aca="false">IF(A205="N/A"," ",IF(AND(Dayrun&gt;1,Dayrun&lt;=3),VLOOKUP(A205,ScaledPrice,9),0))</f>
        <v> </v>
      </c>
      <c r="O205" s="315" t="str">
        <f aca="false">IF(A205="N/A"," ",IF(OR(Dayrun=3,Dayrun=6,Dayrun=9),(VLOOKUP(A205,ScaledPrice,IF(AND(Dayrun&gt;=3,Dayrun&lt;=6),7,8))),0))</f>
        <v> </v>
      </c>
      <c r="P205" s="315" t="str">
        <f aca="false">IF(A205="N/A"," ",IF(OR(Dayrun=3,Dayrun=6,Dayrun=9),IF(AND(Dayrun&gt;=3,Dayrun&lt;=6),O205,(VLOOKUP(A205,ScaledPrice,7))*(2-(VLOOKUP(A205,ScaledPrice,3)))),0))</f>
        <v> </v>
      </c>
      <c r="Q205" s="315" t="str">
        <f aca="false">IF(A205="N/A"," ",IF(AND(Dayrun&gt;2,Dayrun&lt;=3),VLOOKUP(A205,ScaledPrice,9),0))</f>
        <v> </v>
      </c>
      <c r="R205" s="316" t="str">
        <f aca="false">IF($A205="N/A"," ",IF(Pricetype=2,MAX(I205-$H205,0),IF(Pricetype=1,(xSPRDOPT(I205,$E205,$CI205,0,($CD205+IF(Smile=TRUE(),VLOOKUP(MAX(-5,$H205-I205),Volsmile,2),0)),$CG205,$CH205,($A205-DateToday)+15,1,0)),I205-$H205)))</f>
        <v> </v>
      </c>
      <c r="S205" s="316" t="str">
        <f aca="false">IF($A205="N/A"," ",IF(Pricetype=2,MAX(J205-$H205,0),IF(Pricetype=1,(xSPRDOPT(J205,$E205,$CI205,0,($CD205+IF(Smile=TRUE(),VLOOKUP(MAX(-5,$H205-J205),Volsmile,2),0)),$CG205,$CH205,($A205-DateToday)+15,1,0)),J205-$H205)))</f>
        <v> </v>
      </c>
      <c r="T205" s="317" t="str">
        <f aca="false">IF($A205="N/A"," ",(IF(Pricetype=2,IF((K205-$H205)&lt;=0,0,(K205-$H205)),IF(K205&lt;&gt;0,(K205-$H205),0))))</f>
        <v> </v>
      </c>
      <c r="U205" s="316" t="str">
        <f aca="false">IF($A205="N/A"," ",IF(Pricetype=2,MAX(L205-$H205,0),IF(L205&lt;&gt;0,IF(Pricetype=1,(xSPRDOPT(L205,$E205,$CI205,0,($CD205+IF(Smile=TRUE(),VLOOKUP(MAX(-5,$H205-L205),Volsmile,2),0)),$CG205,$CH205,($A205-DateToday)+15,1,0)),L205-$H205),0)))</f>
        <v> </v>
      </c>
      <c r="V205" s="316" t="str">
        <f aca="false">IF($A205="N/A"," ",IF(Pricetype=2,MAX(M205-$H205,0),IF(M205&lt;&gt;0,IF(Pricetype=1,(xSPRDOPT(M205,$E205,$CI205,0,($CD205+IF(Smile=TRUE(),VLOOKUP(MAX(-5,$H205-M205),Volsmile,2),0)),$CG205,$CH205,($A205-DateToday)+15,1,0)),M205-$H205),0)))</f>
        <v> </v>
      </c>
      <c r="W205" s="317" t="str">
        <f aca="false">IF($A205="N/A"," ",(IF(Pricetype=2,IF((N205-$H205)&lt;=0,0,(N205-$H205)),IF(N205&lt;&gt;0,(N205-$H205),0))))</f>
        <v> </v>
      </c>
      <c r="X205" s="316" t="str">
        <f aca="false">IF($A205="N/A"," ",IF(Pricetype=2,MAX(O205-$H205,0),IF(O205&lt;&gt;0,IF(Pricetype=1,(xSPRDOPT(O205,$E205,$CI205,0,($CD205+IF(Smile=TRUE(),VLOOKUP(MAX(-5,$H205-O205),Volsmile,2),0)),$CG205,$CH205,($A205-DateToday)+15,1,0)),O205-$H205),0)))</f>
        <v> </v>
      </c>
      <c r="Y205" s="316" t="str">
        <f aca="false">IF($A205="N/A"," ",IF(Pricetype=2,MAX(P205-$H205,0),IF(P205&lt;&gt;0,IF(Pricetype=1,(xSPRDOPT(P205,$E205,$CI205,0,($CD205+IF(Smile=TRUE(),VLOOKUP(MAX(-5,$H205-P205),Volsmile,2),0)),$CG205,$CH205,($A205-DateToday)+15,1,0)),P205-$H205),0)))</f>
        <v> </v>
      </c>
      <c r="Z205" s="317" t="str">
        <f aca="false">IF($A205="N/A"," ",(IF(Pricetype=2,IF((Q205-$H205)&lt;=0,0,(Q205-$H205)),IF(Q205&lt;&gt;0,(Q205-$H205),0))))</f>
        <v> </v>
      </c>
      <c r="AA205" s="318" t="str">
        <f aca="false">IF($A205="N/A"," ",IF(VLOOKUP(MONTH(A205),ManualTable,2)=1,(IF(0&lt;&gt;R205,IF(Pricetype=1,(xSPRDOPT(I205,$E205,$CI205,0,($CD205+IF(Smile=TRUE(),VLOOKUP(MAX(-5,$H205-I205),Volsmile,2),0)),$CG205,$CH205,($A205-DateToday)+15,1,1))*(8*$HD205),8*$HD205),0)),0))</f>
        <v> </v>
      </c>
      <c r="AB205" s="318" t="str">
        <f aca="false">IF($A205="N/A"," ",IF(VLOOKUP(MONTH(A205),ManualTable,3)=1,(IF(S205&lt;&gt;0,IF(Pricetype=1,(xSPRDOPT(J205,$E205,$CI205,0,($CD205+IF(Smile=TRUE(),VLOOKUP(MAX(-5,$H205-J205),Volsmile,2),0)),$CG205,$CH205,($A205-DateToday)+15,1,1))*(8*$HD205),8*$HD205),0)),0))</f>
        <v> </v>
      </c>
      <c r="AC205" s="318" t="str">
        <f aca="false">IF($A205="N/A"," ",IF(VLOOKUP(MONTH(A205),ManualTable,4)=1,(IF(T205&lt;&gt;0,(8*$HD205),0)),0))</f>
        <v> </v>
      </c>
      <c r="AD205" s="318" t="str">
        <f aca="false">IF($A205="N/A"," ",IF(VLOOKUP(MONTH(A205),ManualTable,5)=1,(IF(U205&lt;&gt;0,IF(Pricetype=1,(xSPRDOPT(L205,$E205,$CI205,0,($CD205+IF(Smile=TRUE(),VLOOKUP(MAX(-5,$H205-L205),Volsmile,2),0)),$CG205,$CH205,($A205-DateToday)+15,1,1))*(8*$HE205),8*$HE205),0)),0))</f>
        <v> </v>
      </c>
      <c r="AE205" s="318" t="str">
        <f aca="false">IF($A205="N/A"," ",IF(VLOOKUP(MONTH(A205),ManualTable,6)=1,(IF(V205&lt;&gt;0,IF(Pricetype=1,(xSPRDOPT(M205,$E205,$CI205,0,($CD205+IF(Smile=TRUE(),VLOOKUP(MAX(-5,$H205-M205),Volsmile,2),0)),$CG205,$CH205,($A205-DateToday)+15,1,1))*(8*$HE205),8*$HE205),0)),0))</f>
        <v> </v>
      </c>
      <c r="AF205" s="318" t="str">
        <f aca="false">IF($A205="N/A"," ",IF(VLOOKUP(MONTH(A205),ManualTable,7)=1,(IF(W205&lt;&gt;0,(8*$HE205),0)),0))</f>
        <v> </v>
      </c>
      <c r="AG205" s="318" t="str">
        <f aca="false">IF($A205="N/A"," ",IF(VLOOKUP(MONTH(A205),ManualTable,8)=1,(IF(X205&lt;&gt;0,IF(Pricetype=1,(xSPRDOPT(O205,$E205,$CI205,0,($CD205+IF(Smile=TRUE(),VLOOKUP(MAX(-5,$H205-O205),Volsmile,2),0)),$CG205,$CH205,($A205-DateToday)+15,1,1))*(8*$HF205),8*$HF205),0)),0))</f>
        <v> </v>
      </c>
      <c r="AH205" s="318" t="str">
        <f aca="false">IF($A205="N/A"," ",IF(VLOOKUP(MONTH(A205),ManualTable,9)=1,(IF(Y205&lt;&gt;0,IF(Pricetype=1,(xSPRDOPT(P205,$E205,$CI205,0,($CD205+IF(Smile=TRUE(),VLOOKUP(MAX(-5,$H205-P205),Volsmile,2),0)),$CG205,$CH205,($A205-DateToday)+15,1,1))*(8*$HF205),8*$HF205),0)),0))</f>
        <v> </v>
      </c>
      <c r="AI205" s="318" t="str">
        <f aca="false">IF($A205="N/A"," ",IF(VLOOKUP(MONTH(A205),ManualTable,10)=1,(IF(Z205&lt;&gt;0,(8*($HF205)),0)),0))</f>
        <v> </v>
      </c>
      <c r="AJ205" s="344" t="str">
        <f aca="false">IF($A205="N/A"," ",RANK(R205,$R$196:$Z$207))</f>
        <v> </v>
      </c>
      <c r="AK205" s="321" t="str">
        <f aca="false">IF($A205="N/A"," ",RANK(S205,$R$196:$Z$207))</f>
        <v> </v>
      </c>
      <c r="AL205" s="321" t="str">
        <f aca="false">IF($A205="N/A"," ",RANK(T205,$R$196:$Z$207))</f>
        <v> </v>
      </c>
      <c r="AM205" s="321" t="str">
        <f aca="false">IF($A205="N/A"," ",RANK(U205,$R$196:$Z$207))</f>
        <v> </v>
      </c>
      <c r="AN205" s="321" t="str">
        <f aca="false">IF($A205="N/A"," ",RANK(V205,$R$196:$Z$207))</f>
        <v> </v>
      </c>
      <c r="AO205" s="321" t="str">
        <f aca="false">IF($A205="N/A"," ",RANK(W205,$R$196:$Z$207))</f>
        <v> </v>
      </c>
      <c r="AP205" s="321" t="str">
        <f aca="false">IF($A205="N/A"," ",RANK(X205,$R$196:$Z$207))</f>
        <v> </v>
      </c>
      <c r="AQ205" s="321" t="str">
        <f aca="false">IF($A205="N/A"," ",RANK(Y205,$R$196:$Z$207))</f>
        <v> </v>
      </c>
      <c r="AR205" s="345" t="str">
        <f aca="false">IF($A205="N/A"," ",RANK(Z205,$R$196:$Z$207))</f>
        <v> </v>
      </c>
      <c r="AS205" s="323" t="str">
        <f aca="false">IF($A205="N/A"," ",IF(AJ205&lt;=$AR$2,AA205,0))</f>
        <v> </v>
      </c>
      <c r="AT205" s="325" t="str">
        <f aca="false">IF($A205="N/A"," ",IF(AK205&lt;=$AR$2,AB205,0))</f>
        <v> </v>
      </c>
      <c r="AU205" s="325" t="str">
        <f aca="false">IF($A205="N/A"," ",IF(AL205&lt;=$AR$2,AC205,0))</f>
        <v> </v>
      </c>
      <c r="AV205" s="325" t="str">
        <f aca="false">IF($A205="N/A"," ",IF(AM205&lt;=$AR$2,AD205,0))</f>
        <v> </v>
      </c>
      <c r="AW205" s="325" t="str">
        <f aca="false">IF($A205="N/A"," ",IF(AN205&lt;=$AR$2,AE205,0))</f>
        <v> </v>
      </c>
      <c r="AX205" s="325" t="str">
        <f aca="false">IF($A205="N/A"," ",IF(AO205&lt;=$AR$2,AF205,0))</f>
        <v> </v>
      </c>
      <c r="AY205" s="325" t="str">
        <f aca="false">IF($A205="N/A"," ",IF(AP205&lt;=$AR$2,AG205,0))</f>
        <v> </v>
      </c>
      <c r="AZ205" s="325" t="str">
        <f aca="false">IF($A205="N/A"," ",IF(AQ205&lt;=$AR$2,AH205,0))</f>
        <v> </v>
      </c>
      <c r="BA205" s="325" t="str">
        <f aca="false">IF($A205="N/A"," ",IF(AR205&lt;=$AR$2,AI205,0))</f>
        <v> </v>
      </c>
      <c r="BB205" s="348" t="s">
        <v>1319</v>
      </c>
      <c r="BC205" s="326" t="str">
        <f aca="false">IF($A205="N/A"," ",IF(AND(AJ205=$AR$2+1,AS205=0),MIN($BB$207,AA205),0))</f>
        <v> </v>
      </c>
      <c r="BD205" s="346" t="str">
        <f aca="false">IF($A205="N/A"," ",IF(AND(AK205=$AR$2+1,AT205=0),MIN($BB$207,AB205),0))</f>
        <v> </v>
      </c>
      <c r="BE205" s="346" t="str">
        <f aca="false">IF($A205="N/A"," ",IF(AND(AL205=$AR$2+1,AU205=0),MIN($BB$207,AC205),0))</f>
        <v> </v>
      </c>
      <c r="BF205" s="346" t="str">
        <f aca="false">IF($A205="N/A"," ",IF(AND(AM205=$AR$2+1,AV205=0),MIN($BB$207,AD205),0))</f>
        <v> </v>
      </c>
      <c r="BG205" s="346" t="str">
        <f aca="false">IF($A205="N/A"," ",IF(AND(AN205=$AR$2+1,AW205=0),MIN($BB$207,AE205),0))</f>
        <v> </v>
      </c>
      <c r="BH205" s="346" t="str">
        <f aca="false">IF($A205="N/A"," ",IF(AND(AO205=$AR$2+1,AX205=0),MIN($BB$207,AF205),0))</f>
        <v> </v>
      </c>
      <c r="BI205" s="346" t="str">
        <f aca="false">IF($A205="N/A"," ",IF(AND(AP205=$AR$2+1,AY205=0),MIN($BB$207,AG205),0))</f>
        <v> </v>
      </c>
      <c r="BJ205" s="346" t="str">
        <f aca="false">IF($A205="N/A"," ",IF(AND(AQ205=$AR$2+1,AZ205=0),MIN($BB$207,AH205),0))</f>
        <v> </v>
      </c>
      <c r="BK205" s="346" t="str">
        <f aca="false">IF($A205="N/A"," ",IF(AND(AR205=$AR$2+1,BA205=0),MIN($BB$207,AI205),0))</f>
        <v> </v>
      </c>
      <c r="BL205" s="347" t="s">
        <v>1359</v>
      </c>
      <c r="BM205" s="329" t="str">
        <f aca="false">IF($A205="N/A"," ",(IF(MONTH(A205)&gt;=4,IF(MONTH(A205)&lt;=10,Inputs!$F$13-Inputs!$G$13,Inputs!$F$14-Inputs!$G$14),Inputs!$F$14-Inputs!$G$14))*$CK205*Availability)</f>
        <v> </v>
      </c>
      <c r="BN205" s="330" t="str">
        <f aca="false">IF($A205="N/A"," ",(IF(AS205&gt;0,($BM205*(8*($HD205))*R205),0)+IF(BC205&gt;0,($BM205*((BC205/AA205)*8*$HD205)*R205),0)))</f>
        <v> </v>
      </c>
      <c r="BO205" s="330" t="str">
        <f aca="false">IF($A205="N/A"," ",(IF(AT205&gt;0,($BM205*(8*($HD205))*S205),0)+IF(BD205&gt;0,($BM205*((BD205/AB205)*8*$HD205)*S205),0)))</f>
        <v> </v>
      </c>
      <c r="BP205" s="330" t="str">
        <f aca="false">IF($A205="N/A"," ",(IF(AU205&gt;0,($BM205*(8*($HD205))*T205),0)+IF(BE205&gt;0,($BM205*((BE205))*T205),0)))</f>
        <v> </v>
      </c>
      <c r="BQ205" s="330" t="str">
        <f aca="false">IF($A205="N/A"," ",(IF(AV205&gt;0,($BM205*(8*($HE205))*U205),0)+IF(BF205&gt;0,($BM205*((BF205/AD205)*8*$HE205)*U205),0)))</f>
        <v> </v>
      </c>
      <c r="BR205" s="330" t="str">
        <f aca="false">IF($A205="N/A"," ",(IF(AW205&gt;0,($BM205*(8*($HE205))*V205),0)+IF(BG205&gt;0,($BM205*((BG205/AE205)*8*$HE205)*V205),0)))</f>
        <v> </v>
      </c>
      <c r="BS205" s="330" t="str">
        <f aca="false">IF($A205="N/A"," ",(IF(AX205&gt;0,($BM205*(8*($HE205))*W205),0)+IF(BH205&gt;0,($BM205*((BH205))*W205),0)))</f>
        <v> </v>
      </c>
      <c r="BT205" s="330" t="str">
        <f aca="false">IF($A205="N/A"," ",(IF(AY205&gt;0,($BM205*(8*($HF205))*X205),0)+IF(BI205&gt;0,($BM205*((BI205/AG205)*8*$HF205)*X205),0)))</f>
        <v> </v>
      </c>
      <c r="BU205" s="330" t="str">
        <f aca="false">IF($A205="N/A"," ",(IF(AZ205&gt;0,($BM205*(8*($HF205))*Y205),0)+IF(BJ205&gt;0,($BM205*((BJ205/AH205)*8*$HF205)*Y205),0)))</f>
        <v> </v>
      </c>
      <c r="BV205" s="330" t="str">
        <f aca="false">IF($A205="N/A"," ",(IF(BA205&gt;0,($BM205*(8*($HF205))*Z205),0)+IF(BK205&gt;0,($BM205*((BK205))*Z205),0)))</f>
        <v> </v>
      </c>
      <c r="BW205" s="330" t="str">
        <f aca="false">IF($A205="N/A"," ",SUM(BN205:BV205))</f>
        <v> </v>
      </c>
      <c r="BX205" s="331" t="str">
        <f aca="false">IF($A205="N/A"," ",(H205*(SUM(AS205:BA205)+SUM(BC205:BK205))*BM205))</f>
        <v> </v>
      </c>
      <c r="BY205" s="332" t="str">
        <f aca="false">IF($A205="N/A"," ",((C205*D205)*(SUM($AS205:$BA205)+SUM($BC205:$BK205))*$BM205))</f>
        <v> </v>
      </c>
      <c r="BZ205" s="332" t="str">
        <f aca="false">IF($A205="N/A"," ",(F205*(SUM($AS205:$BA205)+SUM($BC205:$BK205))*$BM205))</f>
        <v> </v>
      </c>
      <c r="CA205" s="333" t="str">
        <f aca="false">IF($A205="N/A"," ",(G205*(SUM($AS205:$BA205)+SUM($BC205:$BK205))*$BM205))</f>
        <v> </v>
      </c>
      <c r="CB205" s="334" t="str">
        <f aca="false">IF(A205="N/A"," ",(VLOOKUP(A205,PowerVolTable,(IF(BMO=2,7,IF(BMO=1,6,8))),FALSE())))</f>
        <v> </v>
      </c>
      <c r="CC205" s="334" t="str">
        <f aca="false">IF(A205="N/A"," ",(VLOOKUP(A205,IntraPowerVol,(IF(BMO=2,3,IF(BMO=1,2,4))),FALSE())*VLOOKUP(MONTH($A205),Volscale,2)))</f>
        <v> </v>
      </c>
      <c r="CD205" s="335" t="str">
        <f aca="false">IF($A205="N/A"," ",(IF(DateToday&gt;$A205,$CC205,((($CB205^2)*((($A205-1)-DateToday)/((EOMONTH($A205,0)+1)-DateToday-15)))+((($CC205)^2)*((15)/((EOMONTH($A205,0)+1)-DateToday-15))))^0.5)))</f>
        <v> </v>
      </c>
      <c r="CE205" s="334" t="str">
        <f aca="false">IF($A205="N/A"," ",(VLOOKUP($A205,GasVolTable,(IF(BMO=2,6,IF(BMO=1,7,5))),FALSE())))</f>
        <v> </v>
      </c>
      <c r="CF205" s="334" t="str">
        <f aca="false">IF($A205="N/A"," ",(VLOOKUP($A205,OmicronVol,(IF(BMO=2,3,IF(BMO=1,4,2))),FALSE())))</f>
        <v> </v>
      </c>
      <c r="CG205" s="335" t="str">
        <f aca="false">IF($A205="N/A"," ",(IF(DateToday&gt;$A205,$CF205,((($CE205^2)*((($A205-1)-DateToday)/((EOMONTH($A205,0)+1)-DateToday-15)))+((($CF205)^2)*((15)/((EOMONTH($A205,0)+1)-DateToday-15))))^0.5)))</f>
        <v> </v>
      </c>
      <c r="CH205" s="334" t="str">
        <f aca="false">IF($A205="N/A"," ",VLOOKUP($A205,CorrelationTable,2,FALSE()))</f>
        <v> </v>
      </c>
      <c r="CI205" s="336" t="str">
        <f aca="false">IF($A205="N/A"," ",F205+G205+(D205*('Pricing Inputs'!T238)))</f>
        <v> </v>
      </c>
      <c r="CJ205" s="334" t="str">
        <f aca="false">IF($A205="N/A"," ",IF(PV=1,0,'Pricing Inputs'!U238))</f>
        <v> </v>
      </c>
      <c r="CK205" s="337" t="str">
        <f aca="false">IF($A205="N/A"," ",(1+CJ205/2)^(-2*((EOMONTH(A205,0)+20)-DateToday)/365.25))</f>
        <v> </v>
      </c>
      <c r="CL205" s="338" t="str">
        <f aca="false">IF(A205="N/A"," ",IF(CC=2,(VLOOKUP(MONTH($A205),Hrtable,3))/1000,0))</f>
        <v> </v>
      </c>
      <c r="CM205" s="339" t="str">
        <f aca="false">IF(A205="N/A"," ",IF(CC=2,(CL205*C205)+F205,0))</f>
        <v> </v>
      </c>
      <c r="CN205" s="340" t="str">
        <f aca="false">IF($A205="N/A"," ",IF(CC=2,(VLOOKUP(A205,ScaledPrice,(IF(AND(Dayrun&gt;=1,Dayrun&lt;=6),2,4)))-((IF(R205&lt;&gt;0,$D205,$CL205)*$C205)+$F205+$G205)),0))</f>
        <v> </v>
      </c>
      <c r="CO205" s="340" t="str">
        <f aca="false">IF($A205="N/A"," ",IF(CC=2,(IF(AND(Dayrun&gt;=1,Dayrun&lt;=6),I205,(VLOOKUP(A205,ScaledPrice,2))*(2-(VLOOKUP(A205,ScaledPrice,3))))-((IF(S205&lt;&gt;0,$D205,$CL205)*$C205)+$F205+$G205)),0))</f>
        <v> </v>
      </c>
      <c r="CP205" s="340" t="str">
        <f aca="false">IF(A205="N/A"," ",IF(CC=2,(VLOOKUP(A205,ScaledPrice,9)-((IF(T205&lt;&gt;0,$D205,$CL205)*$C205)+$F205+$G205)),0))</f>
        <v> </v>
      </c>
      <c r="CQ205" s="340" t="str">
        <f aca="false">IF(A205="N/A"," ",IF(CC=2,(IF(OR(Dayrun=2,Dayrun=3,Dayrun=5,Dayrun=6,Dayrun=8,Dayrun=9),VLOOKUP(A205,ScaledPrice,IF(AND(Dayrun&gt;=2,Dayrun&lt;=6),5,6)),0)-((IF(U205&lt;&gt;0,$D205,$CL205)*$C205)+$F205+$G205)),0))</f>
        <v> </v>
      </c>
      <c r="CR205" s="340" t="str">
        <f aca="false">IF(A205="N/A"," ",IF(CC=2,(IF(OR(Dayrun=2,Dayrun=3,Dayrun=5,Dayrun=6,Dayrun=8,Dayrun=9),IF(AND(Dayrun&gt;=2,Dayrun&lt;=6),L205,(VLOOKUP(A205,ScaledPrice,5))*(2-(VLOOKUP(A205,ScaledPrice,3)))),0)-((IF(V205&lt;&gt;0,$D205,$CL205)*$C205)+$F205+$G205)),0))</f>
        <v> </v>
      </c>
      <c r="CS205" s="340" t="str">
        <f aca="false">IF(A205="N/A"," ",IF(CC=2,(VLOOKUP(A205,ScaledPrice,9)-((IF(W205&lt;&gt;0,$D205,$CL205)*$C205)+$F205+$G205)),0))</f>
        <v> </v>
      </c>
      <c r="CT205" s="340" t="str">
        <f aca="false">IF(A205="N/A"," ",IF(CC=2,(IF(OR(Dayrun=3,Dayrun=6,Dayrun=9),(VLOOKUP(A205,ScaledPrice,IF(AND(Dayrun&gt;=3,Dayrun&lt;=6),7,8))),0)-((IF(X205&lt;&gt;0,$D205,$CL205)*$C205)+$F205+$G205)),0))</f>
        <v> </v>
      </c>
      <c r="CU205" s="340" t="str">
        <f aca="false">IF(A205="N/A"," ",IF(CC=2,(IF(OR(Dayrun=3,Dayrun=6,Dayrun=9),IF(AND(Dayrun&gt;=3,Dayrun&lt;=6),O205,(VLOOKUP(A205,ScaledPrice,7))*(2-(VLOOKUP(A205,ScaledPrice,3)))),0)-((IF(Y205&lt;&gt;0,$D205,$CL205)*$C205)+$F205+$G205)),0))</f>
        <v> </v>
      </c>
      <c r="CV205" s="340" t="str">
        <f aca="false">IF(A205="N/A"," ",IF(CC=2,(VLOOKUP(A205,ScaledPrice,9)-((IF(Z205&lt;&gt;0,$D205,$CL205)*$C205)+$F205+$G205)),0))</f>
        <v> </v>
      </c>
      <c r="CW205" s="318" t="str">
        <f aca="false">IF($A205="N/A"," ",IF(0&lt;&gt;CN205,IF(CC=2,8*$HD205,0),0))</f>
        <v> </v>
      </c>
      <c r="CX205" s="318" t="str">
        <f aca="false">IF($A205="N/A"," ",IF(0&lt;&gt;CO205,IF(CC=2,8*$HD205,0),0))</f>
        <v> </v>
      </c>
      <c r="CY205" s="318" t="str">
        <f aca="false">IF($A205="N/A"," ",IF(0&lt;&gt;CP205,IF(CC=2,8*$HD205,0),0))</f>
        <v> </v>
      </c>
      <c r="CZ205" s="318" t="str">
        <f aca="false">IF($A205="N/A"," ",IF(0&lt;&gt;CQ205,IF(CC=2,8*$HE205,0),0))</f>
        <v> </v>
      </c>
      <c r="DA205" s="318" t="str">
        <f aca="false">IF($A205="N/A"," ",IF(0&lt;&gt;CR205,IF(CC=2,8*$HE205,0),0))</f>
        <v> </v>
      </c>
      <c r="DB205" s="318" t="str">
        <f aca="false">IF($A205="N/A"," ",IF(0&lt;&gt;CS205,IF(CC=2,8*$HE205,0),0))</f>
        <v> </v>
      </c>
      <c r="DC205" s="318" t="str">
        <f aca="false">IF($A205="N/A"," ",IF(0&lt;&gt;CT205,IF(CC=2,8*$HF205,0),0))</f>
        <v> </v>
      </c>
      <c r="DD205" s="318" t="str">
        <f aca="false">IF($A205="N/A"," ",IF(0&lt;&gt;CU205,IF(CC=2,8*$HF205,0),0))</f>
        <v> </v>
      </c>
      <c r="DE205" s="318" t="str">
        <f aca="false">IF($A205="N/A"," ",IF(0&lt;&gt;CV205,IF(CC=2,8*$HF205,0),0))</f>
        <v> </v>
      </c>
      <c r="DF205" s="341" t="str">
        <f aca="false">IF($A205="N/A"," ",IF(CC=2,(IF(MONTH(A205)&gt;=4,IF(MONTH(A205)&lt;=10,Inputs!$G$13,Inputs!$G$14),Inputs!$G$14))*$CK205,0))</f>
        <v> </v>
      </c>
      <c r="DG205" s="342" t="str">
        <f aca="false">IF($A205="N/A"," ",IF(CC=2,$DF205*CW205*CN205,0))</f>
        <v> </v>
      </c>
      <c r="DH205" s="342" t="str">
        <f aca="false">IF($A205="N/A"," ",IF(CC=2,$DF205*CX205*CO205,0))</f>
        <v> </v>
      </c>
      <c r="DI205" s="342" t="str">
        <f aca="false">IF($A205="N/A"," ",IF(CC=2,$DF205*CY205*CP205,0))</f>
        <v> </v>
      </c>
      <c r="DJ205" s="342" t="str">
        <f aca="false">IF($A205="N/A"," ",IF(CC=2,$DF205*CZ205*CQ205,0))</f>
        <v> </v>
      </c>
      <c r="DK205" s="342" t="str">
        <f aca="false">IF($A205="N/A"," ",IF(CC=2,$DF205*DA205*CR205,0))</f>
        <v> </v>
      </c>
      <c r="DL205" s="342" t="str">
        <f aca="false">IF($A205="N/A"," ",IF(CC=2,$DF205*DB205*CS205,0))</f>
        <v> </v>
      </c>
      <c r="DM205" s="342" t="str">
        <f aca="false">IF($A205="N/A"," ",IF(CC=2,$DF205*DC205*CT205,0))</f>
        <v> </v>
      </c>
      <c r="DN205" s="342" t="str">
        <f aca="false">IF($A205="N/A"," ",IF(CC=2,$DF205*DD205*CU205,0))</f>
        <v> </v>
      </c>
      <c r="DO205" s="342" t="str">
        <f aca="false">IF($A205="N/A"," ",IF(CC=2,$DF205*DE205*CV205,0))</f>
        <v> </v>
      </c>
      <c r="DP205" s="343" t="str">
        <f aca="false">IF($A205="N/A"," ",IF(CC=2,SUM(DG205:DO205),0))</f>
        <v> </v>
      </c>
      <c r="DQ205" s="0" t="str">
        <f aca="false">IF(A205="N/A"," ",Perstart)</f>
        <v> </v>
      </c>
      <c r="HD205" s="0" t="str">
        <f aca="false">IF($A205="N/A"," ",VLOOKUP($A205,NumberofDaysTable,2))</f>
        <v> </v>
      </c>
      <c r="HE205" s="0" t="str">
        <f aca="false">IF($A205="N/A"," ",VLOOKUP($A205,NumberofDaysTable,3))</f>
        <v> </v>
      </c>
      <c r="HF205" s="0" t="str">
        <f aca="false">IF($A205="N/A"," ",VLOOKUP($A205,NumberofDaysTable,4))</f>
        <v> </v>
      </c>
    </row>
    <row r="206" customFormat="false" ht="12.75" hidden="false" customHeight="false" outlineLevel="0" collapsed="false">
      <c r="A206" s="308" t="str">
        <f aca="false">IF(A205="N/A","N/A",IF(EDATE(A205,1)&gt;Inputs!$K$3,"N/A",EDATE(A205,1)))</f>
        <v>N/A</v>
      </c>
      <c r="B206" s="309" t="str">
        <f aca="false">IF(A206="N/A"," ",YEAR(A206))</f>
        <v> </v>
      </c>
      <c r="C206" s="310" t="str">
        <f aca="false">IF(A206="N/A"," ",VLOOKUP(A206,ScaledPrice,10))</f>
        <v> </v>
      </c>
      <c r="D206" s="311" t="str">
        <f aca="false">IF(A206="N/A"," ",(VLOOKUP(MONTH($A206),Hrtable,2))/1000)</f>
        <v> </v>
      </c>
      <c r="E206" s="312" t="str">
        <f aca="false">IF($A206="N/A"," ",(C206-'Pricing Inputs'!T239)*D206)</f>
        <v> </v>
      </c>
      <c r="F206" s="313" t="str">
        <f aca="false">IF(A206="N/A"," ",$F194*(1+VOMesc))</f>
        <v> </v>
      </c>
      <c r="G206" s="313" t="str">
        <f aca="false">IF(A206="N/A"," ",Perstart/IF(AND(Dayrun&gt;=4,Dayrun&lt;=6),16,IF(AND(Dayrun&gt;=7,Dayrun&lt;=9),8,24))/(BM206/CK206))</f>
        <v> </v>
      </c>
      <c r="H206" s="314" t="str">
        <f aca="false">IF(A206="N/A"," ",(C206*D206)+F206+G206)</f>
        <v> </v>
      </c>
      <c r="I206" s="315" t="str">
        <f aca="false">VLOOKUP(A206,ScaledPrice,(IF(AND(Dayrun&gt;=1,Dayrun&lt;=6),2,4)))</f>
        <v> </v>
      </c>
      <c r="J206" s="315" t="str">
        <f aca="false">IF(A206="N/A"," ",IF(AND(Dayrun&gt;=1,Dayrun&lt;=6),I206,(VLOOKUP(A206,ScaledPrice,2))*(2-(VLOOKUP(A206,ScaledPrice,3)))))</f>
        <v> </v>
      </c>
      <c r="K206" s="315" t="str">
        <f aca="false">IF(A206="N/A"," ",IF(AND(Dayrun&gt;=1,Dayrun&lt;=3),VLOOKUP(A206,ScaledPrice,9),0))</f>
        <v> </v>
      </c>
      <c r="L206" s="315" t="str">
        <f aca="false">IF(A206="N/A"," ",IF(OR(Dayrun=2,Dayrun=3,Dayrun=5,Dayrun=6,Dayrun=8,Dayrun=9),VLOOKUP(A206,ScaledPrice,IF(AND(Dayrun&gt;=2,Dayrun&lt;=6),5,6)),0))</f>
        <v> </v>
      </c>
      <c r="M206" s="315" t="str">
        <f aca="false">IF(A206="N/A"," ",IF(OR(Dayrun=2,Dayrun=3,Dayrun=5,Dayrun=6,Dayrun=8,Dayrun=9),IF(AND(Dayrun&gt;=2,Dayrun&lt;=6),L206,(VLOOKUP(A206,ScaledPrice,5))*(2-(VLOOKUP(A206,ScaledPrice,3)))),0))</f>
        <v> </v>
      </c>
      <c r="N206" s="315" t="str">
        <f aca="false">IF(A206="N/A"," ",IF(AND(Dayrun&gt;1,Dayrun&lt;=3),VLOOKUP(A206,ScaledPrice,9),0))</f>
        <v> </v>
      </c>
      <c r="O206" s="315" t="str">
        <f aca="false">IF(A206="N/A"," ",IF(OR(Dayrun=3,Dayrun=6,Dayrun=9),(VLOOKUP(A206,ScaledPrice,IF(AND(Dayrun&gt;=3,Dayrun&lt;=6),7,8))),0))</f>
        <v> </v>
      </c>
      <c r="P206" s="315" t="str">
        <f aca="false">IF(A206="N/A"," ",IF(OR(Dayrun=3,Dayrun=6,Dayrun=9),IF(AND(Dayrun&gt;=3,Dayrun&lt;=6),O206,(VLOOKUP(A206,ScaledPrice,7))*(2-(VLOOKUP(A206,ScaledPrice,3)))),0))</f>
        <v> </v>
      </c>
      <c r="Q206" s="315" t="str">
        <f aca="false">IF(A206="N/A"," ",IF(AND(Dayrun&gt;2,Dayrun&lt;=3),VLOOKUP(A206,ScaledPrice,9),0))</f>
        <v> </v>
      </c>
      <c r="R206" s="316" t="str">
        <f aca="false">IF($A206="N/A"," ",IF(Pricetype=2,MAX(I206-$H206,0),IF(Pricetype=1,(xSPRDOPT(I206,$E206,$CI206,0,($CD206+IF(Smile=TRUE(),VLOOKUP(MAX(-5,$H206-I206),Volsmile,2),0)),$CG206,$CH206,($A206-DateToday)+15,1,0)),I206-$H206)))</f>
        <v> </v>
      </c>
      <c r="S206" s="316" t="str">
        <f aca="false">IF($A206="N/A"," ",IF(Pricetype=2,MAX(J206-$H206,0),IF(Pricetype=1,(xSPRDOPT(J206,$E206,$CI206,0,($CD206+IF(Smile=TRUE(),VLOOKUP(MAX(-5,$H206-J206),Volsmile,2),0)),$CG206,$CH206,($A206-DateToday)+15,1,0)),J206-$H206)))</f>
        <v> </v>
      </c>
      <c r="T206" s="317" t="str">
        <f aca="false">IF($A206="N/A"," ",(IF(Pricetype=2,IF((K206-$H206)&lt;=0,0,(K206-$H206)),IF(K206&lt;&gt;0,(K206-$H206),0))))</f>
        <v> </v>
      </c>
      <c r="U206" s="316" t="str">
        <f aca="false">IF($A206="N/A"," ",IF(Pricetype=2,MAX(L206-$H206,0),IF(L206&lt;&gt;0,IF(Pricetype=1,(xSPRDOPT(L206,$E206,$CI206,0,($CD206+IF(Smile=TRUE(),VLOOKUP(MAX(-5,$H206-L206),Volsmile,2),0)),$CG206,$CH206,($A206-DateToday)+15,1,0)),L206-$H206),0)))</f>
        <v> </v>
      </c>
      <c r="V206" s="316" t="str">
        <f aca="false">IF($A206="N/A"," ",IF(Pricetype=2,MAX(M206-$H206,0),IF(M206&lt;&gt;0,IF(Pricetype=1,(xSPRDOPT(M206,$E206,$CI206,0,($CD206+IF(Smile=TRUE(),VLOOKUP(MAX(-5,$H206-M206),Volsmile,2),0)),$CG206,$CH206,($A206-DateToday)+15,1,0)),M206-$H206),0)))</f>
        <v> </v>
      </c>
      <c r="W206" s="317" t="str">
        <f aca="false">IF($A206="N/A"," ",(IF(Pricetype=2,IF((N206-$H206)&lt;=0,0,(N206-$H206)),IF(N206&lt;&gt;0,(N206-$H206),0))))</f>
        <v> </v>
      </c>
      <c r="X206" s="316" t="str">
        <f aca="false">IF($A206="N/A"," ",IF(Pricetype=2,MAX(O206-$H206,0),IF(O206&lt;&gt;0,IF(Pricetype=1,(xSPRDOPT(O206,$E206,$CI206,0,($CD206+IF(Smile=TRUE(),VLOOKUP(MAX(-5,$H206-O206),Volsmile,2),0)),$CG206,$CH206,($A206-DateToday)+15,1,0)),O206-$H206),0)))</f>
        <v> </v>
      </c>
      <c r="Y206" s="316" t="str">
        <f aca="false">IF($A206="N/A"," ",IF(Pricetype=2,MAX(P206-$H206,0),IF(P206&lt;&gt;0,IF(Pricetype=1,(xSPRDOPT(P206,$E206,$CI206,0,($CD206+IF(Smile=TRUE(),VLOOKUP(MAX(-5,$H206-P206),Volsmile,2),0)),$CG206,$CH206,($A206-DateToday)+15,1,0)),P206-$H206),0)))</f>
        <v> </v>
      </c>
      <c r="Z206" s="317" t="str">
        <f aca="false">IF($A206="N/A"," ",(IF(Pricetype=2,IF((Q206-$H206)&lt;=0,0,(Q206-$H206)),IF(Q206&lt;&gt;0,(Q206-$H206),0))))</f>
        <v> </v>
      </c>
      <c r="AA206" s="318" t="str">
        <f aca="false">IF($A206="N/A"," ",IF(VLOOKUP(MONTH(A206),ManualTable,2)=1,(IF(0&lt;&gt;R206,IF(Pricetype=1,(xSPRDOPT(I206,$E206,$CI206,0,($CD206+IF(Smile=TRUE(),VLOOKUP(MAX(-5,$H206-I206),Volsmile,2),0)),$CG206,$CH206,($A206-DateToday)+15,1,1))*(8*$HD206),8*$HD206),0)),0))</f>
        <v> </v>
      </c>
      <c r="AB206" s="318" t="str">
        <f aca="false">IF($A206="N/A"," ",IF(VLOOKUP(MONTH(A206),ManualTable,3)=1,(IF(S206&lt;&gt;0,IF(Pricetype=1,(xSPRDOPT(J206,$E206,$CI206,0,($CD206+IF(Smile=TRUE(),VLOOKUP(MAX(-5,$H206-J206),Volsmile,2),0)),$CG206,$CH206,($A206-DateToday)+15,1,1))*(8*$HD206),8*$HD206),0)),0))</f>
        <v> </v>
      </c>
      <c r="AC206" s="318" t="str">
        <f aca="false">IF($A206="N/A"," ",IF(VLOOKUP(MONTH(A206),ManualTable,4)=1,(IF(T206&lt;&gt;0,(8*$HD206),0)),0))</f>
        <v> </v>
      </c>
      <c r="AD206" s="318" t="str">
        <f aca="false">IF($A206="N/A"," ",IF(VLOOKUP(MONTH(A206),ManualTable,5)=1,(IF(U206&lt;&gt;0,IF(Pricetype=1,(xSPRDOPT(L206,$E206,$CI206,0,($CD206+IF(Smile=TRUE(),VLOOKUP(MAX(-5,$H206-L206),Volsmile,2),0)),$CG206,$CH206,($A206-DateToday)+15,1,1))*(8*$HE206),8*$HE206),0)),0))</f>
        <v> </v>
      </c>
      <c r="AE206" s="318" t="str">
        <f aca="false">IF($A206="N/A"," ",IF(VLOOKUP(MONTH(A206),ManualTable,6)=1,(IF(V206&lt;&gt;0,IF(Pricetype=1,(xSPRDOPT(M206,$E206,$CI206,0,($CD206+IF(Smile=TRUE(),VLOOKUP(MAX(-5,$H206-M206),Volsmile,2),0)),$CG206,$CH206,($A206-DateToday)+15,1,1))*(8*$HE206),8*$HE206),0)),0))</f>
        <v> </v>
      </c>
      <c r="AF206" s="318" t="str">
        <f aca="false">IF($A206="N/A"," ",IF(VLOOKUP(MONTH(A206),ManualTable,7)=1,(IF(W206&lt;&gt;0,(8*$HE206),0)),0))</f>
        <v> </v>
      </c>
      <c r="AG206" s="318" t="str">
        <f aca="false">IF($A206="N/A"," ",IF(VLOOKUP(MONTH(A206),ManualTable,8)=1,(IF(X206&lt;&gt;0,IF(Pricetype=1,(xSPRDOPT(O206,$E206,$CI206,0,($CD206+IF(Smile=TRUE(),VLOOKUP(MAX(-5,$H206-O206),Volsmile,2),0)),$CG206,$CH206,($A206-DateToday)+15,1,1))*(8*$HF206),8*$HF206),0)),0))</f>
        <v> </v>
      </c>
      <c r="AH206" s="318" t="str">
        <f aca="false">IF($A206="N/A"," ",IF(VLOOKUP(MONTH(A206),ManualTable,9)=1,(IF(Y206&lt;&gt;0,IF(Pricetype=1,(xSPRDOPT(P206,$E206,$CI206,0,($CD206+IF(Smile=TRUE(),VLOOKUP(MAX(-5,$H206-P206),Volsmile,2),0)),$CG206,$CH206,($A206-DateToday)+15,1,1))*(8*$HF206),8*$HF206),0)),0))</f>
        <v> </v>
      </c>
      <c r="AI206" s="318" t="str">
        <f aca="false">IF($A206="N/A"," ",IF(VLOOKUP(MONTH(A206),ManualTable,10)=1,(IF(Z206&lt;&gt;0,(8*($HF206)),0)),0))</f>
        <v> </v>
      </c>
      <c r="AJ206" s="344" t="str">
        <f aca="false">IF($A206="N/A"," ",RANK(R206,$R$196:$Z$207))</f>
        <v> </v>
      </c>
      <c r="AK206" s="321" t="str">
        <f aca="false">IF($A206="N/A"," ",RANK(S206,$R$196:$Z$207))</f>
        <v> </v>
      </c>
      <c r="AL206" s="321" t="str">
        <f aca="false">IF($A206="N/A"," ",RANK(T206,$R$196:$Z$207))</f>
        <v> </v>
      </c>
      <c r="AM206" s="321" t="str">
        <f aca="false">IF($A206="N/A"," ",RANK(U206,$R$196:$Z$207))</f>
        <v> </v>
      </c>
      <c r="AN206" s="321" t="str">
        <f aca="false">IF($A206="N/A"," ",RANK(V206,$R$196:$Z$207))</f>
        <v> </v>
      </c>
      <c r="AO206" s="321" t="str">
        <f aca="false">IF($A206="N/A"," ",RANK(W206,$R$196:$Z$207))</f>
        <v> </v>
      </c>
      <c r="AP206" s="321" t="str">
        <f aca="false">IF($A206="N/A"," ",RANK(X206,$R$196:$Z$207))</f>
        <v> </v>
      </c>
      <c r="AQ206" s="321" t="str">
        <f aca="false">IF($A206="N/A"," ",RANK(Y206,$R$196:$Z$207))</f>
        <v> </v>
      </c>
      <c r="AR206" s="345" t="str">
        <f aca="false">IF($A206="N/A"," ",RANK(Z206,$R$196:$Z$207))</f>
        <v> </v>
      </c>
      <c r="AS206" s="323" t="str">
        <f aca="false">IF($A206="N/A"," ",IF(AJ206&lt;=$AR$2,AA206,0))</f>
        <v> </v>
      </c>
      <c r="AT206" s="325" t="str">
        <f aca="false">IF($A206="N/A"," ",IF(AK206&lt;=$AR$2,AB206,0))</f>
        <v> </v>
      </c>
      <c r="AU206" s="325" t="str">
        <f aca="false">IF($A206="N/A"," ",IF(AL206&lt;=$AR$2,AC206,0))</f>
        <v> </v>
      </c>
      <c r="AV206" s="325" t="str">
        <f aca="false">IF($A206="N/A"," ",IF(AM206&lt;=$AR$2,AD206,0))</f>
        <v> </v>
      </c>
      <c r="AW206" s="325" t="str">
        <f aca="false">IF($A206="N/A"," ",IF(AN206&lt;=$AR$2,AE206,0))</f>
        <v> </v>
      </c>
      <c r="AX206" s="325" t="str">
        <f aca="false">IF($A206="N/A"," ",IF(AO206&lt;=$AR$2,AF206,0))</f>
        <v> </v>
      </c>
      <c r="AY206" s="325" t="str">
        <f aca="false">IF($A206="N/A"," ",IF(AP206&lt;=$AR$2,AG206,0))</f>
        <v> </v>
      </c>
      <c r="AZ206" s="325" t="str">
        <f aca="false">IF($A206="N/A"," ",IF(AQ206&lt;=$AR$2,AH206,0))</f>
        <v> </v>
      </c>
      <c r="BA206" s="325" t="str">
        <f aca="false">IF($A206="N/A"," ",IF(AR206&lt;=$AR$2,AI206,0))</f>
        <v> </v>
      </c>
      <c r="BB206" s="345" t="n">
        <f aca="false">SUM(AS196:BA207)</f>
        <v>0</v>
      </c>
      <c r="BC206" s="326" t="str">
        <f aca="false">IF($A206="N/A"," ",IF(AND(AJ206=$AR$2+1,AS206=0),MIN($BB$207,AA206),0))</f>
        <v> </v>
      </c>
      <c r="BD206" s="346" t="str">
        <f aca="false">IF($A206="N/A"," ",IF(AND(AK206=$AR$2+1,AT206=0),MIN($BB$207,AB206),0))</f>
        <v> </v>
      </c>
      <c r="BE206" s="346" t="str">
        <f aca="false">IF($A206="N/A"," ",IF(AND(AL206=$AR$2+1,AU206=0),MIN($BB$207,AC206),0))</f>
        <v> </v>
      </c>
      <c r="BF206" s="346" t="str">
        <f aca="false">IF($A206="N/A"," ",IF(AND(AM206=$AR$2+1,AV206=0),MIN($BB$207,AD206),0))</f>
        <v> </v>
      </c>
      <c r="BG206" s="346" t="str">
        <f aca="false">IF($A206="N/A"," ",IF(AND(AN206=$AR$2+1,AW206=0),MIN($BB$207,AE206),0))</f>
        <v> </v>
      </c>
      <c r="BH206" s="346" t="str">
        <f aca="false">IF($A206="N/A"," ",IF(AND(AO206=$AR$2+1,AX206=0),MIN($BB$207,AF206),0))</f>
        <v> </v>
      </c>
      <c r="BI206" s="346" t="str">
        <f aca="false">IF($A206="N/A"," ",IF(AND(AP206=$AR$2+1,AY206=0),MIN($BB$207,AG206),0))</f>
        <v> </v>
      </c>
      <c r="BJ206" s="346" t="str">
        <f aca="false">IF($A206="N/A"," ",IF(AND(AQ206=$AR$2+1,AZ206=0),MIN($BB$207,AH206),0))</f>
        <v> </v>
      </c>
      <c r="BK206" s="346" t="str">
        <f aca="false">IF($A206="N/A"," ",IF(AND(AR206=$AR$2+1,BA206=0),MIN($BB$207,AI206),0))</f>
        <v> </v>
      </c>
      <c r="BL206" s="345" t="n">
        <f aca="false">SUM(BC196:BK207)</f>
        <v>0</v>
      </c>
      <c r="BM206" s="329" t="str">
        <f aca="false">IF($A206="N/A"," ",(IF(MONTH(A206)&gt;=4,IF(MONTH(A206)&lt;=10,Inputs!$F$13-Inputs!$G$13,Inputs!$F$14-Inputs!$G$14),Inputs!$F$14-Inputs!$G$14))*$CK206*Availability)</f>
        <v> </v>
      </c>
      <c r="BN206" s="330" t="str">
        <f aca="false">IF($A206="N/A"," ",(IF(AS206&gt;0,($BM206*(8*($HD206))*R206),0)+IF(BC206&gt;0,($BM206*((BC206/AA206)*8*$HD206)*R206),0)))</f>
        <v> </v>
      </c>
      <c r="BO206" s="330" t="str">
        <f aca="false">IF($A206="N/A"," ",(IF(AT206&gt;0,($BM206*(8*($HD206))*S206),0)+IF(BD206&gt;0,($BM206*((BD206/AB206)*8*$HD206)*S206),0)))</f>
        <v> </v>
      </c>
      <c r="BP206" s="330" t="str">
        <f aca="false">IF($A206="N/A"," ",(IF(AU206&gt;0,($BM206*(8*($HD206))*T206),0)+IF(BE206&gt;0,($BM206*((BE206))*T206),0)))</f>
        <v> </v>
      </c>
      <c r="BQ206" s="330" t="str">
        <f aca="false">IF($A206="N/A"," ",(IF(AV206&gt;0,($BM206*(8*($HE206))*U206),0)+IF(BF206&gt;0,($BM206*((BF206/AD206)*8*$HE206)*U206),0)))</f>
        <v> </v>
      </c>
      <c r="BR206" s="330" t="str">
        <f aca="false">IF($A206="N/A"," ",(IF(AW206&gt;0,($BM206*(8*($HE206))*V206),0)+IF(BG206&gt;0,($BM206*((BG206/AE206)*8*$HE206)*V206),0)))</f>
        <v> </v>
      </c>
      <c r="BS206" s="330" t="str">
        <f aca="false">IF($A206="N/A"," ",(IF(AX206&gt;0,($BM206*(8*($HE206))*W206),0)+IF(BH206&gt;0,($BM206*((BH206))*W206),0)))</f>
        <v> </v>
      </c>
      <c r="BT206" s="330" t="str">
        <f aca="false">IF($A206="N/A"," ",(IF(AY206&gt;0,($BM206*(8*($HF206))*X206),0)+IF(BI206&gt;0,($BM206*((BI206/AG206)*8*$HF206)*X206),0)))</f>
        <v> </v>
      </c>
      <c r="BU206" s="330" t="str">
        <f aca="false">IF($A206="N/A"," ",(IF(AZ206&gt;0,($BM206*(8*($HF206))*Y206),0)+IF(BJ206&gt;0,($BM206*((BJ206/AH206)*8*$HF206)*Y206),0)))</f>
        <v> </v>
      </c>
      <c r="BV206" s="330" t="str">
        <f aca="false">IF($A206="N/A"," ",(IF(BA206&gt;0,($BM206*(8*($HF206))*Z206),0)+IF(BK206&gt;0,($BM206*((BK206))*Z206),0)))</f>
        <v> </v>
      </c>
      <c r="BW206" s="330" t="str">
        <f aca="false">IF($A206="N/A"," ",SUM(BN206:BV206))</f>
        <v> </v>
      </c>
      <c r="BX206" s="331" t="str">
        <f aca="false">IF($A206="N/A"," ",(H206*(SUM(AS206:BA206)+SUM(BC206:BK206))*BM206))</f>
        <v> </v>
      </c>
      <c r="BY206" s="332" t="str">
        <f aca="false">IF($A206="N/A"," ",((C206*D206)*(SUM($AS206:$BA206)+SUM($BC206:$BK206))*$BM206))</f>
        <v> </v>
      </c>
      <c r="BZ206" s="332" t="str">
        <f aca="false">IF($A206="N/A"," ",(F206*(SUM($AS206:$BA206)+SUM($BC206:$BK206))*$BM206))</f>
        <v> </v>
      </c>
      <c r="CA206" s="333" t="str">
        <f aca="false">IF($A206="N/A"," ",(G206*(SUM($AS206:$BA206)+SUM($BC206:$BK206))*$BM206))</f>
        <v> </v>
      </c>
      <c r="CB206" s="334" t="str">
        <f aca="false">IF(A206="N/A"," ",(VLOOKUP(A206,PowerVolTable,(IF(BMO=2,7,IF(BMO=1,6,8))),FALSE())))</f>
        <v> </v>
      </c>
      <c r="CC206" s="334" t="str">
        <f aca="false">IF(A206="N/A"," ",(VLOOKUP(A206,IntraPowerVol,(IF(BMO=2,3,IF(BMO=1,2,4))),FALSE())*VLOOKUP(MONTH($A206),Volscale,2)))</f>
        <v> </v>
      </c>
      <c r="CD206" s="335" t="str">
        <f aca="false">IF($A206="N/A"," ",(IF(DateToday&gt;$A206,$CC206,((($CB206^2)*((($A206-1)-DateToday)/((EOMONTH($A206,0)+1)-DateToday-15)))+((($CC206)^2)*((15)/((EOMONTH($A206,0)+1)-DateToday-15))))^0.5)))</f>
        <v> </v>
      </c>
      <c r="CE206" s="334" t="str">
        <f aca="false">IF($A206="N/A"," ",(VLOOKUP($A206,GasVolTable,(IF(BMO=2,6,IF(BMO=1,7,5))),FALSE())))</f>
        <v> </v>
      </c>
      <c r="CF206" s="334" t="str">
        <f aca="false">IF($A206="N/A"," ",(VLOOKUP($A206,OmicronVol,(IF(BMO=2,3,IF(BMO=1,4,2))),FALSE())))</f>
        <v> </v>
      </c>
      <c r="CG206" s="335" t="str">
        <f aca="false">IF($A206="N/A"," ",(IF(DateToday&gt;$A206,$CF206,((($CE206^2)*((($A206-1)-DateToday)/((EOMONTH($A206,0)+1)-DateToday-15)))+((($CF206)^2)*((15)/((EOMONTH($A206,0)+1)-DateToday-15))))^0.5)))</f>
        <v> </v>
      </c>
      <c r="CH206" s="334" t="str">
        <f aca="false">IF($A206="N/A"," ",VLOOKUP($A206,CorrelationTable,2,FALSE()))</f>
        <v> </v>
      </c>
      <c r="CI206" s="336" t="str">
        <f aca="false">IF($A206="N/A"," ",F206+G206+(D206*('Pricing Inputs'!T239)))</f>
        <v> </v>
      </c>
      <c r="CJ206" s="334" t="str">
        <f aca="false">IF($A206="N/A"," ",IF(PV=1,0,'Pricing Inputs'!U239))</f>
        <v> </v>
      </c>
      <c r="CK206" s="337" t="str">
        <f aca="false">IF($A206="N/A"," ",(1+CJ206/2)^(-2*((EOMONTH(A206,0)+20)-DateToday)/365.25))</f>
        <v> </v>
      </c>
      <c r="CL206" s="338" t="str">
        <f aca="false">IF(A206="N/A"," ",IF(CC=2,(VLOOKUP(MONTH($A206),Hrtable,3))/1000,0))</f>
        <v> </v>
      </c>
      <c r="CM206" s="339" t="str">
        <f aca="false">IF(A206="N/A"," ",IF(CC=2,(CL206*C206)+F206,0))</f>
        <v> </v>
      </c>
      <c r="CN206" s="340" t="str">
        <f aca="false">IF($A206="N/A"," ",IF(CC=2,(VLOOKUP(A206,ScaledPrice,(IF(AND(Dayrun&gt;=1,Dayrun&lt;=6),2,4)))-((IF(R206&lt;&gt;0,$D206,$CL206)*$C206)+$F206+$G206)),0))</f>
        <v> </v>
      </c>
      <c r="CO206" s="340" t="str">
        <f aca="false">IF($A206="N/A"," ",IF(CC=2,(IF(AND(Dayrun&gt;=1,Dayrun&lt;=6),I206,(VLOOKUP(A206,ScaledPrice,2))*(2-(VLOOKUP(A206,ScaledPrice,3))))-((IF(S206&lt;&gt;0,$D206,$CL206)*$C206)+$F206+$G206)),0))</f>
        <v> </v>
      </c>
      <c r="CP206" s="340" t="str">
        <f aca="false">IF(A206="N/A"," ",IF(CC=2,(VLOOKUP(A206,ScaledPrice,9)-((IF(T206&lt;&gt;0,$D206,$CL206)*$C206)+$F206+$G206)),0))</f>
        <v> </v>
      </c>
      <c r="CQ206" s="340" t="str">
        <f aca="false">IF(A206="N/A"," ",IF(CC=2,(IF(OR(Dayrun=2,Dayrun=3,Dayrun=5,Dayrun=6,Dayrun=8,Dayrun=9),VLOOKUP(A206,ScaledPrice,IF(AND(Dayrun&gt;=2,Dayrun&lt;=6),5,6)),0)-((IF(U206&lt;&gt;0,$D206,$CL206)*$C206)+$F206+$G206)),0))</f>
        <v> </v>
      </c>
      <c r="CR206" s="340" t="str">
        <f aca="false">IF(A206="N/A"," ",IF(CC=2,(IF(OR(Dayrun=2,Dayrun=3,Dayrun=5,Dayrun=6,Dayrun=8,Dayrun=9),IF(AND(Dayrun&gt;=2,Dayrun&lt;=6),L206,(VLOOKUP(A206,ScaledPrice,5))*(2-(VLOOKUP(A206,ScaledPrice,3)))),0)-((IF(V206&lt;&gt;0,$D206,$CL206)*$C206)+$F206+$G206)),0))</f>
        <v> </v>
      </c>
      <c r="CS206" s="340" t="str">
        <f aca="false">IF(A206="N/A"," ",IF(CC=2,(VLOOKUP(A206,ScaledPrice,9)-((IF(W206&lt;&gt;0,$D206,$CL206)*$C206)+$F206+$G206)),0))</f>
        <v> </v>
      </c>
      <c r="CT206" s="340" t="str">
        <f aca="false">IF(A206="N/A"," ",IF(CC=2,(IF(OR(Dayrun=3,Dayrun=6,Dayrun=9),(VLOOKUP(A206,ScaledPrice,IF(AND(Dayrun&gt;=3,Dayrun&lt;=6),7,8))),0)-((IF(X206&lt;&gt;0,$D206,$CL206)*$C206)+$F206+$G206)),0))</f>
        <v> </v>
      </c>
      <c r="CU206" s="340" t="str">
        <f aca="false">IF(A206="N/A"," ",IF(CC=2,(IF(OR(Dayrun=3,Dayrun=6,Dayrun=9),IF(AND(Dayrun&gt;=3,Dayrun&lt;=6),O206,(VLOOKUP(A206,ScaledPrice,7))*(2-(VLOOKUP(A206,ScaledPrice,3)))),0)-((IF(Y206&lt;&gt;0,$D206,$CL206)*$C206)+$F206+$G206)),0))</f>
        <v> </v>
      </c>
      <c r="CV206" s="340" t="str">
        <f aca="false">IF(A206="N/A"," ",IF(CC=2,(VLOOKUP(A206,ScaledPrice,9)-((IF(Z206&lt;&gt;0,$D206,$CL206)*$C206)+$F206+$G206)),0))</f>
        <v> </v>
      </c>
      <c r="CW206" s="318" t="str">
        <f aca="false">IF($A206="N/A"," ",IF(0&lt;&gt;CN206,IF(CC=2,8*$HD206,0),0))</f>
        <v> </v>
      </c>
      <c r="CX206" s="318" t="str">
        <f aca="false">IF($A206="N/A"," ",IF(0&lt;&gt;CO206,IF(CC=2,8*$HD206,0),0))</f>
        <v> </v>
      </c>
      <c r="CY206" s="318" t="str">
        <f aca="false">IF($A206="N/A"," ",IF(0&lt;&gt;CP206,IF(CC=2,8*$HD206,0),0))</f>
        <v> </v>
      </c>
      <c r="CZ206" s="318" t="str">
        <f aca="false">IF($A206="N/A"," ",IF(0&lt;&gt;CQ206,IF(CC=2,8*$HE206,0),0))</f>
        <v> </v>
      </c>
      <c r="DA206" s="318" t="str">
        <f aca="false">IF($A206="N/A"," ",IF(0&lt;&gt;CR206,IF(CC=2,8*$HE206,0),0))</f>
        <v> </v>
      </c>
      <c r="DB206" s="318" t="str">
        <f aca="false">IF($A206="N/A"," ",IF(0&lt;&gt;CS206,IF(CC=2,8*$HE206,0),0))</f>
        <v> </v>
      </c>
      <c r="DC206" s="318" t="str">
        <f aca="false">IF($A206="N/A"," ",IF(0&lt;&gt;CT206,IF(CC=2,8*$HF206,0),0))</f>
        <v> </v>
      </c>
      <c r="DD206" s="318" t="str">
        <f aca="false">IF($A206="N/A"," ",IF(0&lt;&gt;CU206,IF(CC=2,8*$HF206,0),0))</f>
        <v> </v>
      </c>
      <c r="DE206" s="318" t="str">
        <f aca="false">IF($A206="N/A"," ",IF(0&lt;&gt;CV206,IF(CC=2,8*$HF206,0),0))</f>
        <v> </v>
      </c>
      <c r="DF206" s="341" t="str">
        <f aca="false">IF($A206="N/A"," ",IF(CC=2,(IF(MONTH(A206)&gt;=4,IF(MONTH(A206)&lt;=10,Inputs!$G$13,Inputs!$G$14),Inputs!$G$14))*$CK206,0))</f>
        <v> </v>
      </c>
      <c r="DG206" s="342" t="str">
        <f aca="false">IF($A206="N/A"," ",IF(CC=2,$DF206*CW206*CN206,0))</f>
        <v> </v>
      </c>
      <c r="DH206" s="342" t="str">
        <f aca="false">IF($A206="N/A"," ",IF(CC=2,$DF206*CX206*CO206,0))</f>
        <v> </v>
      </c>
      <c r="DI206" s="342" t="str">
        <f aca="false">IF($A206="N/A"," ",IF(CC=2,$DF206*CY206*CP206,0))</f>
        <v> </v>
      </c>
      <c r="DJ206" s="342" t="str">
        <f aca="false">IF($A206="N/A"," ",IF(CC=2,$DF206*CZ206*CQ206,0))</f>
        <v> </v>
      </c>
      <c r="DK206" s="342" t="str">
        <f aca="false">IF($A206="N/A"," ",IF(CC=2,$DF206*DA206*CR206,0))</f>
        <v> </v>
      </c>
      <c r="DL206" s="342" t="str">
        <f aca="false">IF($A206="N/A"," ",IF(CC=2,$DF206*DB206*CS206,0))</f>
        <v> </v>
      </c>
      <c r="DM206" s="342" t="str">
        <f aca="false">IF($A206="N/A"," ",IF(CC=2,$DF206*DC206*CT206,0))</f>
        <v> </v>
      </c>
      <c r="DN206" s="342" t="str">
        <f aca="false">IF($A206="N/A"," ",IF(CC=2,$DF206*DD206*CU206,0))</f>
        <v> </v>
      </c>
      <c r="DO206" s="342" t="str">
        <f aca="false">IF($A206="N/A"," ",IF(CC=2,$DF206*DE206*CV206,0))</f>
        <v> </v>
      </c>
      <c r="DP206" s="343" t="str">
        <f aca="false">IF($A206="N/A"," ",IF(CC=2,SUM(DG206:DO206),0))</f>
        <v> </v>
      </c>
      <c r="DQ206" s="0" t="str">
        <f aca="false">IF(A206="N/A"," ",Perstart)</f>
        <v> </v>
      </c>
      <c r="HD206" s="0" t="str">
        <f aca="false">IF($A206="N/A"," ",VLOOKUP($A206,NumberofDaysTable,2))</f>
        <v> </v>
      </c>
      <c r="HE206" s="0" t="str">
        <f aca="false">IF($A206="N/A"," ",VLOOKUP($A206,NumberofDaysTable,3))</f>
        <v> </v>
      </c>
      <c r="HF206" s="0" t="str">
        <f aca="false">IF($A206="N/A"," ",VLOOKUP($A206,NumberofDaysTable,4))</f>
        <v> </v>
      </c>
    </row>
    <row r="207" customFormat="false" ht="12.75" hidden="false" customHeight="false" outlineLevel="0" collapsed="false">
      <c r="A207" s="308" t="str">
        <f aca="false">IF(A206="N/A","N/A",IF(EDATE(A206,1)&gt;Inputs!$K$3,"N/A",EDATE(A206,1)))</f>
        <v>N/A</v>
      </c>
      <c r="B207" s="309" t="str">
        <f aca="false">IF(A207="N/A"," ",YEAR(A207))</f>
        <v> </v>
      </c>
      <c r="C207" s="310" t="str">
        <f aca="false">IF(A207="N/A"," ",VLOOKUP(A207,ScaledPrice,10))</f>
        <v> </v>
      </c>
      <c r="D207" s="311" t="str">
        <f aca="false">IF(A207="N/A"," ",(VLOOKUP(MONTH($A207),Hrtable,2))/1000)</f>
        <v> </v>
      </c>
      <c r="E207" s="312" t="str">
        <f aca="false">IF($A207="N/A"," ",(C207-'Pricing Inputs'!T240)*D207)</f>
        <v> </v>
      </c>
      <c r="F207" s="313" t="str">
        <f aca="false">IF(A207="N/A"," ",$F195*(1+VOMesc))</f>
        <v> </v>
      </c>
      <c r="G207" s="313" t="str">
        <f aca="false">IF(A207="N/A"," ",Perstart/IF(AND(Dayrun&gt;=4,Dayrun&lt;=6),16,IF(AND(Dayrun&gt;=7,Dayrun&lt;=9),8,24))/(BM207/CK207))</f>
        <v> </v>
      </c>
      <c r="H207" s="314" t="str">
        <f aca="false">IF(A207="N/A"," ",(C207*D207)+F207+G207)</f>
        <v> </v>
      </c>
      <c r="I207" s="315" t="str">
        <f aca="false">VLOOKUP(A207,ScaledPrice,(IF(AND(Dayrun&gt;=1,Dayrun&lt;=6),2,4)))</f>
        <v> </v>
      </c>
      <c r="J207" s="315" t="str">
        <f aca="false">IF(A207="N/A"," ",IF(AND(Dayrun&gt;=1,Dayrun&lt;=6),I207,(VLOOKUP(A207,ScaledPrice,2))*(2-(VLOOKUP(A207,ScaledPrice,3)))))</f>
        <v> </v>
      </c>
      <c r="K207" s="315" t="str">
        <f aca="false">IF(A207="N/A"," ",IF(AND(Dayrun&gt;=1,Dayrun&lt;=3),VLOOKUP(A207,ScaledPrice,9),0))</f>
        <v> </v>
      </c>
      <c r="L207" s="315" t="str">
        <f aca="false">IF(A207="N/A"," ",IF(OR(Dayrun=2,Dayrun=3,Dayrun=5,Dayrun=6,Dayrun=8,Dayrun=9),VLOOKUP(A207,ScaledPrice,IF(AND(Dayrun&gt;=2,Dayrun&lt;=6),5,6)),0))</f>
        <v> </v>
      </c>
      <c r="M207" s="315" t="str">
        <f aca="false">IF(A207="N/A"," ",IF(OR(Dayrun=2,Dayrun=3,Dayrun=5,Dayrun=6,Dayrun=8,Dayrun=9),IF(AND(Dayrun&gt;=2,Dayrun&lt;=6),L207,(VLOOKUP(A207,ScaledPrice,5))*(2-(VLOOKUP(A207,ScaledPrice,3)))),0))</f>
        <v> </v>
      </c>
      <c r="N207" s="315" t="str">
        <f aca="false">IF(A207="N/A"," ",IF(AND(Dayrun&gt;1,Dayrun&lt;=3),VLOOKUP(A207,ScaledPrice,9),0))</f>
        <v> </v>
      </c>
      <c r="O207" s="315" t="str">
        <f aca="false">IF(A207="N/A"," ",IF(OR(Dayrun=3,Dayrun=6,Dayrun=9),(VLOOKUP(A207,ScaledPrice,IF(AND(Dayrun&gt;=3,Dayrun&lt;=6),7,8))),0))</f>
        <v> </v>
      </c>
      <c r="P207" s="315" t="str">
        <f aca="false">IF(A207="N/A"," ",IF(OR(Dayrun=3,Dayrun=6,Dayrun=9),IF(AND(Dayrun&gt;=3,Dayrun&lt;=6),O207,(VLOOKUP(A207,ScaledPrice,7))*(2-(VLOOKUP(A207,ScaledPrice,3)))),0))</f>
        <v> </v>
      </c>
      <c r="Q207" s="315" t="str">
        <f aca="false">IF(A207="N/A"," ",IF(AND(Dayrun&gt;2,Dayrun&lt;=3),VLOOKUP(A207,ScaledPrice,9),0))</f>
        <v> </v>
      </c>
      <c r="R207" s="316" t="str">
        <f aca="false">IF($A207="N/A"," ",IF(Pricetype=2,MAX(I207-$H207,0),IF(Pricetype=1,(xSPRDOPT(I207,$E207,$CI207,0,($CD207+IF(Smile=TRUE(),VLOOKUP(MAX(-5,$H207-I207),Volsmile,2),0)),$CG207,$CH207,($A207-DateToday)+15,1,0)),I207-$H207)))</f>
        <v> </v>
      </c>
      <c r="S207" s="316" t="str">
        <f aca="false">IF($A207="N/A"," ",IF(Pricetype=2,MAX(J207-$H207,0),IF(Pricetype=1,(xSPRDOPT(J207,$E207,$CI207,0,($CD207+IF(Smile=TRUE(),VLOOKUP(MAX(-5,$H207-J207),Volsmile,2),0)),$CG207,$CH207,($A207-DateToday)+15,1,0)),J207-$H207)))</f>
        <v> </v>
      </c>
      <c r="T207" s="317" t="str">
        <f aca="false">IF($A207="N/A"," ",(IF(Pricetype=2,IF((K207-$H207)&lt;=0,0,(K207-$H207)),IF(K207&lt;&gt;0,(K207-$H207),0))))</f>
        <v> </v>
      </c>
      <c r="U207" s="316" t="str">
        <f aca="false">IF($A207="N/A"," ",IF(Pricetype=2,MAX(L207-$H207,0),IF(L207&lt;&gt;0,IF(Pricetype=1,(xSPRDOPT(L207,$E207,$CI207,0,($CD207+IF(Smile=TRUE(),VLOOKUP(MAX(-5,$H207-L207),Volsmile,2),0)),$CG207,$CH207,($A207-DateToday)+15,1,0)),L207-$H207),0)))</f>
        <v> </v>
      </c>
      <c r="V207" s="316" t="str">
        <f aca="false">IF($A207="N/A"," ",IF(Pricetype=2,MAX(M207-$H207,0),IF(M207&lt;&gt;0,IF(Pricetype=1,(xSPRDOPT(M207,$E207,$CI207,0,($CD207+IF(Smile=TRUE(),VLOOKUP(MAX(-5,$H207-M207),Volsmile,2),0)),$CG207,$CH207,($A207-DateToday)+15,1,0)),M207-$H207),0)))</f>
        <v> </v>
      </c>
      <c r="W207" s="317" t="str">
        <f aca="false">IF($A207="N/A"," ",(IF(Pricetype=2,IF((N207-$H207)&lt;=0,0,(N207-$H207)),IF(N207&lt;&gt;0,(N207-$H207),0))))</f>
        <v> </v>
      </c>
      <c r="X207" s="316" t="str">
        <f aca="false">IF($A207="N/A"," ",IF(Pricetype=2,MAX(O207-$H207,0),IF(O207&lt;&gt;0,IF(Pricetype=1,(xSPRDOPT(O207,$E207,$CI207,0,($CD207+IF(Smile=TRUE(),VLOOKUP(MAX(-5,$H207-O207),Volsmile,2),0)),$CG207,$CH207,($A207-DateToday)+15,1,0)),O207-$H207),0)))</f>
        <v> </v>
      </c>
      <c r="Y207" s="316" t="str">
        <f aca="false">IF($A207="N/A"," ",IF(Pricetype=2,MAX(P207-$H207,0),IF(P207&lt;&gt;0,IF(Pricetype=1,(xSPRDOPT(P207,$E207,$CI207,0,($CD207+IF(Smile=TRUE(),VLOOKUP(MAX(-5,$H207-P207),Volsmile,2),0)),$CG207,$CH207,($A207-DateToday)+15,1,0)),P207-$H207),0)))</f>
        <v> </v>
      </c>
      <c r="Z207" s="317" t="str">
        <f aca="false">IF($A207="N/A"," ",(IF(Pricetype=2,IF((Q207-$H207)&lt;=0,0,(Q207-$H207)),IF(Q207&lt;&gt;0,(Q207-$H207),0))))</f>
        <v> </v>
      </c>
      <c r="AA207" s="318" t="str">
        <f aca="false">IF($A207="N/A"," ",IF(VLOOKUP(MONTH(A207),ManualTable,2)=1,(IF(0&lt;&gt;R207,IF(Pricetype=1,(xSPRDOPT(I207,$E207,$CI207,0,($CD207+IF(Smile=TRUE(),VLOOKUP(MAX(-5,$H207-I207),Volsmile,2),0)),$CG207,$CH207,($A207-DateToday)+15,1,1))*(8*$HD207),8*$HD207),0)),0))</f>
        <v> </v>
      </c>
      <c r="AB207" s="318" t="str">
        <f aca="false">IF($A207="N/A"," ",IF(VLOOKUP(MONTH(A207),ManualTable,3)=1,(IF(S207&lt;&gt;0,IF(Pricetype=1,(xSPRDOPT(J207,$E207,$CI207,0,($CD207+IF(Smile=TRUE(),VLOOKUP(MAX(-5,$H207-J207),Volsmile,2),0)),$CG207,$CH207,($A207-DateToday)+15,1,1))*(8*$HD207),8*$HD207),0)),0))</f>
        <v> </v>
      </c>
      <c r="AC207" s="318" t="str">
        <f aca="false">IF($A207="N/A"," ",IF(VLOOKUP(MONTH(A207),ManualTable,4)=1,(IF(T207&lt;&gt;0,(8*$HD207),0)),0))</f>
        <v> </v>
      </c>
      <c r="AD207" s="318" t="str">
        <f aca="false">IF($A207="N/A"," ",IF(VLOOKUP(MONTH(A207),ManualTable,5)=1,(IF(U207&lt;&gt;0,IF(Pricetype=1,(xSPRDOPT(L207,$E207,$CI207,0,($CD207+IF(Smile=TRUE(),VLOOKUP(MAX(-5,$H207-L207),Volsmile,2),0)),$CG207,$CH207,($A207-DateToday)+15,1,1))*(8*$HE207),8*$HE207),0)),0))</f>
        <v> </v>
      </c>
      <c r="AE207" s="318" t="str">
        <f aca="false">IF($A207="N/A"," ",IF(VLOOKUP(MONTH(A207),ManualTable,6)=1,(IF(V207&lt;&gt;0,IF(Pricetype=1,(xSPRDOPT(M207,$E207,$CI207,0,($CD207+IF(Smile=TRUE(),VLOOKUP(MAX(-5,$H207-M207),Volsmile,2),0)),$CG207,$CH207,($A207-DateToday)+15,1,1))*(8*$HE207),8*$HE207),0)),0))</f>
        <v> </v>
      </c>
      <c r="AF207" s="318" t="str">
        <f aca="false">IF($A207="N/A"," ",IF(VLOOKUP(MONTH(A207),ManualTable,7)=1,(IF(W207&lt;&gt;0,(8*$HE207),0)),0))</f>
        <v> </v>
      </c>
      <c r="AG207" s="318" t="str">
        <f aca="false">IF($A207="N/A"," ",IF(VLOOKUP(MONTH(A207),ManualTable,8)=1,(IF(X207&lt;&gt;0,IF(Pricetype=1,(xSPRDOPT(O207,$E207,$CI207,0,($CD207+IF(Smile=TRUE(),VLOOKUP(MAX(-5,$H207-O207),Volsmile,2),0)),$CG207,$CH207,($A207-DateToday)+15,1,1))*(8*$HF207),8*$HF207),0)),0))</f>
        <v> </v>
      </c>
      <c r="AH207" s="318" t="str">
        <f aca="false">IF($A207="N/A"," ",IF(VLOOKUP(MONTH(A207),ManualTable,9)=1,(IF(Y207&lt;&gt;0,IF(Pricetype=1,(xSPRDOPT(P207,$E207,$CI207,0,($CD207+IF(Smile=TRUE(),VLOOKUP(MAX(-5,$H207-P207),Volsmile,2),0)),$CG207,$CH207,($A207-DateToday)+15,1,1))*(8*$HF207),8*$HF207),0)),0))</f>
        <v> </v>
      </c>
      <c r="AI207" s="318" t="str">
        <f aca="false">IF($A207="N/A"," ",IF(VLOOKUP(MONTH(A207),ManualTable,10)=1,(IF(Z207&lt;&gt;0,(8*($HF207)),0)),0))</f>
        <v> </v>
      </c>
      <c r="AJ207" s="349" t="str">
        <f aca="false">IF($A207="N/A"," ",RANK(R207,$R$196:$Z$207))</f>
        <v> </v>
      </c>
      <c r="AK207" s="350" t="str">
        <f aca="false">IF($A207="N/A"," ",RANK(S207,$R$196:$Z$207))</f>
        <v> </v>
      </c>
      <c r="AL207" s="350" t="str">
        <f aca="false">IF($A207="N/A"," ",RANK(T207,$R$196:$Z$207))</f>
        <v> </v>
      </c>
      <c r="AM207" s="350" t="str">
        <f aca="false">IF($A207="N/A"," ",RANK(U207,$R$196:$Z$207))</f>
        <v> </v>
      </c>
      <c r="AN207" s="350" t="str">
        <f aca="false">IF($A207="N/A"," ",RANK(V207,$R$196:$Z$207))</f>
        <v> </v>
      </c>
      <c r="AO207" s="350" t="str">
        <f aca="false">IF($A207="N/A"," ",RANK(W207,$R$196:$Z$207))</f>
        <v> </v>
      </c>
      <c r="AP207" s="350" t="str">
        <f aca="false">IF($A207="N/A"," ",RANK(X207,$R$196:$Z$207))</f>
        <v> </v>
      </c>
      <c r="AQ207" s="350" t="str">
        <f aca="false">IF($A207="N/A"," ",RANK(Y207,$R$196:$Z$207))</f>
        <v> </v>
      </c>
      <c r="AR207" s="351" t="str">
        <f aca="false">IF($A207="N/A"," ",RANK(Z207,$R$196:$Z$207))</f>
        <v> </v>
      </c>
      <c r="AS207" s="352" t="str">
        <f aca="false">IF($A207="N/A"," ",IF(AJ207&lt;=$AR$2,AA207,0))</f>
        <v> </v>
      </c>
      <c r="AT207" s="353" t="str">
        <f aca="false">IF($A207="N/A"," ",IF(AK207&lt;=$AR$2,AB207,0))</f>
        <v> </v>
      </c>
      <c r="AU207" s="353" t="str">
        <f aca="false">IF($A207="N/A"," ",IF(AL207&lt;=$AR$2,AC207,0))</f>
        <v> </v>
      </c>
      <c r="AV207" s="353" t="str">
        <f aca="false">IF($A207="N/A"," ",IF(AM207&lt;=$AR$2,AD207,0))</f>
        <v> </v>
      </c>
      <c r="AW207" s="353" t="str">
        <f aca="false">IF($A207="N/A"," ",IF(AN207&lt;=$AR$2,AE207,0))</f>
        <v> </v>
      </c>
      <c r="AX207" s="353" t="str">
        <f aca="false">IF($A207="N/A"," ",IF(AO207&lt;=$AR$2,AF207,0))</f>
        <v> </v>
      </c>
      <c r="AY207" s="353" t="str">
        <f aca="false">IF($A207="N/A"," ",IF(AP207&lt;=$AR$2,AG207,0))</f>
        <v> </v>
      </c>
      <c r="AZ207" s="353" t="str">
        <f aca="false">IF($A207="N/A"," ",IF(AQ207&lt;=$AR$2,AH207,0))</f>
        <v> </v>
      </c>
      <c r="BA207" s="353" t="str">
        <f aca="false">IF($A207="N/A"," ",IF(AR207&lt;=$AR$2,AI207,0))</f>
        <v> </v>
      </c>
      <c r="BB207" s="351" t="n">
        <f aca="false">IF(($AZ$2-BB206)&gt;=0,$AZ$2-BB206,0)</f>
        <v>980</v>
      </c>
      <c r="BC207" s="354" t="str">
        <f aca="false">IF($A207="N/A"," ",IF(AND(AJ207=$AR$2+1,AS207=0),MIN($BB$207,AA207),0))</f>
        <v> </v>
      </c>
      <c r="BD207" s="355" t="str">
        <f aca="false">IF($A207="N/A"," ",IF(AND(AK207=$AR$2+1,AT207=0),MIN($BB$207,AB207),0))</f>
        <v> </v>
      </c>
      <c r="BE207" s="346" t="str">
        <f aca="false">IF($A207="N/A"," ",IF(AND(AL207=$AR$2+1,AU207=0),MIN($BB$207,AC207),0))</f>
        <v> </v>
      </c>
      <c r="BF207" s="355" t="str">
        <f aca="false">IF($A207="N/A"," ",IF(AND(AM207=$AR$2+1,AV207=0),MIN($BB$207,AD207),0))</f>
        <v> </v>
      </c>
      <c r="BG207" s="355" t="str">
        <f aca="false">IF($A207="N/A"," ",IF(AND(AN207=$AR$2+1,AW207=0),MIN($BB$207,AE207),0))</f>
        <v> </v>
      </c>
      <c r="BH207" s="346" t="str">
        <f aca="false">IF($A207="N/A"," ",IF(AND(AO207=$AR$2+1,AX207=0),MIN($BB$207,AF207),0))</f>
        <v> </v>
      </c>
      <c r="BI207" s="355" t="str">
        <f aca="false">IF($A207="N/A"," ",IF(AND(AP207=$AR$2+1,AY207=0),MIN($BB$207,AG207),0))</f>
        <v> </v>
      </c>
      <c r="BJ207" s="355" t="str">
        <f aca="false">IF($A207="N/A"," ",IF(AND(AQ207=$AR$2+1,AZ207=0),MIN($BB$207,AH207),0))</f>
        <v> </v>
      </c>
      <c r="BK207" s="355" t="str">
        <f aca="false">IF($A207="N/A"," ",IF(AND(AR207=$AR$2+1,BA207=0),MIN($BB$207,AI207),0))</f>
        <v> </v>
      </c>
      <c r="BL207" s="356" t="n">
        <f aca="false">BB206+BL206</f>
        <v>0</v>
      </c>
      <c r="BM207" s="329" t="str">
        <f aca="false">IF($A207="N/A"," ",(IF(MONTH(A207)&gt;=4,IF(MONTH(A207)&lt;=10,Inputs!$F$13-Inputs!$G$13,Inputs!$F$14-Inputs!$G$14),Inputs!$F$14-Inputs!$G$14))*$CK207*Availability)</f>
        <v> </v>
      </c>
      <c r="BN207" s="330" t="str">
        <f aca="false">IF($A207="N/A"," ",(IF(AS207&gt;0,($BM207*(8*($HD207))*R207),0)+IF(BC207&gt;0,($BM207*((BC207/AA207)*8*$HD207)*R207),0)))</f>
        <v> </v>
      </c>
      <c r="BO207" s="330" t="str">
        <f aca="false">IF($A207="N/A"," ",(IF(AT207&gt;0,($BM207*(8*($HD207))*S207),0)+IF(BD207&gt;0,($BM207*((BD207/AB207)*8*$HD207)*S207),0)))</f>
        <v> </v>
      </c>
      <c r="BP207" s="330" t="str">
        <f aca="false">IF($A207="N/A"," ",(IF(AU207&gt;0,($BM207*(8*($HD207))*T207),0)+IF(BE207&gt;0,($BM207*((BE207))*T207),0)))</f>
        <v> </v>
      </c>
      <c r="BQ207" s="330" t="str">
        <f aca="false">IF($A207="N/A"," ",(IF(AV207&gt;0,($BM207*(8*($HE207))*U207),0)+IF(BF207&gt;0,($BM207*((BF207/AD207)*8*$HE207)*U207),0)))</f>
        <v> </v>
      </c>
      <c r="BR207" s="330" t="str">
        <f aca="false">IF($A207="N/A"," ",(IF(AW207&gt;0,($BM207*(8*($HE207))*V207),0)+IF(BG207&gt;0,($BM207*((BG207/AE207)*8*$HE207)*V207),0)))</f>
        <v> </v>
      </c>
      <c r="BS207" s="330" t="str">
        <f aca="false">IF($A207="N/A"," ",(IF(AX207&gt;0,($BM207*(8*($HE207))*W207),0)+IF(BH207&gt;0,($BM207*((BH207))*W207),0)))</f>
        <v> </v>
      </c>
      <c r="BT207" s="330" t="str">
        <f aca="false">IF($A207="N/A"," ",(IF(AY207&gt;0,($BM207*(8*($HF207))*X207),0)+IF(BI207&gt;0,($BM207*((BI207/AG207)*8*$HF207)*X207),0)))</f>
        <v> </v>
      </c>
      <c r="BU207" s="330" t="str">
        <f aca="false">IF($A207="N/A"," ",(IF(AZ207&gt;0,($BM207*(8*($HF207))*Y207),0)+IF(BJ207&gt;0,($BM207*((BJ207/AH207)*8*$HF207)*Y207),0)))</f>
        <v> </v>
      </c>
      <c r="BV207" s="330" t="str">
        <f aca="false">IF($A207="N/A"," ",(IF(BA207&gt;0,($BM207*(8*($HF207))*Z207),0)+IF(BK207&gt;0,($BM207*((BK207))*Z207),0)))</f>
        <v> </v>
      </c>
      <c r="BW207" s="330" t="str">
        <f aca="false">IF($A207="N/A"," ",SUM(BN207:BV207))</f>
        <v> </v>
      </c>
      <c r="BX207" s="331" t="str">
        <f aca="false">IF($A207="N/A"," ",(H207*(SUM(AS207:BA207)+SUM(BC207:BK207))*BM207))</f>
        <v> </v>
      </c>
      <c r="BY207" s="332" t="str">
        <f aca="false">IF($A207="N/A"," ",((C207*D207)*(SUM($AS207:$BA207)+SUM($BC207:$BK207))*$BM207))</f>
        <v> </v>
      </c>
      <c r="BZ207" s="332" t="str">
        <f aca="false">IF($A207="N/A"," ",(F207*(SUM($AS207:$BA207)+SUM($BC207:$BK207))*$BM207))</f>
        <v> </v>
      </c>
      <c r="CA207" s="333" t="str">
        <f aca="false">IF($A207="N/A"," ",(G207*(SUM($AS207:$BA207)+SUM($BC207:$BK207))*$BM207))</f>
        <v> </v>
      </c>
      <c r="CB207" s="334" t="str">
        <f aca="false">IF(A207="N/A"," ",(VLOOKUP(A207,PowerVolTable,(IF(BMO=2,7,IF(BMO=1,6,8))),FALSE())))</f>
        <v> </v>
      </c>
      <c r="CC207" s="334" t="str">
        <f aca="false">IF(A207="N/A"," ",(VLOOKUP(A207,IntraPowerVol,(IF(BMO=2,3,IF(BMO=1,2,4))),FALSE())*VLOOKUP(MONTH($A207),Volscale,2)))</f>
        <v> </v>
      </c>
      <c r="CD207" s="335" t="str">
        <f aca="false">IF($A207="N/A"," ",(IF(DateToday&gt;$A207,$CC207,((($CB207^2)*((($A207-1)-DateToday)/((EOMONTH($A207,0)+1)-DateToday-15)))+((($CC207)^2)*((15)/((EOMONTH($A207,0)+1)-DateToday-15))))^0.5)))</f>
        <v> </v>
      </c>
      <c r="CE207" s="334" t="str">
        <f aca="false">IF($A207="N/A"," ",(VLOOKUP($A207,GasVolTable,(IF(BMO=2,6,IF(BMO=1,7,5))),FALSE())))</f>
        <v> </v>
      </c>
      <c r="CF207" s="334" t="str">
        <f aca="false">IF($A207="N/A"," ",(VLOOKUP($A207,OmicronVol,(IF(BMO=2,3,IF(BMO=1,4,2))),FALSE())))</f>
        <v> </v>
      </c>
      <c r="CG207" s="335" t="str">
        <f aca="false">IF($A207="N/A"," ",(IF(DateToday&gt;$A207,$CF207,((($CE207^2)*((($A207-1)-DateToday)/((EOMONTH($A207,0)+1)-DateToday-15)))+((($CF207)^2)*((15)/((EOMONTH($A207,0)+1)-DateToday-15))))^0.5)))</f>
        <v> </v>
      </c>
      <c r="CH207" s="334" t="str">
        <f aca="false">IF($A207="N/A"," ",VLOOKUP($A207,CorrelationTable,2,FALSE()))</f>
        <v> </v>
      </c>
      <c r="CI207" s="336" t="str">
        <f aca="false">IF($A207="N/A"," ",F207+G207+(D207*('Pricing Inputs'!T240)))</f>
        <v> </v>
      </c>
      <c r="CJ207" s="334" t="str">
        <f aca="false">IF($A207="N/A"," ",IF(PV=1,0,'Pricing Inputs'!U240))</f>
        <v> </v>
      </c>
      <c r="CK207" s="337" t="str">
        <f aca="false">IF($A207="N/A"," ",(1+CJ207/2)^(-2*((EOMONTH(A207,0)+20)-DateToday)/365.25))</f>
        <v> </v>
      </c>
      <c r="CL207" s="338" t="str">
        <f aca="false">IF(A207="N/A"," ",IF(CC=2,(VLOOKUP(MONTH($A207),Hrtable,3))/1000,0))</f>
        <v> </v>
      </c>
      <c r="CM207" s="339" t="str">
        <f aca="false">IF(A207="N/A"," ",IF(CC=2,(CL207*C207)+F207,0))</f>
        <v> </v>
      </c>
      <c r="CN207" s="340" t="str">
        <f aca="false">IF($A207="N/A"," ",IF(CC=2,(VLOOKUP(A207,ScaledPrice,(IF(AND(Dayrun&gt;=1,Dayrun&lt;=6),2,4)))-((IF(R207&lt;&gt;0,$D207,$CL207)*$C207)+$F207+$G207)),0))</f>
        <v> </v>
      </c>
      <c r="CO207" s="340" t="str">
        <f aca="false">IF($A207="N/A"," ",IF(CC=2,(IF(AND(Dayrun&gt;=1,Dayrun&lt;=6),I207,(VLOOKUP(A207,ScaledPrice,2))*(2-(VLOOKUP(A207,ScaledPrice,3))))-((IF(S207&lt;&gt;0,$D207,$CL207)*$C207)+$F207+$G207)),0))</f>
        <v> </v>
      </c>
      <c r="CP207" s="340" t="str">
        <f aca="false">IF(A207="N/A"," ",IF(CC=2,(VLOOKUP(A207,ScaledPrice,9)-((IF(T207&lt;&gt;0,$D207,$CL207)*$C207)+$F207+$G207)),0))</f>
        <v> </v>
      </c>
      <c r="CQ207" s="340" t="str">
        <f aca="false">IF(A207="N/A"," ",IF(CC=2,(IF(OR(Dayrun=2,Dayrun=3,Dayrun=5,Dayrun=6,Dayrun=8,Dayrun=9),VLOOKUP(A207,ScaledPrice,IF(AND(Dayrun&gt;=2,Dayrun&lt;=6),5,6)),0)-((IF(U207&lt;&gt;0,$D207,$CL207)*$C207)+$F207+$G207)),0))</f>
        <v> </v>
      </c>
      <c r="CR207" s="340" t="str">
        <f aca="false">IF(A207="N/A"," ",IF(CC=2,(IF(OR(Dayrun=2,Dayrun=3,Dayrun=5,Dayrun=6,Dayrun=8,Dayrun=9),IF(AND(Dayrun&gt;=2,Dayrun&lt;=6),L207,(VLOOKUP(A207,ScaledPrice,5))*(2-(VLOOKUP(A207,ScaledPrice,3)))),0)-((IF(V207&lt;&gt;0,$D207,$CL207)*$C207)+$F207+$G207)),0))</f>
        <v> </v>
      </c>
      <c r="CS207" s="340" t="str">
        <f aca="false">IF(A207="N/A"," ",IF(CC=2,(VLOOKUP(A207,ScaledPrice,9)-((IF(W207&lt;&gt;0,$D207,$CL207)*$C207)+$F207+$G207)),0))</f>
        <v> </v>
      </c>
      <c r="CT207" s="340" t="str">
        <f aca="false">IF(A207="N/A"," ",IF(CC=2,(IF(OR(Dayrun=3,Dayrun=6,Dayrun=9),(VLOOKUP(A207,ScaledPrice,IF(AND(Dayrun&gt;=3,Dayrun&lt;=6),7,8))),0)-((IF(X207&lt;&gt;0,$D207,$CL207)*$C207)+$F207+$G207)),0))</f>
        <v> </v>
      </c>
      <c r="CU207" s="340" t="str">
        <f aca="false">IF(A207="N/A"," ",IF(CC=2,(IF(OR(Dayrun=3,Dayrun=6,Dayrun=9),IF(AND(Dayrun&gt;=3,Dayrun&lt;=6),O207,(VLOOKUP(A207,ScaledPrice,7))*(2-(VLOOKUP(A207,ScaledPrice,3)))),0)-((IF(Y207&lt;&gt;0,$D207,$CL207)*$C207)+$F207+$G207)),0))</f>
        <v> </v>
      </c>
      <c r="CV207" s="340" t="str">
        <f aca="false">IF(A207="N/A"," ",IF(CC=2,(VLOOKUP(A207,ScaledPrice,9)-((IF(Z207&lt;&gt;0,$D207,$CL207)*$C207)+$F207+$G207)),0))</f>
        <v> </v>
      </c>
      <c r="CW207" s="318" t="str">
        <f aca="false">IF($A207="N/A"," ",IF(0&lt;&gt;CN207,IF(CC=2,8*$HD207,0),0))</f>
        <v> </v>
      </c>
      <c r="CX207" s="318" t="str">
        <f aca="false">IF($A207="N/A"," ",IF(0&lt;&gt;CO207,IF(CC=2,8*$HD207,0),0))</f>
        <v> </v>
      </c>
      <c r="CY207" s="318" t="str">
        <f aca="false">IF($A207="N/A"," ",IF(0&lt;&gt;CP207,IF(CC=2,8*$HD207,0),0))</f>
        <v> </v>
      </c>
      <c r="CZ207" s="318" t="str">
        <f aca="false">IF($A207="N/A"," ",IF(0&lt;&gt;CQ207,IF(CC=2,8*$HE207,0),0))</f>
        <v> </v>
      </c>
      <c r="DA207" s="318" t="str">
        <f aca="false">IF($A207="N/A"," ",IF(0&lt;&gt;CR207,IF(CC=2,8*$HE207,0),0))</f>
        <v> </v>
      </c>
      <c r="DB207" s="318" t="str">
        <f aca="false">IF($A207="N/A"," ",IF(0&lt;&gt;CS207,IF(CC=2,8*$HE207,0),0))</f>
        <v> </v>
      </c>
      <c r="DC207" s="318" t="str">
        <f aca="false">IF($A207="N/A"," ",IF(0&lt;&gt;CT207,IF(CC=2,8*$HF207,0),0))</f>
        <v> </v>
      </c>
      <c r="DD207" s="318" t="str">
        <f aca="false">IF($A207="N/A"," ",IF(0&lt;&gt;CU207,IF(CC=2,8*$HF207,0),0))</f>
        <v> </v>
      </c>
      <c r="DE207" s="318" t="str">
        <f aca="false">IF($A207="N/A"," ",IF(0&lt;&gt;CV207,IF(CC=2,8*$HF207,0),0))</f>
        <v> </v>
      </c>
      <c r="DF207" s="341" t="str">
        <f aca="false">IF($A207="N/A"," ",IF(CC=2,(IF(MONTH(A207)&gt;=4,IF(MONTH(A207)&lt;=10,Inputs!$G$13,Inputs!$G$14),Inputs!$G$14))*$CK207,0))</f>
        <v> </v>
      </c>
      <c r="DG207" s="342" t="str">
        <f aca="false">IF($A207="N/A"," ",IF(CC=2,$DF207*CW207*CN207,0))</f>
        <v> </v>
      </c>
      <c r="DH207" s="342" t="str">
        <f aca="false">IF($A207="N/A"," ",IF(CC=2,$DF207*CX207*CO207,0))</f>
        <v> </v>
      </c>
      <c r="DI207" s="342" t="str">
        <f aca="false">IF($A207="N/A"," ",IF(CC=2,$DF207*CY207*CP207,0))</f>
        <v> </v>
      </c>
      <c r="DJ207" s="342" t="str">
        <f aca="false">IF($A207="N/A"," ",IF(CC=2,$DF207*CZ207*CQ207,0))</f>
        <v> </v>
      </c>
      <c r="DK207" s="342" t="str">
        <f aca="false">IF($A207="N/A"," ",IF(CC=2,$DF207*DA207*CR207,0))</f>
        <v> </v>
      </c>
      <c r="DL207" s="342" t="str">
        <f aca="false">IF($A207="N/A"," ",IF(CC=2,$DF207*DB207*CS207,0))</f>
        <v> </v>
      </c>
      <c r="DM207" s="342" t="str">
        <f aca="false">IF($A207="N/A"," ",IF(CC=2,$DF207*DC207*CT207,0))</f>
        <v> </v>
      </c>
      <c r="DN207" s="342" t="str">
        <f aca="false">IF($A207="N/A"," ",IF(CC=2,$DF207*DD207*CU207,0))</f>
        <v> </v>
      </c>
      <c r="DO207" s="342" t="str">
        <f aca="false">IF($A207="N/A"," ",IF(CC=2,$DF207*DE207*CV207,0))</f>
        <v> </v>
      </c>
      <c r="DP207" s="343" t="str">
        <f aca="false">IF($A207="N/A"," ",IF(CC=2,SUM(DG207:DO207),0))</f>
        <v> </v>
      </c>
      <c r="DQ207" s="0" t="str">
        <f aca="false">IF(A207="N/A"," ",Perstart)</f>
        <v> </v>
      </c>
      <c r="HD207" s="0" t="str">
        <f aca="false">IF($A207="N/A"," ",VLOOKUP($A207,NumberofDaysTable,2))</f>
        <v> </v>
      </c>
      <c r="HE207" s="0" t="str">
        <f aca="false">IF($A207="N/A"," ",VLOOKUP($A207,NumberofDaysTable,3))</f>
        <v> </v>
      </c>
      <c r="HF207" s="0" t="str">
        <f aca="false">IF($A207="N/A"," ",VLOOKUP($A207,NumberofDaysTable,4))</f>
        <v> </v>
      </c>
    </row>
    <row r="208" customFormat="false" ht="12.75" hidden="false" customHeight="false" outlineLevel="0" collapsed="false">
      <c r="A208" s="308" t="str">
        <f aca="false">IF(A207="N/A","N/A",IF(EDATE(A207,1)&gt;Inputs!$K$3,"N/A",EDATE(A207,1)))</f>
        <v>N/A</v>
      </c>
      <c r="B208" s="309" t="str">
        <f aca="false">IF(A208="N/A"," ",YEAR(A208))</f>
        <v> </v>
      </c>
      <c r="C208" s="310" t="str">
        <f aca="false">IF(A208="N/A"," ",VLOOKUP(A208,ScaledPrice,10))</f>
        <v> </v>
      </c>
      <c r="D208" s="311" t="str">
        <f aca="false">IF(A208="N/A"," ",(VLOOKUP(MONTH($A208),Hrtable,2))/1000)</f>
        <v> </v>
      </c>
      <c r="E208" s="312" t="str">
        <f aca="false">IF($A208="N/A"," ",(C208-'Pricing Inputs'!T241)*D208)</f>
        <v> </v>
      </c>
      <c r="F208" s="313" t="str">
        <f aca="false">IF(A208="N/A"," ",$F196*(1+VOMesc))</f>
        <v> </v>
      </c>
      <c r="G208" s="313" t="str">
        <f aca="false">IF(A208="N/A"," ",Perstart/IF(AND(Dayrun&gt;=4,Dayrun&lt;=6),16,IF(AND(Dayrun&gt;=7,Dayrun&lt;=9),8,24))/(BM208/CK208))</f>
        <v> </v>
      </c>
      <c r="H208" s="314" t="str">
        <f aca="false">IF(A208="N/A"," ",(C208*D208)+F208+G208)</f>
        <v> </v>
      </c>
      <c r="I208" s="315" t="str">
        <f aca="false">VLOOKUP(A208,ScaledPrice,(IF(AND(Dayrun&gt;=1,Dayrun&lt;=6),2,4)))</f>
        <v> </v>
      </c>
      <c r="J208" s="315" t="str">
        <f aca="false">IF(A208="N/A"," ",IF(AND(Dayrun&gt;=1,Dayrun&lt;=6),I208,(VLOOKUP(A208,ScaledPrice,2))*(2-(VLOOKUP(A208,ScaledPrice,3)))))</f>
        <v> </v>
      </c>
      <c r="K208" s="315" t="str">
        <f aca="false">IF(A208="N/A"," ",IF(AND(Dayrun&gt;=1,Dayrun&lt;=3),VLOOKUP(A208,ScaledPrice,9),0))</f>
        <v> </v>
      </c>
      <c r="L208" s="315" t="str">
        <f aca="false">IF(A208="N/A"," ",IF(OR(Dayrun=2,Dayrun=3,Dayrun=5,Dayrun=6,Dayrun=8,Dayrun=9),VLOOKUP(A208,ScaledPrice,IF(AND(Dayrun&gt;=2,Dayrun&lt;=6),5,6)),0))</f>
        <v> </v>
      </c>
      <c r="M208" s="315" t="str">
        <f aca="false">IF(A208="N/A"," ",IF(OR(Dayrun=2,Dayrun=3,Dayrun=5,Dayrun=6,Dayrun=8,Dayrun=9),IF(AND(Dayrun&gt;=2,Dayrun&lt;=6),L208,(VLOOKUP(A208,ScaledPrice,5))*(2-(VLOOKUP(A208,ScaledPrice,3)))),0))</f>
        <v> </v>
      </c>
      <c r="N208" s="315" t="str">
        <f aca="false">IF(A208="N/A"," ",IF(AND(Dayrun&gt;1,Dayrun&lt;=3),VLOOKUP(A208,ScaledPrice,9),0))</f>
        <v> </v>
      </c>
      <c r="O208" s="315" t="str">
        <f aca="false">IF(A208="N/A"," ",IF(OR(Dayrun=3,Dayrun=6,Dayrun=9),(VLOOKUP(A208,ScaledPrice,IF(AND(Dayrun&gt;=3,Dayrun&lt;=6),7,8))),0))</f>
        <v> </v>
      </c>
      <c r="P208" s="315" t="str">
        <f aca="false">IF(A208="N/A"," ",IF(OR(Dayrun=3,Dayrun=6,Dayrun=9),IF(AND(Dayrun&gt;=3,Dayrun&lt;=6),O208,(VLOOKUP(A208,ScaledPrice,7))*(2-(VLOOKUP(A208,ScaledPrice,3)))),0))</f>
        <v> </v>
      </c>
      <c r="Q208" s="315" t="str">
        <f aca="false">IF(A208="N/A"," ",IF(AND(Dayrun&gt;2,Dayrun&lt;=3),VLOOKUP(A208,ScaledPrice,9),0))</f>
        <v> </v>
      </c>
      <c r="R208" s="316" t="str">
        <f aca="false">IF($A208="N/A"," ",IF(Pricetype=2,MAX(I208-$H208,0),IF(Pricetype=1,(xSPRDOPT(I208,$E208,$CI208,0,($CD208+IF(Smile=TRUE(),VLOOKUP(MAX(-5,$H208-I208),Volsmile,2),0)),$CG208,$CH208,($A208-DateToday)+15,1,0)),I208-$H208)))</f>
        <v> </v>
      </c>
      <c r="S208" s="316" t="str">
        <f aca="false">IF($A208="N/A"," ",IF(Pricetype=2,MAX(J208-$H208,0),IF(Pricetype=1,(xSPRDOPT(J208,$E208,$CI208,0,($CD208+IF(Smile=TRUE(),VLOOKUP(MAX(-5,$H208-J208),Volsmile,2),0)),$CG208,$CH208,($A208-DateToday)+15,1,0)),J208-$H208)))</f>
        <v> </v>
      </c>
      <c r="T208" s="317" t="str">
        <f aca="false">IF($A208="N/A"," ",(IF(Pricetype=2,IF((K208-$H208)&lt;=0,0,(K208-$H208)),IF(K208&lt;&gt;0,(K208-$H208),0))))</f>
        <v> </v>
      </c>
      <c r="U208" s="316" t="str">
        <f aca="false">IF($A208="N/A"," ",IF(Pricetype=2,MAX(L208-$H208,0),IF(L208&lt;&gt;0,IF(Pricetype=1,(xSPRDOPT(L208,$E208,$CI208,0,($CD208+IF(Smile=TRUE(),VLOOKUP(MAX(-5,$H208-L208),Volsmile,2),0)),$CG208,$CH208,($A208-DateToday)+15,1,0)),L208-$H208),0)))</f>
        <v> </v>
      </c>
      <c r="V208" s="316" t="str">
        <f aca="false">IF($A208="N/A"," ",IF(Pricetype=2,MAX(M208-$H208,0),IF(M208&lt;&gt;0,IF(Pricetype=1,(xSPRDOPT(M208,$E208,$CI208,0,($CD208+IF(Smile=TRUE(),VLOOKUP(MAX(-5,$H208-M208),Volsmile,2),0)),$CG208,$CH208,($A208-DateToday)+15,1,0)),M208-$H208),0)))</f>
        <v> </v>
      </c>
      <c r="W208" s="317" t="str">
        <f aca="false">IF($A208="N/A"," ",(IF(Pricetype=2,IF((N208-$H208)&lt;=0,0,(N208-$H208)),IF(N208&lt;&gt;0,(N208-$H208),0))))</f>
        <v> </v>
      </c>
      <c r="X208" s="316" t="str">
        <f aca="false">IF($A208="N/A"," ",IF(Pricetype=2,MAX(O208-$H208,0),IF(O208&lt;&gt;0,IF(Pricetype=1,(xSPRDOPT(O208,$E208,$CI208,0,($CD208+IF(Smile=TRUE(),VLOOKUP(MAX(-5,$H208-O208),Volsmile,2),0)),$CG208,$CH208,($A208-DateToday)+15,1,0)),O208-$H208),0)))</f>
        <v> </v>
      </c>
      <c r="Y208" s="316" t="str">
        <f aca="false">IF($A208="N/A"," ",IF(Pricetype=2,MAX(P208-$H208,0),IF(P208&lt;&gt;0,IF(Pricetype=1,(xSPRDOPT(P208,$E208,$CI208,0,($CD208+IF(Smile=TRUE(),VLOOKUP(MAX(-5,$H208-P208),Volsmile,2),0)),$CG208,$CH208,($A208-DateToday)+15,1,0)),P208-$H208),0)))</f>
        <v> </v>
      </c>
      <c r="Z208" s="317" t="str">
        <f aca="false">IF($A208="N/A"," ",(IF(Pricetype=2,IF((Q208-$H208)&lt;=0,0,(Q208-$H208)),IF(Q208&lt;&gt;0,(Q208-$H208),0))))</f>
        <v> </v>
      </c>
      <c r="AA208" s="318" t="str">
        <f aca="false">IF($A208="N/A"," ",IF(VLOOKUP(MONTH(A208),ManualTable,2)=1,(IF(0&lt;&gt;R208,IF(Pricetype=1,(xSPRDOPT(I208,$E208,$CI208,0,($CD208+IF(Smile=TRUE(),VLOOKUP(MAX(-5,$H208-I208),Volsmile,2),0)),$CG208,$CH208,($A208-DateToday)+15,1,1))*(8*$HD208),8*$HD208),0)),0))</f>
        <v> </v>
      </c>
      <c r="AB208" s="318" t="str">
        <f aca="false">IF($A208="N/A"," ",IF(VLOOKUP(MONTH(A208),ManualTable,3)=1,(IF(S208&lt;&gt;0,IF(Pricetype=1,(xSPRDOPT(J208,$E208,$CI208,0,($CD208+IF(Smile=TRUE(),VLOOKUP(MAX(-5,$H208-J208),Volsmile,2),0)),$CG208,$CH208,($A208-DateToday)+15,1,1))*(8*$HD208),8*$HD208),0)),0))</f>
        <v> </v>
      </c>
      <c r="AC208" s="318" t="str">
        <f aca="false">IF($A208="N/A"," ",IF(VLOOKUP(MONTH(A208),ManualTable,4)=1,(IF(T208&lt;&gt;0,(8*$HD208),0)),0))</f>
        <v> </v>
      </c>
      <c r="AD208" s="318" t="str">
        <f aca="false">IF($A208="N/A"," ",IF(VLOOKUP(MONTH(A208),ManualTable,5)=1,(IF(U208&lt;&gt;0,IF(Pricetype=1,(xSPRDOPT(L208,$E208,$CI208,0,($CD208+IF(Smile=TRUE(),VLOOKUP(MAX(-5,$H208-L208),Volsmile,2),0)),$CG208,$CH208,($A208-DateToday)+15,1,1))*(8*$HE208),8*$HE208),0)),0))</f>
        <v> </v>
      </c>
      <c r="AE208" s="318" t="str">
        <f aca="false">IF($A208="N/A"," ",IF(VLOOKUP(MONTH(A208),ManualTable,6)=1,(IF(V208&lt;&gt;0,IF(Pricetype=1,(xSPRDOPT(M208,$E208,$CI208,0,($CD208+IF(Smile=TRUE(),VLOOKUP(MAX(-5,$H208-M208),Volsmile,2),0)),$CG208,$CH208,($A208-DateToday)+15,1,1))*(8*$HE208),8*$HE208),0)),0))</f>
        <v> </v>
      </c>
      <c r="AF208" s="318" t="str">
        <f aca="false">IF($A208="N/A"," ",IF(VLOOKUP(MONTH(A208),ManualTable,7)=1,(IF(W208&lt;&gt;0,(8*$HE208),0)),0))</f>
        <v> </v>
      </c>
      <c r="AG208" s="318" t="str">
        <f aca="false">IF($A208="N/A"," ",IF(VLOOKUP(MONTH(A208),ManualTable,8)=1,(IF(X208&lt;&gt;0,IF(Pricetype=1,(xSPRDOPT(O208,$E208,$CI208,0,($CD208+IF(Smile=TRUE(),VLOOKUP(MAX(-5,$H208-O208),Volsmile,2),0)),$CG208,$CH208,($A208-DateToday)+15,1,1))*(8*$HF208),8*$HF208),0)),0))</f>
        <v> </v>
      </c>
      <c r="AH208" s="318" t="str">
        <f aca="false">IF($A208="N/A"," ",IF(VLOOKUP(MONTH(A208),ManualTable,9)=1,(IF(Y208&lt;&gt;0,IF(Pricetype=1,(xSPRDOPT(P208,$E208,$CI208,0,($CD208+IF(Smile=TRUE(),VLOOKUP(MAX(-5,$H208-P208),Volsmile,2),0)),$CG208,$CH208,($A208-DateToday)+15,1,1))*(8*$HF208),8*$HF208),0)),0))</f>
        <v> </v>
      </c>
      <c r="AI208" s="318" t="str">
        <f aca="false">IF($A208="N/A"," ",IF(VLOOKUP(MONTH(A208),ManualTable,10)=1,(IF(Z208&lt;&gt;0,(8*($HF208)),0)),0))</f>
        <v> </v>
      </c>
      <c r="AJ208" s="319" t="str">
        <f aca="false">IF($A208="N/A"," ",RANK(R208,$R$208:$Z$219))</f>
        <v> </v>
      </c>
      <c r="AK208" s="320" t="str">
        <f aca="false">IF($A208="N/A"," ",RANK(S208,$R$208:$Z$219))</f>
        <v> </v>
      </c>
      <c r="AL208" s="320" t="str">
        <f aca="false">IF($A208="N/A"," ",RANK(T208,$R$208:$Z$219))</f>
        <v> </v>
      </c>
      <c r="AM208" s="320" t="str">
        <f aca="false">IF($A208="N/A"," ",RANK(U208,$R$208:$Z$219))</f>
        <v> </v>
      </c>
      <c r="AN208" s="320" t="str">
        <f aca="false">IF($A208="N/A"," ",RANK(V208,$R$208:$Z$219))</f>
        <v> </v>
      </c>
      <c r="AO208" s="320" t="str">
        <f aca="false">IF($A208="N/A"," ",RANK(W208,$R$208:$Z$219))</f>
        <v> </v>
      </c>
      <c r="AP208" s="320" t="str">
        <f aca="false">IF($A208="N/A"," ",RANK(X208,$R$208:$Z$219))</f>
        <v> </v>
      </c>
      <c r="AQ208" s="320" t="str">
        <f aca="false">IF($A208="N/A"," ",RANK(Y208,$R$208:$Z$219))</f>
        <v> </v>
      </c>
      <c r="AR208" s="322" t="str">
        <f aca="false">IF($A208="N/A"," ",RANK(Z208,$R$208:$Z$219))</f>
        <v> </v>
      </c>
      <c r="AS208" s="357" t="str">
        <f aca="false">IF($A208="N/A"," ",IF(AJ208&lt;=$AR$2,AA208,0))</f>
        <v> </v>
      </c>
      <c r="AT208" s="324" t="str">
        <f aca="false">IF($A208="N/A"," ",IF(AK208&lt;=$AR$2,AB208,0))</f>
        <v> </v>
      </c>
      <c r="AU208" s="325" t="str">
        <f aca="false">IF($A208="N/A"," ",IF(AL208&lt;=$AR$2,AC208,0))</f>
        <v> </v>
      </c>
      <c r="AV208" s="325" t="str">
        <f aca="false">IF($A208="N/A"," ",IF(AM208&lt;=$AR$2,AD208,0))</f>
        <v> </v>
      </c>
      <c r="AW208" s="325" t="str">
        <f aca="false">IF($A208="N/A"," ",IF(AN208&lt;=$AR$2,AE208,0))</f>
        <v> </v>
      </c>
      <c r="AX208" s="325" t="str">
        <f aca="false">IF($A208="N/A"," ",IF(AO208&lt;=$AR$2,AF208,0))</f>
        <v> </v>
      </c>
      <c r="AY208" s="324" t="str">
        <f aca="false">IF($A208="N/A"," ",IF(AP208&lt;=$AR$2,AG208,0))</f>
        <v> </v>
      </c>
      <c r="AZ208" s="324" t="str">
        <f aca="false">IF($A208="N/A"," ",IF(AQ208&lt;=$AR$2,AH208,0))</f>
        <v> </v>
      </c>
      <c r="BA208" s="324" t="str">
        <f aca="false">IF($A208="N/A"," ",IF(AR208&lt;=$AR$2,AI208,0))</f>
        <v> </v>
      </c>
      <c r="BB208" s="322"/>
      <c r="BC208" s="358" t="str">
        <f aca="false">IF($A208="N/A"," ",IF(AND(AJ208=$AR$2+1,AS208=0),MIN($BB$219,AA208),0))</f>
        <v> </v>
      </c>
      <c r="BD208" s="327" t="str">
        <f aca="false">IF($A208="N/A"," ",IF(AND(AK208=$AR$2+1,AT208=0),MIN($BB$219,AB208),0))</f>
        <v> </v>
      </c>
      <c r="BE208" s="327" t="str">
        <f aca="false">IF($A208="N/A"," ",IF(AND(AL208=$AR$2+1,AU208=0),MIN($BB$219,AC208),0))</f>
        <v> </v>
      </c>
      <c r="BF208" s="327" t="str">
        <f aca="false">IF($A208="N/A"," ",IF(AND(AM208=$AR$2+1,AV208=0),MIN($BB$219,AD208),0))</f>
        <v> </v>
      </c>
      <c r="BG208" s="327" t="str">
        <f aca="false">IF($A208="N/A"," ",IF(AND(AN208=$AR$2+1,AW208=0),MIN($BB$219,AE208),0))</f>
        <v> </v>
      </c>
      <c r="BH208" s="327" t="str">
        <f aca="false">IF($A208="N/A"," ",IF(AND(AO208=$AR$2+1,AX208=0),MIN($BB$219,AF208),0))</f>
        <v> </v>
      </c>
      <c r="BI208" s="327" t="str">
        <f aca="false">IF($A208="N/A"," ",IF(AND(AP208=$AR$2+1,AY208=0),MIN($BB$219,AG208),0))</f>
        <v> </v>
      </c>
      <c r="BJ208" s="327" t="str">
        <f aca="false">IF($A208="N/A"," ",IF(AND(AQ208=$AR$2+1,AZ208=0),MIN($BB$219,AH208),0))</f>
        <v> </v>
      </c>
      <c r="BK208" s="327" t="str">
        <f aca="false">IF($A208="N/A"," ",IF(AND(AR208=$AR$2+1,BA208=0),MIN($BB$219,AI208),0))</f>
        <v> </v>
      </c>
      <c r="BL208" s="322"/>
      <c r="BM208" s="329" t="str">
        <f aca="false">IF($A208="N/A"," ",(IF(MONTH(A208)&gt;=4,IF(MONTH(A208)&lt;=10,Inputs!$F$13-Inputs!$G$13,Inputs!$F$14-Inputs!$G$14),Inputs!$F$14-Inputs!$G$14))*$CK208*Availability)</f>
        <v> </v>
      </c>
      <c r="BN208" s="330" t="str">
        <f aca="false">IF($A208="N/A"," ",(IF(AS208&gt;0,($BM208*(8*($HD208))*R208),0)+IF(BC208&gt;0,($BM208*((BC208/AA208)*8*$HD208)*R208),0)))</f>
        <v> </v>
      </c>
      <c r="BO208" s="330" t="str">
        <f aca="false">IF($A208="N/A"," ",(IF(AT208&gt;0,($BM208*(8*($HD208))*S208),0)+IF(BD208&gt;0,($BM208*((BD208/AB208)*8*$HD208)*S208),0)))</f>
        <v> </v>
      </c>
      <c r="BP208" s="330" t="str">
        <f aca="false">IF($A208="N/A"," ",(IF(AU208&gt;0,($BM208*(8*($HD208))*T208),0)+IF(BE208&gt;0,($BM208*((BE208))*T208),0)))</f>
        <v> </v>
      </c>
      <c r="BQ208" s="330" t="str">
        <f aca="false">IF($A208="N/A"," ",(IF(AV208&gt;0,($BM208*(8*($HE208))*U208),0)+IF(BF208&gt;0,($BM208*((BF208/AD208)*8*$HE208)*U208),0)))</f>
        <v> </v>
      </c>
      <c r="BR208" s="330" t="str">
        <f aca="false">IF($A208="N/A"," ",(IF(AW208&gt;0,($BM208*(8*($HE208))*V208),0)+IF(BG208&gt;0,($BM208*((BG208/AE208)*8*$HE208)*V208),0)))</f>
        <v> </v>
      </c>
      <c r="BS208" s="330" t="str">
        <f aca="false">IF($A208="N/A"," ",(IF(AX208&gt;0,($BM208*(8*($HE208))*W208),0)+IF(BH208&gt;0,($BM208*((BH208))*W208),0)))</f>
        <v> </v>
      </c>
      <c r="BT208" s="330" t="str">
        <f aca="false">IF($A208="N/A"," ",(IF(AY208&gt;0,($BM208*(8*($HF208))*X208),0)+IF(BI208&gt;0,($BM208*((BI208/AG208)*8*$HF208)*X208),0)))</f>
        <v> </v>
      </c>
      <c r="BU208" s="330" t="str">
        <f aca="false">IF($A208="N/A"," ",(IF(AZ208&gt;0,($BM208*(8*($HF208))*Y208),0)+IF(BJ208&gt;0,($BM208*((BJ208/AH208)*8*$HF208)*Y208),0)))</f>
        <v> </v>
      </c>
      <c r="BV208" s="330" t="str">
        <f aca="false">IF($A208="N/A"," ",(IF(BA208&gt;0,($BM208*(8*($HF208))*Z208),0)+IF(BK208&gt;0,($BM208*((BK208))*Z208),0)))</f>
        <v> </v>
      </c>
      <c r="BW208" s="330" t="str">
        <f aca="false">IF($A208="N/A"," ",SUM(BN208:BV208))</f>
        <v> </v>
      </c>
      <c r="BX208" s="331" t="str">
        <f aca="false">IF($A208="N/A"," ",(H208*(SUM(AS208:BA208)+SUM(BC208:BK208))*BM208))</f>
        <v> </v>
      </c>
      <c r="BY208" s="332" t="str">
        <f aca="false">IF($A208="N/A"," ",((C208*D208)*(SUM($AS208:$BA208)+SUM($BC208:$BK208))*$BM208))</f>
        <v> </v>
      </c>
      <c r="BZ208" s="332" t="str">
        <f aca="false">IF($A208="N/A"," ",(F208*(SUM($AS208:$BA208)+SUM($BC208:$BK208))*$BM208))</f>
        <v> </v>
      </c>
      <c r="CA208" s="333" t="str">
        <f aca="false">IF($A208="N/A"," ",(G208*(SUM($AS208:$BA208)+SUM($BC208:$BK208))*$BM208))</f>
        <v> </v>
      </c>
      <c r="CB208" s="334" t="str">
        <f aca="false">IF(A208="N/A"," ",(VLOOKUP(A208,PowerVolTable,(IF(BMO=2,7,IF(BMO=1,6,8))),FALSE())))</f>
        <v> </v>
      </c>
      <c r="CC208" s="334" t="str">
        <f aca="false">IF(A208="N/A"," ",(VLOOKUP(A208,IntraPowerVol,(IF(BMO=2,3,IF(BMO=1,2,4))),FALSE())*VLOOKUP(MONTH($A208),Volscale,2)))</f>
        <v> </v>
      </c>
      <c r="CD208" s="335" t="str">
        <f aca="false">IF($A208="N/A"," ",(IF(DateToday&gt;$A208,$CC208,((($CB208^2)*((($A208-1)-DateToday)/((EOMONTH($A208,0)+1)-DateToday-15)))+((($CC208)^2)*((15)/((EOMONTH($A208,0)+1)-DateToday-15))))^0.5)))</f>
        <v> </v>
      </c>
      <c r="CE208" s="334" t="str">
        <f aca="false">IF($A208="N/A"," ",(VLOOKUP($A208,GasVolTable,(IF(BMO=2,6,IF(BMO=1,7,5))),FALSE())))</f>
        <v> </v>
      </c>
      <c r="CF208" s="334" t="str">
        <f aca="false">IF($A208="N/A"," ",(VLOOKUP($A208,OmicronVol,(IF(BMO=2,3,IF(BMO=1,4,2))),FALSE())))</f>
        <v> </v>
      </c>
      <c r="CG208" s="335" t="str">
        <f aca="false">IF($A208="N/A"," ",(IF(DateToday&gt;$A208,$CF208,((($CE208^2)*((($A208-1)-DateToday)/((EOMONTH($A208,0)+1)-DateToday-15)))+((($CF208)^2)*((15)/((EOMONTH($A208,0)+1)-DateToday-15))))^0.5)))</f>
        <v> </v>
      </c>
      <c r="CH208" s="334" t="str">
        <f aca="false">IF($A208="N/A"," ",VLOOKUP($A208,CorrelationTable,2,FALSE()))</f>
        <v> </v>
      </c>
      <c r="CI208" s="336" t="str">
        <f aca="false">IF($A208="N/A"," ",F208+G208+(D208*('Pricing Inputs'!T241)))</f>
        <v> </v>
      </c>
      <c r="CJ208" s="334" t="str">
        <f aca="false">IF($A208="N/A"," ",IF(PV=1,0,'Pricing Inputs'!U241))</f>
        <v> </v>
      </c>
      <c r="CK208" s="337" t="str">
        <f aca="false">IF($A208="N/A"," ",(1+CJ208/2)^(-2*((EOMONTH(A208,0)+20)-DateToday)/365.25))</f>
        <v> </v>
      </c>
      <c r="CL208" s="338" t="str">
        <f aca="false">IF(A208="N/A"," ",IF(CC=2,(VLOOKUP(MONTH($A208),Hrtable,3))/1000,0))</f>
        <v> </v>
      </c>
      <c r="CM208" s="339" t="str">
        <f aca="false">IF(A208="N/A"," ",IF(CC=2,(CL208*C208)+F208,0))</f>
        <v> </v>
      </c>
      <c r="CN208" s="340" t="str">
        <f aca="false">IF($A208="N/A"," ",IF(CC=2,(VLOOKUP(A208,ScaledPrice,(IF(AND(Dayrun&gt;=1,Dayrun&lt;=6),2,4)))-((IF(R208&lt;&gt;0,$D208,$CL208)*$C208)+$F208+$G208)),0))</f>
        <v> </v>
      </c>
      <c r="CO208" s="340" t="str">
        <f aca="false">IF($A208="N/A"," ",IF(CC=2,(IF(AND(Dayrun&gt;=1,Dayrun&lt;=6),I208,(VLOOKUP(A208,ScaledPrice,2))*(2-(VLOOKUP(A208,ScaledPrice,3))))-((IF(S208&lt;&gt;0,$D208,$CL208)*$C208)+$F208+$G208)),0))</f>
        <v> </v>
      </c>
      <c r="CP208" s="340" t="str">
        <f aca="false">IF(A208="N/A"," ",IF(CC=2,(VLOOKUP(A208,ScaledPrice,9)-((IF(T208&lt;&gt;0,$D208,$CL208)*$C208)+$F208+$G208)),0))</f>
        <v> </v>
      </c>
      <c r="CQ208" s="340" t="str">
        <f aca="false">IF(A208="N/A"," ",IF(CC=2,(IF(OR(Dayrun=2,Dayrun=3,Dayrun=5,Dayrun=6,Dayrun=8,Dayrun=9),VLOOKUP(A208,ScaledPrice,IF(AND(Dayrun&gt;=2,Dayrun&lt;=6),5,6)),0)-((IF(U208&lt;&gt;0,$D208,$CL208)*$C208)+$F208+$G208)),0))</f>
        <v> </v>
      </c>
      <c r="CR208" s="340" t="str">
        <f aca="false">IF(A208="N/A"," ",IF(CC=2,(IF(OR(Dayrun=2,Dayrun=3,Dayrun=5,Dayrun=6,Dayrun=8,Dayrun=9),IF(AND(Dayrun&gt;=2,Dayrun&lt;=6),L208,(VLOOKUP(A208,ScaledPrice,5))*(2-(VLOOKUP(A208,ScaledPrice,3)))),0)-((IF(V208&lt;&gt;0,$D208,$CL208)*$C208)+$F208+$G208)),0))</f>
        <v> </v>
      </c>
      <c r="CS208" s="340" t="str">
        <f aca="false">IF(A208="N/A"," ",IF(CC=2,(VLOOKUP(A208,ScaledPrice,9)-((IF(W208&lt;&gt;0,$D208,$CL208)*$C208)+$F208+$G208)),0))</f>
        <v> </v>
      </c>
      <c r="CT208" s="340" t="str">
        <f aca="false">IF(A208="N/A"," ",IF(CC=2,(IF(OR(Dayrun=3,Dayrun=6,Dayrun=9),(VLOOKUP(A208,ScaledPrice,IF(AND(Dayrun&gt;=3,Dayrun&lt;=6),7,8))),0)-((IF(X208&lt;&gt;0,$D208,$CL208)*$C208)+$F208+$G208)),0))</f>
        <v> </v>
      </c>
      <c r="CU208" s="340" t="str">
        <f aca="false">IF(A208="N/A"," ",IF(CC=2,(IF(OR(Dayrun=3,Dayrun=6,Dayrun=9),IF(AND(Dayrun&gt;=3,Dayrun&lt;=6),O208,(VLOOKUP(A208,ScaledPrice,7))*(2-(VLOOKUP(A208,ScaledPrice,3)))),0)-((IF(Y208&lt;&gt;0,$D208,$CL208)*$C208)+$F208+$G208)),0))</f>
        <v> </v>
      </c>
      <c r="CV208" s="340" t="str">
        <f aca="false">IF(A208="N/A"," ",IF(CC=2,(VLOOKUP(A208,ScaledPrice,9)-((IF(Z208&lt;&gt;0,$D208,$CL208)*$C208)+$F208+$G208)),0))</f>
        <v> </v>
      </c>
      <c r="CW208" s="318" t="str">
        <f aca="false">IF($A208="N/A"," ",IF(0&lt;&gt;CN208,IF(CC=2,8*$HD208,0),0))</f>
        <v> </v>
      </c>
      <c r="CX208" s="318" t="str">
        <f aca="false">IF($A208="N/A"," ",IF(0&lt;&gt;CO208,IF(CC=2,8*$HD208,0),0))</f>
        <v> </v>
      </c>
      <c r="CY208" s="318" t="str">
        <f aca="false">IF($A208="N/A"," ",IF(0&lt;&gt;CP208,IF(CC=2,8*$HD208,0),0))</f>
        <v> </v>
      </c>
      <c r="CZ208" s="318" t="str">
        <f aca="false">IF($A208="N/A"," ",IF(0&lt;&gt;CQ208,IF(CC=2,8*$HE208,0),0))</f>
        <v> </v>
      </c>
      <c r="DA208" s="318" t="str">
        <f aca="false">IF($A208="N/A"," ",IF(0&lt;&gt;CR208,IF(CC=2,8*$HE208,0),0))</f>
        <v> </v>
      </c>
      <c r="DB208" s="318" t="str">
        <f aca="false">IF($A208="N/A"," ",IF(0&lt;&gt;CS208,IF(CC=2,8*$HE208,0),0))</f>
        <v> </v>
      </c>
      <c r="DC208" s="318" t="str">
        <f aca="false">IF($A208="N/A"," ",IF(0&lt;&gt;CT208,IF(CC=2,8*$HF208,0),0))</f>
        <v> </v>
      </c>
      <c r="DD208" s="318" t="str">
        <f aca="false">IF($A208="N/A"," ",IF(0&lt;&gt;CU208,IF(CC=2,8*$HF208,0),0))</f>
        <v> </v>
      </c>
      <c r="DE208" s="318" t="str">
        <f aca="false">IF($A208="N/A"," ",IF(0&lt;&gt;CV208,IF(CC=2,8*$HF208,0),0))</f>
        <v> </v>
      </c>
      <c r="DF208" s="341" t="str">
        <f aca="false">IF($A208="N/A"," ",IF(CC=2,(IF(MONTH(A208)&gt;=4,IF(MONTH(A208)&lt;=10,Inputs!$G$13,Inputs!$G$14),Inputs!$G$14))*$CK208,0))</f>
        <v> </v>
      </c>
      <c r="DG208" s="342" t="str">
        <f aca="false">IF($A208="N/A"," ",IF(CC=2,$DF208*CW208*CN208,0))</f>
        <v> </v>
      </c>
      <c r="DH208" s="342" t="str">
        <f aca="false">IF($A208="N/A"," ",IF(CC=2,$DF208*CX208*CO208,0))</f>
        <v> </v>
      </c>
      <c r="DI208" s="342" t="str">
        <f aca="false">IF($A208="N/A"," ",IF(CC=2,$DF208*CY208*CP208,0))</f>
        <v> </v>
      </c>
      <c r="DJ208" s="342" t="str">
        <f aca="false">IF($A208="N/A"," ",IF(CC=2,$DF208*CZ208*CQ208,0))</f>
        <v> </v>
      </c>
      <c r="DK208" s="342" t="str">
        <f aca="false">IF($A208="N/A"," ",IF(CC=2,$DF208*DA208*CR208,0))</f>
        <v> </v>
      </c>
      <c r="DL208" s="342" t="str">
        <f aca="false">IF($A208="N/A"," ",IF(CC=2,$DF208*DB208*CS208,0))</f>
        <v> </v>
      </c>
      <c r="DM208" s="342" t="str">
        <f aca="false">IF($A208="N/A"," ",IF(CC=2,$DF208*DC208*CT208,0))</f>
        <v> </v>
      </c>
      <c r="DN208" s="342" t="str">
        <f aca="false">IF($A208="N/A"," ",IF(CC=2,$DF208*DD208*CU208,0))</f>
        <v> </v>
      </c>
      <c r="DO208" s="342" t="str">
        <f aca="false">IF($A208="N/A"," ",IF(CC=2,$DF208*DE208*CV208,0))</f>
        <v> </v>
      </c>
      <c r="DP208" s="343" t="str">
        <f aca="false">IF($A208="N/A"," ",IF(CC=2,SUM(DG208:DO208),0))</f>
        <v> </v>
      </c>
      <c r="DQ208" s="0" t="str">
        <f aca="false">IF(A208="N/A"," ",Perstart)</f>
        <v> </v>
      </c>
      <c r="HD208" s="0" t="str">
        <f aca="false">IF($A208="N/A"," ",VLOOKUP($A208,NumberofDaysTable,2))</f>
        <v> </v>
      </c>
      <c r="HE208" s="0" t="str">
        <f aca="false">IF($A208="N/A"," ",VLOOKUP($A208,NumberofDaysTable,3))</f>
        <v> </v>
      </c>
      <c r="HF208" s="0" t="str">
        <f aca="false">IF($A208="N/A"," ",VLOOKUP($A208,NumberofDaysTable,4))</f>
        <v> </v>
      </c>
    </row>
    <row r="209" customFormat="false" ht="12.75" hidden="false" customHeight="false" outlineLevel="0" collapsed="false">
      <c r="A209" s="308" t="str">
        <f aca="false">IF(A208="N/A","N/A",IF(EDATE(A208,1)&gt;Inputs!$K$3,"N/A",EDATE(A208,1)))</f>
        <v>N/A</v>
      </c>
      <c r="B209" s="309" t="str">
        <f aca="false">IF(A209="N/A"," ",YEAR(A209))</f>
        <v> </v>
      </c>
      <c r="C209" s="310" t="str">
        <f aca="false">IF(A209="N/A"," ",VLOOKUP(A209,ScaledPrice,10))</f>
        <v> </v>
      </c>
      <c r="D209" s="311" t="str">
        <f aca="false">IF(A209="N/A"," ",(VLOOKUP(MONTH($A209),Hrtable,2))/1000)</f>
        <v> </v>
      </c>
      <c r="E209" s="312" t="str">
        <f aca="false">IF($A209="N/A"," ",(C209-'Pricing Inputs'!T242)*D209)</f>
        <v> </v>
      </c>
      <c r="F209" s="313" t="str">
        <f aca="false">IF(A209="N/A"," ",$F197*(1+VOMesc))</f>
        <v> </v>
      </c>
      <c r="G209" s="313" t="str">
        <f aca="false">IF(A209="N/A"," ",Perstart/IF(AND(Dayrun&gt;=4,Dayrun&lt;=6),16,IF(AND(Dayrun&gt;=7,Dayrun&lt;=9),8,24))/(BM209/CK209))</f>
        <v> </v>
      </c>
      <c r="H209" s="314" t="str">
        <f aca="false">IF(A209="N/A"," ",(C209*D209)+F209+G209)</f>
        <v> </v>
      </c>
      <c r="I209" s="315" t="str">
        <f aca="false">VLOOKUP(A209,ScaledPrice,(IF(AND(Dayrun&gt;=1,Dayrun&lt;=6),2,4)))</f>
        <v> </v>
      </c>
      <c r="J209" s="315" t="str">
        <f aca="false">IF(A209="N/A"," ",IF(AND(Dayrun&gt;=1,Dayrun&lt;=6),I209,(VLOOKUP(A209,ScaledPrice,2))*(2-(VLOOKUP(A209,ScaledPrice,3)))))</f>
        <v> </v>
      </c>
      <c r="K209" s="315" t="str">
        <f aca="false">IF(A209="N/A"," ",IF(AND(Dayrun&gt;=1,Dayrun&lt;=3),VLOOKUP(A209,ScaledPrice,9),0))</f>
        <v> </v>
      </c>
      <c r="L209" s="315" t="str">
        <f aca="false">IF(A209="N/A"," ",IF(OR(Dayrun=2,Dayrun=3,Dayrun=5,Dayrun=6,Dayrun=8,Dayrun=9),VLOOKUP(A209,ScaledPrice,IF(AND(Dayrun&gt;=2,Dayrun&lt;=6),5,6)),0))</f>
        <v> </v>
      </c>
      <c r="M209" s="315" t="str">
        <f aca="false">IF(A209="N/A"," ",IF(OR(Dayrun=2,Dayrun=3,Dayrun=5,Dayrun=6,Dayrun=8,Dayrun=9),IF(AND(Dayrun&gt;=2,Dayrun&lt;=6),L209,(VLOOKUP(A209,ScaledPrice,5))*(2-(VLOOKUP(A209,ScaledPrice,3)))),0))</f>
        <v> </v>
      </c>
      <c r="N209" s="315" t="str">
        <f aca="false">IF(A209="N/A"," ",IF(AND(Dayrun&gt;1,Dayrun&lt;=3),VLOOKUP(A209,ScaledPrice,9),0))</f>
        <v> </v>
      </c>
      <c r="O209" s="315" t="str">
        <f aca="false">IF(A209="N/A"," ",IF(OR(Dayrun=3,Dayrun=6,Dayrun=9),(VLOOKUP(A209,ScaledPrice,IF(AND(Dayrun&gt;=3,Dayrun&lt;=6),7,8))),0))</f>
        <v> </v>
      </c>
      <c r="P209" s="315" t="str">
        <f aca="false">IF(A209="N/A"," ",IF(OR(Dayrun=3,Dayrun=6,Dayrun=9),IF(AND(Dayrun&gt;=3,Dayrun&lt;=6),O209,(VLOOKUP(A209,ScaledPrice,7))*(2-(VLOOKUP(A209,ScaledPrice,3)))),0))</f>
        <v> </v>
      </c>
      <c r="Q209" s="315" t="str">
        <f aca="false">IF(A209="N/A"," ",IF(AND(Dayrun&gt;2,Dayrun&lt;=3),VLOOKUP(A209,ScaledPrice,9),0))</f>
        <v> </v>
      </c>
      <c r="R209" s="316" t="str">
        <f aca="false">IF($A209="N/A"," ",IF(Pricetype=2,MAX(I209-$H209,0),IF(Pricetype=1,(xSPRDOPT(I209,$E209,$CI209,0,($CD209+IF(Smile=TRUE(),VLOOKUP(MAX(-5,$H209-I209),Volsmile,2),0)),$CG209,$CH209,($A209-DateToday)+15,1,0)),I209-$H209)))</f>
        <v> </v>
      </c>
      <c r="S209" s="316" t="str">
        <f aca="false">IF($A209="N/A"," ",IF(Pricetype=2,MAX(J209-$H209,0),IF(Pricetype=1,(xSPRDOPT(J209,$E209,$CI209,0,($CD209+IF(Smile=TRUE(),VLOOKUP(MAX(-5,$H209-J209),Volsmile,2),0)),$CG209,$CH209,($A209-DateToday)+15,1,0)),J209-$H209)))</f>
        <v> </v>
      </c>
      <c r="T209" s="317" t="str">
        <f aca="false">IF($A209="N/A"," ",(IF(Pricetype=2,IF((K209-$H209)&lt;=0,0,(K209-$H209)),IF(K209&lt;&gt;0,(K209-$H209),0))))</f>
        <v> </v>
      </c>
      <c r="U209" s="316" t="str">
        <f aca="false">IF($A209="N/A"," ",IF(Pricetype=2,MAX(L209-$H209,0),IF(L209&lt;&gt;0,IF(Pricetype=1,(xSPRDOPT(L209,$E209,$CI209,0,($CD209+IF(Smile=TRUE(),VLOOKUP(MAX(-5,$H209-L209),Volsmile,2),0)),$CG209,$CH209,($A209-DateToday)+15,1,0)),L209-$H209),0)))</f>
        <v> </v>
      </c>
      <c r="V209" s="316" t="str">
        <f aca="false">IF($A209="N/A"," ",IF(Pricetype=2,MAX(M209-$H209,0),IF(M209&lt;&gt;0,IF(Pricetype=1,(xSPRDOPT(M209,$E209,$CI209,0,($CD209+IF(Smile=TRUE(),VLOOKUP(MAX(-5,$H209-M209),Volsmile,2),0)),$CG209,$CH209,($A209-DateToday)+15,1,0)),M209-$H209),0)))</f>
        <v> </v>
      </c>
      <c r="W209" s="317" t="str">
        <f aca="false">IF($A209="N/A"," ",(IF(Pricetype=2,IF((N209-$H209)&lt;=0,0,(N209-$H209)),IF(N209&lt;&gt;0,(N209-$H209),0))))</f>
        <v> </v>
      </c>
      <c r="X209" s="316" t="str">
        <f aca="false">IF($A209="N/A"," ",IF(Pricetype=2,MAX(O209-$H209,0),IF(O209&lt;&gt;0,IF(Pricetype=1,(xSPRDOPT(O209,$E209,$CI209,0,($CD209+IF(Smile=TRUE(),VLOOKUP(MAX(-5,$H209-O209),Volsmile,2),0)),$CG209,$CH209,($A209-DateToday)+15,1,0)),O209-$H209),0)))</f>
        <v> </v>
      </c>
      <c r="Y209" s="316" t="str">
        <f aca="false">IF($A209="N/A"," ",IF(Pricetype=2,MAX(P209-$H209,0),IF(P209&lt;&gt;0,IF(Pricetype=1,(xSPRDOPT(P209,$E209,$CI209,0,($CD209+IF(Smile=TRUE(),VLOOKUP(MAX(-5,$H209-P209),Volsmile,2),0)),$CG209,$CH209,($A209-DateToday)+15,1,0)),P209-$H209),0)))</f>
        <v> </v>
      </c>
      <c r="Z209" s="317" t="str">
        <f aca="false">IF($A209="N/A"," ",(IF(Pricetype=2,IF((Q209-$H209)&lt;=0,0,(Q209-$H209)),IF(Q209&lt;&gt;0,(Q209-$H209),0))))</f>
        <v> </v>
      </c>
      <c r="AA209" s="318" t="str">
        <f aca="false">IF($A209="N/A"," ",IF(VLOOKUP(MONTH(A209),ManualTable,2)=1,(IF(0&lt;&gt;R209,IF(Pricetype=1,(xSPRDOPT(I209,$E209,$CI209,0,($CD209+IF(Smile=TRUE(),VLOOKUP(MAX(-5,$H209-I209),Volsmile,2),0)),$CG209,$CH209,($A209-DateToday)+15,1,1))*(8*$HD209),8*$HD209),0)),0))</f>
        <v> </v>
      </c>
      <c r="AB209" s="318" t="str">
        <f aca="false">IF($A209="N/A"," ",IF(VLOOKUP(MONTH(A209),ManualTable,3)=1,(IF(S209&lt;&gt;0,IF(Pricetype=1,(xSPRDOPT(J209,$E209,$CI209,0,($CD209+IF(Smile=TRUE(),VLOOKUP(MAX(-5,$H209-J209),Volsmile,2),0)),$CG209,$CH209,($A209-DateToday)+15,1,1))*(8*$HD209),8*$HD209),0)),0))</f>
        <v> </v>
      </c>
      <c r="AC209" s="318" t="str">
        <f aca="false">IF($A209="N/A"," ",IF(VLOOKUP(MONTH(A209),ManualTable,4)=1,(IF(T209&lt;&gt;0,(8*$HD209),0)),0))</f>
        <v> </v>
      </c>
      <c r="AD209" s="318" t="str">
        <f aca="false">IF($A209="N/A"," ",IF(VLOOKUP(MONTH(A209),ManualTable,5)=1,(IF(U209&lt;&gt;0,IF(Pricetype=1,(xSPRDOPT(L209,$E209,$CI209,0,($CD209+IF(Smile=TRUE(),VLOOKUP(MAX(-5,$H209-L209),Volsmile,2),0)),$CG209,$CH209,($A209-DateToday)+15,1,1))*(8*$HE209),8*$HE209),0)),0))</f>
        <v> </v>
      </c>
      <c r="AE209" s="318" t="str">
        <f aca="false">IF($A209="N/A"," ",IF(VLOOKUP(MONTH(A209),ManualTable,6)=1,(IF(V209&lt;&gt;0,IF(Pricetype=1,(xSPRDOPT(M209,$E209,$CI209,0,($CD209+IF(Smile=TRUE(),VLOOKUP(MAX(-5,$H209-M209),Volsmile,2),0)),$CG209,$CH209,($A209-DateToday)+15,1,1))*(8*$HE209),8*$HE209),0)),0))</f>
        <v> </v>
      </c>
      <c r="AF209" s="318" t="str">
        <f aca="false">IF($A209="N/A"," ",IF(VLOOKUP(MONTH(A209),ManualTable,7)=1,(IF(W209&lt;&gt;0,(8*$HE209),0)),0))</f>
        <v> </v>
      </c>
      <c r="AG209" s="318" t="str">
        <f aca="false">IF($A209="N/A"," ",IF(VLOOKUP(MONTH(A209),ManualTable,8)=1,(IF(X209&lt;&gt;0,IF(Pricetype=1,(xSPRDOPT(O209,$E209,$CI209,0,($CD209+IF(Smile=TRUE(),VLOOKUP(MAX(-5,$H209-O209),Volsmile,2),0)),$CG209,$CH209,($A209-DateToday)+15,1,1))*(8*$HF209),8*$HF209),0)),0))</f>
        <v> </v>
      </c>
      <c r="AH209" s="318" t="str">
        <f aca="false">IF($A209="N/A"," ",IF(VLOOKUP(MONTH(A209),ManualTable,9)=1,(IF(Y209&lt;&gt;0,IF(Pricetype=1,(xSPRDOPT(P209,$E209,$CI209,0,($CD209+IF(Smile=TRUE(),VLOOKUP(MAX(-5,$H209-P209),Volsmile,2),0)),$CG209,$CH209,($A209-DateToday)+15,1,1))*(8*$HF209),8*$HF209),0)),0))</f>
        <v> </v>
      </c>
      <c r="AI209" s="318" t="str">
        <f aca="false">IF($A209="N/A"," ",IF(VLOOKUP(MONTH(A209),ManualTable,10)=1,(IF(Z209&lt;&gt;0,(8*($HF209)),0)),0))</f>
        <v> </v>
      </c>
      <c r="AJ209" s="344" t="str">
        <f aca="false">IF($A209="N/A"," ",RANK(R209,$R$208:$Z$219))</f>
        <v> </v>
      </c>
      <c r="AK209" s="321" t="str">
        <f aca="false">IF($A209="N/A"," ",RANK(S209,$R$208:$Z$219))</f>
        <v> </v>
      </c>
      <c r="AL209" s="321" t="str">
        <f aca="false">IF($A209="N/A"," ",RANK(T209,$R$208:$Z$219))</f>
        <v> </v>
      </c>
      <c r="AM209" s="321" t="str">
        <f aca="false">IF($A209="N/A"," ",RANK(U209,$R$208:$Z$219))</f>
        <v> </v>
      </c>
      <c r="AN209" s="321" t="str">
        <f aca="false">IF($A209="N/A"," ",RANK(V209,$R$208:$Z$219))</f>
        <v> </v>
      </c>
      <c r="AO209" s="321" t="str">
        <f aca="false">IF($A209="N/A"," ",RANK(W209,$R$208:$Z$219))</f>
        <v> </v>
      </c>
      <c r="AP209" s="321" t="str">
        <f aca="false">IF($A209="N/A"," ",RANK(X209,$R$208:$Z$219))</f>
        <v> </v>
      </c>
      <c r="AQ209" s="321" t="str">
        <f aca="false">IF($A209="N/A"," ",RANK(Y209,$R$208:$Z$219))</f>
        <v> </v>
      </c>
      <c r="AR209" s="345" t="str">
        <f aca="false">IF($A209="N/A"," ",RANK(Z209,$R$208:$Z$219))</f>
        <v> </v>
      </c>
      <c r="AS209" s="323" t="str">
        <f aca="false">IF($A209="N/A"," ",IF(AJ209&lt;=$AR$2,AA209,0))</f>
        <v> </v>
      </c>
      <c r="AT209" s="325" t="str">
        <f aca="false">IF($A209="N/A"," ",IF(AK209&lt;=$AR$2,AB209,0))</f>
        <v> </v>
      </c>
      <c r="AU209" s="325" t="str">
        <f aca="false">IF($A209="N/A"," ",IF(AL209&lt;=$AR$2,AC209,0))</f>
        <v> </v>
      </c>
      <c r="AV209" s="325" t="str">
        <f aca="false">IF($A209="N/A"," ",IF(AM209&lt;=$AR$2,AD209,0))</f>
        <v> </v>
      </c>
      <c r="AW209" s="325" t="str">
        <f aca="false">IF($A209="N/A"," ",IF(AN209&lt;=$AR$2,AE209,0))</f>
        <v> </v>
      </c>
      <c r="AX209" s="325" t="str">
        <f aca="false">IF($A209="N/A"," ",IF(AO209&lt;=$AR$2,AF209,0))</f>
        <v> </v>
      </c>
      <c r="AY209" s="325" t="str">
        <f aca="false">IF($A209="N/A"," ",IF(AP209&lt;=$AR$2,AG209,0))</f>
        <v> </v>
      </c>
      <c r="AZ209" s="325" t="str">
        <f aca="false">IF($A209="N/A"," ",IF(AQ209&lt;=$AR$2,AH209,0))</f>
        <v> </v>
      </c>
      <c r="BA209" s="325" t="str">
        <f aca="false">IF($A209="N/A"," ",IF(AR209&lt;=$AR$2,AI209,0))</f>
        <v> </v>
      </c>
      <c r="BB209" s="345"/>
      <c r="BC209" s="326" t="str">
        <f aca="false">IF($A209="N/A"," ",IF(AND(AJ209=$AR$2+1,AS209=0),MIN($BB$219,AA209),0))</f>
        <v> </v>
      </c>
      <c r="BD209" s="346" t="str">
        <f aca="false">IF($A209="N/A"," ",IF(AND(AK209=$AR$2+1,AT209=0),MIN($BB$219,AB209),0))</f>
        <v> </v>
      </c>
      <c r="BE209" s="346" t="str">
        <f aca="false">IF($A209="N/A"," ",IF(AND(AL209=$AR$2+1,AU209=0),MIN($BB$219,AC209),0))</f>
        <v> </v>
      </c>
      <c r="BF209" s="346" t="str">
        <f aca="false">IF($A209="N/A"," ",IF(AND(AM209=$AR$2+1,AV209=0),MIN($BB$219,AD209),0))</f>
        <v> </v>
      </c>
      <c r="BG209" s="346" t="str">
        <f aca="false">IF($A209="N/A"," ",IF(AND(AN209=$AR$2+1,AW209=0),MIN($BB$219,AE209),0))</f>
        <v> </v>
      </c>
      <c r="BH209" s="346" t="str">
        <f aca="false">IF($A209="N/A"," ",IF(AND(AO209=$AR$2+1,AX209=0),MIN($BB$219,AF209),0))</f>
        <v> </v>
      </c>
      <c r="BI209" s="346" t="str">
        <f aca="false">IF($A209="N/A"," ",IF(AND(AP209=$AR$2+1,AY209=0),MIN($BB$219,AG209),0))</f>
        <v> </v>
      </c>
      <c r="BJ209" s="346" t="str">
        <f aca="false">IF($A209="N/A"," ",IF(AND(AQ209=$AR$2+1,AZ209=0),MIN($BB$219,AH209),0))</f>
        <v> </v>
      </c>
      <c r="BK209" s="346" t="str">
        <f aca="false">IF($A209="N/A"," ",IF(AND(AR209=$AR$2+1,BA209=0),MIN($BB$219,AI209),0))</f>
        <v> </v>
      </c>
      <c r="BL209" s="345"/>
      <c r="BM209" s="329" t="str">
        <f aca="false">IF($A209="N/A"," ",(IF(MONTH(A209)&gt;=4,IF(MONTH(A209)&lt;=10,Inputs!$F$13-Inputs!$G$13,Inputs!$F$14-Inputs!$G$14),Inputs!$F$14-Inputs!$G$14))*$CK209*Availability)</f>
        <v> </v>
      </c>
      <c r="BN209" s="330" t="str">
        <f aca="false">IF($A209="N/A"," ",(IF(AS209&gt;0,($BM209*(8*($HD209))*R209),0)+IF(BC209&gt;0,($BM209*((BC209/AA209)*8*$HD209)*R209),0)))</f>
        <v> </v>
      </c>
      <c r="BO209" s="330" t="str">
        <f aca="false">IF($A209="N/A"," ",(IF(AT209&gt;0,($BM209*(8*($HD209))*S209),0)+IF(BD209&gt;0,($BM209*((BD209/AB209)*8*$HD209)*S209),0)))</f>
        <v> </v>
      </c>
      <c r="BP209" s="330" t="str">
        <f aca="false">IF($A209="N/A"," ",(IF(AU209&gt;0,($BM209*(8*($HD209))*T209),0)+IF(BE209&gt;0,($BM209*((BE209))*T209),0)))</f>
        <v> </v>
      </c>
      <c r="BQ209" s="330" t="str">
        <f aca="false">IF($A209="N/A"," ",(IF(AV209&gt;0,($BM209*(8*($HE209))*U209),0)+IF(BF209&gt;0,($BM209*((BF209/AD209)*8*$HE209)*U209),0)))</f>
        <v> </v>
      </c>
      <c r="BR209" s="330" t="str">
        <f aca="false">IF($A209="N/A"," ",(IF(AW209&gt;0,($BM209*(8*($HE209))*V209),0)+IF(BG209&gt;0,($BM209*((BG209/AE209)*8*$HE209)*V209),0)))</f>
        <v> </v>
      </c>
      <c r="BS209" s="330" t="str">
        <f aca="false">IF($A209="N/A"," ",(IF(AX209&gt;0,($BM209*(8*($HE209))*W209),0)+IF(BH209&gt;0,($BM209*((BH209))*W209),0)))</f>
        <v> </v>
      </c>
      <c r="BT209" s="330" t="str">
        <f aca="false">IF($A209="N/A"," ",(IF(AY209&gt;0,($BM209*(8*($HF209))*X209),0)+IF(BI209&gt;0,($BM209*((BI209/AG209)*8*$HF209)*X209),0)))</f>
        <v> </v>
      </c>
      <c r="BU209" s="330" t="str">
        <f aca="false">IF($A209="N/A"," ",(IF(AZ209&gt;0,($BM209*(8*($HF209))*Y209),0)+IF(BJ209&gt;0,($BM209*((BJ209/AH209)*8*$HF209)*Y209),0)))</f>
        <v> </v>
      </c>
      <c r="BV209" s="330" t="str">
        <f aca="false">IF($A209="N/A"," ",(IF(BA209&gt;0,($BM209*(8*($HF209))*Z209),0)+IF(BK209&gt;0,($BM209*((BK209))*Z209),0)))</f>
        <v> </v>
      </c>
      <c r="BW209" s="330" t="str">
        <f aca="false">IF($A209="N/A"," ",SUM(BN209:BV209))</f>
        <v> </v>
      </c>
      <c r="BX209" s="331" t="str">
        <f aca="false">IF($A209="N/A"," ",(H209*(SUM(AS209:BA209)+SUM(BC209:BK209))*BM209))</f>
        <v> </v>
      </c>
      <c r="BY209" s="332" t="str">
        <f aca="false">IF($A209="N/A"," ",((C209*D209)*(SUM($AS209:$BA209)+SUM($BC209:$BK209))*$BM209))</f>
        <v> </v>
      </c>
      <c r="BZ209" s="332" t="str">
        <f aca="false">IF($A209="N/A"," ",(F209*(SUM($AS209:$BA209)+SUM($BC209:$BK209))*$BM209))</f>
        <v> </v>
      </c>
      <c r="CA209" s="333" t="str">
        <f aca="false">IF($A209="N/A"," ",(G209*(SUM($AS209:$BA209)+SUM($BC209:$BK209))*$BM209))</f>
        <v> </v>
      </c>
      <c r="CB209" s="334" t="str">
        <f aca="false">IF(A209="N/A"," ",(VLOOKUP(A209,PowerVolTable,(IF(BMO=2,7,IF(BMO=1,6,8))),FALSE())))</f>
        <v> </v>
      </c>
      <c r="CC209" s="334" t="str">
        <f aca="false">IF(A209="N/A"," ",(VLOOKUP(A209,IntraPowerVol,(IF(BMO=2,3,IF(BMO=1,2,4))),FALSE())*VLOOKUP(MONTH($A209),Volscale,2)))</f>
        <v> </v>
      </c>
      <c r="CD209" s="335" t="str">
        <f aca="false">IF($A209="N/A"," ",(IF(DateToday&gt;$A209,$CC209,((($CB209^2)*((($A209-1)-DateToday)/((EOMONTH($A209,0)+1)-DateToday-15)))+((($CC209)^2)*((15)/((EOMONTH($A209,0)+1)-DateToday-15))))^0.5)))</f>
        <v> </v>
      </c>
      <c r="CE209" s="334" t="str">
        <f aca="false">IF($A209="N/A"," ",(VLOOKUP($A209,GasVolTable,(IF(BMO=2,6,IF(BMO=1,7,5))),FALSE())))</f>
        <v> </v>
      </c>
      <c r="CF209" s="334" t="str">
        <f aca="false">IF($A209="N/A"," ",(VLOOKUP($A209,OmicronVol,(IF(BMO=2,3,IF(BMO=1,4,2))),FALSE())))</f>
        <v> </v>
      </c>
      <c r="CG209" s="335" t="str">
        <f aca="false">IF($A209="N/A"," ",(IF(DateToday&gt;$A209,$CF209,((($CE209^2)*((($A209-1)-DateToday)/((EOMONTH($A209,0)+1)-DateToday-15)))+((($CF209)^2)*((15)/((EOMONTH($A209,0)+1)-DateToday-15))))^0.5)))</f>
        <v> </v>
      </c>
      <c r="CH209" s="334" t="str">
        <f aca="false">IF($A209="N/A"," ",VLOOKUP($A209,CorrelationTable,2,FALSE()))</f>
        <v> </v>
      </c>
      <c r="CI209" s="336" t="str">
        <f aca="false">IF($A209="N/A"," ",F209+G209+(D209*('Pricing Inputs'!T242)))</f>
        <v> </v>
      </c>
      <c r="CJ209" s="334" t="str">
        <f aca="false">IF($A209="N/A"," ",IF(PV=1,0,'Pricing Inputs'!U242))</f>
        <v> </v>
      </c>
      <c r="CK209" s="337" t="str">
        <f aca="false">IF($A209="N/A"," ",(1+CJ209/2)^(-2*((EOMONTH(A209,0)+20)-DateToday)/365.25))</f>
        <v> </v>
      </c>
      <c r="CL209" s="338" t="str">
        <f aca="false">IF(A209="N/A"," ",IF(CC=2,(VLOOKUP(MONTH($A209),Hrtable,3))/1000,0))</f>
        <v> </v>
      </c>
      <c r="CM209" s="339" t="str">
        <f aca="false">IF(A209="N/A"," ",IF(CC=2,(CL209*C209)+F209,0))</f>
        <v> </v>
      </c>
      <c r="CN209" s="340" t="str">
        <f aca="false">IF($A209="N/A"," ",IF(CC=2,(VLOOKUP(A209,ScaledPrice,(IF(AND(Dayrun&gt;=1,Dayrun&lt;=6),2,4)))-((IF(R209&lt;&gt;0,$D209,$CL209)*$C209)+$F209+$G209)),0))</f>
        <v> </v>
      </c>
      <c r="CO209" s="340" t="str">
        <f aca="false">IF($A209="N/A"," ",IF(CC=2,(IF(AND(Dayrun&gt;=1,Dayrun&lt;=6),I209,(VLOOKUP(A209,ScaledPrice,2))*(2-(VLOOKUP(A209,ScaledPrice,3))))-((IF(S209&lt;&gt;0,$D209,$CL209)*$C209)+$F209+$G209)),0))</f>
        <v> </v>
      </c>
      <c r="CP209" s="340" t="str">
        <f aca="false">IF(A209="N/A"," ",IF(CC=2,(VLOOKUP(A209,ScaledPrice,9)-((IF(T209&lt;&gt;0,$D209,$CL209)*$C209)+$F209+$G209)),0))</f>
        <v> </v>
      </c>
      <c r="CQ209" s="340" t="str">
        <f aca="false">IF(A209="N/A"," ",IF(CC=2,(IF(OR(Dayrun=2,Dayrun=3,Dayrun=5,Dayrun=6,Dayrun=8,Dayrun=9),VLOOKUP(A209,ScaledPrice,IF(AND(Dayrun&gt;=2,Dayrun&lt;=6),5,6)),0)-((IF(U209&lt;&gt;0,$D209,$CL209)*$C209)+$F209+$G209)),0))</f>
        <v> </v>
      </c>
      <c r="CR209" s="340" t="str">
        <f aca="false">IF(A209="N/A"," ",IF(CC=2,(IF(OR(Dayrun=2,Dayrun=3,Dayrun=5,Dayrun=6,Dayrun=8,Dayrun=9),IF(AND(Dayrun&gt;=2,Dayrun&lt;=6),L209,(VLOOKUP(A209,ScaledPrice,5))*(2-(VLOOKUP(A209,ScaledPrice,3)))),0)-((IF(V209&lt;&gt;0,$D209,$CL209)*$C209)+$F209+$G209)),0))</f>
        <v> </v>
      </c>
      <c r="CS209" s="340" t="str">
        <f aca="false">IF(A209="N/A"," ",IF(CC=2,(VLOOKUP(A209,ScaledPrice,9)-((IF(W209&lt;&gt;0,$D209,$CL209)*$C209)+$F209+$G209)),0))</f>
        <v> </v>
      </c>
      <c r="CT209" s="340" t="str">
        <f aca="false">IF(A209="N/A"," ",IF(CC=2,(IF(OR(Dayrun=3,Dayrun=6,Dayrun=9),(VLOOKUP(A209,ScaledPrice,IF(AND(Dayrun&gt;=3,Dayrun&lt;=6),7,8))),0)-((IF(X209&lt;&gt;0,$D209,$CL209)*$C209)+$F209+$G209)),0))</f>
        <v> </v>
      </c>
      <c r="CU209" s="340" t="str">
        <f aca="false">IF(A209="N/A"," ",IF(CC=2,(IF(OR(Dayrun=3,Dayrun=6,Dayrun=9),IF(AND(Dayrun&gt;=3,Dayrun&lt;=6),O209,(VLOOKUP(A209,ScaledPrice,7))*(2-(VLOOKUP(A209,ScaledPrice,3)))),0)-((IF(Y209&lt;&gt;0,$D209,$CL209)*$C209)+$F209+$G209)),0))</f>
        <v> </v>
      </c>
      <c r="CV209" s="340" t="str">
        <f aca="false">IF(A209="N/A"," ",IF(CC=2,(VLOOKUP(A209,ScaledPrice,9)-((IF(Z209&lt;&gt;0,$D209,$CL209)*$C209)+$F209+$G209)),0))</f>
        <v> </v>
      </c>
      <c r="CW209" s="318" t="str">
        <f aca="false">IF($A209="N/A"," ",IF(0&lt;&gt;CN209,IF(CC=2,8*$HD209,0),0))</f>
        <v> </v>
      </c>
      <c r="CX209" s="318" t="str">
        <f aca="false">IF($A209="N/A"," ",IF(0&lt;&gt;CO209,IF(CC=2,8*$HD209,0),0))</f>
        <v> </v>
      </c>
      <c r="CY209" s="318" t="str">
        <f aca="false">IF($A209="N/A"," ",IF(0&lt;&gt;CP209,IF(CC=2,8*$HD209,0),0))</f>
        <v> </v>
      </c>
      <c r="CZ209" s="318" t="str">
        <f aca="false">IF($A209="N/A"," ",IF(0&lt;&gt;CQ209,IF(CC=2,8*$HE209,0),0))</f>
        <v> </v>
      </c>
      <c r="DA209" s="318" t="str">
        <f aca="false">IF($A209="N/A"," ",IF(0&lt;&gt;CR209,IF(CC=2,8*$HE209,0),0))</f>
        <v> </v>
      </c>
      <c r="DB209" s="318" t="str">
        <f aca="false">IF($A209="N/A"," ",IF(0&lt;&gt;CS209,IF(CC=2,8*$HE209,0),0))</f>
        <v> </v>
      </c>
      <c r="DC209" s="318" t="str">
        <f aca="false">IF($A209="N/A"," ",IF(0&lt;&gt;CT209,IF(CC=2,8*$HF209,0),0))</f>
        <v> </v>
      </c>
      <c r="DD209" s="318" t="str">
        <f aca="false">IF($A209="N/A"," ",IF(0&lt;&gt;CU209,IF(CC=2,8*$HF209,0),0))</f>
        <v> </v>
      </c>
      <c r="DE209" s="318" t="str">
        <f aca="false">IF($A209="N/A"," ",IF(0&lt;&gt;CV209,IF(CC=2,8*$HF209,0),0))</f>
        <v> </v>
      </c>
      <c r="DF209" s="341" t="str">
        <f aca="false">IF($A209="N/A"," ",IF(CC=2,(IF(MONTH(A209)&gt;=4,IF(MONTH(A209)&lt;=10,Inputs!$G$13,Inputs!$G$14),Inputs!$G$14))*$CK209,0))</f>
        <v> </v>
      </c>
      <c r="DG209" s="342" t="str">
        <f aca="false">IF($A209="N/A"," ",IF(CC=2,$DF209*CW209*CN209,0))</f>
        <v> </v>
      </c>
      <c r="DH209" s="342" t="str">
        <f aca="false">IF($A209="N/A"," ",IF(CC=2,$DF209*CX209*CO209,0))</f>
        <v> </v>
      </c>
      <c r="DI209" s="342" t="str">
        <f aca="false">IF($A209="N/A"," ",IF(CC=2,$DF209*CY209*CP209,0))</f>
        <v> </v>
      </c>
      <c r="DJ209" s="342" t="str">
        <f aca="false">IF($A209="N/A"," ",IF(CC=2,$DF209*CZ209*CQ209,0))</f>
        <v> </v>
      </c>
      <c r="DK209" s="342" t="str">
        <f aca="false">IF($A209="N/A"," ",IF(CC=2,$DF209*DA209*CR209,0))</f>
        <v> </v>
      </c>
      <c r="DL209" s="342" t="str">
        <f aca="false">IF($A209="N/A"," ",IF(CC=2,$DF209*DB209*CS209,0))</f>
        <v> </v>
      </c>
      <c r="DM209" s="342" t="str">
        <f aca="false">IF($A209="N/A"," ",IF(CC=2,$DF209*DC209*CT209,0))</f>
        <v> </v>
      </c>
      <c r="DN209" s="342" t="str">
        <f aca="false">IF($A209="N/A"," ",IF(CC=2,$DF209*DD209*CU209,0))</f>
        <v> </v>
      </c>
      <c r="DO209" s="342" t="str">
        <f aca="false">IF($A209="N/A"," ",IF(CC=2,$DF209*DE209*CV209,0))</f>
        <v> </v>
      </c>
      <c r="DP209" s="343" t="str">
        <f aca="false">IF($A209="N/A"," ",IF(CC=2,SUM(DG209:DO209),0))</f>
        <v> </v>
      </c>
      <c r="DQ209" s="0" t="str">
        <f aca="false">IF(A209="N/A"," ",Perstart)</f>
        <v> </v>
      </c>
      <c r="HD209" s="0" t="str">
        <f aca="false">IF($A209="N/A"," ",VLOOKUP($A209,NumberofDaysTable,2))</f>
        <v> </v>
      </c>
      <c r="HE209" s="0" t="str">
        <f aca="false">IF($A209="N/A"," ",VLOOKUP($A209,NumberofDaysTable,3))</f>
        <v> </v>
      </c>
      <c r="HF209" s="0" t="str">
        <f aca="false">IF($A209="N/A"," ",VLOOKUP($A209,NumberofDaysTable,4))</f>
        <v> </v>
      </c>
    </row>
    <row r="210" customFormat="false" ht="12.75" hidden="false" customHeight="false" outlineLevel="0" collapsed="false">
      <c r="A210" s="308" t="str">
        <f aca="false">IF(A209="N/A","N/A",IF(EDATE(A209,1)&gt;Inputs!$K$3,"N/A",EDATE(A209,1)))</f>
        <v>N/A</v>
      </c>
      <c r="B210" s="309" t="str">
        <f aca="false">IF(A210="N/A"," ",YEAR(A210))</f>
        <v> </v>
      </c>
      <c r="C210" s="310" t="str">
        <f aca="false">IF(A210="N/A"," ",VLOOKUP(A210,ScaledPrice,10))</f>
        <v> </v>
      </c>
      <c r="D210" s="311" t="str">
        <f aca="false">IF(A210="N/A"," ",(VLOOKUP(MONTH($A210),Hrtable,2))/1000)</f>
        <v> </v>
      </c>
      <c r="E210" s="312" t="str">
        <f aca="false">IF($A210="N/A"," ",(C210-'Pricing Inputs'!T243)*D210)</f>
        <v> </v>
      </c>
      <c r="F210" s="313" t="str">
        <f aca="false">IF(A210="N/A"," ",$F198*(1+VOMesc))</f>
        <v> </v>
      </c>
      <c r="G210" s="313" t="str">
        <f aca="false">IF(A210="N/A"," ",Perstart/IF(AND(Dayrun&gt;=4,Dayrun&lt;=6),16,IF(AND(Dayrun&gt;=7,Dayrun&lt;=9),8,24))/(BM210/CK210))</f>
        <v> </v>
      </c>
      <c r="H210" s="314" t="str">
        <f aca="false">IF(A210="N/A"," ",(C210*D210)+F210+G210)</f>
        <v> </v>
      </c>
      <c r="I210" s="315" t="str">
        <f aca="false">VLOOKUP(A210,ScaledPrice,(IF(AND(Dayrun&gt;=1,Dayrun&lt;=6),2,4)))</f>
        <v> </v>
      </c>
      <c r="J210" s="315" t="str">
        <f aca="false">IF(A210="N/A"," ",IF(AND(Dayrun&gt;=1,Dayrun&lt;=6),I210,(VLOOKUP(A210,ScaledPrice,2))*(2-(VLOOKUP(A210,ScaledPrice,3)))))</f>
        <v> </v>
      </c>
      <c r="K210" s="315" t="str">
        <f aca="false">IF(A210="N/A"," ",IF(AND(Dayrun&gt;=1,Dayrun&lt;=3),VLOOKUP(A210,ScaledPrice,9),0))</f>
        <v> </v>
      </c>
      <c r="L210" s="315" t="str">
        <f aca="false">IF(A210="N/A"," ",IF(OR(Dayrun=2,Dayrun=3,Dayrun=5,Dayrun=6,Dayrun=8,Dayrun=9),VLOOKUP(A210,ScaledPrice,IF(AND(Dayrun&gt;=2,Dayrun&lt;=6),5,6)),0))</f>
        <v> </v>
      </c>
      <c r="M210" s="315" t="str">
        <f aca="false">IF(A210="N/A"," ",IF(OR(Dayrun=2,Dayrun=3,Dayrun=5,Dayrun=6,Dayrun=8,Dayrun=9),IF(AND(Dayrun&gt;=2,Dayrun&lt;=6),L210,(VLOOKUP(A210,ScaledPrice,5))*(2-(VLOOKUP(A210,ScaledPrice,3)))),0))</f>
        <v> </v>
      </c>
      <c r="N210" s="315" t="str">
        <f aca="false">IF(A210="N/A"," ",IF(AND(Dayrun&gt;1,Dayrun&lt;=3),VLOOKUP(A210,ScaledPrice,9),0))</f>
        <v> </v>
      </c>
      <c r="O210" s="315" t="str">
        <f aca="false">IF(A210="N/A"," ",IF(OR(Dayrun=3,Dayrun=6,Dayrun=9),(VLOOKUP(A210,ScaledPrice,IF(AND(Dayrun&gt;=3,Dayrun&lt;=6),7,8))),0))</f>
        <v> </v>
      </c>
      <c r="P210" s="315" t="str">
        <f aca="false">IF(A210="N/A"," ",IF(OR(Dayrun=3,Dayrun=6,Dayrun=9),IF(AND(Dayrun&gt;=3,Dayrun&lt;=6),O210,(VLOOKUP(A210,ScaledPrice,7))*(2-(VLOOKUP(A210,ScaledPrice,3)))),0))</f>
        <v> </v>
      </c>
      <c r="Q210" s="315" t="str">
        <f aca="false">IF(A210="N/A"," ",IF(AND(Dayrun&gt;2,Dayrun&lt;=3),VLOOKUP(A210,ScaledPrice,9),0))</f>
        <v> </v>
      </c>
      <c r="R210" s="316" t="str">
        <f aca="false">IF($A210="N/A"," ",IF(Pricetype=2,MAX(I210-$H210,0),IF(Pricetype=1,(xSPRDOPT(I210,$E210,$CI210,0,($CD210+IF(Smile=TRUE(),VLOOKUP(MAX(-5,$H210-I210),Volsmile,2),0)),$CG210,$CH210,($A210-DateToday)+15,1,0)),I210-$H210)))</f>
        <v> </v>
      </c>
      <c r="S210" s="316" t="str">
        <f aca="false">IF($A210="N/A"," ",IF(Pricetype=2,MAX(J210-$H210,0),IF(Pricetype=1,(xSPRDOPT(J210,$E210,$CI210,0,($CD210+IF(Smile=TRUE(),VLOOKUP(MAX(-5,$H210-J210),Volsmile,2),0)),$CG210,$CH210,($A210-DateToday)+15,1,0)),J210-$H210)))</f>
        <v> </v>
      </c>
      <c r="T210" s="317" t="str">
        <f aca="false">IF($A210="N/A"," ",(IF(Pricetype=2,IF((K210-$H210)&lt;=0,0,(K210-$H210)),IF(K210&lt;&gt;0,(K210-$H210),0))))</f>
        <v> </v>
      </c>
      <c r="U210" s="316" t="str">
        <f aca="false">IF($A210="N/A"," ",IF(Pricetype=2,MAX(L210-$H210,0),IF(L210&lt;&gt;0,IF(Pricetype=1,(xSPRDOPT(L210,$E210,$CI210,0,($CD210+IF(Smile=TRUE(),VLOOKUP(MAX(-5,$H210-L210),Volsmile,2),0)),$CG210,$CH210,($A210-DateToday)+15,1,0)),L210-$H210),0)))</f>
        <v> </v>
      </c>
      <c r="V210" s="316" t="str">
        <f aca="false">IF($A210="N/A"," ",IF(Pricetype=2,MAX(M210-$H210,0),IF(M210&lt;&gt;0,IF(Pricetype=1,(xSPRDOPT(M210,$E210,$CI210,0,($CD210+IF(Smile=TRUE(),VLOOKUP(MAX(-5,$H210-M210),Volsmile,2),0)),$CG210,$CH210,($A210-DateToday)+15,1,0)),M210-$H210),0)))</f>
        <v> </v>
      </c>
      <c r="W210" s="317" t="str">
        <f aca="false">IF($A210="N/A"," ",(IF(Pricetype=2,IF((N210-$H210)&lt;=0,0,(N210-$H210)),IF(N210&lt;&gt;0,(N210-$H210),0))))</f>
        <v> </v>
      </c>
      <c r="X210" s="316" t="str">
        <f aca="false">IF($A210="N/A"," ",IF(Pricetype=2,MAX(O210-$H210,0),IF(O210&lt;&gt;0,IF(Pricetype=1,(xSPRDOPT(O210,$E210,$CI210,0,($CD210+IF(Smile=TRUE(),VLOOKUP(MAX(-5,$H210-O210),Volsmile,2),0)),$CG210,$CH210,($A210-DateToday)+15,1,0)),O210-$H210),0)))</f>
        <v> </v>
      </c>
      <c r="Y210" s="316" t="str">
        <f aca="false">IF($A210="N/A"," ",IF(Pricetype=2,MAX(P210-$H210,0),IF(P210&lt;&gt;0,IF(Pricetype=1,(xSPRDOPT(P210,$E210,$CI210,0,($CD210+IF(Smile=TRUE(),VLOOKUP(MAX(-5,$H210-P210),Volsmile,2),0)),$CG210,$CH210,($A210-DateToday)+15,1,0)),P210-$H210),0)))</f>
        <v> </v>
      </c>
      <c r="Z210" s="317" t="str">
        <f aca="false">IF($A210="N/A"," ",(IF(Pricetype=2,IF((Q210-$H210)&lt;=0,0,(Q210-$H210)),IF(Q210&lt;&gt;0,(Q210-$H210),0))))</f>
        <v> </v>
      </c>
      <c r="AA210" s="318" t="str">
        <f aca="false">IF($A210="N/A"," ",IF(VLOOKUP(MONTH(A210),ManualTable,2)=1,(IF(0&lt;&gt;R210,IF(Pricetype=1,(xSPRDOPT(I210,$E210,$CI210,0,($CD210+IF(Smile=TRUE(),VLOOKUP(MAX(-5,$H210-I210),Volsmile,2),0)),$CG210,$CH210,($A210-DateToday)+15,1,1))*(8*$HD210),8*$HD210),0)),0))</f>
        <v> </v>
      </c>
      <c r="AB210" s="318" t="str">
        <f aca="false">IF($A210="N/A"," ",IF(VLOOKUP(MONTH(A210),ManualTable,3)=1,(IF(S210&lt;&gt;0,IF(Pricetype=1,(xSPRDOPT(J210,$E210,$CI210,0,($CD210+IF(Smile=TRUE(),VLOOKUP(MAX(-5,$H210-J210),Volsmile,2),0)),$CG210,$CH210,($A210-DateToday)+15,1,1))*(8*$HD210),8*$HD210),0)),0))</f>
        <v> </v>
      </c>
      <c r="AC210" s="318" t="str">
        <f aca="false">IF($A210="N/A"," ",IF(VLOOKUP(MONTH(A210),ManualTable,4)=1,(IF(T210&lt;&gt;0,(8*$HD210),0)),0))</f>
        <v> </v>
      </c>
      <c r="AD210" s="318" t="str">
        <f aca="false">IF($A210="N/A"," ",IF(VLOOKUP(MONTH(A210),ManualTable,5)=1,(IF(U210&lt;&gt;0,IF(Pricetype=1,(xSPRDOPT(L210,$E210,$CI210,0,($CD210+IF(Smile=TRUE(),VLOOKUP(MAX(-5,$H210-L210),Volsmile,2),0)),$CG210,$CH210,($A210-DateToday)+15,1,1))*(8*$HE210),8*$HE210),0)),0))</f>
        <v> </v>
      </c>
      <c r="AE210" s="318" t="str">
        <f aca="false">IF($A210="N/A"," ",IF(VLOOKUP(MONTH(A210),ManualTable,6)=1,(IF(V210&lt;&gt;0,IF(Pricetype=1,(xSPRDOPT(M210,$E210,$CI210,0,($CD210+IF(Smile=TRUE(),VLOOKUP(MAX(-5,$H210-M210),Volsmile,2),0)),$CG210,$CH210,($A210-DateToday)+15,1,1))*(8*$HE210),8*$HE210),0)),0))</f>
        <v> </v>
      </c>
      <c r="AF210" s="318" t="str">
        <f aca="false">IF($A210="N/A"," ",IF(VLOOKUP(MONTH(A210),ManualTable,7)=1,(IF(W210&lt;&gt;0,(8*$HE210),0)),0))</f>
        <v> </v>
      </c>
      <c r="AG210" s="318" t="str">
        <f aca="false">IF($A210="N/A"," ",IF(VLOOKUP(MONTH(A210),ManualTable,8)=1,(IF(X210&lt;&gt;0,IF(Pricetype=1,(xSPRDOPT(O210,$E210,$CI210,0,($CD210+IF(Smile=TRUE(),VLOOKUP(MAX(-5,$H210-O210),Volsmile,2),0)),$CG210,$CH210,($A210-DateToday)+15,1,1))*(8*$HF210),8*$HF210),0)),0))</f>
        <v> </v>
      </c>
      <c r="AH210" s="318" t="str">
        <f aca="false">IF($A210="N/A"," ",IF(VLOOKUP(MONTH(A210),ManualTable,9)=1,(IF(Y210&lt;&gt;0,IF(Pricetype=1,(xSPRDOPT(P210,$E210,$CI210,0,($CD210+IF(Smile=TRUE(),VLOOKUP(MAX(-5,$H210-P210),Volsmile,2),0)),$CG210,$CH210,($A210-DateToday)+15,1,1))*(8*$HF210),8*$HF210),0)),0))</f>
        <v> </v>
      </c>
      <c r="AI210" s="318" t="str">
        <f aca="false">IF($A210="N/A"," ",IF(VLOOKUP(MONTH(A210),ManualTable,10)=1,(IF(Z210&lt;&gt;0,(8*($HF210)),0)),0))</f>
        <v> </v>
      </c>
      <c r="AJ210" s="344" t="str">
        <f aca="false">IF($A210="N/A"," ",RANK(R210,$R$208:$Z$219))</f>
        <v> </v>
      </c>
      <c r="AK210" s="321" t="str">
        <f aca="false">IF($A210="N/A"," ",RANK(S210,$R$208:$Z$219))</f>
        <v> </v>
      </c>
      <c r="AL210" s="321" t="str">
        <f aca="false">IF($A210="N/A"," ",RANK(T210,$R$208:$Z$219))</f>
        <v> </v>
      </c>
      <c r="AM210" s="321" t="str">
        <f aca="false">IF($A210="N/A"," ",RANK(U210,$R$208:$Z$219))</f>
        <v> </v>
      </c>
      <c r="AN210" s="321" t="str">
        <f aca="false">IF($A210="N/A"," ",RANK(V210,$R$208:$Z$219))</f>
        <v> </v>
      </c>
      <c r="AO210" s="321" t="str">
        <f aca="false">IF($A210="N/A"," ",RANK(W210,$R$208:$Z$219))</f>
        <v> </v>
      </c>
      <c r="AP210" s="321" t="str">
        <f aca="false">IF($A210="N/A"," ",RANK(X210,$R$208:$Z$219))</f>
        <v> </v>
      </c>
      <c r="AQ210" s="321" t="str">
        <f aca="false">IF($A210="N/A"," ",RANK(Y210,$R$208:$Z$219))</f>
        <v> </v>
      </c>
      <c r="AR210" s="345" t="str">
        <f aca="false">IF($A210="N/A"," ",RANK(Z210,$R$208:$Z$219))</f>
        <v> </v>
      </c>
      <c r="AS210" s="323" t="str">
        <f aca="false">IF($A210="N/A"," ",IF(AJ210&lt;=$AR$2,AA210,0))</f>
        <v> </v>
      </c>
      <c r="AT210" s="325" t="str">
        <f aca="false">IF($A210="N/A"," ",IF(AK210&lt;=$AR$2,AB210,0))</f>
        <v> </v>
      </c>
      <c r="AU210" s="325" t="str">
        <f aca="false">IF($A210="N/A"," ",IF(AL210&lt;=$AR$2,AC210,0))</f>
        <v> </v>
      </c>
      <c r="AV210" s="325" t="str">
        <f aca="false">IF($A210="N/A"," ",IF(AM210&lt;=$AR$2,AD210,0))</f>
        <v> </v>
      </c>
      <c r="AW210" s="325" t="str">
        <f aca="false">IF($A210="N/A"," ",IF(AN210&lt;=$AR$2,AE210,0))</f>
        <v> </v>
      </c>
      <c r="AX210" s="325" t="str">
        <f aca="false">IF($A210="N/A"," ",IF(AO210&lt;=$AR$2,AF210,0))</f>
        <v> </v>
      </c>
      <c r="AY210" s="325" t="str">
        <f aca="false">IF($A210="N/A"," ",IF(AP210&lt;=$AR$2,AG210,0))</f>
        <v> </v>
      </c>
      <c r="AZ210" s="325" t="str">
        <f aca="false">IF($A210="N/A"," ",IF(AQ210&lt;=$AR$2,AH210,0))</f>
        <v> </v>
      </c>
      <c r="BA210" s="325" t="str">
        <f aca="false">IF($A210="N/A"," ",IF(AR210&lt;=$AR$2,AI210,0))</f>
        <v> </v>
      </c>
      <c r="BB210" s="345"/>
      <c r="BC210" s="326" t="str">
        <f aca="false">IF($A210="N/A"," ",IF(AND(AJ210=$AR$2+1,AS210=0),MIN($BB$219,AA210),0))</f>
        <v> </v>
      </c>
      <c r="BD210" s="346" t="str">
        <f aca="false">IF($A210="N/A"," ",IF(AND(AK210=$AR$2+1,AT210=0),MIN($BB$219,AB210),0))</f>
        <v> </v>
      </c>
      <c r="BE210" s="346" t="str">
        <f aca="false">IF($A210="N/A"," ",IF(AND(AL210=$AR$2+1,AU210=0),MIN($BB$219,AC210),0))</f>
        <v> </v>
      </c>
      <c r="BF210" s="346" t="str">
        <f aca="false">IF($A210="N/A"," ",IF(AND(AM210=$AR$2+1,AV210=0),MIN($BB$219,AD210),0))</f>
        <v> </v>
      </c>
      <c r="BG210" s="346" t="str">
        <f aca="false">IF($A210="N/A"," ",IF(AND(AN210=$AR$2+1,AW210=0),MIN($BB$219,AE210),0))</f>
        <v> </v>
      </c>
      <c r="BH210" s="346" t="str">
        <f aca="false">IF($A210="N/A"," ",IF(AND(AO210=$AR$2+1,AX210=0),MIN($BB$219,AF210),0))</f>
        <v> </v>
      </c>
      <c r="BI210" s="346" t="str">
        <f aca="false">IF($A210="N/A"," ",IF(AND(AP210=$AR$2+1,AY210=0),MIN($BB$219,AG210),0))</f>
        <v> </v>
      </c>
      <c r="BJ210" s="346" t="str">
        <f aca="false">IF($A210="N/A"," ",IF(AND(AQ210=$AR$2+1,AZ210=0),MIN($BB$219,AH210),0))</f>
        <v> </v>
      </c>
      <c r="BK210" s="346" t="str">
        <f aca="false">IF($A210="N/A"," ",IF(AND(AR210=$AR$2+1,BA210=0),MIN($BB$219,AI210),0))</f>
        <v> </v>
      </c>
      <c r="BL210" s="345"/>
      <c r="BM210" s="329" t="str">
        <f aca="false">IF($A210="N/A"," ",(IF(MONTH(A210)&gt;=4,IF(MONTH(A210)&lt;=10,Inputs!$F$13-Inputs!$G$13,Inputs!$F$14-Inputs!$G$14),Inputs!$F$14-Inputs!$G$14))*$CK210*Availability)</f>
        <v> </v>
      </c>
      <c r="BN210" s="330" t="str">
        <f aca="false">IF($A210="N/A"," ",(IF(AS210&gt;0,($BM210*(8*($HD210))*R210),0)+IF(BC210&gt;0,($BM210*((BC210/AA210)*8*$HD210)*R210),0)))</f>
        <v> </v>
      </c>
      <c r="BO210" s="330" t="str">
        <f aca="false">IF($A210="N/A"," ",(IF(AT210&gt;0,($BM210*(8*($HD210))*S210),0)+IF(BD210&gt;0,($BM210*((BD210/AB210)*8*$HD210)*S210),0)))</f>
        <v> </v>
      </c>
      <c r="BP210" s="330" t="str">
        <f aca="false">IF($A210="N/A"," ",(IF(AU210&gt;0,($BM210*(8*($HD210))*T210),0)+IF(BE210&gt;0,($BM210*((BE210))*T210),0)))</f>
        <v> </v>
      </c>
      <c r="BQ210" s="330" t="str">
        <f aca="false">IF($A210="N/A"," ",(IF(AV210&gt;0,($BM210*(8*($HE210))*U210),0)+IF(BF210&gt;0,($BM210*((BF210/AD210)*8*$HE210)*U210),0)))</f>
        <v> </v>
      </c>
      <c r="BR210" s="330" t="str">
        <f aca="false">IF($A210="N/A"," ",(IF(AW210&gt;0,($BM210*(8*($HE210))*V210),0)+IF(BG210&gt;0,($BM210*((BG210/AE210)*8*$HE210)*V210),0)))</f>
        <v> </v>
      </c>
      <c r="BS210" s="330" t="str">
        <f aca="false">IF($A210="N/A"," ",(IF(AX210&gt;0,($BM210*(8*($HE210))*W210),0)+IF(BH210&gt;0,($BM210*((BH210))*W210),0)))</f>
        <v> </v>
      </c>
      <c r="BT210" s="330" t="str">
        <f aca="false">IF($A210="N/A"," ",(IF(AY210&gt;0,($BM210*(8*($HF210))*X210),0)+IF(BI210&gt;0,($BM210*((BI210/AG210)*8*$HF210)*X210),0)))</f>
        <v> </v>
      </c>
      <c r="BU210" s="330" t="str">
        <f aca="false">IF($A210="N/A"," ",(IF(AZ210&gt;0,($BM210*(8*($HF210))*Y210),0)+IF(BJ210&gt;0,($BM210*((BJ210/AH210)*8*$HF210)*Y210),0)))</f>
        <v> </v>
      </c>
      <c r="BV210" s="330" t="str">
        <f aca="false">IF($A210="N/A"," ",(IF(BA210&gt;0,($BM210*(8*($HF210))*Z210),0)+IF(BK210&gt;0,($BM210*((BK210))*Z210),0)))</f>
        <v> </v>
      </c>
      <c r="BW210" s="330" t="str">
        <f aca="false">IF($A210="N/A"," ",SUM(BN210:BV210))</f>
        <v> </v>
      </c>
      <c r="BX210" s="331" t="str">
        <f aca="false">IF($A210="N/A"," ",(H210*(SUM(AS210:BA210)+SUM(BC210:BK210))*BM210))</f>
        <v> </v>
      </c>
      <c r="BY210" s="332" t="str">
        <f aca="false">IF($A210="N/A"," ",((C210*D210)*(SUM($AS210:$BA210)+SUM($BC210:$BK210))*$BM210))</f>
        <v> </v>
      </c>
      <c r="BZ210" s="332" t="str">
        <f aca="false">IF($A210="N/A"," ",(F210*(SUM($AS210:$BA210)+SUM($BC210:$BK210))*$BM210))</f>
        <v> </v>
      </c>
      <c r="CA210" s="333" t="str">
        <f aca="false">IF($A210="N/A"," ",(G210*(SUM($AS210:$BA210)+SUM($BC210:$BK210))*$BM210))</f>
        <v> </v>
      </c>
      <c r="CB210" s="334" t="str">
        <f aca="false">IF(A210="N/A"," ",(VLOOKUP(A210,PowerVolTable,(IF(BMO=2,7,IF(BMO=1,6,8))),FALSE())))</f>
        <v> </v>
      </c>
      <c r="CC210" s="334" t="str">
        <f aca="false">IF(A210="N/A"," ",(VLOOKUP(A210,IntraPowerVol,(IF(BMO=2,3,IF(BMO=1,2,4))),FALSE())*VLOOKUP(MONTH($A210),Volscale,2)))</f>
        <v> </v>
      </c>
      <c r="CD210" s="335" t="str">
        <f aca="false">IF($A210="N/A"," ",(IF(DateToday&gt;$A210,$CC210,((($CB210^2)*((($A210-1)-DateToday)/((EOMONTH($A210,0)+1)-DateToday-15)))+((($CC210)^2)*((15)/((EOMONTH($A210,0)+1)-DateToday-15))))^0.5)))</f>
        <v> </v>
      </c>
      <c r="CE210" s="334" t="str">
        <f aca="false">IF($A210="N/A"," ",(VLOOKUP($A210,GasVolTable,(IF(BMO=2,6,IF(BMO=1,7,5))),FALSE())))</f>
        <v> </v>
      </c>
      <c r="CF210" s="334" t="str">
        <f aca="false">IF($A210="N/A"," ",(VLOOKUP($A210,OmicronVol,(IF(BMO=2,3,IF(BMO=1,4,2))),FALSE())))</f>
        <v> </v>
      </c>
      <c r="CG210" s="335" t="str">
        <f aca="false">IF($A210="N/A"," ",(IF(DateToday&gt;$A210,$CF210,((($CE210^2)*((($A210-1)-DateToday)/((EOMONTH($A210,0)+1)-DateToday-15)))+((($CF210)^2)*((15)/((EOMONTH($A210,0)+1)-DateToday-15))))^0.5)))</f>
        <v> </v>
      </c>
      <c r="CH210" s="334" t="str">
        <f aca="false">IF($A210="N/A"," ",VLOOKUP($A210,CorrelationTable,2,FALSE()))</f>
        <v> </v>
      </c>
      <c r="CI210" s="336" t="str">
        <f aca="false">IF($A210="N/A"," ",F210+G210+(D210*('Pricing Inputs'!T243)))</f>
        <v> </v>
      </c>
      <c r="CJ210" s="334" t="str">
        <f aca="false">IF($A210="N/A"," ",IF(PV=1,0,'Pricing Inputs'!U243))</f>
        <v> </v>
      </c>
      <c r="CK210" s="337" t="str">
        <f aca="false">IF($A210="N/A"," ",(1+CJ210/2)^(-2*((EOMONTH(A210,0)+20)-DateToday)/365.25))</f>
        <v> </v>
      </c>
      <c r="CL210" s="338" t="str">
        <f aca="false">IF(A210="N/A"," ",IF(CC=2,(VLOOKUP(MONTH($A210),Hrtable,3))/1000,0))</f>
        <v> </v>
      </c>
      <c r="CM210" s="339" t="str">
        <f aca="false">IF(A210="N/A"," ",IF(CC=2,(CL210*C210)+F210,0))</f>
        <v> </v>
      </c>
      <c r="CN210" s="340" t="str">
        <f aca="false">IF($A210="N/A"," ",IF(CC=2,(VLOOKUP(A210,ScaledPrice,(IF(AND(Dayrun&gt;=1,Dayrun&lt;=6),2,4)))-((IF(R210&lt;&gt;0,$D210,$CL210)*$C210)+$F210+$G210)),0))</f>
        <v> </v>
      </c>
      <c r="CO210" s="340" t="str">
        <f aca="false">IF($A210="N/A"," ",IF(CC=2,(IF(AND(Dayrun&gt;=1,Dayrun&lt;=6),I210,(VLOOKUP(A210,ScaledPrice,2))*(2-(VLOOKUP(A210,ScaledPrice,3))))-((IF(S210&lt;&gt;0,$D210,$CL210)*$C210)+$F210+$G210)),0))</f>
        <v> </v>
      </c>
      <c r="CP210" s="340" t="str">
        <f aca="false">IF(A210="N/A"," ",IF(CC=2,(VLOOKUP(A210,ScaledPrice,9)-((IF(T210&lt;&gt;0,$D210,$CL210)*$C210)+$F210+$G210)),0))</f>
        <v> </v>
      </c>
      <c r="CQ210" s="340" t="str">
        <f aca="false">IF(A210="N/A"," ",IF(CC=2,(IF(OR(Dayrun=2,Dayrun=3,Dayrun=5,Dayrun=6,Dayrun=8,Dayrun=9),VLOOKUP(A210,ScaledPrice,IF(AND(Dayrun&gt;=2,Dayrun&lt;=6),5,6)),0)-((IF(U210&lt;&gt;0,$D210,$CL210)*$C210)+$F210+$G210)),0))</f>
        <v> </v>
      </c>
      <c r="CR210" s="340" t="str">
        <f aca="false">IF(A210="N/A"," ",IF(CC=2,(IF(OR(Dayrun=2,Dayrun=3,Dayrun=5,Dayrun=6,Dayrun=8,Dayrun=9),IF(AND(Dayrun&gt;=2,Dayrun&lt;=6),L210,(VLOOKUP(A210,ScaledPrice,5))*(2-(VLOOKUP(A210,ScaledPrice,3)))),0)-((IF(V210&lt;&gt;0,$D210,$CL210)*$C210)+$F210+$G210)),0))</f>
        <v> </v>
      </c>
      <c r="CS210" s="340" t="str">
        <f aca="false">IF(A210="N/A"," ",IF(CC=2,(VLOOKUP(A210,ScaledPrice,9)-((IF(W210&lt;&gt;0,$D210,$CL210)*$C210)+$F210+$G210)),0))</f>
        <v> </v>
      </c>
      <c r="CT210" s="340" t="str">
        <f aca="false">IF(A210="N/A"," ",IF(CC=2,(IF(OR(Dayrun=3,Dayrun=6,Dayrun=9),(VLOOKUP(A210,ScaledPrice,IF(AND(Dayrun&gt;=3,Dayrun&lt;=6),7,8))),0)-((IF(X210&lt;&gt;0,$D210,$CL210)*$C210)+$F210+$G210)),0))</f>
        <v> </v>
      </c>
      <c r="CU210" s="340" t="str">
        <f aca="false">IF(A210="N/A"," ",IF(CC=2,(IF(OR(Dayrun=3,Dayrun=6,Dayrun=9),IF(AND(Dayrun&gt;=3,Dayrun&lt;=6),O210,(VLOOKUP(A210,ScaledPrice,7))*(2-(VLOOKUP(A210,ScaledPrice,3)))),0)-((IF(Y210&lt;&gt;0,$D210,$CL210)*$C210)+$F210+$G210)),0))</f>
        <v> </v>
      </c>
      <c r="CV210" s="340" t="str">
        <f aca="false">IF(A210="N/A"," ",IF(CC=2,(VLOOKUP(A210,ScaledPrice,9)-((IF(Z210&lt;&gt;0,$D210,$CL210)*$C210)+$F210+$G210)),0))</f>
        <v> </v>
      </c>
      <c r="CW210" s="318" t="str">
        <f aca="false">IF($A210="N/A"," ",IF(0&lt;&gt;CN210,IF(CC=2,8*$HD210,0),0))</f>
        <v> </v>
      </c>
      <c r="CX210" s="318" t="str">
        <f aca="false">IF($A210="N/A"," ",IF(0&lt;&gt;CO210,IF(CC=2,8*$HD210,0),0))</f>
        <v> </v>
      </c>
      <c r="CY210" s="318" t="str">
        <f aca="false">IF($A210="N/A"," ",IF(0&lt;&gt;CP210,IF(CC=2,8*$HD210,0),0))</f>
        <v> </v>
      </c>
      <c r="CZ210" s="318" t="str">
        <f aca="false">IF($A210="N/A"," ",IF(0&lt;&gt;CQ210,IF(CC=2,8*$HE210,0),0))</f>
        <v> </v>
      </c>
      <c r="DA210" s="318" t="str">
        <f aca="false">IF($A210="N/A"," ",IF(0&lt;&gt;CR210,IF(CC=2,8*$HE210,0),0))</f>
        <v> </v>
      </c>
      <c r="DB210" s="318" t="str">
        <f aca="false">IF($A210="N/A"," ",IF(0&lt;&gt;CS210,IF(CC=2,8*$HE210,0),0))</f>
        <v> </v>
      </c>
      <c r="DC210" s="318" t="str">
        <f aca="false">IF($A210="N/A"," ",IF(0&lt;&gt;CT210,IF(CC=2,8*$HF210,0),0))</f>
        <v> </v>
      </c>
      <c r="DD210" s="318" t="str">
        <f aca="false">IF($A210="N/A"," ",IF(0&lt;&gt;CU210,IF(CC=2,8*$HF210,0),0))</f>
        <v> </v>
      </c>
      <c r="DE210" s="318" t="str">
        <f aca="false">IF($A210="N/A"," ",IF(0&lt;&gt;CV210,IF(CC=2,8*$HF210,0),0))</f>
        <v> </v>
      </c>
      <c r="DF210" s="341" t="str">
        <f aca="false">IF($A210="N/A"," ",IF(CC=2,(IF(MONTH(A210)&gt;=4,IF(MONTH(A210)&lt;=10,Inputs!$G$13,Inputs!$G$14),Inputs!$G$14))*$CK210,0))</f>
        <v> </v>
      </c>
      <c r="DG210" s="342" t="str">
        <f aca="false">IF($A210="N/A"," ",IF(CC=2,$DF210*CW210*CN210,0))</f>
        <v> </v>
      </c>
      <c r="DH210" s="342" t="str">
        <f aca="false">IF($A210="N/A"," ",IF(CC=2,$DF210*CX210*CO210,0))</f>
        <v> </v>
      </c>
      <c r="DI210" s="342" t="str">
        <f aca="false">IF($A210="N/A"," ",IF(CC=2,$DF210*CY210*CP210,0))</f>
        <v> </v>
      </c>
      <c r="DJ210" s="342" t="str">
        <f aca="false">IF($A210="N/A"," ",IF(CC=2,$DF210*CZ210*CQ210,0))</f>
        <v> </v>
      </c>
      <c r="DK210" s="342" t="str">
        <f aca="false">IF($A210="N/A"," ",IF(CC=2,$DF210*DA210*CR210,0))</f>
        <v> </v>
      </c>
      <c r="DL210" s="342" t="str">
        <f aca="false">IF($A210="N/A"," ",IF(CC=2,$DF210*DB210*CS210,0))</f>
        <v> </v>
      </c>
      <c r="DM210" s="342" t="str">
        <f aca="false">IF($A210="N/A"," ",IF(CC=2,$DF210*DC210*CT210,0))</f>
        <v> </v>
      </c>
      <c r="DN210" s="342" t="str">
        <f aca="false">IF($A210="N/A"," ",IF(CC=2,$DF210*DD210*CU210,0))</f>
        <v> </v>
      </c>
      <c r="DO210" s="342" t="str">
        <f aca="false">IF($A210="N/A"," ",IF(CC=2,$DF210*DE210*CV210,0))</f>
        <v> </v>
      </c>
      <c r="DP210" s="343" t="str">
        <f aca="false">IF($A210="N/A"," ",IF(CC=2,SUM(DG210:DO210),0))</f>
        <v> </v>
      </c>
      <c r="DQ210" s="0" t="str">
        <f aca="false">IF(A210="N/A"," ",Perstart)</f>
        <v> </v>
      </c>
      <c r="HD210" s="0" t="str">
        <f aca="false">IF($A210="N/A"," ",VLOOKUP($A210,NumberofDaysTable,2))</f>
        <v> </v>
      </c>
      <c r="HE210" s="0" t="str">
        <f aca="false">IF($A210="N/A"," ",VLOOKUP($A210,NumberofDaysTable,3))</f>
        <v> </v>
      </c>
      <c r="HF210" s="0" t="str">
        <f aca="false">IF($A210="N/A"," ",VLOOKUP($A210,NumberofDaysTable,4))</f>
        <v> </v>
      </c>
    </row>
    <row r="211" customFormat="false" ht="12.75" hidden="false" customHeight="false" outlineLevel="0" collapsed="false">
      <c r="A211" s="308" t="str">
        <f aca="false">IF(A210="N/A","N/A",IF(EDATE(A210,1)&gt;Inputs!$K$3,"N/A",EDATE(A210,1)))</f>
        <v>N/A</v>
      </c>
      <c r="B211" s="309" t="str">
        <f aca="false">IF(A211="N/A"," ",YEAR(A211))</f>
        <v> </v>
      </c>
      <c r="C211" s="310" t="str">
        <f aca="false">IF(A211="N/A"," ",VLOOKUP(A211,ScaledPrice,10))</f>
        <v> </v>
      </c>
      <c r="D211" s="311" t="str">
        <f aca="false">IF(A211="N/A"," ",(VLOOKUP(MONTH($A211),Hrtable,2))/1000)</f>
        <v> </v>
      </c>
      <c r="E211" s="312" t="str">
        <f aca="false">IF($A211="N/A"," ",(C211-'Pricing Inputs'!T244)*D211)</f>
        <v> </v>
      </c>
      <c r="F211" s="313" t="str">
        <f aca="false">IF(A211="N/A"," ",$F199*(1+VOMesc))</f>
        <v> </v>
      </c>
      <c r="G211" s="313" t="str">
        <f aca="false">IF(A211="N/A"," ",Perstart/IF(AND(Dayrun&gt;=4,Dayrun&lt;=6),16,IF(AND(Dayrun&gt;=7,Dayrun&lt;=9),8,24))/(BM211/CK211))</f>
        <v> </v>
      </c>
      <c r="H211" s="314" t="str">
        <f aca="false">IF(A211="N/A"," ",(C211*D211)+F211+G211)</f>
        <v> </v>
      </c>
      <c r="I211" s="315" t="str">
        <f aca="false">VLOOKUP(A211,ScaledPrice,(IF(AND(Dayrun&gt;=1,Dayrun&lt;=6),2,4)))</f>
        <v> </v>
      </c>
      <c r="J211" s="315" t="str">
        <f aca="false">IF(A211="N/A"," ",IF(AND(Dayrun&gt;=1,Dayrun&lt;=6),I211,(VLOOKUP(A211,ScaledPrice,2))*(2-(VLOOKUP(A211,ScaledPrice,3)))))</f>
        <v> </v>
      </c>
      <c r="K211" s="315" t="str">
        <f aca="false">IF(A211="N/A"," ",IF(AND(Dayrun&gt;=1,Dayrun&lt;=3),VLOOKUP(A211,ScaledPrice,9),0))</f>
        <v> </v>
      </c>
      <c r="L211" s="315" t="str">
        <f aca="false">IF(A211="N/A"," ",IF(OR(Dayrun=2,Dayrun=3,Dayrun=5,Dayrun=6,Dayrun=8,Dayrun=9),VLOOKUP(A211,ScaledPrice,IF(AND(Dayrun&gt;=2,Dayrun&lt;=6),5,6)),0))</f>
        <v> </v>
      </c>
      <c r="M211" s="315" t="str">
        <f aca="false">IF(A211="N/A"," ",IF(OR(Dayrun=2,Dayrun=3,Dayrun=5,Dayrun=6,Dayrun=8,Dayrun=9),IF(AND(Dayrun&gt;=2,Dayrun&lt;=6),L211,(VLOOKUP(A211,ScaledPrice,5))*(2-(VLOOKUP(A211,ScaledPrice,3)))),0))</f>
        <v> </v>
      </c>
      <c r="N211" s="315" t="str">
        <f aca="false">IF(A211="N/A"," ",IF(AND(Dayrun&gt;1,Dayrun&lt;=3),VLOOKUP(A211,ScaledPrice,9),0))</f>
        <v> </v>
      </c>
      <c r="O211" s="315" t="str">
        <f aca="false">IF(A211="N/A"," ",IF(OR(Dayrun=3,Dayrun=6,Dayrun=9),(VLOOKUP(A211,ScaledPrice,IF(AND(Dayrun&gt;=3,Dayrun&lt;=6),7,8))),0))</f>
        <v> </v>
      </c>
      <c r="P211" s="315" t="str">
        <f aca="false">IF(A211="N/A"," ",IF(OR(Dayrun=3,Dayrun=6,Dayrun=9),IF(AND(Dayrun&gt;=3,Dayrun&lt;=6),O211,(VLOOKUP(A211,ScaledPrice,7))*(2-(VLOOKUP(A211,ScaledPrice,3)))),0))</f>
        <v> </v>
      </c>
      <c r="Q211" s="315" t="str">
        <f aca="false">IF(A211="N/A"," ",IF(AND(Dayrun&gt;2,Dayrun&lt;=3),VLOOKUP(A211,ScaledPrice,9),0))</f>
        <v> </v>
      </c>
      <c r="R211" s="316" t="str">
        <f aca="false">IF($A211="N/A"," ",IF(Pricetype=2,MAX(I211-$H211,0),IF(Pricetype=1,(xSPRDOPT(I211,$E211,$CI211,0,($CD211+IF(Smile=TRUE(),VLOOKUP(MAX(-5,$H211-I211),Volsmile,2),0)),$CG211,$CH211,($A211-DateToday)+15,1,0)),I211-$H211)))</f>
        <v> </v>
      </c>
      <c r="S211" s="316" t="str">
        <f aca="false">IF($A211="N/A"," ",IF(Pricetype=2,MAX(J211-$H211,0),IF(Pricetype=1,(xSPRDOPT(J211,$E211,$CI211,0,($CD211+IF(Smile=TRUE(),VLOOKUP(MAX(-5,$H211-J211),Volsmile,2),0)),$CG211,$CH211,($A211-DateToday)+15,1,0)),J211-$H211)))</f>
        <v> </v>
      </c>
      <c r="T211" s="317" t="str">
        <f aca="false">IF($A211="N/A"," ",(IF(Pricetype=2,IF((K211-$H211)&lt;=0,0,(K211-$H211)),IF(K211&lt;&gt;0,(K211-$H211),0))))</f>
        <v> </v>
      </c>
      <c r="U211" s="316" t="str">
        <f aca="false">IF($A211="N/A"," ",IF(Pricetype=2,MAX(L211-$H211,0),IF(L211&lt;&gt;0,IF(Pricetype=1,(xSPRDOPT(L211,$E211,$CI211,0,($CD211+IF(Smile=TRUE(),VLOOKUP(MAX(-5,$H211-L211),Volsmile,2),0)),$CG211,$CH211,($A211-DateToday)+15,1,0)),L211-$H211),0)))</f>
        <v> </v>
      </c>
      <c r="V211" s="316" t="str">
        <f aca="false">IF($A211="N/A"," ",IF(Pricetype=2,MAX(M211-$H211,0),IF(M211&lt;&gt;0,IF(Pricetype=1,(xSPRDOPT(M211,$E211,$CI211,0,($CD211+IF(Smile=TRUE(),VLOOKUP(MAX(-5,$H211-M211),Volsmile,2),0)),$CG211,$CH211,($A211-DateToday)+15,1,0)),M211-$H211),0)))</f>
        <v> </v>
      </c>
      <c r="W211" s="317" t="str">
        <f aca="false">IF($A211="N/A"," ",(IF(Pricetype=2,IF((N211-$H211)&lt;=0,0,(N211-$H211)),IF(N211&lt;&gt;0,(N211-$H211),0))))</f>
        <v> </v>
      </c>
      <c r="X211" s="316" t="str">
        <f aca="false">IF($A211="N/A"," ",IF(Pricetype=2,MAX(O211-$H211,0),IF(O211&lt;&gt;0,IF(Pricetype=1,(xSPRDOPT(O211,$E211,$CI211,0,($CD211+IF(Smile=TRUE(),VLOOKUP(MAX(-5,$H211-O211),Volsmile,2),0)),$CG211,$CH211,($A211-DateToday)+15,1,0)),O211-$H211),0)))</f>
        <v> </v>
      </c>
      <c r="Y211" s="316" t="str">
        <f aca="false">IF($A211="N/A"," ",IF(Pricetype=2,MAX(P211-$H211,0),IF(P211&lt;&gt;0,IF(Pricetype=1,(xSPRDOPT(P211,$E211,$CI211,0,($CD211+IF(Smile=TRUE(),VLOOKUP(MAX(-5,$H211-P211),Volsmile,2),0)),$CG211,$CH211,($A211-DateToday)+15,1,0)),P211-$H211),0)))</f>
        <v> </v>
      </c>
      <c r="Z211" s="317" t="str">
        <f aca="false">IF($A211="N/A"," ",(IF(Pricetype=2,IF((Q211-$H211)&lt;=0,0,(Q211-$H211)),IF(Q211&lt;&gt;0,(Q211-$H211),0))))</f>
        <v> </v>
      </c>
      <c r="AA211" s="318" t="str">
        <f aca="false">IF($A211="N/A"," ",IF(VLOOKUP(MONTH(A211),ManualTable,2)=1,(IF(0&lt;&gt;R211,IF(Pricetype=1,(xSPRDOPT(I211,$E211,$CI211,0,($CD211+IF(Smile=TRUE(),VLOOKUP(MAX(-5,$H211-I211),Volsmile,2),0)),$CG211,$CH211,($A211-DateToday)+15,1,1))*(8*$HD211),8*$HD211),0)),0))</f>
        <v> </v>
      </c>
      <c r="AB211" s="318" t="str">
        <f aca="false">IF($A211="N/A"," ",IF(VLOOKUP(MONTH(A211),ManualTable,3)=1,(IF(S211&lt;&gt;0,IF(Pricetype=1,(xSPRDOPT(J211,$E211,$CI211,0,($CD211+IF(Smile=TRUE(),VLOOKUP(MAX(-5,$H211-J211),Volsmile,2),0)),$CG211,$CH211,($A211-DateToday)+15,1,1))*(8*$HD211),8*$HD211),0)),0))</f>
        <v> </v>
      </c>
      <c r="AC211" s="318" t="str">
        <f aca="false">IF($A211="N/A"," ",IF(VLOOKUP(MONTH(A211),ManualTable,4)=1,(IF(T211&lt;&gt;0,(8*$HD211),0)),0))</f>
        <v> </v>
      </c>
      <c r="AD211" s="318" t="str">
        <f aca="false">IF($A211="N/A"," ",IF(VLOOKUP(MONTH(A211),ManualTable,5)=1,(IF(U211&lt;&gt;0,IF(Pricetype=1,(xSPRDOPT(L211,$E211,$CI211,0,($CD211+IF(Smile=TRUE(),VLOOKUP(MAX(-5,$H211-L211),Volsmile,2),0)),$CG211,$CH211,($A211-DateToday)+15,1,1))*(8*$HE211),8*$HE211),0)),0))</f>
        <v> </v>
      </c>
      <c r="AE211" s="318" t="str">
        <f aca="false">IF($A211="N/A"," ",IF(VLOOKUP(MONTH(A211),ManualTable,6)=1,(IF(V211&lt;&gt;0,IF(Pricetype=1,(xSPRDOPT(M211,$E211,$CI211,0,($CD211+IF(Smile=TRUE(),VLOOKUP(MAX(-5,$H211-M211),Volsmile,2),0)),$CG211,$CH211,($A211-DateToday)+15,1,1))*(8*$HE211),8*$HE211),0)),0))</f>
        <v> </v>
      </c>
      <c r="AF211" s="318" t="str">
        <f aca="false">IF($A211="N/A"," ",IF(VLOOKUP(MONTH(A211),ManualTable,7)=1,(IF(W211&lt;&gt;0,(8*$HE211),0)),0))</f>
        <v> </v>
      </c>
      <c r="AG211" s="318" t="str">
        <f aca="false">IF($A211="N/A"," ",IF(VLOOKUP(MONTH(A211),ManualTable,8)=1,(IF(X211&lt;&gt;0,IF(Pricetype=1,(xSPRDOPT(O211,$E211,$CI211,0,($CD211+IF(Smile=TRUE(),VLOOKUP(MAX(-5,$H211-O211),Volsmile,2),0)),$CG211,$CH211,($A211-DateToday)+15,1,1))*(8*$HF211),8*$HF211),0)),0))</f>
        <v> </v>
      </c>
      <c r="AH211" s="318" t="str">
        <f aca="false">IF($A211="N/A"," ",IF(VLOOKUP(MONTH(A211),ManualTable,9)=1,(IF(Y211&lt;&gt;0,IF(Pricetype=1,(xSPRDOPT(P211,$E211,$CI211,0,($CD211+IF(Smile=TRUE(),VLOOKUP(MAX(-5,$H211-P211),Volsmile,2),0)),$CG211,$CH211,($A211-DateToday)+15,1,1))*(8*$HF211),8*$HF211),0)),0))</f>
        <v> </v>
      </c>
      <c r="AI211" s="318" t="str">
        <f aca="false">IF($A211="N/A"," ",IF(VLOOKUP(MONTH(A211),ManualTable,10)=1,(IF(Z211&lt;&gt;0,(8*($HF211)),0)),0))</f>
        <v> </v>
      </c>
      <c r="AJ211" s="344" t="str">
        <f aca="false">IF($A211="N/A"," ",RANK(R211,$R$208:$Z$219))</f>
        <v> </v>
      </c>
      <c r="AK211" s="321" t="str">
        <f aca="false">IF($A211="N/A"," ",RANK(S211,$R$208:$Z$219))</f>
        <v> </v>
      </c>
      <c r="AL211" s="321" t="str">
        <f aca="false">IF($A211="N/A"," ",RANK(T211,$R$208:$Z$219))</f>
        <v> </v>
      </c>
      <c r="AM211" s="321" t="str">
        <f aca="false">IF($A211="N/A"," ",RANK(U211,$R$208:$Z$219))</f>
        <v> </v>
      </c>
      <c r="AN211" s="321" t="str">
        <f aca="false">IF($A211="N/A"," ",RANK(V211,$R$208:$Z$219))</f>
        <v> </v>
      </c>
      <c r="AO211" s="321" t="str">
        <f aca="false">IF($A211="N/A"," ",RANK(W211,$R$208:$Z$219))</f>
        <v> </v>
      </c>
      <c r="AP211" s="321" t="str">
        <f aca="false">IF($A211="N/A"," ",RANK(X211,$R$208:$Z$219))</f>
        <v> </v>
      </c>
      <c r="AQ211" s="321" t="str">
        <f aca="false">IF($A211="N/A"," ",RANK(Y211,$R$208:$Z$219))</f>
        <v> </v>
      </c>
      <c r="AR211" s="345" t="str">
        <f aca="false">IF($A211="N/A"," ",RANK(Z211,$R$208:$Z$219))</f>
        <v> </v>
      </c>
      <c r="AS211" s="323" t="str">
        <f aca="false">IF($A211="N/A"," ",IF(AJ211&lt;=$AR$2,AA211,0))</f>
        <v> </v>
      </c>
      <c r="AT211" s="325" t="str">
        <f aca="false">IF($A211="N/A"," ",IF(AK211&lt;=$AR$2,AB211,0))</f>
        <v> </v>
      </c>
      <c r="AU211" s="325" t="str">
        <f aca="false">IF($A211="N/A"," ",IF(AL211&lt;=$AR$2,AC211,0))</f>
        <v> </v>
      </c>
      <c r="AV211" s="325" t="str">
        <f aca="false">IF($A211="N/A"," ",IF(AM211&lt;=$AR$2,AD211,0))</f>
        <v> </v>
      </c>
      <c r="AW211" s="325" t="str">
        <f aca="false">IF($A211="N/A"," ",IF(AN211&lt;=$AR$2,AE211,0))</f>
        <v> </v>
      </c>
      <c r="AX211" s="325" t="str">
        <f aca="false">IF($A211="N/A"," ",IF(AO211&lt;=$AR$2,AF211,0))</f>
        <v> </v>
      </c>
      <c r="AY211" s="325" t="str">
        <f aca="false">IF($A211="N/A"," ",IF(AP211&lt;=$AR$2,AG211,0))</f>
        <v> </v>
      </c>
      <c r="AZ211" s="325" t="str">
        <f aca="false">IF($A211="N/A"," ",IF(AQ211&lt;=$AR$2,AH211,0))</f>
        <v> </v>
      </c>
      <c r="BA211" s="325" t="str">
        <f aca="false">IF($A211="N/A"," ",IF(AR211&lt;=$AR$2,AI211,0))</f>
        <v> </v>
      </c>
      <c r="BB211" s="345"/>
      <c r="BC211" s="326" t="str">
        <f aca="false">IF($A211="N/A"," ",IF(AND(AJ211=$AR$2+1,AS211=0),MIN($BB$219,AA211),0))</f>
        <v> </v>
      </c>
      <c r="BD211" s="346" t="str">
        <f aca="false">IF($A211="N/A"," ",IF(AND(AK211=$AR$2+1,AT211=0),MIN($BB$219,AB211),0))</f>
        <v> </v>
      </c>
      <c r="BE211" s="346" t="str">
        <f aca="false">IF($A211="N/A"," ",IF(AND(AL211=$AR$2+1,AU211=0),MIN($BB$219,AC211),0))</f>
        <v> </v>
      </c>
      <c r="BF211" s="346" t="str">
        <f aca="false">IF($A211="N/A"," ",IF(AND(AM211=$AR$2+1,AV211=0),MIN($BB$219,AD211),0))</f>
        <v> </v>
      </c>
      <c r="BG211" s="346" t="str">
        <f aca="false">IF($A211="N/A"," ",IF(AND(AN211=$AR$2+1,AW211=0),MIN($BB$219,AE211),0))</f>
        <v> </v>
      </c>
      <c r="BH211" s="346" t="str">
        <f aca="false">IF($A211="N/A"," ",IF(AND(AO211=$AR$2+1,AX211=0),MIN($BB$219,AF211),0))</f>
        <v> </v>
      </c>
      <c r="BI211" s="346" t="str">
        <f aca="false">IF($A211="N/A"," ",IF(AND(AP211=$AR$2+1,AY211=0),MIN($BB$219,AG211),0))</f>
        <v> </v>
      </c>
      <c r="BJ211" s="346" t="str">
        <f aca="false">IF($A211="N/A"," ",IF(AND(AQ211=$AR$2+1,AZ211=0),MIN($BB$219,AH211),0))</f>
        <v> </v>
      </c>
      <c r="BK211" s="346" t="str">
        <f aca="false">IF($A211="N/A"," ",IF(AND(AR211=$AR$2+1,BA211=0),MIN($BB$219,AI211),0))</f>
        <v> </v>
      </c>
      <c r="BL211" s="345"/>
      <c r="BM211" s="329" t="str">
        <f aca="false">IF($A211="N/A"," ",(IF(MONTH(A211)&gt;=4,IF(MONTH(A211)&lt;=10,Inputs!$F$13-Inputs!$G$13,Inputs!$F$14-Inputs!$G$14),Inputs!$F$14-Inputs!$G$14))*$CK211*Availability)</f>
        <v> </v>
      </c>
      <c r="BN211" s="330" t="str">
        <f aca="false">IF($A211="N/A"," ",(IF(AS211&gt;0,($BM211*(8*($HD211))*R211),0)+IF(BC211&gt;0,($BM211*((BC211/AA211)*8*$HD211)*R211),0)))</f>
        <v> </v>
      </c>
      <c r="BO211" s="330" t="str">
        <f aca="false">IF($A211="N/A"," ",(IF(AT211&gt;0,($BM211*(8*($HD211))*S211),0)+IF(BD211&gt;0,($BM211*((BD211/AB211)*8*$HD211)*S211),0)))</f>
        <v> </v>
      </c>
      <c r="BP211" s="330" t="str">
        <f aca="false">IF($A211="N/A"," ",(IF(AU211&gt;0,($BM211*(8*($HD211))*T211),0)+IF(BE211&gt;0,($BM211*((BE211))*T211),0)))</f>
        <v> </v>
      </c>
      <c r="BQ211" s="330" t="str">
        <f aca="false">IF($A211="N/A"," ",(IF(AV211&gt;0,($BM211*(8*($HE211))*U211),0)+IF(BF211&gt;0,($BM211*((BF211/AD211)*8*$HE211)*U211),0)))</f>
        <v> </v>
      </c>
      <c r="BR211" s="330" t="str">
        <f aca="false">IF($A211="N/A"," ",(IF(AW211&gt;0,($BM211*(8*($HE211))*V211),0)+IF(BG211&gt;0,($BM211*((BG211/AE211)*8*$HE211)*V211),0)))</f>
        <v> </v>
      </c>
      <c r="BS211" s="330" t="str">
        <f aca="false">IF($A211="N/A"," ",(IF(AX211&gt;0,($BM211*(8*($HE211))*W211),0)+IF(BH211&gt;0,($BM211*((BH211))*W211),0)))</f>
        <v> </v>
      </c>
      <c r="BT211" s="330" t="str">
        <f aca="false">IF($A211="N/A"," ",(IF(AY211&gt;0,($BM211*(8*($HF211))*X211),0)+IF(BI211&gt;0,($BM211*((BI211/AG211)*8*$HF211)*X211),0)))</f>
        <v> </v>
      </c>
      <c r="BU211" s="330" t="str">
        <f aca="false">IF($A211="N/A"," ",(IF(AZ211&gt;0,($BM211*(8*($HF211))*Y211),0)+IF(BJ211&gt;0,($BM211*((BJ211/AH211)*8*$HF211)*Y211),0)))</f>
        <v> </v>
      </c>
      <c r="BV211" s="330" t="str">
        <f aca="false">IF($A211="N/A"," ",(IF(BA211&gt;0,($BM211*(8*($HF211))*Z211),0)+IF(BK211&gt;0,($BM211*((BK211))*Z211),0)))</f>
        <v> </v>
      </c>
      <c r="BW211" s="330" t="str">
        <f aca="false">IF($A211="N/A"," ",SUM(BN211:BV211))</f>
        <v> </v>
      </c>
      <c r="BX211" s="331" t="str">
        <f aca="false">IF($A211="N/A"," ",(H211*(SUM(AS211:BA211)+SUM(BC211:BK211))*BM211))</f>
        <v> </v>
      </c>
      <c r="BY211" s="332" t="str">
        <f aca="false">IF($A211="N/A"," ",((C211*D211)*(SUM($AS211:$BA211)+SUM($BC211:$BK211))*$BM211))</f>
        <v> </v>
      </c>
      <c r="BZ211" s="332" t="str">
        <f aca="false">IF($A211="N/A"," ",(F211*(SUM($AS211:$BA211)+SUM($BC211:$BK211))*$BM211))</f>
        <v> </v>
      </c>
      <c r="CA211" s="333" t="str">
        <f aca="false">IF($A211="N/A"," ",(G211*(SUM($AS211:$BA211)+SUM($BC211:$BK211))*$BM211))</f>
        <v> </v>
      </c>
      <c r="CB211" s="334" t="str">
        <f aca="false">IF(A211="N/A"," ",(VLOOKUP(A211,PowerVolTable,(IF(BMO=2,7,IF(BMO=1,6,8))),FALSE())))</f>
        <v> </v>
      </c>
      <c r="CC211" s="334" t="str">
        <f aca="false">IF(A211="N/A"," ",(VLOOKUP(A211,IntraPowerVol,(IF(BMO=2,3,IF(BMO=1,2,4))),FALSE())*VLOOKUP(MONTH($A211),Volscale,2)))</f>
        <v> </v>
      </c>
      <c r="CD211" s="335" t="str">
        <f aca="false">IF($A211="N/A"," ",(IF(DateToday&gt;$A211,$CC211,((($CB211^2)*((($A211-1)-DateToday)/((EOMONTH($A211,0)+1)-DateToday-15)))+((($CC211)^2)*((15)/((EOMONTH($A211,0)+1)-DateToday-15))))^0.5)))</f>
        <v> </v>
      </c>
      <c r="CE211" s="334" t="str">
        <f aca="false">IF($A211="N/A"," ",(VLOOKUP($A211,GasVolTable,(IF(BMO=2,6,IF(BMO=1,7,5))),FALSE())))</f>
        <v> </v>
      </c>
      <c r="CF211" s="334" t="str">
        <f aca="false">IF($A211="N/A"," ",(VLOOKUP($A211,OmicronVol,(IF(BMO=2,3,IF(BMO=1,4,2))),FALSE())))</f>
        <v> </v>
      </c>
      <c r="CG211" s="335" t="str">
        <f aca="false">IF($A211="N/A"," ",(IF(DateToday&gt;$A211,$CF211,((($CE211^2)*((($A211-1)-DateToday)/((EOMONTH($A211,0)+1)-DateToday-15)))+((($CF211)^2)*((15)/((EOMONTH($A211,0)+1)-DateToday-15))))^0.5)))</f>
        <v> </v>
      </c>
      <c r="CH211" s="334" t="str">
        <f aca="false">IF($A211="N/A"," ",VLOOKUP($A211,CorrelationTable,2,FALSE()))</f>
        <v> </v>
      </c>
      <c r="CI211" s="336" t="str">
        <f aca="false">IF($A211="N/A"," ",F211+G211+(D211*('Pricing Inputs'!T244)))</f>
        <v> </v>
      </c>
      <c r="CJ211" s="334" t="str">
        <f aca="false">IF($A211="N/A"," ",IF(PV=1,0,'Pricing Inputs'!U244))</f>
        <v> </v>
      </c>
      <c r="CK211" s="337" t="str">
        <f aca="false">IF($A211="N/A"," ",(1+CJ211/2)^(-2*((EOMONTH(A211,0)+20)-DateToday)/365.25))</f>
        <v> </v>
      </c>
      <c r="CL211" s="338" t="str">
        <f aca="false">IF(A211="N/A"," ",IF(CC=2,(VLOOKUP(MONTH($A211),Hrtable,3))/1000,0))</f>
        <v> </v>
      </c>
      <c r="CM211" s="339" t="str">
        <f aca="false">IF(A211="N/A"," ",IF(CC=2,(CL211*C211)+F211,0))</f>
        <v> </v>
      </c>
      <c r="CN211" s="340" t="str">
        <f aca="false">IF($A211="N/A"," ",IF(CC=2,(VLOOKUP(A211,ScaledPrice,(IF(AND(Dayrun&gt;=1,Dayrun&lt;=6),2,4)))-((IF(R211&lt;&gt;0,$D211,$CL211)*$C211)+$F211+$G211)),0))</f>
        <v> </v>
      </c>
      <c r="CO211" s="340" t="str">
        <f aca="false">IF($A211="N/A"," ",IF(CC=2,(IF(AND(Dayrun&gt;=1,Dayrun&lt;=6),I211,(VLOOKUP(A211,ScaledPrice,2))*(2-(VLOOKUP(A211,ScaledPrice,3))))-((IF(S211&lt;&gt;0,$D211,$CL211)*$C211)+$F211+$G211)),0))</f>
        <v> </v>
      </c>
      <c r="CP211" s="340" t="str">
        <f aca="false">IF(A211="N/A"," ",IF(CC=2,(VLOOKUP(A211,ScaledPrice,9)-((IF(T211&lt;&gt;0,$D211,$CL211)*$C211)+$F211+$G211)),0))</f>
        <v> </v>
      </c>
      <c r="CQ211" s="340" t="str">
        <f aca="false">IF(A211="N/A"," ",IF(CC=2,(IF(OR(Dayrun=2,Dayrun=3,Dayrun=5,Dayrun=6,Dayrun=8,Dayrun=9),VLOOKUP(A211,ScaledPrice,IF(AND(Dayrun&gt;=2,Dayrun&lt;=6),5,6)),0)-((IF(U211&lt;&gt;0,$D211,$CL211)*$C211)+$F211+$G211)),0))</f>
        <v> </v>
      </c>
      <c r="CR211" s="340" t="str">
        <f aca="false">IF(A211="N/A"," ",IF(CC=2,(IF(OR(Dayrun=2,Dayrun=3,Dayrun=5,Dayrun=6,Dayrun=8,Dayrun=9),IF(AND(Dayrun&gt;=2,Dayrun&lt;=6),L211,(VLOOKUP(A211,ScaledPrice,5))*(2-(VLOOKUP(A211,ScaledPrice,3)))),0)-((IF(V211&lt;&gt;0,$D211,$CL211)*$C211)+$F211+$G211)),0))</f>
        <v> </v>
      </c>
      <c r="CS211" s="340" t="str">
        <f aca="false">IF(A211="N/A"," ",IF(CC=2,(VLOOKUP(A211,ScaledPrice,9)-((IF(W211&lt;&gt;0,$D211,$CL211)*$C211)+$F211+$G211)),0))</f>
        <v> </v>
      </c>
      <c r="CT211" s="340" t="str">
        <f aca="false">IF(A211="N/A"," ",IF(CC=2,(IF(OR(Dayrun=3,Dayrun=6,Dayrun=9),(VLOOKUP(A211,ScaledPrice,IF(AND(Dayrun&gt;=3,Dayrun&lt;=6),7,8))),0)-((IF(X211&lt;&gt;0,$D211,$CL211)*$C211)+$F211+$G211)),0))</f>
        <v> </v>
      </c>
      <c r="CU211" s="340" t="str">
        <f aca="false">IF(A211="N/A"," ",IF(CC=2,(IF(OR(Dayrun=3,Dayrun=6,Dayrun=9),IF(AND(Dayrun&gt;=3,Dayrun&lt;=6),O211,(VLOOKUP(A211,ScaledPrice,7))*(2-(VLOOKUP(A211,ScaledPrice,3)))),0)-((IF(Y211&lt;&gt;0,$D211,$CL211)*$C211)+$F211+$G211)),0))</f>
        <v> </v>
      </c>
      <c r="CV211" s="340" t="str">
        <f aca="false">IF(A211="N/A"," ",IF(CC=2,(VLOOKUP(A211,ScaledPrice,9)-((IF(Z211&lt;&gt;0,$D211,$CL211)*$C211)+$F211+$G211)),0))</f>
        <v> </v>
      </c>
      <c r="CW211" s="318" t="str">
        <f aca="false">IF($A211="N/A"," ",IF(0&lt;&gt;CN211,IF(CC=2,8*$HD211,0),0))</f>
        <v> </v>
      </c>
      <c r="CX211" s="318" t="str">
        <f aca="false">IF($A211="N/A"," ",IF(0&lt;&gt;CO211,IF(CC=2,8*$HD211,0),0))</f>
        <v> </v>
      </c>
      <c r="CY211" s="318" t="str">
        <f aca="false">IF($A211="N/A"," ",IF(0&lt;&gt;CP211,IF(CC=2,8*$HD211,0),0))</f>
        <v> </v>
      </c>
      <c r="CZ211" s="318" t="str">
        <f aca="false">IF($A211="N/A"," ",IF(0&lt;&gt;CQ211,IF(CC=2,8*$HE211,0),0))</f>
        <v> </v>
      </c>
      <c r="DA211" s="318" t="str">
        <f aca="false">IF($A211="N/A"," ",IF(0&lt;&gt;CR211,IF(CC=2,8*$HE211,0),0))</f>
        <v> </v>
      </c>
      <c r="DB211" s="318" t="str">
        <f aca="false">IF($A211="N/A"," ",IF(0&lt;&gt;CS211,IF(CC=2,8*$HE211,0),0))</f>
        <v> </v>
      </c>
      <c r="DC211" s="318" t="str">
        <f aca="false">IF($A211="N/A"," ",IF(0&lt;&gt;CT211,IF(CC=2,8*$HF211,0),0))</f>
        <v> </v>
      </c>
      <c r="DD211" s="318" t="str">
        <f aca="false">IF($A211="N/A"," ",IF(0&lt;&gt;CU211,IF(CC=2,8*$HF211,0),0))</f>
        <v> </v>
      </c>
      <c r="DE211" s="318" t="str">
        <f aca="false">IF($A211="N/A"," ",IF(0&lt;&gt;CV211,IF(CC=2,8*$HF211,0),0))</f>
        <v> </v>
      </c>
      <c r="DF211" s="341" t="str">
        <f aca="false">IF($A211="N/A"," ",IF(CC=2,(IF(MONTH(A211)&gt;=4,IF(MONTH(A211)&lt;=10,Inputs!$G$13,Inputs!$G$14),Inputs!$G$14))*$CK211,0))</f>
        <v> </v>
      </c>
      <c r="DG211" s="342" t="str">
        <f aca="false">IF($A211="N/A"," ",IF(CC=2,$DF211*CW211*CN211,0))</f>
        <v> </v>
      </c>
      <c r="DH211" s="342" t="str">
        <f aca="false">IF($A211="N/A"," ",IF(CC=2,$DF211*CX211*CO211,0))</f>
        <v> </v>
      </c>
      <c r="DI211" s="342" t="str">
        <f aca="false">IF($A211="N/A"," ",IF(CC=2,$DF211*CY211*CP211,0))</f>
        <v> </v>
      </c>
      <c r="DJ211" s="342" t="str">
        <f aca="false">IF($A211="N/A"," ",IF(CC=2,$DF211*CZ211*CQ211,0))</f>
        <v> </v>
      </c>
      <c r="DK211" s="342" t="str">
        <f aca="false">IF($A211="N/A"," ",IF(CC=2,$DF211*DA211*CR211,0))</f>
        <v> </v>
      </c>
      <c r="DL211" s="342" t="str">
        <f aca="false">IF($A211="N/A"," ",IF(CC=2,$DF211*DB211*CS211,0))</f>
        <v> </v>
      </c>
      <c r="DM211" s="342" t="str">
        <f aca="false">IF($A211="N/A"," ",IF(CC=2,$DF211*DC211*CT211,0))</f>
        <v> </v>
      </c>
      <c r="DN211" s="342" t="str">
        <f aca="false">IF($A211="N/A"," ",IF(CC=2,$DF211*DD211*CU211,0))</f>
        <v> </v>
      </c>
      <c r="DO211" s="342" t="str">
        <f aca="false">IF($A211="N/A"," ",IF(CC=2,$DF211*DE211*CV211,0))</f>
        <v> </v>
      </c>
      <c r="DP211" s="343" t="str">
        <f aca="false">IF($A211="N/A"," ",IF(CC=2,SUM(DG211:DO211),0))</f>
        <v> </v>
      </c>
      <c r="DQ211" s="0" t="str">
        <f aca="false">IF(A211="N/A"," ",Perstart)</f>
        <v> </v>
      </c>
      <c r="HD211" s="0" t="str">
        <f aca="false">IF($A211="N/A"," ",VLOOKUP($A211,NumberofDaysTable,2))</f>
        <v> </v>
      </c>
      <c r="HE211" s="0" t="str">
        <f aca="false">IF($A211="N/A"," ",VLOOKUP($A211,NumberofDaysTable,3))</f>
        <v> </v>
      </c>
      <c r="HF211" s="0" t="str">
        <f aca="false">IF($A211="N/A"," ",VLOOKUP($A211,NumberofDaysTable,4))</f>
        <v> </v>
      </c>
    </row>
    <row r="212" customFormat="false" ht="12.75" hidden="false" customHeight="false" outlineLevel="0" collapsed="false">
      <c r="A212" s="308" t="str">
        <f aca="false">IF(A211="N/A","N/A",IF(EDATE(A211,1)&gt;Inputs!$K$3,"N/A",EDATE(A211,1)))</f>
        <v>N/A</v>
      </c>
      <c r="B212" s="309" t="str">
        <f aca="false">IF(A212="N/A"," ",YEAR(A212))</f>
        <v> </v>
      </c>
      <c r="C212" s="310" t="str">
        <f aca="false">IF(A212="N/A"," ",VLOOKUP(A212,ScaledPrice,10))</f>
        <v> </v>
      </c>
      <c r="D212" s="311" t="str">
        <f aca="false">IF(A212="N/A"," ",(VLOOKUP(MONTH($A212),Hrtable,2))/1000)</f>
        <v> </v>
      </c>
      <c r="E212" s="312" t="str">
        <f aca="false">IF($A212="N/A"," ",(C212-'Pricing Inputs'!T245)*D212)</f>
        <v> </v>
      </c>
      <c r="F212" s="313" t="str">
        <f aca="false">IF(A212="N/A"," ",$F200*(1+VOMesc))</f>
        <v> </v>
      </c>
      <c r="G212" s="313" t="str">
        <f aca="false">IF(A212="N/A"," ",Perstart/IF(AND(Dayrun&gt;=4,Dayrun&lt;=6),16,IF(AND(Dayrun&gt;=7,Dayrun&lt;=9),8,24))/(BM212/CK212))</f>
        <v> </v>
      </c>
      <c r="H212" s="314" t="str">
        <f aca="false">IF(A212="N/A"," ",(C212*D212)+F212+G212)</f>
        <v> </v>
      </c>
      <c r="I212" s="315" t="str">
        <f aca="false">VLOOKUP(A212,ScaledPrice,(IF(AND(Dayrun&gt;=1,Dayrun&lt;=6),2,4)))</f>
        <v> </v>
      </c>
      <c r="J212" s="315" t="str">
        <f aca="false">IF(A212="N/A"," ",IF(AND(Dayrun&gt;=1,Dayrun&lt;=6),I212,(VLOOKUP(A212,ScaledPrice,2))*(2-(VLOOKUP(A212,ScaledPrice,3)))))</f>
        <v> </v>
      </c>
      <c r="K212" s="315" t="str">
        <f aca="false">IF(A212="N/A"," ",IF(AND(Dayrun&gt;=1,Dayrun&lt;=3),VLOOKUP(A212,ScaledPrice,9),0))</f>
        <v> </v>
      </c>
      <c r="L212" s="315" t="str">
        <f aca="false">IF(A212="N/A"," ",IF(OR(Dayrun=2,Dayrun=3,Dayrun=5,Dayrun=6,Dayrun=8,Dayrun=9),VLOOKUP(A212,ScaledPrice,IF(AND(Dayrun&gt;=2,Dayrun&lt;=6),5,6)),0))</f>
        <v> </v>
      </c>
      <c r="M212" s="315" t="str">
        <f aca="false">IF(A212="N/A"," ",IF(OR(Dayrun=2,Dayrun=3,Dayrun=5,Dayrun=6,Dayrun=8,Dayrun=9),IF(AND(Dayrun&gt;=2,Dayrun&lt;=6),L212,(VLOOKUP(A212,ScaledPrice,5))*(2-(VLOOKUP(A212,ScaledPrice,3)))),0))</f>
        <v> </v>
      </c>
      <c r="N212" s="315" t="str">
        <f aca="false">IF(A212="N/A"," ",IF(AND(Dayrun&gt;1,Dayrun&lt;=3),VLOOKUP(A212,ScaledPrice,9),0))</f>
        <v> </v>
      </c>
      <c r="O212" s="315" t="str">
        <f aca="false">IF(A212="N/A"," ",IF(OR(Dayrun=3,Dayrun=6,Dayrun=9),(VLOOKUP(A212,ScaledPrice,IF(AND(Dayrun&gt;=3,Dayrun&lt;=6),7,8))),0))</f>
        <v> </v>
      </c>
      <c r="P212" s="315" t="str">
        <f aca="false">IF(A212="N/A"," ",IF(OR(Dayrun=3,Dayrun=6,Dayrun=9),IF(AND(Dayrun&gt;=3,Dayrun&lt;=6),O212,(VLOOKUP(A212,ScaledPrice,7))*(2-(VLOOKUP(A212,ScaledPrice,3)))),0))</f>
        <v> </v>
      </c>
      <c r="Q212" s="315" t="str">
        <f aca="false">IF(A212="N/A"," ",IF(AND(Dayrun&gt;2,Dayrun&lt;=3),VLOOKUP(A212,ScaledPrice,9),0))</f>
        <v> </v>
      </c>
      <c r="R212" s="316" t="str">
        <f aca="false">IF($A212="N/A"," ",IF(Pricetype=2,MAX(I212-$H212,0),IF(Pricetype=1,(xSPRDOPT(I212,$E212,$CI212,0,($CD212+IF(Smile=TRUE(),VLOOKUP(MAX(-5,$H212-I212),Volsmile,2),0)),$CG212,$CH212,($A212-DateToday)+15,1,0)),I212-$H212)))</f>
        <v> </v>
      </c>
      <c r="S212" s="316" t="str">
        <f aca="false">IF($A212="N/A"," ",IF(Pricetype=2,MAX(J212-$H212,0),IF(Pricetype=1,(xSPRDOPT(J212,$E212,$CI212,0,($CD212+IF(Smile=TRUE(),VLOOKUP(MAX(-5,$H212-J212),Volsmile,2),0)),$CG212,$CH212,($A212-DateToday)+15,1,0)),J212-$H212)))</f>
        <v> </v>
      </c>
      <c r="T212" s="317" t="str">
        <f aca="false">IF($A212="N/A"," ",(IF(Pricetype=2,IF((K212-$H212)&lt;=0,0,(K212-$H212)),IF(K212&lt;&gt;0,(K212-$H212),0))))</f>
        <v> </v>
      </c>
      <c r="U212" s="316" t="str">
        <f aca="false">IF($A212="N/A"," ",IF(Pricetype=2,MAX(L212-$H212,0),IF(L212&lt;&gt;0,IF(Pricetype=1,(xSPRDOPT(L212,$E212,$CI212,0,($CD212+IF(Smile=TRUE(),VLOOKUP(MAX(-5,$H212-L212),Volsmile,2),0)),$CG212,$CH212,($A212-DateToday)+15,1,0)),L212-$H212),0)))</f>
        <v> </v>
      </c>
      <c r="V212" s="316" t="str">
        <f aca="false">IF($A212="N/A"," ",IF(Pricetype=2,MAX(M212-$H212,0),IF(M212&lt;&gt;0,IF(Pricetype=1,(xSPRDOPT(M212,$E212,$CI212,0,($CD212+IF(Smile=TRUE(),VLOOKUP(MAX(-5,$H212-M212),Volsmile,2),0)),$CG212,$CH212,($A212-DateToday)+15,1,0)),M212-$H212),0)))</f>
        <v> </v>
      </c>
      <c r="W212" s="317" t="str">
        <f aca="false">IF($A212="N/A"," ",(IF(Pricetype=2,IF((N212-$H212)&lt;=0,0,(N212-$H212)),IF(N212&lt;&gt;0,(N212-$H212),0))))</f>
        <v> </v>
      </c>
      <c r="X212" s="316" t="str">
        <f aca="false">IF($A212="N/A"," ",IF(Pricetype=2,MAX(O212-$H212,0),IF(O212&lt;&gt;0,IF(Pricetype=1,(xSPRDOPT(O212,$E212,$CI212,0,($CD212+IF(Smile=TRUE(),VLOOKUP(MAX(-5,$H212-O212),Volsmile,2),0)),$CG212,$CH212,($A212-DateToday)+15,1,0)),O212-$H212),0)))</f>
        <v> </v>
      </c>
      <c r="Y212" s="316" t="str">
        <f aca="false">IF($A212="N/A"," ",IF(Pricetype=2,MAX(P212-$H212,0),IF(P212&lt;&gt;0,IF(Pricetype=1,(xSPRDOPT(P212,$E212,$CI212,0,($CD212+IF(Smile=TRUE(),VLOOKUP(MAX(-5,$H212-P212),Volsmile,2),0)),$CG212,$CH212,($A212-DateToday)+15,1,0)),P212-$H212),0)))</f>
        <v> </v>
      </c>
      <c r="Z212" s="317" t="str">
        <f aca="false">IF($A212="N/A"," ",(IF(Pricetype=2,IF((Q212-$H212)&lt;=0,0,(Q212-$H212)),IF(Q212&lt;&gt;0,(Q212-$H212),0))))</f>
        <v> </v>
      </c>
      <c r="AA212" s="318" t="str">
        <f aca="false">IF($A212="N/A"," ",IF(VLOOKUP(MONTH(A212),ManualTable,2)=1,(IF(0&lt;&gt;R212,IF(Pricetype=1,(xSPRDOPT(I212,$E212,$CI212,0,($CD212+IF(Smile=TRUE(),VLOOKUP(MAX(-5,$H212-I212),Volsmile,2),0)),$CG212,$CH212,($A212-DateToday)+15,1,1))*(8*$HD212),8*$HD212),0)),0))</f>
        <v> </v>
      </c>
      <c r="AB212" s="318" t="str">
        <f aca="false">IF($A212="N/A"," ",IF(VLOOKUP(MONTH(A212),ManualTable,3)=1,(IF(S212&lt;&gt;0,IF(Pricetype=1,(xSPRDOPT(J212,$E212,$CI212,0,($CD212+IF(Smile=TRUE(),VLOOKUP(MAX(-5,$H212-J212),Volsmile,2),0)),$CG212,$CH212,($A212-DateToday)+15,1,1))*(8*$HD212),8*$HD212),0)),0))</f>
        <v> </v>
      </c>
      <c r="AC212" s="318" t="str">
        <f aca="false">IF($A212="N/A"," ",IF(VLOOKUP(MONTH(A212),ManualTable,4)=1,(IF(T212&lt;&gt;0,(8*$HD212),0)),0))</f>
        <v> </v>
      </c>
      <c r="AD212" s="318" t="str">
        <f aca="false">IF($A212="N/A"," ",IF(VLOOKUP(MONTH(A212),ManualTable,5)=1,(IF(U212&lt;&gt;0,IF(Pricetype=1,(xSPRDOPT(L212,$E212,$CI212,0,($CD212+IF(Smile=TRUE(),VLOOKUP(MAX(-5,$H212-L212),Volsmile,2),0)),$CG212,$CH212,($A212-DateToday)+15,1,1))*(8*$HE212),8*$HE212),0)),0))</f>
        <v> </v>
      </c>
      <c r="AE212" s="318" t="str">
        <f aca="false">IF($A212="N/A"," ",IF(VLOOKUP(MONTH(A212),ManualTable,6)=1,(IF(V212&lt;&gt;0,IF(Pricetype=1,(xSPRDOPT(M212,$E212,$CI212,0,($CD212+IF(Smile=TRUE(),VLOOKUP(MAX(-5,$H212-M212),Volsmile,2),0)),$CG212,$CH212,($A212-DateToday)+15,1,1))*(8*$HE212),8*$HE212),0)),0))</f>
        <v> </v>
      </c>
      <c r="AF212" s="318" t="str">
        <f aca="false">IF($A212="N/A"," ",IF(VLOOKUP(MONTH(A212),ManualTable,7)=1,(IF(W212&lt;&gt;0,(8*$HE212),0)),0))</f>
        <v> </v>
      </c>
      <c r="AG212" s="318" t="str">
        <f aca="false">IF($A212="N/A"," ",IF(VLOOKUP(MONTH(A212),ManualTable,8)=1,(IF(X212&lt;&gt;0,IF(Pricetype=1,(xSPRDOPT(O212,$E212,$CI212,0,($CD212+IF(Smile=TRUE(),VLOOKUP(MAX(-5,$H212-O212),Volsmile,2),0)),$CG212,$CH212,($A212-DateToday)+15,1,1))*(8*$HF212),8*$HF212),0)),0))</f>
        <v> </v>
      </c>
      <c r="AH212" s="318" t="str">
        <f aca="false">IF($A212="N/A"," ",IF(VLOOKUP(MONTH(A212),ManualTable,9)=1,(IF(Y212&lt;&gt;0,IF(Pricetype=1,(xSPRDOPT(P212,$E212,$CI212,0,($CD212+IF(Smile=TRUE(),VLOOKUP(MAX(-5,$H212-P212),Volsmile,2),0)),$CG212,$CH212,($A212-DateToday)+15,1,1))*(8*$HF212),8*$HF212),0)),0))</f>
        <v> </v>
      </c>
      <c r="AI212" s="318" t="str">
        <f aca="false">IF($A212="N/A"," ",IF(VLOOKUP(MONTH(A212),ManualTable,10)=1,(IF(Z212&lt;&gt;0,(8*($HF212)),0)),0))</f>
        <v> </v>
      </c>
      <c r="AJ212" s="344" t="str">
        <f aca="false">IF($A212="N/A"," ",RANK(R212,$R$208:$Z$219))</f>
        <v> </v>
      </c>
      <c r="AK212" s="321" t="str">
        <f aca="false">IF($A212="N/A"," ",RANK(S212,$R$208:$Z$219))</f>
        <v> </v>
      </c>
      <c r="AL212" s="321" t="str">
        <f aca="false">IF($A212="N/A"," ",RANK(T212,$R$208:$Z$219))</f>
        <v> </v>
      </c>
      <c r="AM212" s="321" t="str">
        <f aca="false">IF($A212="N/A"," ",RANK(U212,$R$208:$Z$219))</f>
        <v> </v>
      </c>
      <c r="AN212" s="321" t="str">
        <f aca="false">IF($A212="N/A"," ",RANK(V212,$R$208:$Z$219))</f>
        <v> </v>
      </c>
      <c r="AO212" s="321" t="str">
        <f aca="false">IF($A212="N/A"," ",RANK(W212,$R$208:$Z$219))</f>
        <v> </v>
      </c>
      <c r="AP212" s="321" t="str">
        <f aca="false">IF($A212="N/A"," ",RANK(X212,$R$208:$Z$219))</f>
        <v> </v>
      </c>
      <c r="AQ212" s="321" t="str">
        <f aca="false">IF($A212="N/A"," ",RANK(Y212,$R$208:$Z$219))</f>
        <v> </v>
      </c>
      <c r="AR212" s="345" t="str">
        <f aca="false">IF($A212="N/A"," ",RANK(Z212,$R$208:$Z$219))</f>
        <v> </v>
      </c>
      <c r="AS212" s="323" t="str">
        <f aca="false">IF($A212="N/A"," ",IF(AJ212&lt;=$AR$2,AA212,0))</f>
        <v> </v>
      </c>
      <c r="AT212" s="325" t="str">
        <f aca="false">IF($A212="N/A"," ",IF(AK212&lt;=$AR$2,AB212,0))</f>
        <v> </v>
      </c>
      <c r="AU212" s="325" t="str">
        <f aca="false">IF($A212="N/A"," ",IF(AL212&lt;=$AR$2,AC212,0))</f>
        <v> </v>
      </c>
      <c r="AV212" s="325" t="str">
        <f aca="false">IF($A212="N/A"," ",IF(AM212&lt;=$AR$2,AD212,0))</f>
        <v> </v>
      </c>
      <c r="AW212" s="325" t="str">
        <f aca="false">IF($A212="N/A"," ",IF(AN212&lt;=$AR$2,AE212,0))</f>
        <v> </v>
      </c>
      <c r="AX212" s="325" t="str">
        <f aca="false">IF($A212="N/A"," ",IF(AO212&lt;=$AR$2,AF212,0))</f>
        <v> </v>
      </c>
      <c r="AY212" s="325" t="str">
        <f aca="false">IF($A212="N/A"," ",IF(AP212&lt;=$AR$2,AG212,0))</f>
        <v> </v>
      </c>
      <c r="AZ212" s="325" t="str">
        <f aca="false">IF($A212="N/A"," ",IF(AQ212&lt;=$AR$2,AH212,0))</f>
        <v> </v>
      </c>
      <c r="BA212" s="325" t="str">
        <f aca="false">IF($A212="N/A"," ",IF(AR212&lt;=$AR$2,AI212,0))</f>
        <v> </v>
      </c>
      <c r="BB212" s="345"/>
      <c r="BC212" s="326" t="str">
        <f aca="false">IF($A212="N/A"," ",IF(AND(AJ212=$AR$2+1,AS212=0),MIN($BB$219,AA212),0))</f>
        <v> </v>
      </c>
      <c r="BD212" s="346" t="str">
        <f aca="false">IF($A212="N/A"," ",IF(AND(AK212=$AR$2+1,AT212=0),MIN($BB$219,AB212),0))</f>
        <v> </v>
      </c>
      <c r="BE212" s="346" t="str">
        <f aca="false">IF($A212="N/A"," ",IF(AND(AL212=$AR$2+1,AU212=0),MIN($BB$219,AC212),0))</f>
        <v> </v>
      </c>
      <c r="BF212" s="346" t="str">
        <f aca="false">IF($A212="N/A"," ",IF(AND(AM212=$AR$2+1,AV212=0),MIN($BB$219,AD212),0))</f>
        <v> </v>
      </c>
      <c r="BG212" s="346" t="str">
        <f aca="false">IF($A212="N/A"," ",IF(AND(AN212=$AR$2+1,AW212=0),MIN($BB$219,AE212),0))</f>
        <v> </v>
      </c>
      <c r="BH212" s="346" t="str">
        <f aca="false">IF($A212="N/A"," ",IF(AND(AO212=$AR$2+1,AX212=0),MIN($BB$219,AF212),0))</f>
        <v> </v>
      </c>
      <c r="BI212" s="346" t="str">
        <f aca="false">IF($A212="N/A"," ",IF(AND(AP212=$AR$2+1,AY212=0),MIN($BB$219,AG212),0))</f>
        <v> </v>
      </c>
      <c r="BJ212" s="346" t="str">
        <f aca="false">IF($A212="N/A"," ",IF(AND(AQ212=$AR$2+1,AZ212=0),MIN($BB$219,AH212),0))</f>
        <v> </v>
      </c>
      <c r="BK212" s="346" t="str">
        <f aca="false">IF($A212="N/A"," ",IF(AND(AR212=$AR$2+1,BA212=0),MIN($BB$219,AI212),0))</f>
        <v> </v>
      </c>
      <c r="BL212" s="345"/>
      <c r="BM212" s="329" t="str">
        <f aca="false">IF($A212="N/A"," ",(IF(MONTH(A212)&gt;=4,IF(MONTH(A212)&lt;=10,Inputs!$F$13-Inputs!$G$13,Inputs!$F$14-Inputs!$G$14),Inputs!$F$14-Inputs!$G$14))*$CK212*Availability)</f>
        <v> </v>
      </c>
      <c r="BN212" s="330" t="str">
        <f aca="false">IF($A212="N/A"," ",(IF(AS212&gt;0,($BM212*(8*($HD212))*R212),0)+IF(BC212&gt;0,($BM212*((BC212/AA212)*8*$HD212)*R212),0)))</f>
        <v> </v>
      </c>
      <c r="BO212" s="330" t="str">
        <f aca="false">IF($A212="N/A"," ",(IF(AT212&gt;0,($BM212*(8*($HD212))*S212),0)+IF(BD212&gt;0,($BM212*((BD212/AB212)*8*$HD212)*S212),0)))</f>
        <v> </v>
      </c>
      <c r="BP212" s="330" t="str">
        <f aca="false">IF($A212="N/A"," ",(IF(AU212&gt;0,($BM212*(8*($HD212))*T212),0)+IF(BE212&gt;0,($BM212*((BE212))*T212),0)))</f>
        <v> </v>
      </c>
      <c r="BQ212" s="330" t="str">
        <f aca="false">IF($A212="N/A"," ",(IF(AV212&gt;0,($BM212*(8*($HE212))*U212),0)+IF(BF212&gt;0,($BM212*((BF212/AD212)*8*$HE212)*U212),0)))</f>
        <v> </v>
      </c>
      <c r="BR212" s="330" t="str">
        <f aca="false">IF($A212="N/A"," ",(IF(AW212&gt;0,($BM212*(8*($HE212))*V212),0)+IF(BG212&gt;0,($BM212*((BG212/AE212)*8*$HE212)*V212),0)))</f>
        <v> </v>
      </c>
      <c r="BS212" s="330" t="str">
        <f aca="false">IF($A212="N/A"," ",(IF(AX212&gt;0,($BM212*(8*($HE212))*W212),0)+IF(BH212&gt;0,($BM212*((BH212))*W212),0)))</f>
        <v> </v>
      </c>
      <c r="BT212" s="330" t="str">
        <f aca="false">IF($A212="N/A"," ",(IF(AY212&gt;0,($BM212*(8*($HF212))*X212),0)+IF(BI212&gt;0,($BM212*((BI212/AG212)*8*$HF212)*X212),0)))</f>
        <v> </v>
      </c>
      <c r="BU212" s="330" t="str">
        <f aca="false">IF($A212="N/A"," ",(IF(AZ212&gt;0,($BM212*(8*($HF212))*Y212),0)+IF(BJ212&gt;0,($BM212*((BJ212/AH212)*8*$HF212)*Y212),0)))</f>
        <v> </v>
      </c>
      <c r="BV212" s="330" t="str">
        <f aca="false">IF($A212="N/A"," ",(IF(BA212&gt;0,($BM212*(8*($HF212))*Z212),0)+IF(BK212&gt;0,($BM212*((BK212))*Z212),0)))</f>
        <v> </v>
      </c>
      <c r="BW212" s="330" t="str">
        <f aca="false">IF($A212="N/A"," ",SUM(BN212:BV212))</f>
        <v> </v>
      </c>
      <c r="BX212" s="331" t="str">
        <f aca="false">IF($A212="N/A"," ",(H212*(SUM(AS212:BA212)+SUM(BC212:BK212))*BM212))</f>
        <v> </v>
      </c>
      <c r="BY212" s="332" t="str">
        <f aca="false">IF($A212="N/A"," ",((C212*D212)*(SUM($AS212:$BA212)+SUM($BC212:$BK212))*$BM212))</f>
        <v> </v>
      </c>
      <c r="BZ212" s="332" t="str">
        <f aca="false">IF($A212="N/A"," ",(F212*(SUM($AS212:$BA212)+SUM($BC212:$BK212))*$BM212))</f>
        <v> </v>
      </c>
      <c r="CA212" s="333" t="str">
        <f aca="false">IF($A212="N/A"," ",(G212*(SUM($AS212:$BA212)+SUM($BC212:$BK212))*$BM212))</f>
        <v> </v>
      </c>
      <c r="CB212" s="334" t="str">
        <f aca="false">IF(A212="N/A"," ",(VLOOKUP(A212,PowerVolTable,(IF(BMO=2,7,IF(BMO=1,6,8))),FALSE())))</f>
        <v> </v>
      </c>
      <c r="CC212" s="334" t="str">
        <f aca="false">IF(A212="N/A"," ",(VLOOKUP(A212,IntraPowerVol,(IF(BMO=2,3,IF(BMO=1,2,4))),FALSE())*VLOOKUP(MONTH($A212),Volscale,2)))</f>
        <v> </v>
      </c>
      <c r="CD212" s="335" t="str">
        <f aca="false">IF($A212="N/A"," ",(IF(DateToday&gt;$A212,$CC212,((($CB212^2)*((($A212-1)-DateToday)/((EOMONTH($A212,0)+1)-DateToday-15)))+((($CC212)^2)*((15)/((EOMONTH($A212,0)+1)-DateToday-15))))^0.5)))</f>
        <v> </v>
      </c>
      <c r="CE212" s="334" t="str">
        <f aca="false">IF($A212="N/A"," ",(VLOOKUP($A212,GasVolTable,(IF(BMO=2,6,IF(BMO=1,7,5))),FALSE())))</f>
        <v> </v>
      </c>
      <c r="CF212" s="334" t="str">
        <f aca="false">IF($A212="N/A"," ",(VLOOKUP($A212,OmicronVol,(IF(BMO=2,3,IF(BMO=1,4,2))),FALSE())))</f>
        <v> </v>
      </c>
      <c r="CG212" s="335" t="str">
        <f aca="false">IF($A212="N/A"," ",(IF(DateToday&gt;$A212,$CF212,((($CE212^2)*((($A212-1)-DateToday)/((EOMONTH($A212,0)+1)-DateToday-15)))+((($CF212)^2)*((15)/((EOMONTH($A212,0)+1)-DateToday-15))))^0.5)))</f>
        <v> </v>
      </c>
      <c r="CH212" s="334" t="str">
        <f aca="false">IF($A212="N/A"," ",VLOOKUP($A212,CorrelationTable,2,FALSE()))</f>
        <v> </v>
      </c>
      <c r="CI212" s="336" t="str">
        <f aca="false">IF($A212="N/A"," ",F212+G212+(D212*('Pricing Inputs'!T245)))</f>
        <v> </v>
      </c>
      <c r="CJ212" s="334" t="str">
        <f aca="false">IF($A212="N/A"," ",IF(PV=1,0,'Pricing Inputs'!U245))</f>
        <v> </v>
      </c>
      <c r="CK212" s="337" t="str">
        <f aca="false">IF($A212="N/A"," ",(1+CJ212/2)^(-2*((EOMONTH(A212,0)+20)-DateToday)/365.25))</f>
        <v> </v>
      </c>
      <c r="CL212" s="338" t="str">
        <f aca="false">IF(A212="N/A"," ",IF(CC=2,(VLOOKUP(MONTH($A212),Hrtable,3))/1000,0))</f>
        <v> </v>
      </c>
      <c r="CM212" s="339" t="str">
        <f aca="false">IF(A212="N/A"," ",IF(CC=2,(CL212*C212)+F212,0))</f>
        <v> </v>
      </c>
      <c r="CN212" s="340" t="str">
        <f aca="false">IF($A212="N/A"," ",IF(CC=2,(VLOOKUP(A212,ScaledPrice,(IF(AND(Dayrun&gt;=1,Dayrun&lt;=6),2,4)))-((IF(R212&lt;&gt;0,$D212,$CL212)*$C212)+$F212+$G212)),0))</f>
        <v> </v>
      </c>
      <c r="CO212" s="340" t="str">
        <f aca="false">IF($A212="N/A"," ",IF(CC=2,(IF(AND(Dayrun&gt;=1,Dayrun&lt;=6),I212,(VLOOKUP(A212,ScaledPrice,2))*(2-(VLOOKUP(A212,ScaledPrice,3))))-((IF(S212&lt;&gt;0,$D212,$CL212)*$C212)+$F212+$G212)),0))</f>
        <v> </v>
      </c>
      <c r="CP212" s="340" t="str">
        <f aca="false">IF(A212="N/A"," ",IF(CC=2,(VLOOKUP(A212,ScaledPrice,9)-((IF(T212&lt;&gt;0,$D212,$CL212)*$C212)+$F212+$G212)),0))</f>
        <v> </v>
      </c>
      <c r="CQ212" s="340" t="str">
        <f aca="false">IF(A212="N/A"," ",IF(CC=2,(IF(OR(Dayrun=2,Dayrun=3,Dayrun=5,Dayrun=6,Dayrun=8,Dayrun=9),VLOOKUP(A212,ScaledPrice,IF(AND(Dayrun&gt;=2,Dayrun&lt;=6),5,6)),0)-((IF(U212&lt;&gt;0,$D212,$CL212)*$C212)+$F212+$G212)),0))</f>
        <v> </v>
      </c>
      <c r="CR212" s="340" t="str">
        <f aca="false">IF(A212="N/A"," ",IF(CC=2,(IF(OR(Dayrun=2,Dayrun=3,Dayrun=5,Dayrun=6,Dayrun=8,Dayrun=9),IF(AND(Dayrun&gt;=2,Dayrun&lt;=6),L212,(VLOOKUP(A212,ScaledPrice,5))*(2-(VLOOKUP(A212,ScaledPrice,3)))),0)-((IF(V212&lt;&gt;0,$D212,$CL212)*$C212)+$F212+$G212)),0))</f>
        <v> </v>
      </c>
      <c r="CS212" s="340" t="str">
        <f aca="false">IF(A212="N/A"," ",IF(CC=2,(VLOOKUP(A212,ScaledPrice,9)-((IF(W212&lt;&gt;0,$D212,$CL212)*$C212)+$F212+$G212)),0))</f>
        <v> </v>
      </c>
      <c r="CT212" s="340" t="str">
        <f aca="false">IF(A212="N/A"," ",IF(CC=2,(IF(OR(Dayrun=3,Dayrun=6,Dayrun=9),(VLOOKUP(A212,ScaledPrice,IF(AND(Dayrun&gt;=3,Dayrun&lt;=6),7,8))),0)-((IF(X212&lt;&gt;0,$D212,$CL212)*$C212)+$F212+$G212)),0))</f>
        <v> </v>
      </c>
      <c r="CU212" s="340" t="str">
        <f aca="false">IF(A212="N/A"," ",IF(CC=2,(IF(OR(Dayrun=3,Dayrun=6,Dayrun=9),IF(AND(Dayrun&gt;=3,Dayrun&lt;=6),O212,(VLOOKUP(A212,ScaledPrice,7))*(2-(VLOOKUP(A212,ScaledPrice,3)))),0)-((IF(Y212&lt;&gt;0,$D212,$CL212)*$C212)+$F212+$G212)),0))</f>
        <v> </v>
      </c>
      <c r="CV212" s="340" t="str">
        <f aca="false">IF(A212="N/A"," ",IF(CC=2,(VLOOKUP(A212,ScaledPrice,9)-((IF(Z212&lt;&gt;0,$D212,$CL212)*$C212)+$F212+$G212)),0))</f>
        <v> </v>
      </c>
      <c r="CW212" s="318" t="str">
        <f aca="false">IF($A212="N/A"," ",IF(0&lt;&gt;CN212,IF(CC=2,8*$HD212,0),0))</f>
        <v> </v>
      </c>
      <c r="CX212" s="318" t="str">
        <f aca="false">IF($A212="N/A"," ",IF(0&lt;&gt;CO212,IF(CC=2,8*$HD212,0),0))</f>
        <v> </v>
      </c>
      <c r="CY212" s="318" t="str">
        <f aca="false">IF($A212="N/A"," ",IF(0&lt;&gt;CP212,IF(CC=2,8*$HD212,0),0))</f>
        <v> </v>
      </c>
      <c r="CZ212" s="318" t="str">
        <f aca="false">IF($A212="N/A"," ",IF(0&lt;&gt;CQ212,IF(CC=2,8*$HE212,0),0))</f>
        <v> </v>
      </c>
      <c r="DA212" s="318" t="str">
        <f aca="false">IF($A212="N/A"," ",IF(0&lt;&gt;CR212,IF(CC=2,8*$HE212,0),0))</f>
        <v> </v>
      </c>
      <c r="DB212" s="318" t="str">
        <f aca="false">IF($A212="N/A"," ",IF(0&lt;&gt;CS212,IF(CC=2,8*$HE212,0),0))</f>
        <v> </v>
      </c>
      <c r="DC212" s="318" t="str">
        <f aca="false">IF($A212="N/A"," ",IF(0&lt;&gt;CT212,IF(CC=2,8*$HF212,0),0))</f>
        <v> </v>
      </c>
      <c r="DD212" s="318" t="str">
        <f aca="false">IF($A212="N/A"," ",IF(0&lt;&gt;CU212,IF(CC=2,8*$HF212,0),0))</f>
        <v> </v>
      </c>
      <c r="DE212" s="318" t="str">
        <f aca="false">IF($A212="N/A"," ",IF(0&lt;&gt;CV212,IF(CC=2,8*$HF212,0),0))</f>
        <v> </v>
      </c>
      <c r="DF212" s="341" t="str">
        <f aca="false">IF($A212="N/A"," ",IF(CC=2,(IF(MONTH(A212)&gt;=4,IF(MONTH(A212)&lt;=10,Inputs!$G$13,Inputs!$G$14),Inputs!$G$14))*$CK212,0))</f>
        <v> </v>
      </c>
      <c r="DG212" s="342" t="str">
        <f aca="false">IF($A212="N/A"," ",IF(CC=2,$DF212*CW212*CN212,0))</f>
        <v> </v>
      </c>
      <c r="DH212" s="342" t="str">
        <f aca="false">IF($A212="N/A"," ",IF(CC=2,$DF212*CX212*CO212,0))</f>
        <v> </v>
      </c>
      <c r="DI212" s="342" t="str">
        <f aca="false">IF($A212="N/A"," ",IF(CC=2,$DF212*CY212*CP212,0))</f>
        <v> </v>
      </c>
      <c r="DJ212" s="342" t="str">
        <f aca="false">IF($A212="N/A"," ",IF(CC=2,$DF212*CZ212*CQ212,0))</f>
        <v> </v>
      </c>
      <c r="DK212" s="342" t="str">
        <f aca="false">IF($A212="N/A"," ",IF(CC=2,$DF212*DA212*CR212,0))</f>
        <v> </v>
      </c>
      <c r="DL212" s="342" t="str">
        <f aca="false">IF($A212="N/A"," ",IF(CC=2,$DF212*DB212*CS212,0))</f>
        <v> </v>
      </c>
      <c r="DM212" s="342" t="str">
        <f aca="false">IF($A212="N/A"," ",IF(CC=2,$DF212*DC212*CT212,0))</f>
        <v> </v>
      </c>
      <c r="DN212" s="342" t="str">
        <f aca="false">IF($A212="N/A"," ",IF(CC=2,$DF212*DD212*CU212,0))</f>
        <v> </v>
      </c>
      <c r="DO212" s="342" t="str">
        <f aca="false">IF($A212="N/A"," ",IF(CC=2,$DF212*DE212*CV212,0))</f>
        <v> </v>
      </c>
      <c r="DP212" s="343" t="str">
        <f aca="false">IF($A212="N/A"," ",IF(CC=2,SUM(DG212:DO212),0))</f>
        <v> </v>
      </c>
      <c r="DQ212" s="0" t="str">
        <f aca="false">IF(A212="N/A"," ",Perstart)</f>
        <v> </v>
      </c>
      <c r="HD212" s="0" t="str">
        <f aca="false">IF($A212="N/A"," ",VLOOKUP($A212,NumberofDaysTable,2))</f>
        <v> </v>
      </c>
      <c r="HE212" s="0" t="str">
        <f aca="false">IF($A212="N/A"," ",VLOOKUP($A212,NumberofDaysTable,3))</f>
        <v> </v>
      </c>
      <c r="HF212" s="0" t="str">
        <f aca="false">IF($A212="N/A"," ",VLOOKUP($A212,NumberofDaysTable,4))</f>
        <v> </v>
      </c>
    </row>
    <row r="213" customFormat="false" ht="12.75" hidden="false" customHeight="false" outlineLevel="0" collapsed="false">
      <c r="A213" s="308" t="str">
        <f aca="false">IF(A212="N/A","N/A",IF(EDATE(A212,1)&gt;Inputs!$K$3,"N/A",EDATE(A212,1)))</f>
        <v>N/A</v>
      </c>
      <c r="B213" s="309" t="str">
        <f aca="false">IF(A213="N/A"," ",YEAR(A213))</f>
        <v> </v>
      </c>
      <c r="C213" s="310" t="str">
        <f aca="false">IF(A213="N/A"," ",VLOOKUP(A213,ScaledPrice,10))</f>
        <v> </v>
      </c>
      <c r="D213" s="311" t="str">
        <f aca="false">IF(A213="N/A"," ",(VLOOKUP(MONTH($A213),Hrtable,2))/1000)</f>
        <v> </v>
      </c>
      <c r="E213" s="312" t="str">
        <f aca="false">IF($A213="N/A"," ",(C213-'Pricing Inputs'!T246)*D213)</f>
        <v> </v>
      </c>
      <c r="F213" s="313" t="str">
        <f aca="false">IF(A213="N/A"," ",$F201*(1+VOMesc))</f>
        <v> </v>
      </c>
      <c r="G213" s="313" t="str">
        <f aca="false">IF(A213="N/A"," ",Perstart/IF(AND(Dayrun&gt;=4,Dayrun&lt;=6),16,IF(AND(Dayrun&gt;=7,Dayrun&lt;=9),8,24))/(BM213/CK213))</f>
        <v> </v>
      </c>
      <c r="H213" s="314" t="str">
        <f aca="false">IF(A213="N/A"," ",(C213*D213)+F213+G213)</f>
        <v> </v>
      </c>
      <c r="I213" s="315" t="str">
        <f aca="false">VLOOKUP(A213,ScaledPrice,(IF(AND(Dayrun&gt;=1,Dayrun&lt;=6),2,4)))</f>
        <v> </v>
      </c>
      <c r="J213" s="315" t="str">
        <f aca="false">IF(A213="N/A"," ",IF(AND(Dayrun&gt;=1,Dayrun&lt;=6),I213,(VLOOKUP(A213,ScaledPrice,2))*(2-(VLOOKUP(A213,ScaledPrice,3)))))</f>
        <v> </v>
      </c>
      <c r="K213" s="315" t="str">
        <f aca="false">IF(A213="N/A"," ",IF(AND(Dayrun&gt;=1,Dayrun&lt;=3),VLOOKUP(A213,ScaledPrice,9),0))</f>
        <v> </v>
      </c>
      <c r="L213" s="315" t="str">
        <f aca="false">IF(A213="N/A"," ",IF(OR(Dayrun=2,Dayrun=3,Dayrun=5,Dayrun=6,Dayrun=8,Dayrun=9),VLOOKUP(A213,ScaledPrice,IF(AND(Dayrun&gt;=2,Dayrun&lt;=6),5,6)),0))</f>
        <v> </v>
      </c>
      <c r="M213" s="315" t="str">
        <f aca="false">IF(A213="N/A"," ",IF(OR(Dayrun=2,Dayrun=3,Dayrun=5,Dayrun=6,Dayrun=8,Dayrun=9),IF(AND(Dayrun&gt;=2,Dayrun&lt;=6),L213,(VLOOKUP(A213,ScaledPrice,5))*(2-(VLOOKUP(A213,ScaledPrice,3)))),0))</f>
        <v> </v>
      </c>
      <c r="N213" s="315" t="str">
        <f aca="false">IF(A213="N/A"," ",IF(AND(Dayrun&gt;1,Dayrun&lt;=3),VLOOKUP(A213,ScaledPrice,9),0))</f>
        <v> </v>
      </c>
      <c r="O213" s="315" t="str">
        <f aca="false">IF(A213="N/A"," ",IF(OR(Dayrun=3,Dayrun=6,Dayrun=9),(VLOOKUP(A213,ScaledPrice,IF(AND(Dayrun&gt;=3,Dayrun&lt;=6),7,8))),0))</f>
        <v> </v>
      </c>
      <c r="P213" s="315" t="str">
        <f aca="false">IF(A213="N/A"," ",IF(OR(Dayrun=3,Dayrun=6,Dayrun=9),IF(AND(Dayrun&gt;=3,Dayrun&lt;=6),O213,(VLOOKUP(A213,ScaledPrice,7))*(2-(VLOOKUP(A213,ScaledPrice,3)))),0))</f>
        <v> </v>
      </c>
      <c r="Q213" s="315" t="str">
        <f aca="false">IF(A213="N/A"," ",IF(AND(Dayrun&gt;2,Dayrun&lt;=3),VLOOKUP(A213,ScaledPrice,9),0))</f>
        <v> </v>
      </c>
      <c r="R213" s="316" t="str">
        <f aca="false">IF($A213="N/A"," ",IF(Pricetype=2,MAX(I213-$H213,0),IF(Pricetype=1,(xSPRDOPT(I213,$E213,$CI213,0,($CD213+IF(Smile=TRUE(),VLOOKUP(MAX(-5,$H213-I213),Volsmile,2),0)),$CG213,$CH213,($A213-DateToday)+15,1,0)),I213-$H213)))</f>
        <v> </v>
      </c>
      <c r="S213" s="316" t="str">
        <f aca="false">IF($A213="N/A"," ",IF(Pricetype=2,MAX(J213-$H213,0),IF(Pricetype=1,(xSPRDOPT(J213,$E213,$CI213,0,($CD213+IF(Smile=TRUE(),VLOOKUP(MAX(-5,$H213-J213),Volsmile,2),0)),$CG213,$CH213,($A213-DateToday)+15,1,0)),J213-$H213)))</f>
        <v> </v>
      </c>
      <c r="T213" s="317" t="str">
        <f aca="false">IF($A213="N/A"," ",(IF(Pricetype=2,IF((K213-$H213)&lt;=0,0,(K213-$H213)),IF(K213&lt;&gt;0,(K213-$H213),0))))</f>
        <v> </v>
      </c>
      <c r="U213" s="316" t="str">
        <f aca="false">IF($A213="N/A"," ",IF(Pricetype=2,MAX(L213-$H213,0),IF(L213&lt;&gt;0,IF(Pricetype=1,(xSPRDOPT(L213,$E213,$CI213,0,($CD213+IF(Smile=TRUE(),VLOOKUP(MAX(-5,$H213-L213),Volsmile,2),0)),$CG213,$CH213,($A213-DateToday)+15,1,0)),L213-$H213),0)))</f>
        <v> </v>
      </c>
      <c r="V213" s="316" t="str">
        <f aca="false">IF($A213="N/A"," ",IF(Pricetype=2,MAX(M213-$H213,0),IF(M213&lt;&gt;0,IF(Pricetype=1,(xSPRDOPT(M213,$E213,$CI213,0,($CD213+IF(Smile=TRUE(),VLOOKUP(MAX(-5,$H213-M213),Volsmile,2),0)),$CG213,$CH213,($A213-DateToday)+15,1,0)),M213-$H213),0)))</f>
        <v> </v>
      </c>
      <c r="W213" s="317" t="str">
        <f aca="false">IF($A213="N/A"," ",(IF(Pricetype=2,IF((N213-$H213)&lt;=0,0,(N213-$H213)),IF(N213&lt;&gt;0,(N213-$H213),0))))</f>
        <v> </v>
      </c>
      <c r="X213" s="316" t="str">
        <f aca="false">IF($A213="N/A"," ",IF(Pricetype=2,MAX(O213-$H213,0),IF(O213&lt;&gt;0,IF(Pricetype=1,(xSPRDOPT(O213,$E213,$CI213,0,($CD213+IF(Smile=TRUE(),VLOOKUP(MAX(-5,$H213-O213),Volsmile,2),0)),$CG213,$CH213,($A213-DateToday)+15,1,0)),O213-$H213),0)))</f>
        <v> </v>
      </c>
      <c r="Y213" s="316" t="str">
        <f aca="false">IF($A213="N/A"," ",IF(Pricetype=2,MAX(P213-$H213,0),IF(P213&lt;&gt;0,IF(Pricetype=1,(xSPRDOPT(P213,$E213,$CI213,0,($CD213+IF(Smile=TRUE(),VLOOKUP(MAX(-5,$H213-P213),Volsmile,2),0)),$CG213,$CH213,($A213-DateToday)+15,1,0)),P213-$H213),0)))</f>
        <v> </v>
      </c>
      <c r="Z213" s="317" t="str">
        <f aca="false">IF($A213="N/A"," ",(IF(Pricetype=2,IF((Q213-$H213)&lt;=0,0,(Q213-$H213)),IF(Q213&lt;&gt;0,(Q213-$H213),0))))</f>
        <v> </v>
      </c>
      <c r="AA213" s="318" t="str">
        <f aca="false">IF($A213="N/A"," ",IF(VLOOKUP(MONTH(A213),ManualTable,2)=1,(IF(0&lt;&gt;R213,IF(Pricetype=1,(xSPRDOPT(I213,$E213,$CI213,0,($CD213+IF(Smile=TRUE(),VLOOKUP(MAX(-5,$H213-I213),Volsmile,2),0)),$CG213,$CH213,($A213-DateToday)+15,1,1))*(8*$HD213),8*$HD213),0)),0))</f>
        <v> </v>
      </c>
      <c r="AB213" s="318" t="str">
        <f aca="false">IF($A213="N/A"," ",IF(VLOOKUP(MONTH(A213),ManualTable,3)=1,(IF(S213&lt;&gt;0,IF(Pricetype=1,(xSPRDOPT(J213,$E213,$CI213,0,($CD213+IF(Smile=TRUE(),VLOOKUP(MAX(-5,$H213-J213),Volsmile,2),0)),$CG213,$CH213,($A213-DateToday)+15,1,1))*(8*$HD213),8*$HD213),0)),0))</f>
        <v> </v>
      </c>
      <c r="AC213" s="318" t="str">
        <f aca="false">IF($A213="N/A"," ",IF(VLOOKUP(MONTH(A213),ManualTable,4)=1,(IF(T213&lt;&gt;0,(8*$HD213),0)),0))</f>
        <v> </v>
      </c>
      <c r="AD213" s="318" t="str">
        <f aca="false">IF($A213="N/A"," ",IF(VLOOKUP(MONTH(A213),ManualTable,5)=1,(IF(U213&lt;&gt;0,IF(Pricetype=1,(xSPRDOPT(L213,$E213,$CI213,0,($CD213+IF(Smile=TRUE(),VLOOKUP(MAX(-5,$H213-L213),Volsmile,2),0)),$CG213,$CH213,($A213-DateToday)+15,1,1))*(8*$HE213),8*$HE213),0)),0))</f>
        <v> </v>
      </c>
      <c r="AE213" s="318" t="str">
        <f aca="false">IF($A213="N/A"," ",IF(VLOOKUP(MONTH(A213),ManualTable,6)=1,(IF(V213&lt;&gt;0,IF(Pricetype=1,(xSPRDOPT(M213,$E213,$CI213,0,($CD213+IF(Smile=TRUE(),VLOOKUP(MAX(-5,$H213-M213),Volsmile,2),0)),$CG213,$CH213,($A213-DateToday)+15,1,1))*(8*$HE213),8*$HE213),0)),0))</f>
        <v> </v>
      </c>
      <c r="AF213" s="318" t="str">
        <f aca="false">IF($A213="N/A"," ",IF(VLOOKUP(MONTH(A213),ManualTable,7)=1,(IF(W213&lt;&gt;0,(8*$HE213),0)),0))</f>
        <v> </v>
      </c>
      <c r="AG213" s="318" t="str">
        <f aca="false">IF($A213="N/A"," ",IF(VLOOKUP(MONTH(A213),ManualTable,8)=1,(IF(X213&lt;&gt;0,IF(Pricetype=1,(xSPRDOPT(O213,$E213,$CI213,0,($CD213+IF(Smile=TRUE(),VLOOKUP(MAX(-5,$H213-O213),Volsmile,2),0)),$CG213,$CH213,($A213-DateToday)+15,1,1))*(8*$HF213),8*$HF213),0)),0))</f>
        <v> </v>
      </c>
      <c r="AH213" s="318" t="str">
        <f aca="false">IF($A213="N/A"," ",IF(VLOOKUP(MONTH(A213),ManualTable,9)=1,(IF(Y213&lt;&gt;0,IF(Pricetype=1,(xSPRDOPT(P213,$E213,$CI213,0,($CD213+IF(Smile=TRUE(),VLOOKUP(MAX(-5,$H213-P213),Volsmile,2),0)),$CG213,$CH213,($A213-DateToday)+15,1,1))*(8*$HF213),8*$HF213),0)),0))</f>
        <v> </v>
      </c>
      <c r="AI213" s="318" t="str">
        <f aca="false">IF($A213="N/A"," ",IF(VLOOKUP(MONTH(A213),ManualTable,10)=1,(IF(Z213&lt;&gt;0,(8*($HF213)),0)),0))</f>
        <v> </v>
      </c>
      <c r="AJ213" s="344" t="str">
        <f aca="false">IF($A213="N/A"," ",RANK(R213,$R$208:$Z$219))</f>
        <v> </v>
      </c>
      <c r="AK213" s="321" t="str">
        <f aca="false">IF($A213="N/A"," ",RANK(S213,$R$208:$Z$219))</f>
        <v> </v>
      </c>
      <c r="AL213" s="321" t="str">
        <f aca="false">IF($A213="N/A"," ",RANK(T213,$R$208:$Z$219))</f>
        <v> </v>
      </c>
      <c r="AM213" s="321" t="str">
        <f aca="false">IF($A213="N/A"," ",RANK(U213,$R$208:$Z$219))</f>
        <v> </v>
      </c>
      <c r="AN213" s="321" t="str">
        <f aca="false">IF($A213="N/A"," ",RANK(V213,$R$208:$Z$219))</f>
        <v> </v>
      </c>
      <c r="AO213" s="321" t="str">
        <f aca="false">IF($A213="N/A"," ",RANK(W213,$R$208:$Z$219))</f>
        <v> </v>
      </c>
      <c r="AP213" s="321" t="str">
        <f aca="false">IF($A213="N/A"," ",RANK(X213,$R$208:$Z$219))</f>
        <v> </v>
      </c>
      <c r="AQ213" s="321" t="str">
        <f aca="false">IF($A213="N/A"," ",RANK(Y213,$R$208:$Z$219))</f>
        <v> </v>
      </c>
      <c r="AR213" s="345" t="str">
        <f aca="false">IF($A213="N/A"," ",RANK(Z213,$R$208:$Z$219))</f>
        <v> </v>
      </c>
      <c r="AS213" s="323" t="str">
        <f aca="false">IF($A213="N/A"," ",IF(AJ213&lt;=$AR$2,AA213,0))</f>
        <v> </v>
      </c>
      <c r="AT213" s="325" t="str">
        <f aca="false">IF($A213="N/A"," ",IF(AK213&lt;=$AR$2,AB213,0))</f>
        <v> </v>
      </c>
      <c r="AU213" s="325" t="str">
        <f aca="false">IF($A213="N/A"," ",IF(AL213&lt;=$AR$2,AC213,0))</f>
        <v> </v>
      </c>
      <c r="AV213" s="325" t="str">
        <f aca="false">IF($A213="N/A"," ",IF(AM213&lt;=$AR$2,AD213,0))</f>
        <v> </v>
      </c>
      <c r="AW213" s="325" t="str">
        <f aca="false">IF($A213="N/A"," ",IF(AN213&lt;=$AR$2,AE213,0))</f>
        <v> </v>
      </c>
      <c r="AX213" s="325" t="str">
        <f aca="false">IF($A213="N/A"," ",IF(AO213&lt;=$AR$2,AF213,0))</f>
        <v> </v>
      </c>
      <c r="AY213" s="325" t="str">
        <f aca="false">IF($A213="N/A"," ",IF(AP213&lt;=$AR$2,AG213,0))</f>
        <v> </v>
      </c>
      <c r="AZ213" s="325" t="str">
        <f aca="false">IF($A213="N/A"," ",IF(AQ213&lt;=$AR$2,AH213,0))</f>
        <v> </v>
      </c>
      <c r="BA213" s="325" t="str">
        <f aca="false">IF($A213="N/A"," ",IF(AR213&lt;=$AR$2,AI213,0))</f>
        <v> </v>
      </c>
      <c r="BB213" s="345"/>
      <c r="BC213" s="326" t="str">
        <f aca="false">IF($A213="N/A"," ",IF(AND(AJ213=$AR$2+1,AS213=0),MIN($BB$219,AA213),0))</f>
        <v> </v>
      </c>
      <c r="BD213" s="346" t="str">
        <f aca="false">IF($A213="N/A"," ",IF(AND(AK213=$AR$2+1,AT213=0),MIN($BB$219,AB213),0))</f>
        <v> </v>
      </c>
      <c r="BE213" s="346" t="str">
        <f aca="false">IF($A213="N/A"," ",IF(AND(AL213=$AR$2+1,AU213=0),MIN($BB$219,AC213),0))</f>
        <v> </v>
      </c>
      <c r="BF213" s="346" t="str">
        <f aca="false">IF($A213="N/A"," ",IF(AND(AM213=$AR$2+1,AV213=0),MIN($BB$219,AD213),0))</f>
        <v> </v>
      </c>
      <c r="BG213" s="346" t="str">
        <f aca="false">IF($A213="N/A"," ",IF(AND(AN213=$AR$2+1,AW213=0),MIN($BB$219,AE213),0))</f>
        <v> </v>
      </c>
      <c r="BH213" s="346" t="str">
        <f aca="false">IF($A213="N/A"," ",IF(AND(AO213=$AR$2+1,AX213=0),MIN($BB$219,AF213),0))</f>
        <v> </v>
      </c>
      <c r="BI213" s="346" t="str">
        <f aca="false">IF($A213="N/A"," ",IF(AND(AP213=$AR$2+1,AY213=0),MIN($BB$219,AG213),0))</f>
        <v> </v>
      </c>
      <c r="BJ213" s="346" t="str">
        <f aca="false">IF($A213="N/A"," ",IF(AND(AQ213=$AR$2+1,AZ213=0),MIN($BB$219,AH213),0))</f>
        <v> </v>
      </c>
      <c r="BK213" s="346" t="str">
        <f aca="false">IF($A213="N/A"," ",IF(AND(AR213=$AR$2+1,BA213=0),MIN($BB$219,AI213),0))</f>
        <v> </v>
      </c>
      <c r="BL213" s="345"/>
      <c r="BM213" s="329" t="str">
        <f aca="false">IF($A213="N/A"," ",(IF(MONTH(A213)&gt;=4,IF(MONTH(A213)&lt;=10,Inputs!$F$13-Inputs!$G$13,Inputs!$F$14-Inputs!$G$14),Inputs!$F$14-Inputs!$G$14))*$CK213*Availability)</f>
        <v> </v>
      </c>
      <c r="BN213" s="330" t="str">
        <f aca="false">IF($A213="N/A"," ",(IF(AS213&gt;0,($BM213*(8*($HD213))*R213),0)+IF(BC213&gt;0,($BM213*((BC213/AA213)*8*$HD213)*R213),0)))</f>
        <v> </v>
      </c>
      <c r="BO213" s="330" t="str">
        <f aca="false">IF($A213="N/A"," ",(IF(AT213&gt;0,($BM213*(8*($HD213))*S213),0)+IF(BD213&gt;0,($BM213*((BD213/AB213)*8*$HD213)*S213),0)))</f>
        <v> </v>
      </c>
      <c r="BP213" s="330" t="str">
        <f aca="false">IF($A213="N/A"," ",(IF(AU213&gt;0,($BM213*(8*($HD213))*T213),0)+IF(BE213&gt;0,($BM213*((BE213))*T213),0)))</f>
        <v> </v>
      </c>
      <c r="BQ213" s="330" t="str">
        <f aca="false">IF($A213="N/A"," ",(IF(AV213&gt;0,($BM213*(8*($HE213))*U213),0)+IF(BF213&gt;0,($BM213*((BF213/AD213)*8*$HE213)*U213),0)))</f>
        <v> </v>
      </c>
      <c r="BR213" s="330" t="str">
        <f aca="false">IF($A213="N/A"," ",(IF(AW213&gt;0,($BM213*(8*($HE213))*V213),0)+IF(BG213&gt;0,($BM213*((BG213/AE213)*8*$HE213)*V213),0)))</f>
        <v> </v>
      </c>
      <c r="BS213" s="330" t="str">
        <f aca="false">IF($A213="N/A"," ",(IF(AX213&gt;0,($BM213*(8*($HE213))*W213),0)+IF(BH213&gt;0,($BM213*((BH213))*W213),0)))</f>
        <v> </v>
      </c>
      <c r="BT213" s="330" t="str">
        <f aca="false">IF($A213="N/A"," ",(IF(AY213&gt;0,($BM213*(8*($HF213))*X213),0)+IF(BI213&gt;0,($BM213*((BI213/AG213)*8*$HF213)*X213),0)))</f>
        <v> </v>
      </c>
      <c r="BU213" s="330" t="str">
        <f aca="false">IF($A213="N/A"," ",(IF(AZ213&gt;0,($BM213*(8*($HF213))*Y213),0)+IF(BJ213&gt;0,($BM213*((BJ213/AH213)*8*$HF213)*Y213),0)))</f>
        <v> </v>
      </c>
      <c r="BV213" s="330" t="str">
        <f aca="false">IF($A213="N/A"," ",(IF(BA213&gt;0,($BM213*(8*($HF213))*Z213),0)+IF(BK213&gt;0,($BM213*((BK213))*Z213),0)))</f>
        <v> </v>
      </c>
      <c r="BW213" s="330" t="str">
        <f aca="false">IF($A213="N/A"," ",SUM(BN213:BV213))</f>
        <v> </v>
      </c>
      <c r="BX213" s="331" t="str">
        <f aca="false">IF($A213="N/A"," ",(H213*(SUM(AS213:BA213)+SUM(BC213:BK213))*BM213))</f>
        <v> </v>
      </c>
      <c r="BY213" s="332" t="str">
        <f aca="false">IF($A213="N/A"," ",((C213*D213)*(SUM($AS213:$BA213)+SUM($BC213:$BK213))*$BM213))</f>
        <v> </v>
      </c>
      <c r="BZ213" s="332" t="str">
        <f aca="false">IF($A213="N/A"," ",(F213*(SUM($AS213:$BA213)+SUM($BC213:$BK213))*$BM213))</f>
        <v> </v>
      </c>
      <c r="CA213" s="333" t="str">
        <f aca="false">IF($A213="N/A"," ",(G213*(SUM($AS213:$BA213)+SUM($BC213:$BK213))*$BM213))</f>
        <v> </v>
      </c>
      <c r="CB213" s="334" t="str">
        <f aca="false">IF(A213="N/A"," ",(VLOOKUP(A213,PowerVolTable,(IF(BMO=2,7,IF(BMO=1,6,8))),FALSE())))</f>
        <v> </v>
      </c>
      <c r="CC213" s="334" t="str">
        <f aca="false">IF(A213="N/A"," ",(VLOOKUP(A213,IntraPowerVol,(IF(BMO=2,3,IF(BMO=1,2,4))),FALSE())*VLOOKUP(MONTH($A213),Volscale,2)))</f>
        <v> </v>
      </c>
      <c r="CD213" s="335" t="str">
        <f aca="false">IF($A213="N/A"," ",(IF(DateToday&gt;$A213,$CC213,((($CB213^2)*((($A213-1)-DateToday)/((EOMONTH($A213,0)+1)-DateToday-15)))+((($CC213)^2)*((15)/((EOMONTH($A213,0)+1)-DateToday-15))))^0.5)))</f>
        <v> </v>
      </c>
      <c r="CE213" s="334" t="str">
        <f aca="false">IF($A213="N/A"," ",(VLOOKUP($A213,GasVolTable,(IF(BMO=2,6,IF(BMO=1,7,5))),FALSE())))</f>
        <v> </v>
      </c>
      <c r="CF213" s="334" t="str">
        <f aca="false">IF($A213="N/A"," ",(VLOOKUP($A213,OmicronVol,(IF(BMO=2,3,IF(BMO=1,4,2))),FALSE())))</f>
        <v> </v>
      </c>
      <c r="CG213" s="335" t="str">
        <f aca="false">IF($A213="N/A"," ",(IF(DateToday&gt;$A213,$CF213,((($CE213^2)*((($A213-1)-DateToday)/((EOMONTH($A213,0)+1)-DateToday-15)))+((($CF213)^2)*((15)/((EOMONTH($A213,0)+1)-DateToday-15))))^0.5)))</f>
        <v> </v>
      </c>
      <c r="CH213" s="334" t="str">
        <f aca="false">IF($A213="N/A"," ",VLOOKUP($A213,CorrelationTable,2,FALSE()))</f>
        <v> </v>
      </c>
      <c r="CI213" s="336" t="str">
        <f aca="false">IF($A213="N/A"," ",F213+G213+(D213*('Pricing Inputs'!T246)))</f>
        <v> </v>
      </c>
      <c r="CJ213" s="334" t="str">
        <f aca="false">IF($A213="N/A"," ",IF(PV=1,0,'Pricing Inputs'!U246))</f>
        <v> </v>
      </c>
      <c r="CK213" s="337" t="str">
        <f aca="false">IF($A213="N/A"," ",(1+CJ213/2)^(-2*((EOMONTH(A213,0)+20)-DateToday)/365.25))</f>
        <v> </v>
      </c>
      <c r="CL213" s="338" t="str">
        <f aca="false">IF(A213="N/A"," ",IF(CC=2,(VLOOKUP(MONTH($A213),Hrtable,3))/1000,0))</f>
        <v> </v>
      </c>
      <c r="CM213" s="339" t="str">
        <f aca="false">IF(A213="N/A"," ",IF(CC=2,(CL213*C213)+F213,0))</f>
        <v> </v>
      </c>
      <c r="CN213" s="340" t="str">
        <f aca="false">IF($A213="N/A"," ",IF(CC=2,(VLOOKUP(A213,ScaledPrice,(IF(AND(Dayrun&gt;=1,Dayrun&lt;=6),2,4)))-((IF(R213&lt;&gt;0,$D213,$CL213)*$C213)+$F213+$G213)),0))</f>
        <v> </v>
      </c>
      <c r="CO213" s="340" t="str">
        <f aca="false">IF($A213="N/A"," ",IF(CC=2,(IF(AND(Dayrun&gt;=1,Dayrun&lt;=6),I213,(VLOOKUP(A213,ScaledPrice,2))*(2-(VLOOKUP(A213,ScaledPrice,3))))-((IF(S213&lt;&gt;0,$D213,$CL213)*$C213)+$F213+$G213)),0))</f>
        <v> </v>
      </c>
      <c r="CP213" s="340" t="str">
        <f aca="false">IF(A213="N/A"," ",IF(CC=2,(VLOOKUP(A213,ScaledPrice,9)-((IF(T213&lt;&gt;0,$D213,$CL213)*$C213)+$F213+$G213)),0))</f>
        <v> </v>
      </c>
      <c r="CQ213" s="340" t="str">
        <f aca="false">IF(A213="N/A"," ",IF(CC=2,(IF(OR(Dayrun=2,Dayrun=3,Dayrun=5,Dayrun=6,Dayrun=8,Dayrun=9),VLOOKUP(A213,ScaledPrice,IF(AND(Dayrun&gt;=2,Dayrun&lt;=6),5,6)),0)-((IF(U213&lt;&gt;0,$D213,$CL213)*$C213)+$F213+$G213)),0))</f>
        <v> </v>
      </c>
      <c r="CR213" s="340" t="str">
        <f aca="false">IF(A213="N/A"," ",IF(CC=2,(IF(OR(Dayrun=2,Dayrun=3,Dayrun=5,Dayrun=6,Dayrun=8,Dayrun=9),IF(AND(Dayrun&gt;=2,Dayrun&lt;=6),L213,(VLOOKUP(A213,ScaledPrice,5))*(2-(VLOOKUP(A213,ScaledPrice,3)))),0)-((IF(V213&lt;&gt;0,$D213,$CL213)*$C213)+$F213+$G213)),0))</f>
        <v> </v>
      </c>
      <c r="CS213" s="340" t="str">
        <f aca="false">IF(A213="N/A"," ",IF(CC=2,(VLOOKUP(A213,ScaledPrice,9)-((IF(W213&lt;&gt;0,$D213,$CL213)*$C213)+$F213+$G213)),0))</f>
        <v> </v>
      </c>
      <c r="CT213" s="340" t="str">
        <f aca="false">IF(A213="N/A"," ",IF(CC=2,(IF(OR(Dayrun=3,Dayrun=6,Dayrun=9),(VLOOKUP(A213,ScaledPrice,IF(AND(Dayrun&gt;=3,Dayrun&lt;=6),7,8))),0)-((IF(X213&lt;&gt;0,$D213,$CL213)*$C213)+$F213+$G213)),0))</f>
        <v> </v>
      </c>
      <c r="CU213" s="340" t="str">
        <f aca="false">IF(A213="N/A"," ",IF(CC=2,(IF(OR(Dayrun=3,Dayrun=6,Dayrun=9),IF(AND(Dayrun&gt;=3,Dayrun&lt;=6),O213,(VLOOKUP(A213,ScaledPrice,7))*(2-(VLOOKUP(A213,ScaledPrice,3)))),0)-((IF(Y213&lt;&gt;0,$D213,$CL213)*$C213)+$F213+$G213)),0))</f>
        <v> </v>
      </c>
      <c r="CV213" s="340" t="str">
        <f aca="false">IF(A213="N/A"," ",IF(CC=2,(VLOOKUP(A213,ScaledPrice,9)-((IF(Z213&lt;&gt;0,$D213,$CL213)*$C213)+$F213+$G213)),0))</f>
        <v> </v>
      </c>
      <c r="CW213" s="318" t="str">
        <f aca="false">IF($A213="N/A"," ",IF(0&lt;&gt;CN213,IF(CC=2,8*$HD213,0),0))</f>
        <v> </v>
      </c>
      <c r="CX213" s="318" t="str">
        <f aca="false">IF($A213="N/A"," ",IF(0&lt;&gt;CO213,IF(CC=2,8*$HD213,0),0))</f>
        <v> </v>
      </c>
      <c r="CY213" s="318" t="str">
        <f aca="false">IF($A213="N/A"," ",IF(0&lt;&gt;CP213,IF(CC=2,8*$HD213,0),0))</f>
        <v> </v>
      </c>
      <c r="CZ213" s="318" t="str">
        <f aca="false">IF($A213="N/A"," ",IF(0&lt;&gt;CQ213,IF(CC=2,8*$HE213,0),0))</f>
        <v> </v>
      </c>
      <c r="DA213" s="318" t="str">
        <f aca="false">IF($A213="N/A"," ",IF(0&lt;&gt;CR213,IF(CC=2,8*$HE213,0),0))</f>
        <v> </v>
      </c>
      <c r="DB213" s="318" t="str">
        <f aca="false">IF($A213="N/A"," ",IF(0&lt;&gt;CS213,IF(CC=2,8*$HE213,0),0))</f>
        <v> </v>
      </c>
      <c r="DC213" s="318" t="str">
        <f aca="false">IF($A213="N/A"," ",IF(0&lt;&gt;CT213,IF(CC=2,8*$HF213,0),0))</f>
        <v> </v>
      </c>
      <c r="DD213" s="318" t="str">
        <f aca="false">IF($A213="N/A"," ",IF(0&lt;&gt;CU213,IF(CC=2,8*$HF213,0),0))</f>
        <v> </v>
      </c>
      <c r="DE213" s="318" t="str">
        <f aca="false">IF($A213="N/A"," ",IF(0&lt;&gt;CV213,IF(CC=2,8*$HF213,0),0))</f>
        <v> </v>
      </c>
      <c r="DF213" s="341" t="str">
        <f aca="false">IF($A213="N/A"," ",IF(CC=2,(IF(MONTH(A213)&gt;=4,IF(MONTH(A213)&lt;=10,Inputs!$G$13,Inputs!$G$14),Inputs!$G$14))*$CK213,0))</f>
        <v> </v>
      </c>
      <c r="DG213" s="342" t="str">
        <f aca="false">IF($A213="N/A"," ",IF(CC=2,$DF213*CW213*CN213,0))</f>
        <v> </v>
      </c>
      <c r="DH213" s="342" t="str">
        <f aca="false">IF($A213="N/A"," ",IF(CC=2,$DF213*CX213*CO213,0))</f>
        <v> </v>
      </c>
      <c r="DI213" s="342" t="str">
        <f aca="false">IF($A213="N/A"," ",IF(CC=2,$DF213*CY213*CP213,0))</f>
        <v> </v>
      </c>
      <c r="DJ213" s="342" t="str">
        <f aca="false">IF($A213="N/A"," ",IF(CC=2,$DF213*CZ213*CQ213,0))</f>
        <v> </v>
      </c>
      <c r="DK213" s="342" t="str">
        <f aca="false">IF($A213="N/A"," ",IF(CC=2,$DF213*DA213*CR213,0))</f>
        <v> </v>
      </c>
      <c r="DL213" s="342" t="str">
        <f aca="false">IF($A213="N/A"," ",IF(CC=2,$DF213*DB213*CS213,0))</f>
        <v> </v>
      </c>
      <c r="DM213" s="342" t="str">
        <f aca="false">IF($A213="N/A"," ",IF(CC=2,$DF213*DC213*CT213,0))</f>
        <v> </v>
      </c>
      <c r="DN213" s="342" t="str">
        <f aca="false">IF($A213="N/A"," ",IF(CC=2,$DF213*DD213*CU213,0))</f>
        <v> </v>
      </c>
      <c r="DO213" s="342" t="str">
        <f aca="false">IF($A213="N/A"," ",IF(CC=2,$DF213*DE213*CV213,0))</f>
        <v> </v>
      </c>
      <c r="DP213" s="343" t="str">
        <f aca="false">IF($A213="N/A"," ",IF(CC=2,SUM(DG213:DO213),0))</f>
        <v> </v>
      </c>
      <c r="DQ213" s="0" t="str">
        <f aca="false">IF(A213="N/A"," ",Perstart)</f>
        <v> </v>
      </c>
      <c r="HD213" s="0" t="str">
        <f aca="false">IF($A213="N/A"," ",VLOOKUP($A213,NumberofDaysTable,2))</f>
        <v> </v>
      </c>
      <c r="HE213" s="0" t="str">
        <f aca="false">IF($A213="N/A"," ",VLOOKUP($A213,NumberofDaysTable,3))</f>
        <v> </v>
      </c>
      <c r="HF213" s="0" t="str">
        <f aca="false">IF($A213="N/A"," ",VLOOKUP($A213,NumberofDaysTable,4))</f>
        <v> </v>
      </c>
    </row>
    <row r="214" customFormat="false" ht="12.75" hidden="false" customHeight="false" outlineLevel="0" collapsed="false">
      <c r="A214" s="308" t="str">
        <f aca="false">IF(A213="N/A","N/A",IF(EDATE(A213,1)&gt;Inputs!$K$3,"N/A",EDATE(A213,1)))</f>
        <v>N/A</v>
      </c>
      <c r="B214" s="309" t="str">
        <f aca="false">IF(A214="N/A"," ",YEAR(A214))</f>
        <v> </v>
      </c>
      <c r="C214" s="310" t="str">
        <f aca="false">IF(A214="N/A"," ",VLOOKUP(A214,ScaledPrice,10))</f>
        <v> </v>
      </c>
      <c r="D214" s="311" t="str">
        <f aca="false">IF(A214="N/A"," ",(VLOOKUP(MONTH($A214),Hrtable,2))/1000)</f>
        <v> </v>
      </c>
      <c r="E214" s="312" t="str">
        <f aca="false">IF($A214="N/A"," ",(C214-'Pricing Inputs'!T247)*D214)</f>
        <v> </v>
      </c>
      <c r="F214" s="313" t="str">
        <f aca="false">IF(A214="N/A"," ",$F202*(1+VOMesc))</f>
        <v> </v>
      </c>
      <c r="G214" s="313" t="str">
        <f aca="false">IF(A214="N/A"," ",Perstart/IF(AND(Dayrun&gt;=4,Dayrun&lt;=6),16,IF(AND(Dayrun&gt;=7,Dayrun&lt;=9),8,24))/(BM214/CK214))</f>
        <v> </v>
      </c>
      <c r="H214" s="314" t="str">
        <f aca="false">IF(A214="N/A"," ",(C214*D214)+F214+G214)</f>
        <v> </v>
      </c>
      <c r="I214" s="315" t="str">
        <f aca="false">VLOOKUP(A214,ScaledPrice,(IF(AND(Dayrun&gt;=1,Dayrun&lt;=6),2,4)))</f>
        <v> </v>
      </c>
      <c r="J214" s="315" t="str">
        <f aca="false">IF(A214="N/A"," ",IF(AND(Dayrun&gt;=1,Dayrun&lt;=6),I214,(VLOOKUP(A214,ScaledPrice,2))*(2-(VLOOKUP(A214,ScaledPrice,3)))))</f>
        <v> </v>
      </c>
      <c r="K214" s="315" t="str">
        <f aca="false">IF(A214="N/A"," ",IF(AND(Dayrun&gt;=1,Dayrun&lt;=3),VLOOKUP(A214,ScaledPrice,9),0))</f>
        <v> </v>
      </c>
      <c r="L214" s="315" t="str">
        <f aca="false">IF(A214="N/A"," ",IF(OR(Dayrun=2,Dayrun=3,Dayrun=5,Dayrun=6,Dayrun=8,Dayrun=9),VLOOKUP(A214,ScaledPrice,IF(AND(Dayrun&gt;=2,Dayrun&lt;=6),5,6)),0))</f>
        <v> </v>
      </c>
      <c r="M214" s="315" t="str">
        <f aca="false">IF(A214="N/A"," ",IF(OR(Dayrun=2,Dayrun=3,Dayrun=5,Dayrun=6,Dayrun=8,Dayrun=9),IF(AND(Dayrun&gt;=2,Dayrun&lt;=6),L214,(VLOOKUP(A214,ScaledPrice,5))*(2-(VLOOKUP(A214,ScaledPrice,3)))),0))</f>
        <v> </v>
      </c>
      <c r="N214" s="315" t="str">
        <f aca="false">IF(A214="N/A"," ",IF(AND(Dayrun&gt;1,Dayrun&lt;=3),VLOOKUP(A214,ScaledPrice,9),0))</f>
        <v> </v>
      </c>
      <c r="O214" s="315" t="str">
        <f aca="false">IF(A214="N/A"," ",IF(OR(Dayrun=3,Dayrun=6,Dayrun=9),(VLOOKUP(A214,ScaledPrice,IF(AND(Dayrun&gt;=3,Dayrun&lt;=6),7,8))),0))</f>
        <v> </v>
      </c>
      <c r="P214" s="315" t="str">
        <f aca="false">IF(A214="N/A"," ",IF(OR(Dayrun=3,Dayrun=6,Dayrun=9),IF(AND(Dayrun&gt;=3,Dayrun&lt;=6),O214,(VLOOKUP(A214,ScaledPrice,7))*(2-(VLOOKUP(A214,ScaledPrice,3)))),0))</f>
        <v> </v>
      </c>
      <c r="Q214" s="315" t="str">
        <f aca="false">IF(A214="N/A"," ",IF(AND(Dayrun&gt;2,Dayrun&lt;=3),VLOOKUP(A214,ScaledPrice,9),0))</f>
        <v> </v>
      </c>
      <c r="R214" s="316" t="str">
        <f aca="false">IF($A214="N/A"," ",IF(Pricetype=2,MAX(I214-$H214,0),IF(Pricetype=1,(xSPRDOPT(I214,$E214,$CI214,0,($CD214+IF(Smile=TRUE(),VLOOKUP(MAX(-5,$H214-I214),Volsmile,2),0)),$CG214,$CH214,($A214-DateToday)+15,1,0)),I214-$H214)))</f>
        <v> </v>
      </c>
      <c r="S214" s="316" t="str">
        <f aca="false">IF($A214="N/A"," ",IF(Pricetype=2,MAX(J214-$H214,0),IF(Pricetype=1,(xSPRDOPT(J214,$E214,$CI214,0,($CD214+IF(Smile=TRUE(),VLOOKUP(MAX(-5,$H214-J214),Volsmile,2),0)),$CG214,$CH214,($A214-DateToday)+15,1,0)),J214-$H214)))</f>
        <v> </v>
      </c>
      <c r="T214" s="317" t="str">
        <f aca="false">IF($A214="N/A"," ",(IF(Pricetype=2,IF((K214-$H214)&lt;=0,0,(K214-$H214)),IF(K214&lt;&gt;0,(K214-$H214),0))))</f>
        <v> </v>
      </c>
      <c r="U214" s="316" t="str">
        <f aca="false">IF($A214="N/A"," ",IF(Pricetype=2,MAX(L214-$H214,0),IF(L214&lt;&gt;0,IF(Pricetype=1,(xSPRDOPT(L214,$E214,$CI214,0,($CD214+IF(Smile=TRUE(),VLOOKUP(MAX(-5,$H214-L214),Volsmile,2),0)),$CG214,$CH214,($A214-DateToday)+15,1,0)),L214-$H214),0)))</f>
        <v> </v>
      </c>
      <c r="V214" s="316" t="str">
        <f aca="false">IF($A214="N/A"," ",IF(Pricetype=2,MAX(M214-$H214,0),IF(M214&lt;&gt;0,IF(Pricetype=1,(xSPRDOPT(M214,$E214,$CI214,0,($CD214+IF(Smile=TRUE(),VLOOKUP(MAX(-5,$H214-M214),Volsmile,2),0)),$CG214,$CH214,($A214-DateToday)+15,1,0)),M214-$H214),0)))</f>
        <v> </v>
      </c>
      <c r="W214" s="317" t="str">
        <f aca="false">IF($A214="N/A"," ",(IF(Pricetype=2,IF((N214-$H214)&lt;=0,0,(N214-$H214)),IF(N214&lt;&gt;0,(N214-$H214),0))))</f>
        <v> </v>
      </c>
      <c r="X214" s="316" t="str">
        <f aca="false">IF($A214="N/A"," ",IF(Pricetype=2,MAX(O214-$H214,0),IF(O214&lt;&gt;0,IF(Pricetype=1,(xSPRDOPT(O214,$E214,$CI214,0,($CD214+IF(Smile=TRUE(),VLOOKUP(MAX(-5,$H214-O214),Volsmile,2),0)),$CG214,$CH214,($A214-DateToday)+15,1,0)),O214-$H214),0)))</f>
        <v> </v>
      </c>
      <c r="Y214" s="316" t="str">
        <f aca="false">IF($A214="N/A"," ",IF(Pricetype=2,MAX(P214-$H214,0),IF(P214&lt;&gt;0,IF(Pricetype=1,(xSPRDOPT(P214,$E214,$CI214,0,($CD214+IF(Smile=TRUE(),VLOOKUP(MAX(-5,$H214-P214),Volsmile,2),0)),$CG214,$CH214,($A214-DateToday)+15,1,0)),P214-$H214),0)))</f>
        <v> </v>
      </c>
      <c r="Z214" s="317" t="str">
        <f aca="false">IF($A214="N/A"," ",(IF(Pricetype=2,IF((Q214-$H214)&lt;=0,0,(Q214-$H214)),IF(Q214&lt;&gt;0,(Q214-$H214),0))))</f>
        <v> </v>
      </c>
      <c r="AA214" s="318" t="str">
        <f aca="false">IF($A214="N/A"," ",IF(VLOOKUP(MONTH(A214),ManualTable,2)=1,(IF(0&lt;&gt;R214,IF(Pricetype=1,(xSPRDOPT(I214,$E214,$CI214,0,($CD214+IF(Smile=TRUE(),VLOOKUP(MAX(-5,$H214-I214),Volsmile,2),0)),$CG214,$CH214,($A214-DateToday)+15,1,1))*(8*$HD214),8*$HD214),0)),0))</f>
        <v> </v>
      </c>
      <c r="AB214" s="318" t="str">
        <f aca="false">IF($A214="N/A"," ",IF(VLOOKUP(MONTH(A214),ManualTable,3)=1,(IF(S214&lt;&gt;0,IF(Pricetype=1,(xSPRDOPT(J214,$E214,$CI214,0,($CD214+IF(Smile=TRUE(),VLOOKUP(MAX(-5,$H214-J214),Volsmile,2),0)),$CG214,$CH214,($A214-DateToday)+15,1,1))*(8*$HD214),8*$HD214),0)),0))</f>
        <v> </v>
      </c>
      <c r="AC214" s="318" t="str">
        <f aca="false">IF($A214="N/A"," ",IF(VLOOKUP(MONTH(A214),ManualTable,4)=1,(IF(T214&lt;&gt;0,(8*$HD214),0)),0))</f>
        <v> </v>
      </c>
      <c r="AD214" s="318" t="str">
        <f aca="false">IF($A214="N/A"," ",IF(VLOOKUP(MONTH(A214),ManualTable,5)=1,(IF(U214&lt;&gt;0,IF(Pricetype=1,(xSPRDOPT(L214,$E214,$CI214,0,($CD214+IF(Smile=TRUE(),VLOOKUP(MAX(-5,$H214-L214),Volsmile,2),0)),$CG214,$CH214,($A214-DateToday)+15,1,1))*(8*$HE214),8*$HE214),0)),0))</f>
        <v> </v>
      </c>
      <c r="AE214" s="318" t="str">
        <f aca="false">IF($A214="N/A"," ",IF(VLOOKUP(MONTH(A214),ManualTable,6)=1,(IF(V214&lt;&gt;0,IF(Pricetype=1,(xSPRDOPT(M214,$E214,$CI214,0,($CD214+IF(Smile=TRUE(),VLOOKUP(MAX(-5,$H214-M214),Volsmile,2),0)),$CG214,$CH214,($A214-DateToday)+15,1,1))*(8*$HE214),8*$HE214),0)),0))</f>
        <v> </v>
      </c>
      <c r="AF214" s="318" t="str">
        <f aca="false">IF($A214="N/A"," ",IF(VLOOKUP(MONTH(A214),ManualTable,7)=1,(IF(W214&lt;&gt;0,(8*$HE214),0)),0))</f>
        <v> </v>
      </c>
      <c r="AG214" s="318" t="str">
        <f aca="false">IF($A214="N/A"," ",IF(VLOOKUP(MONTH(A214),ManualTable,8)=1,(IF(X214&lt;&gt;0,IF(Pricetype=1,(xSPRDOPT(O214,$E214,$CI214,0,($CD214+IF(Smile=TRUE(),VLOOKUP(MAX(-5,$H214-O214),Volsmile,2),0)),$CG214,$CH214,($A214-DateToday)+15,1,1))*(8*$HF214),8*$HF214),0)),0))</f>
        <v> </v>
      </c>
      <c r="AH214" s="318" t="str">
        <f aca="false">IF($A214="N/A"," ",IF(VLOOKUP(MONTH(A214),ManualTable,9)=1,(IF(Y214&lt;&gt;0,IF(Pricetype=1,(xSPRDOPT(P214,$E214,$CI214,0,($CD214+IF(Smile=TRUE(),VLOOKUP(MAX(-5,$H214-P214),Volsmile,2),0)),$CG214,$CH214,($A214-DateToday)+15,1,1))*(8*$HF214),8*$HF214),0)),0))</f>
        <v> </v>
      </c>
      <c r="AI214" s="318" t="str">
        <f aca="false">IF($A214="N/A"," ",IF(VLOOKUP(MONTH(A214),ManualTable,10)=1,(IF(Z214&lt;&gt;0,(8*($HF214)),0)),0))</f>
        <v> </v>
      </c>
      <c r="AJ214" s="344" t="str">
        <f aca="false">IF($A214="N/A"," ",RANK(R214,$R$208:$Z$219))</f>
        <v> </v>
      </c>
      <c r="AK214" s="321" t="str">
        <f aca="false">IF($A214="N/A"," ",RANK(S214,$R$208:$Z$219))</f>
        <v> </v>
      </c>
      <c r="AL214" s="321" t="str">
        <f aca="false">IF($A214="N/A"," ",RANK(T214,$R$208:$Z$219))</f>
        <v> </v>
      </c>
      <c r="AM214" s="321" t="str">
        <f aca="false">IF($A214="N/A"," ",RANK(U214,$R$208:$Z$219))</f>
        <v> </v>
      </c>
      <c r="AN214" s="321" t="str">
        <f aca="false">IF($A214="N/A"," ",RANK(V214,$R$208:$Z$219))</f>
        <v> </v>
      </c>
      <c r="AO214" s="321" t="str">
        <f aca="false">IF($A214="N/A"," ",RANK(W214,$R$208:$Z$219))</f>
        <v> </v>
      </c>
      <c r="AP214" s="321" t="str">
        <f aca="false">IF($A214="N/A"," ",RANK(X214,$R$208:$Z$219))</f>
        <v> </v>
      </c>
      <c r="AQ214" s="321" t="str">
        <f aca="false">IF($A214="N/A"," ",RANK(Y214,$R$208:$Z$219))</f>
        <v> </v>
      </c>
      <c r="AR214" s="345" t="str">
        <f aca="false">IF($A214="N/A"," ",RANK(Z214,$R$208:$Z$219))</f>
        <v> </v>
      </c>
      <c r="AS214" s="323" t="str">
        <f aca="false">IF($A214="N/A"," ",IF(AJ214&lt;=$AR$2,AA214,0))</f>
        <v> </v>
      </c>
      <c r="AT214" s="325" t="str">
        <f aca="false">IF($A214="N/A"," ",IF(AK214&lt;=$AR$2,AB214,0))</f>
        <v> </v>
      </c>
      <c r="AU214" s="325" t="str">
        <f aca="false">IF($A214="N/A"," ",IF(AL214&lt;=$AR$2,AC214,0))</f>
        <v> </v>
      </c>
      <c r="AV214" s="325" t="str">
        <f aca="false">IF($A214="N/A"," ",IF(AM214&lt;=$AR$2,AD214,0))</f>
        <v> </v>
      </c>
      <c r="AW214" s="325" t="str">
        <f aca="false">IF($A214="N/A"," ",IF(AN214&lt;=$AR$2,AE214,0))</f>
        <v> </v>
      </c>
      <c r="AX214" s="325" t="str">
        <f aca="false">IF($A214="N/A"," ",IF(AO214&lt;=$AR$2,AF214,0))</f>
        <v> </v>
      </c>
      <c r="AY214" s="325" t="str">
        <f aca="false">IF($A214="N/A"," ",IF(AP214&lt;=$AR$2,AG214,0))</f>
        <v> </v>
      </c>
      <c r="AZ214" s="325" t="str">
        <f aca="false">IF($A214="N/A"," ",IF(AQ214&lt;=$AR$2,AH214,0))</f>
        <v> </v>
      </c>
      <c r="BA214" s="325" t="str">
        <f aca="false">IF($A214="N/A"," ",IF(AR214&lt;=$AR$2,AI214,0))</f>
        <v> </v>
      </c>
      <c r="BB214" s="345"/>
      <c r="BC214" s="326" t="str">
        <f aca="false">IF($A214="N/A"," ",IF(AND(AJ214=$AR$2+1,AS214=0),MIN($BB$219,AA214),0))</f>
        <v> </v>
      </c>
      <c r="BD214" s="346" t="str">
        <f aca="false">IF($A214="N/A"," ",IF(AND(AK214=$AR$2+1,AT214=0),MIN($BB$219,AB214),0))</f>
        <v> </v>
      </c>
      <c r="BE214" s="346" t="str">
        <f aca="false">IF($A214="N/A"," ",IF(AND(AL214=$AR$2+1,AU214=0),MIN($BB$219,AC214),0))</f>
        <v> </v>
      </c>
      <c r="BF214" s="346" t="str">
        <f aca="false">IF($A214="N/A"," ",IF(AND(AM214=$AR$2+1,AV214=0),MIN($BB$219,AD214),0))</f>
        <v> </v>
      </c>
      <c r="BG214" s="346" t="str">
        <f aca="false">IF($A214="N/A"," ",IF(AND(AN214=$AR$2+1,AW214=0),MIN($BB$219,AE214),0))</f>
        <v> </v>
      </c>
      <c r="BH214" s="346" t="str">
        <f aca="false">IF($A214="N/A"," ",IF(AND(AO214=$AR$2+1,AX214=0),MIN($BB$219,AF214),0))</f>
        <v> </v>
      </c>
      <c r="BI214" s="346" t="str">
        <f aca="false">IF($A214="N/A"," ",IF(AND(AP214=$AR$2+1,AY214=0),MIN($BB$219,AG214),0))</f>
        <v> </v>
      </c>
      <c r="BJ214" s="346" t="str">
        <f aca="false">IF($A214="N/A"," ",IF(AND(AQ214=$AR$2+1,AZ214=0),MIN($BB$219,AH214),0))</f>
        <v> </v>
      </c>
      <c r="BK214" s="346" t="str">
        <f aca="false">IF($A214="N/A"," ",IF(AND(AR214=$AR$2+1,BA214=0),MIN($BB$219,AI214),0))</f>
        <v> </v>
      </c>
      <c r="BL214" s="345"/>
      <c r="BM214" s="329" t="str">
        <f aca="false">IF($A214="N/A"," ",(IF(MONTH(A214)&gt;=4,IF(MONTH(A214)&lt;=10,Inputs!$F$13-Inputs!$G$13,Inputs!$F$14-Inputs!$G$14),Inputs!$F$14-Inputs!$G$14))*$CK214*Availability)</f>
        <v> </v>
      </c>
      <c r="BN214" s="330" t="str">
        <f aca="false">IF($A214="N/A"," ",(IF(AS214&gt;0,($BM214*(8*($HD214))*R214),0)+IF(BC214&gt;0,($BM214*((BC214/AA214)*8*$HD214)*R214),0)))</f>
        <v> </v>
      </c>
      <c r="BO214" s="330" t="str">
        <f aca="false">IF($A214="N/A"," ",(IF(AT214&gt;0,($BM214*(8*($HD214))*S214),0)+IF(BD214&gt;0,($BM214*((BD214/AB214)*8*$HD214)*S214),0)))</f>
        <v> </v>
      </c>
      <c r="BP214" s="330" t="str">
        <f aca="false">IF($A214="N/A"," ",(IF(AU214&gt;0,($BM214*(8*($HD214))*T214),0)+IF(BE214&gt;0,($BM214*((BE214))*T214),0)))</f>
        <v> </v>
      </c>
      <c r="BQ214" s="330" t="str">
        <f aca="false">IF($A214="N/A"," ",(IF(AV214&gt;0,($BM214*(8*($HE214))*U214),0)+IF(BF214&gt;0,($BM214*((BF214/AD214)*8*$HE214)*U214),0)))</f>
        <v> </v>
      </c>
      <c r="BR214" s="330" t="str">
        <f aca="false">IF($A214="N/A"," ",(IF(AW214&gt;0,($BM214*(8*($HE214))*V214),0)+IF(BG214&gt;0,($BM214*((BG214/AE214)*8*$HE214)*V214),0)))</f>
        <v> </v>
      </c>
      <c r="BS214" s="330" t="str">
        <f aca="false">IF($A214="N/A"," ",(IF(AX214&gt;0,($BM214*(8*($HE214))*W214),0)+IF(BH214&gt;0,($BM214*((BH214))*W214),0)))</f>
        <v> </v>
      </c>
      <c r="BT214" s="330" t="str">
        <f aca="false">IF($A214="N/A"," ",(IF(AY214&gt;0,($BM214*(8*($HF214))*X214),0)+IF(BI214&gt;0,($BM214*((BI214/AG214)*8*$HF214)*X214),0)))</f>
        <v> </v>
      </c>
      <c r="BU214" s="330" t="str">
        <f aca="false">IF($A214="N/A"," ",(IF(AZ214&gt;0,($BM214*(8*($HF214))*Y214),0)+IF(BJ214&gt;0,($BM214*((BJ214/AH214)*8*$HF214)*Y214),0)))</f>
        <v> </v>
      </c>
      <c r="BV214" s="330" t="str">
        <f aca="false">IF($A214="N/A"," ",(IF(BA214&gt;0,($BM214*(8*($HF214))*Z214),0)+IF(BK214&gt;0,($BM214*((BK214))*Z214),0)))</f>
        <v> </v>
      </c>
      <c r="BW214" s="330" t="str">
        <f aca="false">IF($A214="N/A"," ",SUM(BN214:BV214))</f>
        <v> </v>
      </c>
      <c r="BX214" s="331" t="str">
        <f aca="false">IF($A214="N/A"," ",(H214*(SUM(AS214:BA214)+SUM(BC214:BK214))*BM214))</f>
        <v> </v>
      </c>
      <c r="BY214" s="332" t="str">
        <f aca="false">IF($A214="N/A"," ",((C214*D214)*(SUM($AS214:$BA214)+SUM($BC214:$BK214))*$BM214))</f>
        <v> </v>
      </c>
      <c r="BZ214" s="332" t="str">
        <f aca="false">IF($A214="N/A"," ",(F214*(SUM($AS214:$BA214)+SUM($BC214:$BK214))*$BM214))</f>
        <v> </v>
      </c>
      <c r="CA214" s="333" t="str">
        <f aca="false">IF($A214="N/A"," ",(G214*(SUM($AS214:$BA214)+SUM($BC214:$BK214))*$BM214))</f>
        <v> </v>
      </c>
      <c r="CB214" s="334" t="str">
        <f aca="false">IF(A214="N/A"," ",(VLOOKUP(A214,PowerVolTable,(IF(BMO=2,7,IF(BMO=1,6,8))),FALSE())))</f>
        <v> </v>
      </c>
      <c r="CC214" s="334" t="str">
        <f aca="false">IF(A214="N/A"," ",(VLOOKUP(A214,IntraPowerVol,(IF(BMO=2,3,IF(BMO=1,2,4))),FALSE())*VLOOKUP(MONTH($A214),Volscale,2)))</f>
        <v> </v>
      </c>
      <c r="CD214" s="335" t="str">
        <f aca="false">IF($A214="N/A"," ",(IF(DateToday&gt;$A214,$CC214,((($CB214^2)*((($A214-1)-DateToday)/((EOMONTH($A214,0)+1)-DateToday-15)))+((($CC214)^2)*((15)/((EOMONTH($A214,0)+1)-DateToday-15))))^0.5)))</f>
        <v> </v>
      </c>
      <c r="CE214" s="334" t="str">
        <f aca="false">IF($A214="N/A"," ",(VLOOKUP($A214,GasVolTable,(IF(BMO=2,6,IF(BMO=1,7,5))),FALSE())))</f>
        <v> </v>
      </c>
      <c r="CF214" s="334" t="str">
        <f aca="false">IF($A214="N/A"," ",(VLOOKUP($A214,OmicronVol,(IF(BMO=2,3,IF(BMO=1,4,2))),FALSE())))</f>
        <v> </v>
      </c>
      <c r="CG214" s="335" t="str">
        <f aca="false">IF($A214="N/A"," ",(IF(DateToday&gt;$A214,$CF214,((($CE214^2)*((($A214-1)-DateToday)/((EOMONTH($A214,0)+1)-DateToday-15)))+((($CF214)^2)*((15)/((EOMONTH($A214,0)+1)-DateToday-15))))^0.5)))</f>
        <v> </v>
      </c>
      <c r="CH214" s="334" t="str">
        <f aca="false">IF($A214="N/A"," ",VLOOKUP($A214,CorrelationTable,2,FALSE()))</f>
        <v> </v>
      </c>
      <c r="CI214" s="336" t="str">
        <f aca="false">IF($A214="N/A"," ",F214+G214+(D214*('Pricing Inputs'!T247)))</f>
        <v> </v>
      </c>
      <c r="CJ214" s="334" t="str">
        <f aca="false">IF($A214="N/A"," ",IF(PV=1,0,'Pricing Inputs'!U247))</f>
        <v> </v>
      </c>
      <c r="CK214" s="337" t="str">
        <f aca="false">IF($A214="N/A"," ",(1+CJ214/2)^(-2*((EOMONTH(A214,0)+20)-DateToday)/365.25))</f>
        <v> </v>
      </c>
      <c r="CL214" s="338" t="str">
        <f aca="false">IF(A214="N/A"," ",IF(CC=2,(VLOOKUP(MONTH($A214),Hrtable,3))/1000,0))</f>
        <v> </v>
      </c>
      <c r="CM214" s="339" t="str">
        <f aca="false">IF(A214="N/A"," ",IF(CC=2,(CL214*C214)+F214,0))</f>
        <v> </v>
      </c>
      <c r="CN214" s="340" t="str">
        <f aca="false">IF($A214="N/A"," ",IF(CC=2,(VLOOKUP(A214,ScaledPrice,(IF(AND(Dayrun&gt;=1,Dayrun&lt;=6),2,4)))-((IF(R214&lt;&gt;0,$D214,$CL214)*$C214)+$F214+$G214)),0))</f>
        <v> </v>
      </c>
      <c r="CO214" s="340" t="str">
        <f aca="false">IF($A214="N/A"," ",IF(CC=2,(IF(AND(Dayrun&gt;=1,Dayrun&lt;=6),I214,(VLOOKUP(A214,ScaledPrice,2))*(2-(VLOOKUP(A214,ScaledPrice,3))))-((IF(S214&lt;&gt;0,$D214,$CL214)*$C214)+$F214+$G214)),0))</f>
        <v> </v>
      </c>
      <c r="CP214" s="340" t="str">
        <f aca="false">IF(A214="N/A"," ",IF(CC=2,(VLOOKUP(A214,ScaledPrice,9)-((IF(T214&lt;&gt;0,$D214,$CL214)*$C214)+$F214+$G214)),0))</f>
        <v> </v>
      </c>
      <c r="CQ214" s="340" t="str">
        <f aca="false">IF(A214="N/A"," ",IF(CC=2,(IF(OR(Dayrun=2,Dayrun=3,Dayrun=5,Dayrun=6,Dayrun=8,Dayrun=9),VLOOKUP(A214,ScaledPrice,IF(AND(Dayrun&gt;=2,Dayrun&lt;=6),5,6)),0)-((IF(U214&lt;&gt;0,$D214,$CL214)*$C214)+$F214+$G214)),0))</f>
        <v> </v>
      </c>
      <c r="CR214" s="340" t="str">
        <f aca="false">IF(A214="N/A"," ",IF(CC=2,(IF(OR(Dayrun=2,Dayrun=3,Dayrun=5,Dayrun=6,Dayrun=8,Dayrun=9),IF(AND(Dayrun&gt;=2,Dayrun&lt;=6),L214,(VLOOKUP(A214,ScaledPrice,5))*(2-(VLOOKUP(A214,ScaledPrice,3)))),0)-((IF(V214&lt;&gt;0,$D214,$CL214)*$C214)+$F214+$G214)),0))</f>
        <v> </v>
      </c>
      <c r="CS214" s="340" t="str">
        <f aca="false">IF(A214="N/A"," ",IF(CC=2,(VLOOKUP(A214,ScaledPrice,9)-((IF(W214&lt;&gt;0,$D214,$CL214)*$C214)+$F214+$G214)),0))</f>
        <v> </v>
      </c>
      <c r="CT214" s="340" t="str">
        <f aca="false">IF(A214="N/A"," ",IF(CC=2,(IF(OR(Dayrun=3,Dayrun=6,Dayrun=9),(VLOOKUP(A214,ScaledPrice,IF(AND(Dayrun&gt;=3,Dayrun&lt;=6),7,8))),0)-((IF(X214&lt;&gt;0,$D214,$CL214)*$C214)+$F214+$G214)),0))</f>
        <v> </v>
      </c>
      <c r="CU214" s="340" t="str">
        <f aca="false">IF(A214="N/A"," ",IF(CC=2,(IF(OR(Dayrun=3,Dayrun=6,Dayrun=9),IF(AND(Dayrun&gt;=3,Dayrun&lt;=6),O214,(VLOOKUP(A214,ScaledPrice,7))*(2-(VLOOKUP(A214,ScaledPrice,3)))),0)-((IF(Y214&lt;&gt;0,$D214,$CL214)*$C214)+$F214+$G214)),0))</f>
        <v> </v>
      </c>
      <c r="CV214" s="340" t="str">
        <f aca="false">IF(A214="N/A"," ",IF(CC=2,(VLOOKUP(A214,ScaledPrice,9)-((IF(Z214&lt;&gt;0,$D214,$CL214)*$C214)+$F214+$G214)),0))</f>
        <v> </v>
      </c>
      <c r="CW214" s="318" t="str">
        <f aca="false">IF($A214="N/A"," ",IF(0&lt;&gt;CN214,IF(CC=2,8*$HD214,0),0))</f>
        <v> </v>
      </c>
      <c r="CX214" s="318" t="str">
        <f aca="false">IF($A214="N/A"," ",IF(0&lt;&gt;CO214,IF(CC=2,8*$HD214,0),0))</f>
        <v> </v>
      </c>
      <c r="CY214" s="318" t="str">
        <f aca="false">IF($A214="N/A"," ",IF(0&lt;&gt;CP214,IF(CC=2,8*$HD214,0),0))</f>
        <v> </v>
      </c>
      <c r="CZ214" s="318" t="str">
        <f aca="false">IF($A214="N/A"," ",IF(0&lt;&gt;CQ214,IF(CC=2,8*$HE214,0),0))</f>
        <v> </v>
      </c>
      <c r="DA214" s="318" t="str">
        <f aca="false">IF($A214="N/A"," ",IF(0&lt;&gt;CR214,IF(CC=2,8*$HE214,0),0))</f>
        <v> </v>
      </c>
      <c r="DB214" s="318" t="str">
        <f aca="false">IF($A214="N/A"," ",IF(0&lt;&gt;CS214,IF(CC=2,8*$HE214,0),0))</f>
        <v> </v>
      </c>
      <c r="DC214" s="318" t="str">
        <f aca="false">IF($A214="N/A"," ",IF(0&lt;&gt;CT214,IF(CC=2,8*$HF214,0),0))</f>
        <v> </v>
      </c>
      <c r="DD214" s="318" t="str">
        <f aca="false">IF($A214="N/A"," ",IF(0&lt;&gt;CU214,IF(CC=2,8*$HF214,0),0))</f>
        <v> </v>
      </c>
      <c r="DE214" s="318" t="str">
        <f aca="false">IF($A214="N/A"," ",IF(0&lt;&gt;CV214,IF(CC=2,8*$HF214,0),0))</f>
        <v> </v>
      </c>
      <c r="DF214" s="341" t="str">
        <f aca="false">IF($A214="N/A"," ",IF(CC=2,(IF(MONTH(A214)&gt;=4,IF(MONTH(A214)&lt;=10,Inputs!$G$13,Inputs!$G$14),Inputs!$G$14))*$CK214,0))</f>
        <v> </v>
      </c>
      <c r="DG214" s="342" t="str">
        <f aca="false">IF($A214="N/A"," ",IF(CC=2,$DF214*CW214*CN214,0))</f>
        <v> </v>
      </c>
      <c r="DH214" s="342" t="str">
        <f aca="false">IF($A214="N/A"," ",IF(CC=2,$DF214*CX214*CO214,0))</f>
        <v> </v>
      </c>
      <c r="DI214" s="342" t="str">
        <f aca="false">IF($A214="N/A"," ",IF(CC=2,$DF214*CY214*CP214,0))</f>
        <v> </v>
      </c>
      <c r="DJ214" s="342" t="str">
        <f aca="false">IF($A214="N/A"," ",IF(CC=2,$DF214*CZ214*CQ214,0))</f>
        <v> </v>
      </c>
      <c r="DK214" s="342" t="str">
        <f aca="false">IF($A214="N/A"," ",IF(CC=2,$DF214*DA214*CR214,0))</f>
        <v> </v>
      </c>
      <c r="DL214" s="342" t="str">
        <f aca="false">IF($A214="N/A"," ",IF(CC=2,$DF214*DB214*CS214,0))</f>
        <v> </v>
      </c>
      <c r="DM214" s="342" t="str">
        <f aca="false">IF($A214="N/A"," ",IF(CC=2,$DF214*DC214*CT214,0))</f>
        <v> </v>
      </c>
      <c r="DN214" s="342" t="str">
        <f aca="false">IF($A214="N/A"," ",IF(CC=2,$DF214*DD214*CU214,0))</f>
        <v> </v>
      </c>
      <c r="DO214" s="342" t="str">
        <f aca="false">IF($A214="N/A"," ",IF(CC=2,$DF214*DE214*CV214,0))</f>
        <v> </v>
      </c>
      <c r="DP214" s="343" t="str">
        <f aca="false">IF($A214="N/A"," ",IF(CC=2,SUM(DG214:DO214),0))</f>
        <v> </v>
      </c>
      <c r="DQ214" s="0" t="str">
        <f aca="false">IF(A214="N/A"," ",Perstart)</f>
        <v> </v>
      </c>
      <c r="HD214" s="0" t="str">
        <f aca="false">IF($A214="N/A"," ",VLOOKUP($A214,NumberofDaysTable,2))</f>
        <v> </v>
      </c>
      <c r="HE214" s="0" t="str">
        <f aca="false">IF($A214="N/A"," ",VLOOKUP($A214,NumberofDaysTable,3))</f>
        <v> </v>
      </c>
      <c r="HF214" s="0" t="str">
        <f aca="false">IF($A214="N/A"," ",VLOOKUP($A214,NumberofDaysTable,4))</f>
        <v> </v>
      </c>
    </row>
    <row r="215" customFormat="false" ht="12.75" hidden="false" customHeight="false" outlineLevel="0" collapsed="false">
      <c r="A215" s="308" t="str">
        <f aca="false">IF(A214="N/A","N/A",IF(EDATE(A214,1)&gt;Inputs!$K$3,"N/A",EDATE(A214,1)))</f>
        <v>N/A</v>
      </c>
      <c r="B215" s="309" t="str">
        <f aca="false">IF(A215="N/A"," ",YEAR(A215))</f>
        <v> </v>
      </c>
      <c r="C215" s="310" t="str">
        <f aca="false">IF(A215="N/A"," ",VLOOKUP(A215,ScaledPrice,10))</f>
        <v> </v>
      </c>
      <c r="D215" s="311" t="str">
        <f aca="false">IF(A215="N/A"," ",(VLOOKUP(MONTH($A215),Hrtable,2))/1000)</f>
        <v> </v>
      </c>
      <c r="E215" s="312" t="str">
        <f aca="false">IF($A215="N/A"," ",(C215-'Pricing Inputs'!T248)*D215)</f>
        <v> </v>
      </c>
      <c r="F215" s="313" t="str">
        <f aca="false">IF(A215="N/A"," ",$F203*(1+VOMesc))</f>
        <v> </v>
      </c>
      <c r="G215" s="313" t="str">
        <f aca="false">IF(A215="N/A"," ",Perstart/IF(AND(Dayrun&gt;=4,Dayrun&lt;=6),16,IF(AND(Dayrun&gt;=7,Dayrun&lt;=9),8,24))/(BM215/CK215))</f>
        <v> </v>
      </c>
      <c r="H215" s="314" t="str">
        <f aca="false">IF(A215="N/A"," ",(C215*D215)+F215+G215)</f>
        <v> </v>
      </c>
      <c r="I215" s="315" t="str">
        <f aca="false">VLOOKUP(A215,ScaledPrice,(IF(AND(Dayrun&gt;=1,Dayrun&lt;=6),2,4)))</f>
        <v> </v>
      </c>
      <c r="J215" s="315" t="str">
        <f aca="false">IF(A215="N/A"," ",IF(AND(Dayrun&gt;=1,Dayrun&lt;=6),I215,(VLOOKUP(A215,ScaledPrice,2))*(2-(VLOOKUP(A215,ScaledPrice,3)))))</f>
        <v> </v>
      </c>
      <c r="K215" s="315" t="str">
        <f aca="false">IF(A215="N/A"," ",IF(AND(Dayrun&gt;=1,Dayrun&lt;=3),VLOOKUP(A215,ScaledPrice,9),0))</f>
        <v> </v>
      </c>
      <c r="L215" s="315" t="str">
        <f aca="false">IF(A215="N/A"," ",IF(OR(Dayrun=2,Dayrun=3,Dayrun=5,Dayrun=6,Dayrun=8,Dayrun=9),VLOOKUP(A215,ScaledPrice,IF(AND(Dayrun&gt;=2,Dayrun&lt;=6),5,6)),0))</f>
        <v> </v>
      </c>
      <c r="M215" s="315" t="str">
        <f aca="false">IF(A215="N/A"," ",IF(OR(Dayrun=2,Dayrun=3,Dayrun=5,Dayrun=6,Dayrun=8,Dayrun=9),IF(AND(Dayrun&gt;=2,Dayrun&lt;=6),L215,(VLOOKUP(A215,ScaledPrice,5))*(2-(VLOOKUP(A215,ScaledPrice,3)))),0))</f>
        <v> </v>
      </c>
      <c r="N215" s="315" t="str">
        <f aca="false">IF(A215="N/A"," ",IF(AND(Dayrun&gt;1,Dayrun&lt;=3),VLOOKUP(A215,ScaledPrice,9),0))</f>
        <v> </v>
      </c>
      <c r="O215" s="315" t="str">
        <f aca="false">IF(A215="N/A"," ",IF(OR(Dayrun=3,Dayrun=6,Dayrun=9),(VLOOKUP(A215,ScaledPrice,IF(AND(Dayrun&gt;=3,Dayrun&lt;=6),7,8))),0))</f>
        <v> </v>
      </c>
      <c r="P215" s="315" t="str">
        <f aca="false">IF(A215="N/A"," ",IF(OR(Dayrun=3,Dayrun=6,Dayrun=9),IF(AND(Dayrun&gt;=3,Dayrun&lt;=6),O215,(VLOOKUP(A215,ScaledPrice,7))*(2-(VLOOKUP(A215,ScaledPrice,3)))),0))</f>
        <v> </v>
      </c>
      <c r="Q215" s="315" t="str">
        <f aca="false">IF(A215="N/A"," ",IF(AND(Dayrun&gt;2,Dayrun&lt;=3),VLOOKUP(A215,ScaledPrice,9),0))</f>
        <v> </v>
      </c>
      <c r="R215" s="316" t="str">
        <f aca="false">IF($A215="N/A"," ",IF(Pricetype=2,MAX(I215-$H215,0),IF(Pricetype=1,(xSPRDOPT(I215,$E215,$CI215,0,($CD215+IF(Smile=TRUE(),VLOOKUP(MAX(-5,$H215-I215),Volsmile,2),0)),$CG215,$CH215,($A215-DateToday)+15,1,0)),I215-$H215)))</f>
        <v> </v>
      </c>
      <c r="S215" s="316" t="str">
        <f aca="false">IF($A215="N/A"," ",IF(Pricetype=2,MAX(J215-$H215,0),IF(Pricetype=1,(xSPRDOPT(J215,$E215,$CI215,0,($CD215+IF(Smile=TRUE(),VLOOKUP(MAX(-5,$H215-J215),Volsmile,2),0)),$CG215,$CH215,($A215-DateToday)+15,1,0)),J215-$H215)))</f>
        <v> </v>
      </c>
      <c r="T215" s="317" t="str">
        <f aca="false">IF($A215="N/A"," ",(IF(Pricetype=2,IF((K215-$H215)&lt;=0,0,(K215-$H215)),IF(K215&lt;&gt;0,(K215-$H215),0))))</f>
        <v> </v>
      </c>
      <c r="U215" s="316" t="str">
        <f aca="false">IF($A215="N/A"," ",IF(Pricetype=2,MAX(L215-$H215,0),IF(L215&lt;&gt;0,IF(Pricetype=1,(xSPRDOPT(L215,$E215,$CI215,0,($CD215+IF(Smile=TRUE(),VLOOKUP(MAX(-5,$H215-L215),Volsmile,2),0)),$CG215,$CH215,($A215-DateToday)+15,1,0)),L215-$H215),0)))</f>
        <v> </v>
      </c>
      <c r="V215" s="316" t="str">
        <f aca="false">IF($A215="N/A"," ",IF(Pricetype=2,MAX(M215-$H215,0),IF(M215&lt;&gt;0,IF(Pricetype=1,(xSPRDOPT(M215,$E215,$CI215,0,($CD215+IF(Smile=TRUE(),VLOOKUP(MAX(-5,$H215-M215),Volsmile,2),0)),$CG215,$CH215,($A215-DateToday)+15,1,0)),M215-$H215),0)))</f>
        <v> </v>
      </c>
      <c r="W215" s="317" t="str">
        <f aca="false">IF($A215="N/A"," ",(IF(Pricetype=2,IF((N215-$H215)&lt;=0,0,(N215-$H215)),IF(N215&lt;&gt;0,(N215-$H215),0))))</f>
        <v> </v>
      </c>
      <c r="X215" s="316" t="str">
        <f aca="false">IF($A215="N/A"," ",IF(Pricetype=2,MAX(O215-$H215,0),IF(O215&lt;&gt;0,IF(Pricetype=1,(xSPRDOPT(O215,$E215,$CI215,0,($CD215+IF(Smile=TRUE(),VLOOKUP(MAX(-5,$H215-O215),Volsmile,2),0)),$CG215,$CH215,($A215-DateToday)+15,1,0)),O215-$H215),0)))</f>
        <v> </v>
      </c>
      <c r="Y215" s="316" t="str">
        <f aca="false">IF($A215="N/A"," ",IF(Pricetype=2,MAX(P215-$H215,0),IF(P215&lt;&gt;0,IF(Pricetype=1,(xSPRDOPT(P215,$E215,$CI215,0,($CD215+IF(Smile=TRUE(),VLOOKUP(MAX(-5,$H215-P215),Volsmile,2),0)),$CG215,$CH215,($A215-DateToday)+15,1,0)),P215-$H215),0)))</f>
        <v> </v>
      </c>
      <c r="Z215" s="317" t="str">
        <f aca="false">IF($A215="N/A"," ",(IF(Pricetype=2,IF((Q215-$H215)&lt;=0,0,(Q215-$H215)),IF(Q215&lt;&gt;0,(Q215-$H215),0))))</f>
        <v> </v>
      </c>
      <c r="AA215" s="318" t="str">
        <f aca="false">IF($A215="N/A"," ",IF(VLOOKUP(MONTH(A215),ManualTable,2)=1,(IF(0&lt;&gt;R215,IF(Pricetype=1,(xSPRDOPT(I215,$E215,$CI215,0,($CD215+IF(Smile=TRUE(),VLOOKUP(MAX(-5,$H215-I215),Volsmile,2),0)),$CG215,$CH215,($A215-DateToday)+15,1,1))*(8*$HD215),8*$HD215),0)),0))</f>
        <v> </v>
      </c>
      <c r="AB215" s="318" t="str">
        <f aca="false">IF($A215="N/A"," ",IF(VLOOKUP(MONTH(A215),ManualTable,3)=1,(IF(S215&lt;&gt;0,IF(Pricetype=1,(xSPRDOPT(J215,$E215,$CI215,0,($CD215+IF(Smile=TRUE(),VLOOKUP(MAX(-5,$H215-J215),Volsmile,2),0)),$CG215,$CH215,($A215-DateToday)+15,1,1))*(8*$HD215),8*$HD215),0)),0))</f>
        <v> </v>
      </c>
      <c r="AC215" s="318" t="str">
        <f aca="false">IF($A215="N/A"," ",IF(VLOOKUP(MONTH(A215),ManualTable,4)=1,(IF(T215&lt;&gt;0,(8*$HD215),0)),0))</f>
        <v> </v>
      </c>
      <c r="AD215" s="318" t="str">
        <f aca="false">IF($A215="N/A"," ",IF(VLOOKUP(MONTH(A215),ManualTable,5)=1,(IF(U215&lt;&gt;0,IF(Pricetype=1,(xSPRDOPT(L215,$E215,$CI215,0,($CD215+IF(Smile=TRUE(),VLOOKUP(MAX(-5,$H215-L215),Volsmile,2),0)),$CG215,$CH215,($A215-DateToday)+15,1,1))*(8*$HE215),8*$HE215),0)),0))</f>
        <v> </v>
      </c>
      <c r="AE215" s="318" t="str">
        <f aca="false">IF($A215="N/A"," ",IF(VLOOKUP(MONTH(A215),ManualTable,6)=1,(IF(V215&lt;&gt;0,IF(Pricetype=1,(xSPRDOPT(M215,$E215,$CI215,0,($CD215+IF(Smile=TRUE(),VLOOKUP(MAX(-5,$H215-M215),Volsmile,2),0)),$CG215,$CH215,($A215-DateToday)+15,1,1))*(8*$HE215),8*$HE215),0)),0))</f>
        <v> </v>
      </c>
      <c r="AF215" s="318" t="str">
        <f aca="false">IF($A215="N/A"," ",IF(VLOOKUP(MONTH(A215),ManualTable,7)=1,(IF(W215&lt;&gt;0,(8*$HE215),0)),0))</f>
        <v> </v>
      </c>
      <c r="AG215" s="318" t="str">
        <f aca="false">IF($A215="N/A"," ",IF(VLOOKUP(MONTH(A215),ManualTable,8)=1,(IF(X215&lt;&gt;0,IF(Pricetype=1,(xSPRDOPT(O215,$E215,$CI215,0,($CD215+IF(Smile=TRUE(),VLOOKUP(MAX(-5,$H215-O215),Volsmile,2),0)),$CG215,$CH215,($A215-DateToday)+15,1,1))*(8*$HF215),8*$HF215),0)),0))</f>
        <v> </v>
      </c>
      <c r="AH215" s="318" t="str">
        <f aca="false">IF($A215="N/A"," ",IF(VLOOKUP(MONTH(A215),ManualTable,9)=1,(IF(Y215&lt;&gt;0,IF(Pricetype=1,(xSPRDOPT(P215,$E215,$CI215,0,($CD215+IF(Smile=TRUE(),VLOOKUP(MAX(-5,$H215-P215),Volsmile,2),0)),$CG215,$CH215,($A215-DateToday)+15,1,1))*(8*$HF215),8*$HF215),0)),0))</f>
        <v> </v>
      </c>
      <c r="AI215" s="318" t="str">
        <f aca="false">IF($A215="N/A"," ",IF(VLOOKUP(MONTH(A215),ManualTable,10)=1,(IF(Z215&lt;&gt;0,(8*($HF215)),0)),0))</f>
        <v> </v>
      </c>
      <c r="AJ215" s="344" t="str">
        <f aca="false">IF($A215="N/A"," ",RANK(R215,$R$208:$Z$219))</f>
        <v> </v>
      </c>
      <c r="AK215" s="321" t="str">
        <f aca="false">IF($A215="N/A"," ",RANK(S215,$R$208:$Z$219))</f>
        <v> </v>
      </c>
      <c r="AL215" s="321" t="str">
        <f aca="false">IF($A215="N/A"," ",RANK(T215,$R$208:$Z$219))</f>
        <v> </v>
      </c>
      <c r="AM215" s="321" t="str">
        <f aca="false">IF($A215="N/A"," ",RANK(U215,$R$208:$Z$219))</f>
        <v> </v>
      </c>
      <c r="AN215" s="321" t="str">
        <f aca="false">IF($A215="N/A"," ",RANK(V215,$R$208:$Z$219))</f>
        <v> </v>
      </c>
      <c r="AO215" s="321" t="str">
        <f aca="false">IF($A215="N/A"," ",RANK(W215,$R$208:$Z$219))</f>
        <v> </v>
      </c>
      <c r="AP215" s="321" t="str">
        <f aca="false">IF($A215="N/A"," ",RANK(X215,$R$208:$Z$219))</f>
        <v> </v>
      </c>
      <c r="AQ215" s="321" t="str">
        <f aca="false">IF($A215="N/A"," ",RANK(Y215,$R$208:$Z$219))</f>
        <v> </v>
      </c>
      <c r="AR215" s="345" t="str">
        <f aca="false">IF($A215="N/A"," ",RANK(Z215,$R$208:$Z$219))</f>
        <v> </v>
      </c>
      <c r="AS215" s="323" t="str">
        <f aca="false">IF($A215="N/A"," ",IF(AJ215&lt;=$AR$2,AA215,0))</f>
        <v> </v>
      </c>
      <c r="AT215" s="325" t="str">
        <f aca="false">IF($A215="N/A"," ",IF(AK215&lt;=$AR$2,AB215,0))</f>
        <v> </v>
      </c>
      <c r="AU215" s="325" t="str">
        <f aca="false">IF($A215="N/A"," ",IF(AL215&lt;=$AR$2,AC215,0))</f>
        <v> </v>
      </c>
      <c r="AV215" s="325" t="str">
        <f aca="false">IF($A215="N/A"," ",IF(AM215&lt;=$AR$2,AD215,0))</f>
        <v> </v>
      </c>
      <c r="AW215" s="325" t="str">
        <f aca="false">IF($A215="N/A"," ",IF(AN215&lt;=$AR$2,AE215,0))</f>
        <v> </v>
      </c>
      <c r="AX215" s="325" t="str">
        <f aca="false">IF($A215="N/A"," ",IF(AO215&lt;=$AR$2,AF215,0))</f>
        <v> </v>
      </c>
      <c r="AY215" s="325" t="str">
        <f aca="false">IF($A215="N/A"," ",IF(AP215&lt;=$AR$2,AG215,0))</f>
        <v> </v>
      </c>
      <c r="AZ215" s="325" t="str">
        <f aca="false">IF($A215="N/A"," ",IF(AQ215&lt;=$AR$2,AH215,0))</f>
        <v> </v>
      </c>
      <c r="BA215" s="325" t="str">
        <f aca="false">IF($A215="N/A"," ",IF(AR215&lt;=$AR$2,AI215,0))</f>
        <v> </v>
      </c>
      <c r="BB215" s="345"/>
      <c r="BC215" s="326" t="str">
        <f aca="false">IF($A215="N/A"," ",IF(AND(AJ215=$AR$2+1,AS215=0),MIN($BB$219,AA215),0))</f>
        <v> </v>
      </c>
      <c r="BD215" s="346" t="str">
        <f aca="false">IF($A215="N/A"," ",IF(AND(AK215=$AR$2+1,AT215=0),MIN($BB$219,AB215),0))</f>
        <v> </v>
      </c>
      <c r="BE215" s="346" t="str">
        <f aca="false">IF($A215="N/A"," ",IF(AND(AL215=$AR$2+1,AU215=0),MIN($BB$219,AC215),0))</f>
        <v> </v>
      </c>
      <c r="BF215" s="346" t="str">
        <f aca="false">IF($A215="N/A"," ",IF(AND(AM215=$AR$2+1,AV215=0),MIN($BB$219,AD215),0))</f>
        <v> </v>
      </c>
      <c r="BG215" s="346" t="str">
        <f aca="false">IF($A215="N/A"," ",IF(AND(AN215=$AR$2+1,AW215=0),MIN($BB$219,AE215),0))</f>
        <v> </v>
      </c>
      <c r="BH215" s="346" t="str">
        <f aca="false">IF($A215="N/A"," ",IF(AND(AO215=$AR$2+1,AX215=0),MIN($BB$219,AF215),0))</f>
        <v> </v>
      </c>
      <c r="BI215" s="346" t="str">
        <f aca="false">IF($A215="N/A"," ",IF(AND(AP215=$AR$2+1,AY215=0),MIN($BB$219,AG215),0))</f>
        <v> </v>
      </c>
      <c r="BJ215" s="346" t="str">
        <f aca="false">IF($A215="N/A"," ",IF(AND(AQ215=$AR$2+1,AZ215=0),MIN($BB$219,AH215),0))</f>
        <v> </v>
      </c>
      <c r="BK215" s="346" t="str">
        <f aca="false">IF($A215="N/A"," ",IF(AND(AR215=$AR$2+1,BA215=0),MIN($BB$219,AI215),0))</f>
        <v> </v>
      </c>
      <c r="BL215" s="345"/>
      <c r="BM215" s="329" t="str">
        <f aca="false">IF($A215="N/A"," ",(IF(MONTH(A215)&gt;=4,IF(MONTH(A215)&lt;=10,Inputs!$F$13-Inputs!$G$13,Inputs!$F$14-Inputs!$G$14),Inputs!$F$14-Inputs!$G$14))*$CK215*Availability)</f>
        <v> </v>
      </c>
      <c r="BN215" s="330" t="str">
        <f aca="false">IF($A215="N/A"," ",(IF(AS215&gt;0,($BM215*(8*($HD215))*R215),0)+IF(BC215&gt;0,($BM215*((BC215/AA215)*8*$HD215)*R215),0)))</f>
        <v> </v>
      </c>
      <c r="BO215" s="330" t="str">
        <f aca="false">IF($A215="N/A"," ",(IF(AT215&gt;0,($BM215*(8*($HD215))*S215),0)+IF(BD215&gt;0,($BM215*((BD215/AB215)*8*$HD215)*S215),0)))</f>
        <v> </v>
      </c>
      <c r="BP215" s="330" t="str">
        <f aca="false">IF($A215="N/A"," ",(IF(AU215&gt;0,($BM215*(8*($HD215))*T215),0)+IF(BE215&gt;0,($BM215*((BE215))*T215),0)))</f>
        <v> </v>
      </c>
      <c r="BQ215" s="330" t="str">
        <f aca="false">IF($A215="N/A"," ",(IF(AV215&gt;0,($BM215*(8*($HE215))*U215),0)+IF(BF215&gt;0,($BM215*((BF215/AD215)*8*$HE215)*U215),0)))</f>
        <v> </v>
      </c>
      <c r="BR215" s="330" t="str">
        <f aca="false">IF($A215="N/A"," ",(IF(AW215&gt;0,($BM215*(8*($HE215))*V215),0)+IF(BG215&gt;0,($BM215*((BG215/AE215)*8*$HE215)*V215),0)))</f>
        <v> </v>
      </c>
      <c r="BS215" s="330" t="str">
        <f aca="false">IF($A215="N/A"," ",(IF(AX215&gt;0,($BM215*(8*($HE215))*W215),0)+IF(BH215&gt;0,($BM215*((BH215))*W215),0)))</f>
        <v> </v>
      </c>
      <c r="BT215" s="330" t="str">
        <f aca="false">IF($A215="N/A"," ",(IF(AY215&gt;0,($BM215*(8*($HF215))*X215),0)+IF(BI215&gt;0,($BM215*((BI215/AG215)*8*$HF215)*X215),0)))</f>
        <v> </v>
      </c>
      <c r="BU215" s="330" t="str">
        <f aca="false">IF($A215="N/A"," ",(IF(AZ215&gt;0,($BM215*(8*($HF215))*Y215),0)+IF(BJ215&gt;0,($BM215*((BJ215/AH215)*8*$HF215)*Y215),0)))</f>
        <v> </v>
      </c>
      <c r="BV215" s="330" t="str">
        <f aca="false">IF($A215="N/A"," ",(IF(BA215&gt;0,($BM215*(8*($HF215))*Z215),0)+IF(BK215&gt;0,($BM215*((BK215))*Z215),0)))</f>
        <v> </v>
      </c>
      <c r="BW215" s="330" t="str">
        <f aca="false">IF($A215="N/A"," ",SUM(BN215:BV215))</f>
        <v> </v>
      </c>
      <c r="BX215" s="331" t="str">
        <f aca="false">IF($A215="N/A"," ",(H215*(SUM(AS215:BA215)+SUM(BC215:BK215))*BM215))</f>
        <v> </v>
      </c>
      <c r="BY215" s="332" t="str">
        <f aca="false">IF($A215="N/A"," ",((C215*D215)*(SUM($AS215:$BA215)+SUM($BC215:$BK215))*$BM215))</f>
        <v> </v>
      </c>
      <c r="BZ215" s="332" t="str">
        <f aca="false">IF($A215="N/A"," ",(F215*(SUM($AS215:$BA215)+SUM($BC215:$BK215))*$BM215))</f>
        <v> </v>
      </c>
      <c r="CA215" s="333" t="str">
        <f aca="false">IF($A215="N/A"," ",(G215*(SUM($AS215:$BA215)+SUM($BC215:$BK215))*$BM215))</f>
        <v> </v>
      </c>
      <c r="CB215" s="334" t="str">
        <f aca="false">IF(A215="N/A"," ",(VLOOKUP(A215,PowerVolTable,(IF(BMO=2,7,IF(BMO=1,6,8))),FALSE())))</f>
        <v> </v>
      </c>
      <c r="CC215" s="334" t="str">
        <f aca="false">IF(A215="N/A"," ",(VLOOKUP(A215,IntraPowerVol,(IF(BMO=2,3,IF(BMO=1,2,4))),FALSE())*VLOOKUP(MONTH($A215),Volscale,2)))</f>
        <v> </v>
      </c>
      <c r="CD215" s="335" t="str">
        <f aca="false">IF($A215="N/A"," ",(IF(DateToday&gt;$A215,$CC215,((($CB215^2)*((($A215-1)-DateToday)/((EOMONTH($A215,0)+1)-DateToday-15)))+((($CC215)^2)*((15)/((EOMONTH($A215,0)+1)-DateToday-15))))^0.5)))</f>
        <v> </v>
      </c>
      <c r="CE215" s="334" t="str">
        <f aca="false">IF($A215="N/A"," ",(VLOOKUP($A215,GasVolTable,(IF(BMO=2,6,IF(BMO=1,7,5))),FALSE())))</f>
        <v> </v>
      </c>
      <c r="CF215" s="334" t="str">
        <f aca="false">IF($A215="N/A"," ",(VLOOKUP($A215,OmicronVol,(IF(BMO=2,3,IF(BMO=1,4,2))),FALSE())))</f>
        <v> </v>
      </c>
      <c r="CG215" s="335" t="str">
        <f aca="false">IF($A215="N/A"," ",(IF(DateToday&gt;$A215,$CF215,((($CE215^2)*((($A215-1)-DateToday)/((EOMONTH($A215,0)+1)-DateToday-15)))+((($CF215)^2)*((15)/((EOMONTH($A215,0)+1)-DateToday-15))))^0.5)))</f>
        <v> </v>
      </c>
      <c r="CH215" s="334" t="str">
        <f aca="false">IF($A215="N/A"," ",VLOOKUP($A215,CorrelationTable,2,FALSE()))</f>
        <v> </v>
      </c>
      <c r="CI215" s="336" t="str">
        <f aca="false">IF($A215="N/A"," ",F215+G215+(D215*('Pricing Inputs'!T248)))</f>
        <v> </v>
      </c>
      <c r="CJ215" s="334" t="str">
        <f aca="false">IF($A215="N/A"," ",IF(PV=1,0,'Pricing Inputs'!U248))</f>
        <v> </v>
      </c>
      <c r="CK215" s="337" t="str">
        <f aca="false">IF($A215="N/A"," ",(1+CJ215/2)^(-2*((EOMONTH(A215,0)+20)-DateToday)/365.25))</f>
        <v> </v>
      </c>
      <c r="CL215" s="338" t="str">
        <f aca="false">IF(A215="N/A"," ",IF(CC=2,(VLOOKUP(MONTH($A215),Hrtable,3))/1000,0))</f>
        <v> </v>
      </c>
      <c r="CM215" s="339" t="str">
        <f aca="false">IF(A215="N/A"," ",IF(CC=2,(CL215*C215)+F215,0))</f>
        <v> </v>
      </c>
      <c r="CN215" s="340" t="str">
        <f aca="false">IF($A215="N/A"," ",IF(CC=2,(VLOOKUP(A215,ScaledPrice,(IF(AND(Dayrun&gt;=1,Dayrun&lt;=6),2,4)))-((IF(R215&lt;&gt;0,$D215,$CL215)*$C215)+$F215+$G215)),0))</f>
        <v> </v>
      </c>
      <c r="CO215" s="340" t="str">
        <f aca="false">IF($A215="N/A"," ",IF(CC=2,(IF(AND(Dayrun&gt;=1,Dayrun&lt;=6),I215,(VLOOKUP(A215,ScaledPrice,2))*(2-(VLOOKUP(A215,ScaledPrice,3))))-((IF(S215&lt;&gt;0,$D215,$CL215)*$C215)+$F215+$G215)),0))</f>
        <v> </v>
      </c>
      <c r="CP215" s="340" t="str">
        <f aca="false">IF(A215="N/A"," ",IF(CC=2,(VLOOKUP(A215,ScaledPrice,9)-((IF(T215&lt;&gt;0,$D215,$CL215)*$C215)+$F215+$G215)),0))</f>
        <v> </v>
      </c>
      <c r="CQ215" s="340" t="str">
        <f aca="false">IF(A215="N/A"," ",IF(CC=2,(IF(OR(Dayrun=2,Dayrun=3,Dayrun=5,Dayrun=6,Dayrun=8,Dayrun=9),VLOOKUP(A215,ScaledPrice,IF(AND(Dayrun&gt;=2,Dayrun&lt;=6),5,6)),0)-((IF(U215&lt;&gt;0,$D215,$CL215)*$C215)+$F215+$G215)),0))</f>
        <v> </v>
      </c>
      <c r="CR215" s="340" t="str">
        <f aca="false">IF(A215="N/A"," ",IF(CC=2,(IF(OR(Dayrun=2,Dayrun=3,Dayrun=5,Dayrun=6,Dayrun=8,Dayrun=9),IF(AND(Dayrun&gt;=2,Dayrun&lt;=6),L215,(VLOOKUP(A215,ScaledPrice,5))*(2-(VLOOKUP(A215,ScaledPrice,3)))),0)-((IF(V215&lt;&gt;0,$D215,$CL215)*$C215)+$F215+$G215)),0))</f>
        <v> </v>
      </c>
      <c r="CS215" s="340" t="str">
        <f aca="false">IF(A215="N/A"," ",IF(CC=2,(VLOOKUP(A215,ScaledPrice,9)-((IF(W215&lt;&gt;0,$D215,$CL215)*$C215)+$F215+$G215)),0))</f>
        <v> </v>
      </c>
      <c r="CT215" s="340" t="str">
        <f aca="false">IF(A215="N/A"," ",IF(CC=2,(IF(OR(Dayrun=3,Dayrun=6,Dayrun=9),(VLOOKUP(A215,ScaledPrice,IF(AND(Dayrun&gt;=3,Dayrun&lt;=6),7,8))),0)-((IF(X215&lt;&gt;0,$D215,$CL215)*$C215)+$F215+$G215)),0))</f>
        <v> </v>
      </c>
      <c r="CU215" s="340" t="str">
        <f aca="false">IF(A215="N/A"," ",IF(CC=2,(IF(OR(Dayrun=3,Dayrun=6,Dayrun=9),IF(AND(Dayrun&gt;=3,Dayrun&lt;=6),O215,(VLOOKUP(A215,ScaledPrice,7))*(2-(VLOOKUP(A215,ScaledPrice,3)))),0)-((IF(Y215&lt;&gt;0,$D215,$CL215)*$C215)+$F215+$G215)),0))</f>
        <v> </v>
      </c>
      <c r="CV215" s="340" t="str">
        <f aca="false">IF(A215="N/A"," ",IF(CC=2,(VLOOKUP(A215,ScaledPrice,9)-((IF(Z215&lt;&gt;0,$D215,$CL215)*$C215)+$F215+$G215)),0))</f>
        <v> </v>
      </c>
      <c r="CW215" s="318" t="str">
        <f aca="false">IF($A215="N/A"," ",IF(0&lt;&gt;CN215,IF(CC=2,8*$HD215,0),0))</f>
        <v> </v>
      </c>
      <c r="CX215" s="318" t="str">
        <f aca="false">IF($A215="N/A"," ",IF(0&lt;&gt;CO215,IF(CC=2,8*$HD215,0),0))</f>
        <v> </v>
      </c>
      <c r="CY215" s="318" t="str">
        <f aca="false">IF($A215="N/A"," ",IF(0&lt;&gt;CP215,IF(CC=2,8*$HD215,0),0))</f>
        <v> </v>
      </c>
      <c r="CZ215" s="318" t="str">
        <f aca="false">IF($A215="N/A"," ",IF(0&lt;&gt;CQ215,IF(CC=2,8*$HE215,0),0))</f>
        <v> </v>
      </c>
      <c r="DA215" s="318" t="str">
        <f aca="false">IF($A215="N/A"," ",IF(0&lt;&gt;CR215,IF(CC=2,8*$HE215,0),0))</f>
        <v> </v>
      </c>
      <c r="DB215" s="318" t="str">
        <f aca="false">IF($A215="N/A"," ",IF(0&lt;&gt;CS215,IF(CC=2,8*$HE215,0),0))</f>
        <v> </v>
      </c>
      <c r="DC215" s="318" t="str">
        <f aca="false">IF($A215="N/A"," ",IF(0&lt;&gt;CT215,IF(CC=2,8*$HF215,0),0))</f>
        <v> </v>
      </c>
      <c r="DD215" s="318" t="str">
        <f aca="false">IF($A215="N/A"," ",IF(0&lt;&gt;CU215,IF(CC=2,8*$HF215,0),0))</f>
        <v> </v>
      </c>
      <c r="DE215" s="318" t="str">
        <f aca="false">IF($A215="N/A"," ",IF(0&lt;&gt;CV215,IF(CC=2,8*$HF215,0),0))</f>
        <v> </v>
      </c>
      <c r="DF215" s="341" t="str">
        <f aca="false">IF($A215="N/A"," ",IF(CC=2,(IF(MONTH(A215)&gt;=4,IF(MONTH(A215)&lt;=10,Inputs!$G$13,Inputs!$G$14),Inputs!$G$14))*$CK215,0))</f>
        <v> </v>
      </c>
      <c r="DG215" s="342" t="str">
        <f aca="false">IF($A215="N/A"," ",IF(CC=2,$DF215*CW215*CN215,0))</f>
        <v> </v>
      </c>
      <c r="DH215" s="342" t="str">
        <f aca="false">IF($A215="N/A"," ",IF(CC=2,$DF215*CX215*CO215,0))</f>
        <v> </v>
      </c>
      <c r="DI215" s="342" t="str">
        <f aca="false">IF($A215="N/A"," ",IF(CC=2,$DF215*CY215*CP215,0))</f>
        <v> </v>
      </c>
      <c r="DJ215" s="342" t="str">
        <f aca="false">IF($A215="N/A"," ",IF(CC=2,$DF215*CZ215*CQ215,0))</f>
        <v> </v>
      </c>
      <c r="DK215" s="342" t="str">
        <f aca="false">IF($A215="N/A"," ",IF(CC=2,$DF215*DA215*CR215,0))</f>
        <v> </v>
      </c>
      <c r="DL215" s="342" t="str">
        <f aca="false">IF($A215="N/A"," ",IF(CC=2,$DF215*DB215*CS215,0))</f>
        <v> </v>
      </c>
      <c r="DM215" s="342" t="str">
        <f aca="false">IF($A215="N/A"," ",IF(CC=2,$DF215*DC215*CT215,0))</f>
        <v> </v>
      </c>
      <c r="DN215" s="342" t="str">
        <f aca="false">IF($A215="N/A"," ",IF(CC=2,$DF215*DD215*CU215,0))</f>
        <v> </v>
      </c>
      <c r="DO215" s="342" t="str">
        <f aca="false">IF($A215="N/A"," ",IF(CC=2,$DF215*DE215*CV215,0))</f>
        <v> </v>
      </c>
      <c r="DP215" s="343" t="str">
        <f aca="false">IF($A215="N/A"," ",IF(CC=2,SUM(DG215:DO215),0))</f>
        <v> </v>
      </c>
      <c r="DQ215" s="0" t="str">
        <f aca="false">IF(A215="N/A"," ",Perstart)</f>
        <v> </v>
      </c>
      <c r="HD215" s="0" t="str">
        <f aca="false">IF($A215="N/A"," ",VLOOKUP($A215,NumberofDaysTable,2))</f>
        <v> </v>
      </c>
      <c r="HE215" s="0" t="str">
        <f aca="false">IF($A215="N/A"," ",VLOOKUP($A215,NumberofDaysTable,3))</f>
        <v> </v>
      </c>
      <c r="HF215" s="0" t="str">
        <f aca="false">IF($A215="N/A"," ",VLOOKUP($A215,NumberofDaysTable,4))</f>
        <v> </v>
      </c>
    </row>
    <row r="216" customFormat="false" ht="12.75" hidden="false" customHeight="false" outlineLevel="0" collapsed="false">
      <c r="A216" s="308" t="str">
        <f aca="false">IF(A215="N/A","N/A",IF(EDATE(A215,1)&gt;Inputs!$K$3,"N/A",EDATE(A215,1)))</f>
        <v>N/A</v>
      </c>
      <c r="B216" s="309" t="str">
        <f aca="false">IF(A216="N/A"," ",YEAR(A216))</f>
        <v> </v>
      </c>
      <c r="C216" s="310" t="str">
        <f aca="false">IF(A216="N/A"," ",VLOOKUP(A216,ScaledPrice,10))</f>
        <v> </v>
      </c>
      <c r="D216" s="311" t="str">
        <f aca="false">IF(A216="N/A"," ",(VLOOKUP(MONTH($A216),Hrtable,2))/1000)</f>
        <v> </v>
      </c>
      <c r="E216" s="312" t="str">
        <f aca="false">IF($A216="N/A"," ",(C216-'Pricing Inputs'!T249)*D216)</f>
        <v> </v>
      </c>
      <c r="F216" s="313" t="str">
        <f aca="false">IF(A216="N/A"," ",$F204*(1+VOMesc))</f>
        <v> </v>
      </c>
      <c r="G216" s="313" t="str">
        <f aca="false">IF(A216="N/A"," ",Perstart/IF(AND(Dayrun&gt;=4,Dayrun&lt;=6),16,IF(AND(Dayrun&gt;=7,Dayrun&lt;=9),8,24))/(BM216/CK216))</f>
        <v> </v>
      </c>
      <c r="H216" s="314" t="str">
        <f aca="false">IF(A216="N/A"," ",(C216*D216)+F216+G216)</f>
        <v> </v>
      </c>
      <c r="I216" s="315" t="str">
        <f aca="false">VLOOKUP(A216,ScaledPrice,(IF(AND(Dayrun&gt;=1,Dayrun&lt;=6),2,4)))</f>
        <v> </v>
      </c>
      <c r="J216" s="315" t="str">
        <f aca="false">IF(A216="N/A"," ",IF(AND(Dayrun&gt;=1,Dayrun&lt;=6),I216,(VLOOKUP(A216,ScaledPrice,2))*(2-(VLOOKUP(A216,ScaledPrice,3)))))</f>
        <v> </v>
      </c>
      <c r="K216" s="315" t="str">
        <f aca="false">IF(A216="N/A"," ",IF(AND(Dayrun&gt;=1,Dayrun&lt;=3),VLOOKUP(A216,ScaledPrice,9),0))</f>
        <v> </v>
      </c>
      <c r="L216" s="315" t="str">
        <f aca="false">IF(A216="N/A"," ",IF(OR(Dayrun=2,Dayrun=3,Dayrun=5,Dayrun=6,Dayrun=8,Dayrun=9),VLOOKUP(A216,ScaledPrice,IF(AND(Dayrun&gt;=2,Dayrun&lt;=6),5,6)),0))</f>
        <v> </v>
      </c>
      <c r="M216" s="315" t="str">
        <f aca="false">IF(A216="N/A"," ",IF(OR(Dayrun=2,Dayrun=3,Dayrun=5,Dayrun=6,Dayrun=8,Dayrun=9),IF(AND(Dayrun&gt;=2,Dayrun&lt;=6),L216,(VLOOKUP(A216,ScaledPrice,5))*(2-(VLOOKUP(A216,ScaledPrice,3)))),0))</f>
        <v> </v>
      </c>
      <c r="N216" s="315" t="str">
        <f aca="false">IF(A216="N/A"," ",IF(AND(Dayrun&gt;1,Dayrun&lt;=3),VLOOKUP(A216,ScaledPrice,9),0))</f>
        <v> </v>
      </c>
      <c r="O216" s="315" t="str">
        <f aca="false">IF(A216="N/A"," ",IF(OR(Dayrun=3,Dayrun=6,Dayrun=9),(VLOOKUP(A216,ScaledPrice,IF(AND(Dayrun&gt;=3,Dayrun&lt;=6),7,8))),0))</f>
        <v> </v>
      </c>
      <c r="P216" s="315" t="str">
        <f aca="false">IF(A216="N/A"," ",IF(OR(Dayrun=3,Dayrun=6,Dayrun=9),IF(AND(Dayrun&gt;=3,Dayrun&lt;=6),O216,(VLOOKUP(A216,ScaledPrice,7))*(2-(VLOOKUP(A216,ScaledPrice,3)))),0))</f>
        <v> </v>
      </c>
      <c r="Q216" s="315" t="str">
        <f aca="false">IF(A216="N/A"," ",IF(AND(Dayrun&gt;2,Dayrun&lt;=3),VLOOKUP(A216,ScaledPrice,9),0))</f>
        <v> </v>
      </c>
      <c r="R216" s="316" t="str">
        <f aca="false">IF($A216="N/A"," ",IF(Pricetype=2,MAX(I216-$H216,0),IF(Pricetype=1,(xSPRDOPT(I216,$E216,$CI216,0,($CD216+IF(Smile=TRUE(),VLOOKUP(MAX(-5,$H216-I216),Volsmile,2),0)),$CG216,$CH216,($A216-DateToday)+15,1,0)),I216-$H216)))</f>
        <v> </v>
      </c>
      <c r="S216" s="316" t="str">
        <f aca="false">IF($A216="N/A"," ",IF(Pricetype=2,MAX(J216-$H216,0),IF(Pricetype=1,(xSPRDOPT(J216,$E216,$CI216,0,($CD216+IF(Smile=TRUE(),VLOOKUP(MAX(-5,$H216-J216),Volsmile,2),0)),$CG216,$CH216,($A216-DateToday)+15,1,0)),J216-$H216)))</f>
        <v> </v>
      </c>
      <c r="T216" s="317" t="str">
        <f aca="false">IF($A216="N/A"," ",(IF(Pricetype=2,IF((K216-$H216)&lt;=0,0,(K216-$H216)),IF(K216&lt;&gt;0,(K216-$H216),0))))</f>
        <v> </v>
      </c>
      <c r="U216" s="316" t="str">
        <f aca="false">IF($A216="N/A"," ",IF(Pricetype=2,MAX(L216-$H216,0),IF(L216&lt;&gt;0,IF(Pricetype=1,(xSPRDOPT(L216,$E216,$CI216,0,($CD216+IF(Smile=TRUE(),VLOOKUP(MAX(-5,$H216-L216),Volsmile,2),0)),$CG216,$CH216,($A216-DateToday)+15,1,0)),L216-$H216),0)))</f>
        <v> </v>
      </c>
      <c r="V216" s="316" t="str">
        <f aca="false">IF($A216="N/A"," ",IF(Pricetype=2,MAX(M216-$H216,0),IF(M216&lt;&gt;0,IF(Pricetype=1,(xSPRDOPT(M216,$E216,$CI216,0,($CD216+IF(Smile=TRUE(),VLOOKUP(MAX(-5,$H216-M216),Volsmile,2),0)),$CG216,$CH216,($A216-DateToday)+15,1,0)),M216-$H216),0)))</f>
        <v> </v>
      </c>
      <c r="W216" s="317" t="str">
        <f aca="false">IF($A216="N/A"," ",(IF(Pricetype=2,IF((N216-$H216)&lt;=0,0,(N216-$H216)),IF(N216&lt;&gt;0,(N216-$H216),0))))</f>
        <v> </v>
      </c>
      <c r="X216" s="316" t="str">
        <f aca="false">IF($A216="N/A"," ",IF(Pricetype=2,MAX(O216-$H216,0),IF(O216&lt;&gt;0,IF(Pricetype=1,(xSPRDOPT(O216,$E216,$CI216,0,($CD216+IF(Smile=TRUE(),VLOOKUP(MAX(-5,$H216-O216),Volsmile,2),0)),$CG216,$CH216,($A216-DateToday)+15,1,0)),O216-$H216),0)))</f>
        <v> </v>
      </c>
      <c r="Y216" s="316" t="str">
        <f aca="false">IF($A216="N/A"," ",IF(Pricetype=2,MAX(P216-$H216,0),IF(P216&lt;&gt;0,IF(Pricetype=1,(xSPRDOPT(P216,$E216,$CI216,0,($CD216+IF(Smile=TRUE(),VLOOKUP(MAX(-5,$H216-P216),Volsmile,2),0)),$CG216,$CH216,($A216-DateToday)+15,1,0)),P216-$H216),0)))</f>
        <v> </v>
      </c>
      <c r="Z216" s="317" t="str">
        <f aca="false">IF($A216="N/A"," ",(IF(Pricetype=2,IF((Q216-$H216)&lt;=0,0,(Q216-$H216)),IF(Q216&lt;&gt;0,(Q216-$H216),0))))</f>
        <v> </v>
      </c>
      <c r="AA216" s="318" t="str">
        <f aca="false">IF($A216="N/A"," ",IF(VLOOKUP(MONTH(A216),ManualTable,2)=1,(IF(0&lt;&gt;R216,IF(Pricetype=1,(xSPRDOPT(I216,$E216,$CI216,0,($CD216+IF(Smile=TRUE(),VLOOKUP(MAX(-5,$H216-I216),Volsmile,2),0)),$CG216,$CH216,($A216-DateToday)+15,1,1))*(8*$HD216),8*$HD216),0)),0))</f>
        <v> </v>
      </c>
      <c r="AB216" s="318" t="str">
        <f aca="false">IF($A216="N/A"," ",IF(VLOOKUP(MONTH(A216),ManualTable,3)=1,(IF(S216&lt;&gt;0,IF(Pricetype=1,(xSPRDOPT(J216,$E216,$CI216,0,($CD216+IF(Smile=TRUE(),VLOOKUP(MAX(-5,$H216-J216),Volsmile,2),0)),$CG216,$CH216,($A216-DateToday)+15,1,1))*(8*$HD216),8*$HD216),0)),0))</f>
        <v> </v>
      </c>
      <c r="AC216" s="318" t="str">
        <f aca="false">IF($A216="N/A"," ",IF(VLOOKUP(MONTH(A216),ManualTable,4)=1,(IF(T216&lt;&gt;0,(8*$HD216),0)),0))</f>
        <v> </v>
      </c>
      <c r="AD216" s="318" t="str">
        <f aca="false">IF($A216="N/A"," ",IF(VLOOKUP(MONTH(A216),ManualTable,5)=1,(IF(U216&lt;&gt;0,IF(Pricetype=1,(xSPRDOPT(L216,$E216,$CI216,0,($CD216+IF(Smile=TRUE(),VLOOKUP(MAX(-5,$H216-L216),Volsmile,2),0)),$CG216,$CH216,($A216-DateToday)+15,1,1))*(8*$HE216),8*$HE216),0)),0))</f>
        <v> </v>
      </c>
      <c r="AE216" s="318" t="str">
        <f aca="false">IF($A216="N/A"," ",IF(VLOOKUP(MONTH(A216),ManualTable,6)=1,(IF(V216&lt;&gt;0,IF(Pricetype=1,(xSPRDOPT(M216,$E216,$CI216,0,($CD216+IF(Smile=TRUE(),VLOOKUP(MAX(-5,$H216-M216),Volsmile,2),0)),$CG216,$CH216,($A216-DateToday)+15,1,1))*(8*$HE216),8*$HE216),0)),0))</f>
        <v> </v>
      </c>
      <c r="AF216" s="318" t="str">
        <f aca="false">IF($A216="N/A"," ",IF(VLOOKUP(MONTH(A216),ManualTable,7)=1,(IF(W216&lt;&gt;0,(8*$HE216),0)),0))</f>
        <v> </v>
      </c>
      <c r="AG216" s="318" t="str">
        <f aca="false">IF($A216="N/A"," ",IF(VLOOKUP(MONTH(A216),ManualTable,8)=1,(IF(X216&lt;&gt;0,IF(Pricetype=1,(xSPRDOPT(O216,$E216,$CI216,0,($CD216+IF(Smile=TRUE(),VLOOKUP(MAX(-5,$H216-O216),Volsmile,2),0)),$CG216,$CH216,($A216-DateToday)+15,1,1))*(8*$HF216),8*$HF216),0)),0))</f>
        <v> </v>
      </c>
      <c r="AH216" s="318" t="str">
        <f aca="false">IF($A216="N/A"," ",IF(VLOOKUP(MONTH(A216),ManualTable,9)=1,(IF(Y216&lt;&gt;0,IF(Pricetype=1,(xSPRDOPT(P216,$E216,$CI216,0,($CD216+IF(Smile=TRUE(),VLOOKUP(MAX(-5,$H216-P216),Volsmile,2),0)),$CG216,$CH216,($A216-DateToday)+15,1,1))*(8*$HF216),8*$HF216),0)),0))</f>
        <v> </v>
      </c>
      <c r="AI216" s="318" t="str">
        <f aca="false">IF($A216="N/A"," ",IF(VLOOKUP(MONTH(A216),ManualTable,10)=1,(IF(Z216&lt;&gt;0,(8*($HF216)),0)),0))</f>
        <v> </v>
      </c>
      <c r="AJ216" s="344" t="str">
        <f aca="false">IF($A216="N/A"," ",RANK(R216,$R$208:$Z$219))</f>
        <v> </v>
      </c>
      <c r="AK216" s="321" t="str">
        <f aca="false">IF($A216="N/A"," ",RANK(S216,$R$208:$Z$219))</f>
        <v> </v>
      </c>
      <c r="AL216" s="321" t="str">
        <f aca="false">IF($A216="N/A"," ",RANK(T216,$R$208:$Z$219))</f>
        <v> </v>
      </c>
      <c r="AM216" s="321" t="str">
        <f aca="false">IF($A216="N/A"," ",RANK(U216,$R$208:$Z$219))</f>
        <v> </v>
      </c>
      <c r="AN216" s="321" t="str">
        <f aca="false">IF($A216="N/A"," ",RANK(V216,$R$208:$Z$219))</f>
        <v> </v>
      </c>
      <c r="AO216" s="321" t="str">
        <f aca="false">IF($A216="N/A"," ",RANK(W216,$R$208:$Z$219))</f>
        <v> </v>
      </c>
      <c r="AP216" s="321" t="str">
        <f aca="false">IF($A216="N/A"," ",RANK(X216,$R$208:$Z$219))</f>
        <v> </v>
      </c>
      <c r="AQ216" s="321" t="str">
        <f aca="false">IF($A216="N/A"," ",RANK(Y216,$R$208:$Z$219))</f>
        <v> </v>
      </c>
      <c r="AR216" s="345" t="str">
        <f aca="false">IF($A216="N/A"," ",RANK(Z216,$R$208:$Z$219))</f>
        <v> </v>
      </c>
      <c r="AS216" s="323" t="str">
        <f aca="false">IF($A216="N/A"," ",IF(AJ216&lt;=$AR$2,AA216,0))</f>
        <v> </v>
      </c>
      <c r="AT216" s="325" t="str">
        <f aca="false">IF($A216="N/A"," ",IF(AK216&lt;=$AR$2,AB216,0))</f>
        <v> </v>
      </c>
      <c r="AU216" s="325" t="str">
        <f aca="false">IF($A216="N/A"," ",IF(AL216&lt;=$AR$2,AC216,0))</f>
        <v> </v>
      </c>
      <c r="AV216" s="325" t="str">
        <f aca="false">IF($A216="N/A"," ",IF(AM216&lt;=$AR$2,AD216,0))</f>
        <v> </v>
      </c>
      <c r="AW216" s="325" t="str">
        <f aca="false">IF($A216="N/A"," ",IF(AN216&lt;=$AR$2,AE216,0))</f>
        <v> </v>
      </c>
      <c r="AX216" s="325" t="str">
        <f aca="false">IF($A216="N/A"," ",IF(AO216&lt;=$AR$2,AF216,0))</f>
        <v> </v>
      </c>
      <c r="AY216" s="325" t="str">
        <f aca="false">IF($A216="N/A"," ",IF(AP216&lt;=$AR$2,AG216,0))</f>
        <v> </v>
      </c>
      <c r="AZ216" s="325" t="str">
        <f aca="false">IF($A216="N/A"," ",IF(AQ216&lt;=$AR$2,AH216,0))</f>
        <v> </v>
      </c>
      <c r="BA216" s="325" t="str">
        <f aca="false">IF($A216="N/A"," ",IF(AR216&lt;=$AR$2,AI216,0))</f>
        <v> </v>
      </c>
      <c r="BB216" s="345"/>
      <c r="BC216" s="326" t="str">
        <f aca="false">IF($A216="N/A"," ",IF(AND(AJ216=$AR$2+1,AS216=0),MIN($BB$219,AA216),0))</f>
        <v> </v>
      </c>
      <c r="BD216" s="346" t="str">
        <f aca="false">IF($A216="N/A"," ",IF(AND(AK216=$AR$2+1,AT216=0),MIN($BB$219,AB216),0))</f>
        <v> </v>
      </c>
      <c r="BE216" s="346" t="str">
        <f aca="false">IF($A216="N/A"," ",IF(AND(AL216=$AR$2+1,AU216=0),MIN($BB$219,AC216),0))</f>
        <v> </v>
      </c>
      <c r="BF216" s="346" t="str">
        <f aca="false">IF($A216="N/A"," ",IF(AND(AM216=$AR$2+1,AV216=0),MIN($BB$219,AD216),0))</f>
        <v> </v>
      </c>
      <c r="BG216" s="346" t="str">
        <f aca="false">IF($A216="N/A"," ",IF(AND(AN216=$AR$2+1,AW216=0),MIN($BB$219,AE216),0))</f>
        <v> </v>
      </c>
      <c r="BH216" s="346" t="str">
        <f aca="false">IF($A216="N/A"," ",IF(AND(AO216=$AR$2+1,AX216=0),MIN($BB$219,AF216),0))</f>
        <v> </v>
      </c>
      <c r="BI216" s="346" t="str">
        <f aca="false">IF($A216="N/A"," ",IF(AND(AP216=$AR$2+1,AY216=0),MIN($BB$219,AG216),0))</f>
        <v> </v>
      </c>
      <c r="BJ216" s="346" t="str">
        <f aca="false">IF($A216="N/A"," ",IF(AND(AQ216=$AR$2+1,AZ216=0),MIN($BB$219,AH216),0))</f>
        <v> </v>
      </c>
      <c r="BK216" s="346" t="str">
        <f aca="false">IF($A216="N/A"," ",IF(AND(AR216=$AR$2+1,BA216=0),MIN($BB$219,AI216),0))</f>
        <v> </v>
      </c>
      <c r="BL216" s="345"/>
      <c r="BM216" s="329" t="str">
        <f aca="false">IF($A216="N/A"," ",(IF(MONTH(A216)&gt;=4,IF(MONTH(A216)&lt;=10,Inputs!$F$13-Inputs!$G$13,Inputs!$F$14-Inputs!$G$14),Inputs!$F$14-Inputs!$G$14))*$CK216*Availability)</f>
        <v> </v>
      </c>
      <c r="BN216" s="330" t="str">
        <f aca="false">IF($A216="N/A"," ",(IF(AS216&gt;0,($BM216*(8*($HD216))*R216),0)+IF(BC216&gt;0,($BM216*((BC216/AA216)*8*$HD216)*R216),0)))</f>
        <v> </v>
      </c>
      <c r="BO216" s="330" t="str">
        <f aca="false">IF($A216="N/A"," ",(IF(AT216&gt;0,($BM216*(8*($HD216))*S216),0)+IF(BD216&gt;0,($BM216*((BD216/AB216)*8*$HD216)*S216),0)))</f>
        <v> </v>
      </c>
      <c r="BP216" s="330" t="str">
        <f aca="false">IF($A216="N/A"," ",(IF(AU216&gt;0,($BM216*(8*($HD216))*T216),0)+IF(BE216&gt;0,($BM216*((BE216))*T216),0)))</f>
        <v> </v>
      </c>
      <c r="BQ216" s="330" t="str">
        <f aca="false">IF($A216="N/A"," ",(IF(AV216&gt;0,($BM216*(8*($HE216))*U216),0)+IF(BF216&gt;0,($BM216*((BF216/AD216)*8*$HE216)*U216),0)))</f>
        <v> </v>
      </c>
      <c r="BR216" s="330" t="str">
        <f aca="false">IF($A216="N/A"," ",(IF(AW216&gt;0,($BM216*(8*($HE216))*V216),0)+IF(BG216&gt;0,($BM216*((BG216/AE216)*8*$HE216)*V216),0)))</f>
        <v> </v>
      </c>
      <c r="BS216" s="330" t="str">
        <f aca="false">IF($A216="N/A"," ",(IF(AX216&gt;0,($BM216*(8*($HE216))*W216),0)+IF(BH216&gt;0,($BM216*((BH216))*W216),0)))</f>
        <v> </v>
      </c>
      <c r="BT216" s="330" t="str">
        <f aca="false">IF($A216="N/A"," ",(IF(AY216&gt;0,($BM216*(8*($HF216))*X216),0)+IF(BI216&gt;0,($BM216*((BI216/AG216)*8*$HF216)*X216),0)))</f>
        <v> </v>
      </c>
      <c r="BU216" s="330" t="str">
        <f aca="false">IF($A216="N/A"," ",(IF(AZ216&gt;0,($BM216*(8*($HF216))*Y216),0)+IF(BJ216&gt;0,($BM216*((BJ216/AH216)*8*$HF216)*Y216),0)))</f>
        <v> </v>
      </c>
      <c r="BV216" s="330" t="str">
        <f aca="false">IF($A216="N/A"," ",(IF(BA216&gt;0,($BM216*(8*($HF216))*Z216),0)+IF(BK216&gt;0,($BM216*((BK216))*Z216),0)))</f>
        <v> </v>
      </c>
      <c r="BW216" s="330" t="str">
        <f aca="false">IF($A216="N/A"," ",SUM(BN216:BV216))</f>
        <v> </v>
      </c>
      <c r="BX216" s="331" t="str">
        <f aca="false">IF($A216="N/A"," ",(H216*(SUM(AS216:BA216)+SUM(BC216:BK216))*BM216))</f>
        <v> </v>
      </c>
      <c r="BY216" s="332" t="str">
        <f aca="false">IF($A216="N/A"," ",((C216*D216)*(SUM($AS216:$BA216)+SUM($BC216:$BK216))*$BM216))</f>
        <v> </v>
      </c>
      <c r="BZ216" s="332" t="str">
        <f aca="false">IF($A216="N/A"," ",(F216*(SUM($AS216:$BA216)+SUM($BC216:$BK216))*$BM216))</f>
        <v> </v>
      </c>
      <c r="CA216" s="333" t="str">
        <f aca="false">IF($A216="N/A"," ",(G216*(SUM($AS216:$BA216)+SUM($BC216:$BK216))*$BM216))</f>
        <v> </v>
      </c>
      <c r="CB216" s="334" t="str">
        <f aca="false">IF(A216="N/A"," ",(VLOOKUP(A216,PowerVolTable,(IF(BMO=2,7,IF(BMO=1,6,8))),FALSE())))</f>
        <v> </v>
      </c>
      <c r="CC216" s="334" t="str">
        <f aca="false">IF(A216="N/A"," ",(VLOOKUP(A216,IntraPowerVol,(IF(BMO=2,3,IF(BMO=1,2,4))),FALSE())*VLOOKUP(MONTH($A216),Volscale,2)))</f>
        <v> </v>
      </c>
      <c r="CD216" s="335" t="str">
        <f aca="false">IF($A216="N/A"," ",(IF(DateToday&gt;$A216,$CC216,((($CB216^2)*((($A216-1)-DateToday)/((EOMONTH($A216,0)+1)-DateToday-15)))+((($CC216)^2)*((15)/((EOMONTH($A216,0)+1)-DateToday-15))))^0.5)))</f>
        <v> </v>
      </c>
      <c r="CE216" s="334" t="str">
        <f aca="false">IF($A216="N/A"," ",(VLOOKUP($A216,GasVolTable,(IF(BMO=2,6,IF(BMO=1,7,5))),FALSE())))</f>
        <v> </v>
      </c>
      <c r="CF216" s="334" t="str">
        <f aca="false">IF($A216="N/A"," ",(VLOOKUP($A216,OmicronVol,(IF(BMO=2,3,IF(BMO=1,4,2))),FALSE())))</f>
        <v> </v>
      </c>
      <c r="CG216" s="335" t="str">
        <f aca="false">IF($A216="N/A"," ",(IF(DateToday&gt;$A216,$CF216,((($CE216^2)*((($A216-1)-DateToday)/((EOMONTH($A216,0)+1)-DateToday-15)))+((($CF216)^2)*((15)/((EOMONTH($A216,0)+1)-DateToday-15))))^0.5)))</f>
        <v> </v>
      </c>
      <c r="CH216" s="334" t="str">
        <f aca="false">IF($A216="N/A"," ",VLOOKUP($A216,CorrelationTable,2,FALSE()))</f>
        <v> </v>
      </c>
      <c r="CI216" s="336" t="str">
        <f aca="false">IF($A216="N/A"," ",F216+G216+(D216*('Pricing Inputs'!T249)))</f>
        <v> </v>
      </c>
      <c r="CJ216" s="334" t="str">
        <f aca="false">IF($A216="N/A"," ",IF(PV=1,0,'Pricing Inputs'!U249))</f>
        <v> </v>
      </c>
      <c r="CK216" s="337" t="str">
        <f aca="false">IF($A216="N/A"," ",(1+CJ216/2)^(-2*((EOMONTH(A216,0)+20)-DateToday)/365.25))</f>
        <v> </v>
      </c>
      <c r="CL216" s="338" t="str">
        <f aca="false">IF(A216="N/A"," ",IF(CC=2,(VLOOKUP(MONTH($A216),Hrtable,3))/1000,0))</f>
        <v> </v>
      </c>
      <c r="CM216" s="339" t="str">
        <f aca="false">IF(A216="N/A"," ",IF(CC=2,(CL216*C216)+F216,0))</f>
        <v> </v>
      </c>
      <c r="CN216" s="340" t="str">
        <f aca="false">IF($A216="N/A"," ",IF(CC=2,(VLOOKUP(A216,ScaledPrice,(IF(AND(Dayrun&gt;=1,Dayrun&lt;=6),2,4)))-((IF(R216&lt;&gt;0,$D216,$CL216)*$C216)+$F216+$G216)),0))</f>
        <v> </v>
      </c>
      <c r="CO216" s="340" t="str">
        <f aca="false">IF($A216="N/A"," ",IF(CC=2,(IF(AND(Dayrun&gt;=1,Dayrun&lt;=6),I216,(VLOOKUP(A216,ScaledPrice,2))*(2-(VLOOKUP(A216,ScaledPrice,3))))-((IF(S216&lt;&gt;0,$D216,$CL216)*$C216)+$F216+$G216)),0))</f>
        <v> </v>
      </c>
      <c r="CP216" s="340" t="str">
        <f aca="false">IF(A216="N/A"," ",IF(CC=2,(VLOOKUP(A216,ScaledPrice,9)-((IF(T216&lt;&gt;0,$D216,$CL216)*$C216)+$F216+$G216)),0))</f>
        <v> </v>
      </c>
      <c r="CQ216" s="340" t="str">
        <f aca="false">IF(A216="N/A"," ",IF(CC=2,(IF(OR(Dayrun=2,Dayrun=3,Dayrun=5,Dayrun=6,Dayrun=8,Dayrun=9),VLOOKUP(A216,ScaledPrice,IF(AND(Dayrun&gt;=2,Dayrun&lt;=6),5,6)),0)-((IF(U216&lt;&gt;0,$D216,$CL216)*$C216)+$F216+$G216)),0))</f>
        <v> </v>
      </c>
      <c r="CR216" s="340" t="str">
        <f aca="false">IF(A216="N/A"," ",IF(CC=2,(IF(OR(Dayrun=2,Dayrun=3,Dayrun=5,Dayrun=6,Dayrun=8,Dayrun=9),IF(AND(Dayrun&gt;=2,Dayrun&lt;=6),L216,(VLOOKUP(A216,ScaledPrice,5))*(2-(VLOOKUP(A216,ScaledPrice,3)))),0)-((IF(V216&lt;&gt;0,$D216,$CL216)*$C216)+$F216+$G216)),0))</f>
        <v> </v>
      </c>
      <c r="CS216" s="340" t="str">
        <f aca="false">IF(A216="N/A"," ",IF(CC=2,(VLOOKUP(A216,ScaledPrice,9)-((IF(W216&lt;&gt;0,$D216,$CL216)*$C216)+$F216+$G216)),0))</f>
        <v> </v>
      </c>
      <c r="CT216" s="340" t="str">
        <f aca="false">IF(A216="N/A"," ",IF(CC=2,(IF(OR(Dayrun=3,Dayrun=6,Dayrun=9),(VLOOKUP(A216,ScaledPrice,IF(AND(Dayrun&gt;=3,Dayrun&lt;=6),7,8))),0)-((IF(X216&lt;&gt;0,$D216,$CL216)*$C216)+$F216+$G216)),0))</f>
        <v> </v>
      </c>
      <c r="CU216" s="340" t="str">
        <f aca="false">IF(A216="N/A"," ",IF(CC=2,(IF(OR(Dayrun=3,Dayrun=6,Dayrun=9),IF(AND(Dayrun&gt;=3,Dayrun&lt;=6),O216,(VLOOKUP(A216,ScaledPrice,7))*(2-(VLOOKUP(A216,ScaledPrice,3)))),0)-((IF(Y216&lt;&gt;0,$D216,$CL216)*$C216)+$F216+$G216)),0))</f>
        <v> </v>
      </c>
      <c r="CV216" s="340" t="str">
        <f aca="false">IF(A216="N/A"," ",IF(CC=2,(VLOOKUP(A216,ScaledPrice,9)-((IF(Z216&lt;&gt;0,$D216,$CL216)*$C216)+$F216+$G216)),0))</f>
        <v> </v>
      </c>
      <c r="CW216" s="318" t="str">
        <f aca="false">IF($A216="N/A"," ",IF(0&lt;&gt;CN216,IF(CC=2,8*$HD216,0),0))</f>
        <v> </v>
      </c>
      <c r="CX216" s="318" t="str">
        <f aca="false">IF($A216="N/A"," ",IF(0&lt;&gt;CO216,IF(CC=2,8*$HD216,0),0))</f>
        <v> </v>
      </c>
      <c r="CY216" s="318" t="str">
        <f aca="false">IF($A216="N/A"," ",IF(0&lt;&gt;CP216,IF(CC=2,8*$HD216,0),0))</f>
        <v> </v>
      </c>
      <c r="CZ216" s="318" t="str">
        <f aca="false">IF($A216="N/A"," ",IF(0&lt;&gt;CQ216,IF(CC=2,8*$HE216,0),0))</f>
        <v> </v>
      </c>
      <c r="DA216" s="318" t="str">
        <f aca="false">IF($A216="N/A"," ",IF(0&lt;&gt;CR216,IF(CC=2,8*$HE216,0),0))</f>
        <v> </v>
      </c>
      <c r="DB216" s="318" t="str">
        <f aca="false">IF($A216="N/A"," ",IF(0&lt;&gt;CS216,IF(CC=2,8*$HE216,0),0))</f>
        <v> </v>
      </c>
      <c r="DC216" s="318" t="str">
        <f aca="false">IF($A216="N/A"," ",IF(0&lt;&gt;CT216,IF(CC=2,8*$HF216,0),0))</f>
        <v> </v>
      </c>
      <c r="DD216" s="318" t="str">
        <f aca="false">IF($A216="N/A"," ",IF(0&lt;&gt;CU216,IF(CC=2,8*$HF216,0),0))</f>
        <v> </v>
      </c>
      <c r="DE216" s="318" t="str">
        <f aca="false">IF($A216="N/A"," ",IF(0&lt;&gt;CV216,IF(CC=2,8*$HF216,0),0))</f>
        <v> </v>
      </c>
      <c r="DF216" s="341" t="str">
        <f aca="false">IF($A216="N/A"," ",IF(CC=2,(IF(MONTH(A216)&gt;=4,IF(MONTH(A216)&lt;=10,Inputs!$G$13,Inputs!$G$14),Inputs!$G$14))*$CK216,0))</f>
        <v> </v>
      </c>
      <c r="DG216" s="342" t="str">
        <f aca="false">IF($A216="N/A"," ",IF(CC=2,$DF216*CW216*CN216,0))</f>
        <v> </v>
      </c>
      <c r="DH216" s="342" t="str">
        <f aca="false">IF($A216="N/A"," ",IF(CC=2,$DF216*CX216*CO216,0))</f>
        <v> </v>
      </c>
      <c r="DI216" s="342" t="str">
        <f aca="false">IF($A216="N/A"," ",IF(CC=2,$DF216*CY216*CP216,0))</f>
        <v> </v>
      </c>
      <c r="DJ216" s="342" t="str">
        <f aca="false">IF($A216="N/A"," ",IF(CC=2,$DF216*CZ216*CQ216,0))</f>
        <v> </v>
      </c>
      <c r="DK216" s="342" t="str">
        <f aca="false">IF($A216="N/A"," ",IF(CC=2,$DF216*DA216*CR216,0))</f>
        <v> </v>
      </c>
      <c r="DL216" s="342" t="str">
        <f aca="false">IF($A216="N/A"," ",IF(CC=2,$DF216*DB216*CS216,0))</f>
        <v> </v>
      </c>
      <c r="DM216" s="342" t="str">
        <f aca="false">IF($A216="N/A"," ",IF(CC=2,$DF216*DC216*CT216,0))</f>
        <v> </v>
      </c>
      <c r="DN216" s="342" t="str">
        <f aca="false">IF($A216="N/A"," ",IF(CC=2,$DF216*DD216*CU216,0))</f>
        <v> </v>
      </c>
      <c r="DO216" s="342" t="str">
        <f aca="false">IF($A216="N/A"," ",IF(CC=2,$DF216*DE216*CV216,0))</f>
        <v> </v>
      </c>
      <c r="DP216" s="343" t="str">
        <f aca="false">IF($A216="N/A"," ",IF(CC=2,SUM(DG216:DO216),0))</f>
        <v> </v>
      </c>
      <c r="DQ216" s="0" t="str">
        <f aca="false">IF(A216="N/A"," ",Perstart)</f>
        <v> </v>
      </c>
      <c r="HD216" s="0" t="str">
        <f aca="false">IF($A216="N/A"," ",VLOOKUP($A216,NumberofDaysTable,2))</f>
        <v> </v>
      </c>
      <c r="HE216" s="0" t="str">
        <f aca="false">IF($A216="N/A"," ",VLOOKUP($A216,NumberofDaysTable,3))</f>
        <v> </v>
      </c>
      <c r="HF216" s="0" t="str">
        <f aca="false">IF($A216="N/A"," ",VLOOKUP($A216,NumberofDaysTable,4))</f>
        <v> </v>
      </c>
    </row>
    <row r="217" customFormat="false" ht="12.75" hidden="false" customHeight="false" outlineLevel="0" collapsed="false">
      <c r="A217" s="308" t="str">
        <f aca="false">IF(A216="N/A","N/A",IF(EDATE(A216,1)&gt;Inputs!$K$3,"N/A",EDATE(A216,1)))</f>
        <v>N/A</v>
      </c>
      <c r="B217" s="309" t="str">
        <f aca="false">IF(A217="N/A"," ",YEAR(A217))</f>
        <v> </v>
      </c>
      <c r="C217" s="310" t="str">
        <f aca="false">IF(A217="N/A"," ",VLOOKUP(A217,ScaledPrice,10))</f>
        <v> </v>
      </c>
      <c r="D217" s="311" t="str">
        <f aca="false">IF(A217="N/A"," ",(VLOOKUP(MONTH($A217),Hrtable,2))/1000)</f>
        <v> </v>
      </c>
      <c r="E217" s="312" t="str">
        <f aca="false">IF($A217="N/A"," ",(C217-'Pricing Inputs'!T250)*D217)</f>
        <v> </v>
      </c>
      <c r="F217" s="313" t="str">
        <f aca="false">IF(A217="N/A"," ",$F205*(1+VOMesc))</f>
        <v> </v>
      </c>
      <c r="G217" s="313" t="str">
        <f aca="false">IF(A217="N/A"," ",Perstart/IF(AND(Dayrun&gt;=4,Dayrun&lt;=6),16,IF(AND(Dayrun&gt;=7,Dayrun&lt;=9),8,24))/(BM217/CK217))</f>
        <v> </v>
      </c>
      <c r="H217" s="314" t="str">
        <f aca="false">IF(A217="N/A"," ",(C217*D217)+F217+G217)</f>
        <v> </v>
      </c>
      <c r="I217" s="315" t="str">
        <f aca="false">VLOOKUP(A217,ScaledPrice,(IF(AND(Dayrun&gt;=1,Dayrun&lt;=6),2,4)))</f>
        <v> </v>
      </c>
      <c r="J217" s="315" t="str">
        <f aca="false">IF(A217="N/A"," ",IF(AND(Dayrun&gt;=1,Dayrun&lt;=6),I217,(VLOOKUP(A217,ScaledPrice,2))*(2-(VLOOKUP(A217,ScaledPrice,3)))))</f>
        <v> </v>
      </c>
      <c r="K217" s="315" t="str">
        <f aca="false">IF(A217="N/A"," ",IF(AND(Dayrun&gt;=1,Dayrun&lt;=3),VLOOKUP(A217,ScaledPrice,9),0))</f>
        <v> </v>
      </c>
      <c r="L217" s="315" t="str">
        <f aca="false">IF(A217="N/A"," ",IF(OR(Dayrun=2,Dayrun=3,Dayrun=5,Dayrun=6,Dayrun=8,Dayrun=9),VLOOKUP(A217,ScaledPrice,IF(AND(Dayrun&gt;=2,Dayrun&lt;=6),5,6)),0))</f>
        <v> </v>
      </c>
      <c r="M217" s="315" t="str">
        <f aca="false">IF(A217="N/A"," ",IF(OR(Dayrun=2,Dayrun=3,Dayrun=5,Dayrun=6,Dayrun=8,Dayrun=9),IF(AND(Dayrun&gt;=2,Dayrun&lt;=6),L217,(VLOOKUP(A217,ScaledPrice,5))*(2-(VLOOKUP(A217,ScaledPrice,3)))),0))</f>
        <v> </v>
      </c>
      <c r="N217" s="315" t="str">
        <f aca="false">IF(A217="N/A"," ",IF(AND(Dayrun&gt;1,Dayrun&lt;=3),VLOOKUP(A217,ScaledPrice,9),0))</f>
        <v> </v>
      </c>
      <c r="O217" s="315" t="str">
        <f aca="false">IF(A217="N/A"," ",IF(OR(Dayrun=3,Dayrun=6,Dayrun=9),(VLOOKUP(A217,ScaledPrice,IF(AND(Dayrun&gt;=3,Dayrun&lt;=6),7,8))),0))</f>
        <v> </v>
      </c>
      <c r="P217" s="315" t="str">
        <f aca="false">IF(A217="N/A"," ",IF(OR(Dayrun=3,Dayrun=6,Dayrun=9),IF(AND(Dayrun&gt;=3,Dayrun&lt;=6),O217,(VLOOKUP(A217,ScaledPrice,7))*(2-(VLOOKUP(A217,ScaledPrice,3)))),0))</f>
        <v> </v>
      </c>
      <c r="Q217" s="315" t="str">
        <f aca="false">IF(A217="N/A"," ",IF(AND(Dayrun&gt;2,Dayrun&lt;=3),VLOOKUP(A217,ScaledPrice,9),0))</f>
        <v> </v>
      </c>
      <c r="R217" s="316" t="str">
        <f aca="false">IF($A217="N/A"," ",IF(Pricetype=2,MAX(I217-$H217,0),IF(Pricetype=1,(xSPRDOPT(I217,$E217,$CI217,0,($CD217+IF(Smile=TRUE(),VLOOKUP(MAX(-5,$H217-I217),Volsmile,2),0)),$CG217,$CH217,($A217-DateToday)+15,1,0)),I217-$H217)))</f>
        <v> </v>
      </c>
      <c r="S217" s="316" t="str">
        <f aca="false">IF($A217="N/A"," ",IF(Pricetype=2,MAX(J217-$H217,0),IF(Pricetype=1,(xSPRDOPT(J217,$E217,$CI217,0,($CD217+IF(Smile=TRUE(),VLOOKUP(MAX(-5,$H217-J217),Volsmile,2),0)),$CG217,$CH217,($A217-DateToday)+15,1,0)),J217-$H217)))</f>
        <v> </v>
      </c>
      <c r="T217" s="317" t="str">
        <f aca="false">IF($A217="N/A"," ",(IF(Pricetype=2,IF((K217-$H217)&lt;=0,0,(K217-$H217)),IF(K217&lt;&gt;0,(K217-$H217),0))))</f>
        <v> </v>
      </c>
      <c r="U217" s="316" t="str">
        <f aca="false">IF($A217="N/A"," ",IF(Pricetype=2,MAX(L217-$H217,0),IF(L217&lt;&gt;0,IF(Pricetype=1,(xSPRDOPT(L217,$E217,$CI217,0,($CD217+IF(Smile=TRUE(),VLOOKUP(MAX(-5,$H217-L217),Volsmile,2),0)),$CG217,$CH217,($A217-DateToday)+15,1,0)),L217-$H217),0)))</f>
        <v> </v>
      </c>
      <c r="V217" s="316" t="str">
        <f aca="false">IF($A217="N/A"," ",IF(Pricetype=2,MAX(M217-$H217,0),IF(M217&lt;&gt;0,IF(Pricetype=1,(xSPRDOPT(M217,$E217,$CI217,0,($CD217+IF(Smile=TRUE(),VLOOKUP(MAX(-5,$H217-M217),Volsmile,2),0)),$CG217,$CH217,($A217-DateToday)+15,1,0)),M217-$H217),0)))</f>
        <v> </v>
      </c>
      <c r="W217" s="317" t="str">
        <f aca="false">IF($A217="N/A"," ",(IF(Pricetype=2,IF((N217-$H217)&lt;=0,0,(N217-$H217)),IF(N217&lt;&gt;0,(N217-$H217),0))))</f>
        <v> </v>
      </c>
      <c r="X217" s="316" t="str">
        <f aca="false">IF($A217="N/A"," ",IF(Pricetype=2,MAX(O217-$H217,0),IF(O217&lt;&gt;0,IF(Pricetype=1,(xSPRDOPT(O217,$E217,$CI217,0,($CD217+IF(Smile=TRUE(),VLOOKUP(MAX(-5,$H217-O217),Volsmile,2),0)),$CG217,$CH217,($A217-DateToday)+15,1,0)),O217-$H217),0)))</f>
        <v> </v>
      </c>
      <c r="Y217" s="316" t="str">
        <f aca="false">IF($A217="N/A"," ",IF(Pricetype=2,MAX(P217-$H217,0),IF(P217&lt;&gt;0,IF(Pricetype=1,(xSPRDOPT(P217,$E217,$CI217,0,($CD217+IF(Smile=TRUE(),VLOOKUP(MAX(-5,$H217-P217),Volsmile,2),0)),$CG217,$CH217,($A217-DateToday)+15,1,0)),P217-$H217),0)))</f>
        <v> </v>
      </c>
      <c r="Z217" s="317" t="str">
        <f aca="false">IF($A217="N/A"," ",(IF(Pricetype=2,IF((Q217-$H217)&lt;=0,0,(Q217-$H217)),IF(Q217&lt;&gt;0,(Q217-$H217),0))))</f>
        <v> </v>
      </c>
      <c r="AA217" s="318" t="str">
        <f aca="false">IF($A217="N/A"," ",IF(VLOOKUP(MONTH(A217),ManualTable,2)=1,(IF(0&lt;&gt;R217,IF(Pricetype=1,(xSPRDOPT(I217,$E217,$CI217,0,($CD217+IF(Smile=TRUE(),VLOOKUP(MAX(-5,$H217-I217),Volsmile,2),0)),$CG217,$CH217,($A217-DateToday)+15,1,1))*(8*$HD217),8*$HD217),0)),0))</f>
        <v> </v>
      </c>
      <c r="AB217" s="318" t="str">
        <f aca="false">IF($A217="N/A"," ",IF(VLOOKUP(MONTH(A217),ManualTable,3)=1,(IF(S217&lt;&gt;0,IF(Pricetype=1,(xSPRDOPT(J217,$E217,$CI217,0,($CD217+IF(Smile=TRUE(),VLOOKUP(MAX(-5,$H217-J217),Volsmile,2),0)),$CG217,$CH217,($A217-DateToday)+15,1,1))*(8*$HD217),8*$HD217),0)),0))</f>
        <v> </v>
      </c>
      <c r="AC217" s="318" t="str">
        <f aca="false">IF($A217="N/A"," ",IF(VLOOKUP(MONTH(A217),ManualTable,4)=1,(IF(T217&lt;&gt;0,(8*$HD217),0)),0))</f>
        <v> </v>
      </c>
      <c r="AD217" s="318" t="str">
        <f aca="false">IF($A217="N/A"," ",IF(VLOOKUP(MONTH(A217),ManualTable,5)=1,(IF(U217&lt;&gt;0,IF(Pricetype=1,(xSPRDOPT(L217,$E217,$CI217,0,($CD217+IF(Smile=TRUE(),VLOOKUP(MAX(-5,$H217-L217),Volsmile,2),0)),$CG217,$CH217,($A217-DateToday)+15,1,1))*(8*$HE217),8*$HE217),0)),0))</f>
        <v> </v>
      </c>
      <c r="AE217" s="318" t="str">
        <f aca="false">IF($A217="N/A"," ",IF(VLOOKUP(MONTH(A217),ManualTable,6)=1,(IF(V217&lt;&gt;0,IF(Pricetype=1,(xSPRDOPT(M217,$E217,$CI217,0,($CD217+IF(Smile=TRUE(),VLOOKUP(MAX(-5,$H217-M217),Volsmile,2),0)),$CG217,$CH217,($A217-DateToday)+15,1,1))*(8*$HE217),8*$HE217),0)),0))</f>
        <v> </v>
      </c>
      <c r="AF217" s="318" t="str">
        <f aca="false">IF($A217="N/A"," ",IF(VLOOKUP(MONTH(A217),ManualTable,7)=1,(IF(W217&lt;&gt;0,(8*$HE217),0)),0))</f>
        <v> </v>
      </c>
      <c r="AG217" s="318" t="str">
        <f aca="false">IF($A217="N/A"," ",IF(VLOOKUP(MONTH(A217),ManualTable,8)=1,(IF(X217&lt;&gt;0,IF(Pricetype=1,(xSPRDOPT(O217,$E217,$CI217,0,($CD217+IF(Smile=TRUE(),VLOOKUP(MAX(-5,$H217-O217),Volsmile,2),0)),$CG217,$CH217,($A217-DateToday)+15,1,1))*(8*$HF217),8*$HF217),0)),0))</f>
        <v> </v>
      </c>
      <c r="AH217" s="318" t="str">
        <f aca="false">IF($A217="N/A"," ",IF(VLOOKUP(MONTH(A217),ManualTable,9)=1,(IF(Y217&lt;&gt;0,IF(Pricetype=1,(xSPRDOPT(P217,$E217,$CI217,0,($CD217+IF(Smile=TRUE(),VLOOKUP(MAX(-5,$H217-P217),Volsmile,2),0)),$CG217,$CH217,($A217-DateToday)+15,1,1))*(8*$HF217),8*$HF217),0)),0))</f>
        <v> </v>
      </c>
      <c r="AI217" s="318" t="str">
        <f aca="false">IF($A217="N/A"," ",IF(VLOOKUP(MONTH(A217),ManualTable,10)=1,(IF(Z217&lt;&gt;0,(8*($HF217)),0)),0))</f>
        <v> </v>
      </c>
      <c r="AJ217" s="344" t="str">
        <f aca="false">IF($A217="N/A"," ",RANK(R217,$R$208:$Z$219))</f>
        <v> </v>
      </c>
      <c r="AK217" s="321" t="str">
        <f aca="false">IF($A217="N/A"," ",RANK(S217,$R$208:$Z$219))</f>
        <v> </v>
      </c>
      <c r="AL217" s="321" t="str">
        <f aca="false">IF($A217="N/A"," ",RANK(T217,$R$208:$Z$219))</f>
        <v> </v>
      </c>
      <c r="AM217" s="321" t="str">
        <f aca="false">IF($A217="N/A"," ",RANK(U217,$R$208:$Z$219))</f>
        <v> </v>
      </c>
      <c r="AN217" s="321" t="str">
        <f aca="false">IF($A217="N/A"," ",RANK(V217,$R$208:$Z$219))</f>
        <v> </v>
      </c>
      <c r="AO217" s="321" t="str">
        <f aca="false">IF($A217="N/A"," ",RANK(W217,$R$208:$Z$219))</f>
        <v> </v>
      </c>
      <c r="AP217" s="321" t="str">
        <f aca="false">IF($A217="N/A"," ",RANK(X217,$R$208:$Z$219))</f>
        <v> </v>
      </c>
      <c r="AQ217" s="321" t="str">
        <f aca="false">IF($A217="N/A"," ",RANK(Y217,$R$208:$Z$219))</f>
        <v> </v>
      </c>
      <c r="AR217" s="345" t="str">
        <f aca="false">IF($A217="N/A"," ",RANK(Z217,$R$208:$Z$219))</f>
        <v> </v>
      </c>
      <c r="AS217" s="323" t="str">
        <f aca="false">IF($A217="N/A"," ",IF(AJ217&lt;=$AR$2,AA217,0))</f>
        <v> </v>
      </c>
      <c r="AT217" s="325" t="str">
        <f aca="false">IF($A217="N/A"," ",IF(AK217&lt;=$AR$2,AB217,0))</f>
        <v> </v>
      </c>
      <c r="AU217" s="325" t="str">
        <f aca="false">IF($A217="N/A"," ",IF(AL217&lt;=$AR$2,AC217,0))</f>
        <v> </v>
      </c>
      <c r="AV217" s="325" t="str">
        <f aca="false">IF($A217="N/A"," ",IF(AM217&lt;=$AR$2,AD217,0))</f>
        <v> </v>
      </c>
      <c r="AW217" s="325" t="str">
        <f aca="false">IF($A217="N/A"," ",IF(AN217&lt;=$AR$2,AE217,0))</f>
        <v> </v>
      </c>
      <c r="AX217" s="325" t="str">
        <f aca="false">IF($A217="N/A"," ",IF(AO217&lt;=$AR$2,AF217,0))</f>
        <v> </v>
      </c>
      <c r="AY217" s="325" t="str">
        <f aca="false">IF($A217="N/A"," ",IF(AP217&lt;=$AR$2,AG217,0))</f>
        <v> </v>
      </c>
      <c r="AZ217" s="325" t="str">
        <f aca="false">IF($A217="N/A"," ",IF(AQ217&lt;=$AR$2,AH217,0))</f>
        <v> </v>
      </c>
      <c r="BA217" s="325" t="str">
        <f aca="false">IF($A217="N/A"," ",IF(AR217&lt;=$AR$2,AI217,0))</f>
        <v> </v>
      </c>
      <c r="BB217" s="348" t="s">
        <v>1319</v>
      </c>
      <c r="BC217" s="326" t="str">
        <f aca="false">IF($A217="N/A"," ",IF(AND(AJ217=$AR$2+1,AS217=0),MIN($BB$219,AA217),0))</f>
        <v> </v>
      </c>
      <c r="BD217" s="346" t="str">
        <f aca="false">IF($A217="N/A"," ",IF(AND(AK217=$AR$2+1,AT217=0),MIN($BB$219,AB217),0))</f>
        <v> </v>
      </c>
      <c r="BE217" s="346" t="str">
        <f aca="false">IF($A217="N/A"," ",IF(AND(AL217=$AR$2+1,AU217=0),MIN($BB$219,AC217),0))</f>
        <v> </v>
      </c>
      <c r="BF217" s="346" t="str">
        <f aca="false">IF($A217="N/A"," ",IF(AND(AM217=$AR$2+1,AV217=0),MIN($BB$219,AD217),0))</f>
        <v> </v>
      </c>
      <c r="BG217" s="346" t="str">
        <f aca="false">IF($A217="N/A"," ",IF(AND(AN217=$AR$2+1,AW217=0),MIN($BB$219,AE217),0))</f>
        <v> </v>
      </c>
      <c r="BH217" s="346" t="str">
        <f aca="false">IF($A217="N/A"," ",IF(AND(AO217=$AR$2+1,AX217=0),MIN($BB$219,AF217),0))</f>
        <v> </v>
      </c>
      <c r="BI217" s="346" t="str">
        <f aca="false">IF($A217="N/A"," ",IF(AND(AP217=$AR$2+1,AY217=0),MIN($BB$219,AG217),0))</f>
        <v> </v>
      </c>
      <c r="BJ217" s="346" t="str">
        <f aca="false">IF($A217="N/A"," ",IF(AND(AQ217=$AR$2+1,AZ217=0),MIN($BB$219,AH217),0))</f>
        <v> </v>
      </c>
      <c r="BK217" s="346" t="str">
        <f aca="false">IF($A217="N/A"," ",IF(AND(AR217=$AR$2+1,BA217=0),MIN($BB$219,AI217),0))</f>
        <v> </v>
      </c>
      <c r="BL217" s="347" t="s">
        <v>1359</v>
      </c>
      <c r="BM217" s="329" t="str">
        <f aca="false">IF($A217="N/A"," ",(IF(MONTH(A217)&gt;=4,IF(MONTH(A217)&lt;=10,Inputs!$F$13-Inputs!$G$13,Inputs!$F$14-Inputs!$G$14),Inputs!$F$14-Inputs!$G$14))*$CK217*Availability)</f>
        <v> </v>
      </c>
      <c r="BN217" s="330" t="str">
        <f aca="false">IF($A217="N/A"," ",(IF(AS217&gt;0,($BM217*(8*($HD217))*R217),0)+IF(BC217&gt;0,($BM217*((BC217/AA217)*8*$HD217)*R217),0)))</f>
        <v> </v>
      </c>
      <c r="BO217" s="330" t="str">
        <f aca="false">IF($A217="N/A"," ",(IF(AT217&gt;0,($BM217*(8*($HD217))*S217),0)+IF(BD217&gt;0,($BM217*((BD217/AB217)*8*$HD217)*S217),0)))</f>
        <v> </v>
      </c>
      <c r="BP217" s="330" t="str">
        <f aca="false">IF($A217="N/A"," ",(IF(AU217&gt;0,($BM217*(8*($HD217))*T217),0)+IF(BE217&gt;0,($BM217*((BE217))*T217),0)))</f>
        <v> </v>
      </c>
      <c r="BQ217" s="330" t="str">
        <f aca="false">IF($A217="N/A"," ",(IF(AV217&gt;0,($BM217*(8*($HE217))*U217),0)+IF(BF217&gt;0,($BM217*((BF217/AD217)*8*$HE217)*U217),0)))</f>
        <v> </v>
      </c>
      <c r="BR217" s="330" t="str">
        <f aca="false">IF($A217="N/A"," ",(IF(AW217&gt;0,($BM217*(8*($HE217))*V217),0)+IF(BG217&gt;0,($BM217*((BG217/AE217)*8*$HE217)*V217),0)))</f>
        <v> </v>
      </c>
      <c r="BS217" s="330" t="str">
        <f aca="false">IF($A217="N/A"," ",(IF(AX217&gt;0,($BM217*(8*($HE217))*W217),0)+IF(BH217&gt;0,($BM217*((BH217))*W217),0)))</f>
        <v> </v>
      </c>
      <c r="BT217" s="330" t="str">
        <f aca="false">IF($A217="N/A"," ",(IF(AY217&gt;0,($BM217*(8*($HF217))*X217),0)+IF(BI217&gt;0,($BM217*((BI217/AG217)*8*$HF217)*X217),0)))</f>
        <v> </v>
      </c>
      <c r="BU217" s="330" t="str">
        <f aca="false">IF($A217="N/A"," ",(IF(AZ217&gt;0,($BM217*(8*($HF217))*Y217),0)+IF(BJ217&gt;0,($BM217*((BJ217/AH217)*8*$HF217)*Y217),0)))</f>
        <v> </v>
      </c>
      <c r="BV217" s="330" t="str">
        <f aca="false">IF($A217="N/A"," ",(IF(BA217&gt;0,($BM217*(8*($HF217))*Z217),0)+IF(BK217&gt;0,($BM217*((BK217))*Z217),0)))</f>
        <v> </v>
      </c>
      <c r="BW217" s="330" t="str">
        <f aca="false">IF($A217="N/A"," ",SUM(BN217:BV217))</f>
        <v> </v>
      </c>
      <c r="BX217" s="331" t="str">
        <f aca="false">IF($A217="N/A"," ",(H217*(SUM(AS217:BA217)+SUM(BC217:BK217))*BM217))</f>
        <v> </v>
      </c>
      <c r="BY217" s="332" t="str">
        <f aca="false">IF($A217="N/A"," ",((C217*D217)*(SUM($AS217:$BA217)+SUM($BC217:$BK217))*$BM217))</f>
        <v> </v>
      </c>
      <c r="BZ217" s="332" t="str">
        <f aca="false">IF($A217="N/A"," ",(F217*(SUM($AS217:$BA217)+SUM($BC217:$BK217))*$BM217))</f>
        <v> </v>
      </c>
      <c r="CA217" s="333" t="str">
        <f aca="false">IF($A217="N/A"," ",(G217*(SUM($AS217:$BA217)+SUM($BC217:$BK217))*$BM217))</f>
        <v> </v>
      </c>
      <c r="CB217" s="334" t="str">
        <f aca="false">IF(A217="N/A"," ",(VLOOKUP(A217,PowerVolTable,(IF(BMO=2,7,IF(BMO=1,6,8))),FALSE())))</f>
        <v> </v>
      </c>
      <c r="CC217" s="334" t="str">
        <f aca="false">IF(A217="N/A"," ",(VLOOKUP(A217,IntraPowerVol,(IF(BMO=2,3,IF(BMO=1,2,4))),FALSE())*VLOOKUP(MONTH($A217),Volscale,2)))</f>
        <v> </v>
      </c>
      <c r="CD217" s="335" t="str">
        <f aca="false">IF($A217="N/A"," ",(IF(DateToday&gt;$A217,$CC217,((($CB217^2)*((($A217-1)-DateToday)/((EOMONTH($A217,0)+1)-DateToday-15)))+((($CC217)^2)*((15)/((EOMONTH($A217,0)+1)-DateToday-15))))^0.5)))</f>
        <v> </v>
      </c>
      <c r="CE217" s="334" t="str">
        <f aca="false">IF($A217="N/A"," ",(VLOOKUP($A217,GasVolTable,(IF(BMO=2,6,IF(BMO=1,7,5))),FALSE())))</f>
        <v> </v>
      </c>
      <c r="CF217" s="334" t="str">
        <f aca="false">IF($A217="N/A"," ",(VLOOKUP($A217,OmicronVol,(IF(BMO=2,3,IF(BMO=1,4,2))),FALSE())))</f>
        <v> </v>
      </c>
      <c r="CG217" s="335" t="str">
        <f aca="false">IF($A217="N/A"," ",(IF(DateToday&gt;$A217,$CF217,((($CE217^2)*((($A217-1)-DateToday)/((EOMONTH($A217,0)+1)-DateToday-15)))+((($CF217)^2)*((15)/((EOMONTH($A217,0)+1)-DateToday-15))))^0.5)))</f>
        <v> </v>
      </c>
      <c r="CH217" s="334" t="str">
        <f aca="false">IF($A217="N/A"," ",VLOOKUP($A217,CorrelationTable,2,FALSE()))</f>
        <v> </v>
      </c>
      <c r="CI217" s="336" t="str">
        <f aca="false">IF($A217="N/A"," ",F217+G217+(D217*('Pricing Inputs'!T250)))</f>
        <v> </v>
      </c>
      <c r="CJ217" s="334" t="str">
        <f aca="false">IF($A217="N/A"," ",IF(PV=1,0,'Pricing Inputs'!U250))</f>
        <v> </v>
      </c>
      <c r="CK217" s="337" t="str">
        <f aca="false">IF($A217="N/A"," ",(1+CJ217/2)^(-2*((EOMONTH(A217,0)+20)-DateToday)/365.25))</f>
        <v> </v>
      </c>
      <c r="CL217" s="338" t="str">
        <f aca="false">IF(A217="N/A"," ",IF(CC=2,(VLOOKUP(MONTH($A217),Hrtable,3))/1000,0))</f>
        <v> </v>
      </c>
      <c r="CM217" s="339" t="str">
        <f aca="false">IF(A217="N/A"," ",IF(CC=2,(CL217*C217)+F217,0))</f>
        <v> </v>
      </c>
      <c r="CN217" s="340" t="str">
        <f aca="false">IF($A217="N/A"," ",IF(CC=2,(VLOOKUP(A217,ScaledPrice,(IF(AND(Dayrun&gt;=1,Dayrun&lt;=6),2,4)))-((IF(R217&lt;&gt;0,$D217,$CL217)*$C217)+$F217+$G217)),0))</f>
        <v> </v>
      </c>
      <c r="CO217" s="340" t="str">
        <f aca="false">IF($A217="N/A"," ",IF(CC=2,(IF(AND(Dayrun&gt;=1,Dayrun&lt;=6),I217,(VLOOKUP(A217,ScaledPrice,2))*(2-(VLOOKUP(A217,ScaledPrice,3))))-((IF(S217&lt;&gt;0,$D217,$CL217)*$C217)+$F217+$G217)),0))</f>
        <v> </v>
      </c>
      <c r="CP217" s="340" t="str">
        <f aca="false">IF(A217="N/A"," ",IF(CC=2,(VLOOKUP(A217,ScaledPrice,9)-((IF(T217&lt;&gt;0,$D217,$CL217)*$C217)+$F217+$G217)),0))</f>
        <v> </v>
      </c>
      <c r="CQ217" s="340" t="str">
        <f aca="false">IF(A217="N/A"," ",IF(CC=2,(IF(OR(Dayrun=2,Dayrun=3,Dayrun=5,Dayrun=6,Dayrun=8,Dayrun=9),VLOOKUP(A217,ScaledPrice,IF(AND(Dayrun&gt;=2,Dayrun&lt;=6),5,6)),0)-((IF(U217&lt;&gt;0,$D217,$CL217)*$C217)+$F217+$G217)),0))</f>
        <v> </v>
      </c>
      <c r="CR217" s="340" t="str">
        <f aca="false">IF(A217="N/A"," ",IF(CC=2,(IF(OR(Dayrun=2,Dayrun=3,Dayrun=5,Dayrun=6,Dayrun=8,Dayrun=9),IF(AND(Dayrun&gt;=2,Dayrun&lt;=6),L217,(VLOOKUP(A217,ScaledPrice,5))*(2-(VLOOKUP(A217,ScaledPrice,3)))),0)-((IF(V217&lt;&gt;0,$D217,$CL217)*$C217)+$F217+$G217)),0))</f>
        <v> </v>
      </c>
      <c r="CS217" s="340" t="str">
        <f aca="false">IF(A217="N/A"," ",IF(CC=2,(VLOOKUP(A217,ScaledPrice,9)-((IF(W217&lt;&gt;0,$D217,$CL217)*$C217)+$F217+$G217)),0))</f>
        <v> </v>
      </c>
      <c r="CT217" s="340" t="str">
        <f aca="false">IF(A217="N/A"," ",IF(CC=2,(IF(OR(Dayrun=3,Dayrun=6,Dayrun=9),(VLOOKUP(A217,ScaledPrice,IF(AND(Dayrun&gt;=3,Dayrun&lt;=6),7,8))),0)-((IF(X217&lt;&gt;0,$D217,$CL217)*$C217)+$F217+$G217)),0))</f>
        <v> </v>
      </c>
      <c r="CU217" s="340" t="str">
        <f aca="false">IF(A217="N/A"," ",IF(CC=2,(IF(OR(Dayrun=3,Dayrun=6,Dayrun=9),IF(AND(Dayrun&gt;=3,Dayrun&lt;=6),O217,(VLOOKUP(A217,ScaledPrice,7))*(2-(VLOOKUP(A217,ScaledPrice,3)))),0)-((IF(Y217&lt;&gt;0,$D217,$CL217)*$C217)+$F217+$G217)),0))</f>
        <v> </v>
      </c>
      <c r="CV217" s="340" t="str">
        <f aca="false">IF(A217="N/A"," ",IF(CC=2,(VLOOKUP(A217,ScaledPrice,9)-((IF(Z217&lt;&gt;0,$D217,$CL217)*$C217)+$F217+$G217)),0))</f>
        <v> </v>
      </c>
      <c r="CW217" s="318" t="str">
        <f aca="false">IF($A217="N/A"," ",IF(0&lt;&gt;CN217,IF(CC=2,8*$HD217,0),0))</f>
        <v> </v>
      </c>
      <c r="CX217" s="318" t="str">
        <f aca="false">IF($A217="N/A"," ",IF(0&lt;&gt;CO217,IF(CC=2,8*$HD217,0),0))</f>
        <v> </v>
      </c>
      <c r="CY217" s="318" t="str">
        <f aca="false">IF($A217="N/A"," ",IF(0&lt;&gt;CP217,IF(CC=2,8*$HD217,0),0))</f>
        <v> </v>
      </c>
      <c r="CZ217" s="318" t="str">
        <f aca="false">IF($A217="N/A"," ",IF(0&lt;&gt;CQ217,IF(CC=2,8*$HE217,0),0))</f>
        <v> </v>
      </c>
      <c r="DA217" s="318" t="str">
        <f aca="false">IF($A217="N/A"," ",IF(0&lt;&gt;CR217,IF(CC=2,8*$HE217,0),0))</f>
        <v> </v>
      </c>
      <c r="DB217" s="318" t="str">
        <f aca="false">IF($A217="N/A"," ",IF(0&lt;&gt;CS217,IF(CC=2,8*$HE217,0),0))</f>
        <v> </v>
      </c>
      <c r="DC217" s="318" t="str">
        <f aca="false">IF($A217="N/A"," ",IF(0&lt;&gt;CT217,IF(CC=2,8*$HF217,0),0))</f>
        <v> </v>
      </c>
      <c r="DD217" s="318" t="str">
        <f aca="false">IF($A217="N/A"," ",IF(0&lt;&gt;CU217,IF(CC=2,8*$HF217,0),0))</f>
        <v> </v>
      </c>
      <c r="DE217" s="318" t="str">
        <f aca="false">IF($A217="N/A"," ",IF(0&lt;&gt;CV217,IF(CC=2,8*$HF217,0),0))</f>
        <v> </v>
      </c>
      <c r="DF217" s="341" t="str">
        <f aca="false">IF($A217="N/A"," ",IF(CC=2,(IF(MONTH(A217)&gt;=4,IF(MONTH(A217)&lt;=10,Inputs!$G$13,Inputs!$G$14),Inputs!$G$14))*$CK217,0))</f>
        <v> </v>
      </c>
      <c r="DG217" s="342" t="str">
        <f aca="false">IF($A217="N/A"," ",IF(CC=2,$DF217*CW217*CN217,0))</f>
        <v> </v>
      </c>
      <c r="DH217" s="342" t="str">
        <f aca="false">IF($A217="N/A"," ",IF(CC=2,$DF217*CX217*CO217,0))</f>
        <v> </v>
      </c>
      <c r="DI217" s="342" t="str">
        <f aca="false">IF($A217="N/A"," ",IF(CC=2,$DF217*CY217*CP217,0))</f>
        <v> </v>
      </c>
      <c r="DJ217" s="342" t="str">
        <f aca="false">IF($A217="N/A"," ",IF(CC=2,$DF217*CZ217*CQ217,0))</f>
        <v> </v>
      </c>
      <c r="DK217" s="342" t="str">
        <f aca="false">IF($A217="N/A"," ",IF(CC=2,$DF217*DA217*CR217,0))</f>
        <v> </v>
      </c>
      <c r="DL217" s="342" t="str">
        <f aca="false">IF($A217="N/A"," ",IF(CC=2,$DF217*DB217*CS217,0))</f>
        <v> </v>
      </c>
      <c r="DM217" s="342" t="str">
        <f aca="false">IF($A217="N/A"," ",IF(CC=2,$DF217*DC217*CT217,0))</f>
        <v> </v>
      </c>
      <c r="DN217" s="342" t="str">
        <f aca="false">IF($A217="N/A"," ",IF(CC=2,$DF217*DD217*CU217,0))</f>
        <v> </v>
      </c>
      <c r="DO217" s="342" t="str">
        <f aca="false">IF($A217="N/A"," ",IF(CC=2,$DF217*DE217*CV217,0))</f>
        <v> </v>
      </c>
      <c r="DP217" s="343" t="str">
        <f aca="false">IF($A217="N/A"," ",IF(CC=2,SUM(DG217:DO217),0))</f>
        <v> </v>
      </c>
      <c r="DQ217" s="0" t="str">
        <f aca="false">IF(A217="N/A"," ",Perstart)</f>
        <v> </v>
      </c>
      <c r="HD217" s="0" t="str">
        <f aca="false">IF($A217="N/A"," ",VLOOKUP($A217,NumberofDaysTable,2))</f>
        <v> </v>
      </c>
      <c r="HE217" s="0" t="str">
        <f aca="false">IF($A217="N/A"," ",VLOOKUP($A217,NumberofDaysTable,3))</f>
        <v> </v>
      </c>
      <c r="HF217" s="0" t="str">
        <f aca="false">IF($A217="N/A"," ",VLOOKUP($A217,NumberofDaysTable,4))</f>
        <v> </v>
      </c>
    </row>
    <row r="218" customFormat="false" ht="12.75" hidden="false" customHeight="false" outlineLevel="0" collapsed="false">
      <c r="A218" s="308" t="str">
        <f aca="false">IF(A217="N/A","N/A",IF(EDATE(A217,1)&gt;Inputs!$K$3,"N/A",EDATE(A217,1)))</f>
        <v>N/A</v>
      </c>
      <c r="B218" s="309" t="str">
        <f aca="false">IF(A218="N/A"," ",YEAR(A218))</f>
        <v> </v>
      </c>
      <c r="C218" s="310" t="str">
        <f aca="false">IF(A218="N/A"," ",VLOOKUP(A218,ScaledPrice,10))</f>
        <v> </v>
      </c>
      <c r="D218" s="311" t="str">
        <f aca="false">IF(A218="N/A"," ",(VLOOKUP(MONTH($A218),Hrtable,2))/1000)</f>
        <v> </v>
      </c>
      <c r="E218" s="312" t="str">
        <f aca="false">IF($A218="N/A"," ",(C218-'Pricing Inputs'!T251)*D218)</f>
        <v> </v>
      </c>
      <c r="F218" s="313" t="str">
        <f aca="false">IF(A218="N/A"," ",$F206*(1+VOMesc))</f>
        <v> </v>
      </c>
      <c r="G218" s="313" t="str">
        <f aca="false">IF(A218="N/A"," ",Perstart/IF(AND(Dayrun&gt;=4,Dayrun&lt;=6),16,IF(AND(Dayrun&gt;=7,Dayrun&lt;=9),8,24))/(BM218/CK218))</f>
        <v> </v>
      </c>
      <c r="H218" s="314" t="str">
        <f aca="false">IF(A218="N/A"," ",(C218*D218)+F218+G218)</f>
        <v> </v>
      </c>
      <c r="I218" s="315" t="str">
        <f aca="false">VLOOKUP(A218,ScaledPrice,(IF(AND(Dayrun&gt;=1,Dayrun&lt;=6),2,4)))</f>
        <v> </v>
      </c>
      <c r="J218" s="315" t="str">
        <f aca="false">IF(A218="N/A"," ",IF(AND(Dayrun&gt;=1,Dayrun&lt;=6),I218,(VLOOKUP(A218,ScaledPrice,2))*(2-(VLOOKUP(A218,ScaledPrice,3)))))</f>
        <v> </v>
      </c>
      <c r="K218" s="315" t="str">
        <f aca="false">IF(A218="N/A"," ",IF(AND(Dayrun&gt;=1,Dayrun&lt;=3),VLOOKUP(A218,ScaledPrice,9),0))</f>
        <v> </v>
      </c>
      <c r="L218" s="315" t="str">
        <f aca="false">IF(A218="N/A"," ",IF(OR(Dayrun=2,Dayrun=3,Dayrun=5,Dayrun=6,Dayrun=8,Dayrun=9),VLOOKUP(A218,ScaledPrice,IF(AND(Dayrun&gt;=2,Dayrun&lt;=6),5,6)),0))</f>
        <v> </v>
      </c>
      <c r="M218" s="315" t="str">
        <f aca="false">IF(A218="N/A"," ",IF(OR(Dayrun=2,Dayrun=3,Dayrun=5,Dayrun=6,Dayrun=8,Dayrun=9),IF(AND(Dayrun&gt;=2,Dayrun&lt;=6),L218,(VLOOKUP(A218,ScaledPrice,5))*(2-(VLOOKUP(A218,ScaledPrice,3)))),0))</f>
        <v> </v>
      </c>
      <c r="N218" s="315" t="str">
        <f aca="false">IF(A218="N/A"," ",IF(AND(Dayrun&gt;1,Dayrun&lt;=3),VLOOKUP(A218,ScaledPrice,9),0))</f>
        <v> </v>
      </c>
      <c r="O218" s="315" t="str">
        <f aca="false">IF(A218="N/A"," ",IF(OR(Dayrun=3,Dayrun=6,Dayrun=9),(VLOOKUP(A218,ScaledPrice,IF(AND(Dayrun&gt;=3,Dayrun&lt;=6),7,8))),0))</f>
        <v> </v>
      </c>
      <c r="P218" s="315" t="str">
        <f aca="false">IF(A218="N/A"," ",IF(OR(Dayrun=3,Dayrun=6,Dayrun=9),IF(AND(Dayrun&gt;=3,Dayrun&lt;=6),O218,(VLOOKUP(A218,ScaledPrice,7))*(2-(VLOOKUP(A218,ScaledPrice,3)))),0))</f>
        <v> </v>
      </c>
      <c r="Q218" s="315" t="str">
        <f aca="false">IF(A218="N/A"," ",IF(AND(Dayrun&gt;2,Dayrun&lt;=3),VLOOKUP(A218,ScaledPrice,9),0))</f>
        <v> </v>
      </c>
      <c r="R218" s="316" t="str">
        <f aca="false">IF($A218="N/A"," ",IF(Pricetype=2,MAX(I218-$H218,0),IF(Pricetype=1,(xSPRDOPT(I218,$E218,$CI218,0,($CD218+IF(Smile=TRUE(),VLOOKUP(MAX(-5,$H218-I218),Volsmile,2),0)),$CG218,$CH218,($A218-DateToday)+15,1,0)),I218-$H218)))</f>
        <v> </v>
      </c>
      <c r="S218" s="316" t="str">
        <f aca="false">IF($A218="N/A"," ",IF(Pricetype=2,MAX(J218-$H218,0),IF(Pricetype=1,(xSPRDOPT(J218,$E218,$CI218,0,($CD218+IF(Smile=TRUE(),VLOOKUP(MAX(-5,$H218-J218),Volsmile,2),0)),$CG218,$CH218,($A218-DateToday)+15,1,0)),J218-$H218)))</f>
        <v> </v>
      </c>
      <c r="T218" s="317" t="str">
        <f aca="false">IF($A218="N/A"," ",(IF(Pricetype=2,IF((K218-$H218)&lt;=0,0,(K218-$H218)),IF(K218&lt;&gt;0,(K218-$H218),0))))</f>
        <v> </v>
      </c>
      <c r="U218" s="316" t="str">
        <f aca="false">IF($A218="N/A"," ",IF(Pricetype=2,MAX(L218-$H218,0),IF(L218&lt;&gt;0,IF(Pricetype=1,(xSPRDOPT(L218,$E218,$CI218,0,($CD218+IF(Smile=TRUE(),VLOOKUP(MAX(-5,$H218-L218),Volsmile,2),0)),$CG218,$CH218,($A218-DateToday)+15,1,0)),L218-$H218),0)))</f>
        <v> </v>
      </c>
      <c r="V218" s="316" t="str">
        <f aca="false">IF($A218="N/A"," ",IF(Pricetype=2,MAX(M218-$H218,0),IF(M218&lt;&gt;0,IF(Pricetype=1,(xSPRDOPT(M218,$E218,$CI218,0,($CD218+IF(Smile=TRUE(),VLOOKUP(MAX(-5,$H218-M218),Volsmile,2),0)),$CG218,$CH218,($A218-DateToday)+15,1,0)),M218-$H218),0)))</f>
        <v> </v>
      </c>
      <c r="W218" s="317" t="str">
        <f aca="false">IF($A218="N/A"," ",(IF(Pricetype=2,IF((N218-$H218)&lt;=0,0,(N218-$H218)),IF(N218&lt;&gt;0,(N218-$H218),0))))</f>
        <v> </v>
      </c>
      <c r="X218" s="316" t="str">
        <f aca="false">IF($A218="N/A"," ",IF(Pricetype=2,MAX(O218-$H218,0),IF(O218&lt;&gt;0,IF(Pricetype=1,(xSPRDOPT(O218,$E218,$CI218,0,($CD218+IF(Smile=TRUE(),VLOOKUP(MAX(-5,$H218-O218),Volsmile,2),0)),$CG218,$CH218,($A218-DateToday)+15,1,0)),O218-$H218),0)))</f>
        <v> </v>
      </c>
      <c r="Y218" s="316" t="str">
        <f aca="false">IF($A218="N/A"," ",IF(Pricetype=2,MAX(P218-$H218,0),IF(P218&lt;&gt;0,IF(Pricetype=1,(xSPRDOPT(P218,$E218,$CI218,0,($CD218+IF(Smile=TRUE(),VLOOKUP(MAX(-5,$H218-P218),Volsmile,2),0)),$CG218,$CH218,($A218-DateToday)+15,1,0)),P218-$H218),0)))</f>
        <v> </v>
      </c>
      <c r="Z218" s="317" t="str">
        <f aca="false">IF($A218="N/A"," ",(IF(Pricetype=2,IF((Q218-$H218)&lt;=0,0,(Q218-$H218)),IF(Q218&lt;&gt;0,(Q218-$H218),0))))</f>
        <v> </v>
      </c>
      <c r="AA218" s="318" t="str">
        <f aca="false">IF($A218="N/A"," ",IF(VLOOKUP(MONTH(A218),ManualTable,2)=1,(IF(0&lt;&gt;R218,IF(Pricetype=1,(xSPRDOPT(I218,$E218,$CI218,0,($CD218+IF(Smile=TRUE(),VLOOKUP(MAX(-5,$H218-I218),Volsmile,2),0)),$CG218,$CH218,($A218-DateToday)+15,1,1))*(8*$HD218),8*$HD218),0)),0))</f>
        <v> </v>
      </c>
      <c r="AB218" s="318" t="str">
        <f aca="false">IF($A218="N/A"," ",IF(VLOOKUP(MONTH(A218),ManualTable,3)=1,(IF(S218&lt;&gt;0,IF(Pricetype=1,(xSPRDOPT(J218,$E218,$CI218,0,($CD218+IF(Smile=TRUE(),VLOOKUP(MAX(-5,$H218-J218),Volsmile,2),0)),$CG218,$CH218,($A218-DateToday)+15,1,1))*(8*$HD218),8*$HD218),0)),0))</f>
        <v> </v>
      </c>
      <c r="AC218" s="318" t="str">
        <f aca="false">IF($A218="N/A"," ",IF(VLOOKUP(MONTH(A218),ManualTable,4)=1,(IF(T218&lt;&gt;0,(8*$HD218),0)),0))</f>
        <v> </v>
      </c>
      <c r="AD218" s="318" t="str">
        <f aca="false">IF($A218="N/A"," ",IF(VLOOKUP(MONTH(A218),ManualTable,5)=1,(IF(U218&lt;&gt;0,IF(Pricetype=1,(xSPRDOPT(L218,$E218,$CI218,0,($CD218+IF(Smile=TRUE(),VLOOKUP(MAX(-5,$H218-L218),Volsmile,2),0)),$CG218,$CH218,($A218-DateToday)+15,1,1))*(8*$HE218),8*$HE218),0)),0))</f>
        <v> </v>
      </c>
      <c r="AE218" s="318" t="str">
        <f aca="false">IF($A218="N/A"," ",IF(VLOOKUP(MONTH(A218),ManualTable,6)=1,(IF(V218&lt;&gt;0,IF(Pricetype=1,(xSPRDOPT(M218,$E218,$CI218,0,($CD218+IF(Smile=TRUE(),VLOOKUP(MAX(-5,$H218-M218),Volsmile,2),0)),$CG218,$CH218,($A218-DateToday)+15,1,1))*(8*$HE218),8*$HE218),0)),0))</f>
        <v> </v>
      </c>
      <c r="AF218" s="318" t="str">
        <f aca="false">IF($A218="N/A"," ",IF(VLOOKUP(MONTH(A218),ManualTable,7)=1,(IF(W218&lt;&gt;0,(8*$HE218),0)),0))</f>
        <v> </v>
      </c>
      <c r="AG218" s="318" t="str">
        <f aca="false">IF($A218="N/A"," ",IF(VLOOKUP(MONTH(A218),ManualTable,8)=1,(IF(X218&lt;&gt;0,IF(Pricetype=1,(xSPRDOPT(O218,$E218,$CI218,0,($CD218+IF(Smile=TRUE(),VLOOKUP(MAX(-5,$H218-O218),Volsmile,2),0)),$CG218,$CH218,($A218-DateToday)+15,1,1))*(8*$HF218),8*$HF218),0)),0))</f>
        <v> </v>
      </c>
      <c r="AH218" s="318" t="str">
        <f aca="false">IF($A218="N/A"," ",IF(VLOOKUP(MONTH(A218),ManualTable,9)=1,(IF(Y218&lt;&gt;0,IF(Pricetype=1,(xSPRDOPT(P218,$E218,$CI218,0,($CD218+IF(Smile=TRUE(),VLOOKUP(MAX(-5,$H218-P218),Volsmile,2),0)),$CG218,$CH218,($A218-DateToday)+15,1,1))*(8*$HF218),8*$HF218),0)),0))</f>
        <v> </v>
      </c>
      <c r="AI218" s="318" t="str">
        <f aca="false">IF($A218="N/A"," ",IF(VLOOKUP(MONTH(A218),ManualTable,10)=1,(IF(Z218&lt;&gt;0,(8*($HF218)),0)),0))</f>
        <v> </v>
      </c>
      <c r="AJ218" s="344" t="str">
        <f aca="false">IF($A218="N/A"," ",RANK(R218,$R$208:$Z$219))</f>
        <v> </v>
      </c>
      <c r="AK218" s="321" t="str">
        <f aca="false">IF($A218="N/A"," ",RANK(S218,$R$208:$Z$219))</f>
        <v> </v>
      </c>
      <c r="AL218" s="321" t="str">
        <f aca="false">IF($A218="N/A"," ",RANK(T218,$R$208:$Z$219))</f>
        <v> </v>
      </c>
      <c r="AM218" s="321" t="str">
        <f aca="false">IF($A218="N/A"," ",RANK(U218,$R$208:$Z$219))</f>
        <v> </v>
      </c>
      <c r="AN218" s="321" t="str">
        <f aca="false">IF($A218="N/A"," ",RANK(V218,$R$208:$Z$219))</f>
        <v> </v>
      </c>
      <c r="AO218" s="321" t="str">
        <f aca="false">IF($A218="N/A"," ",RANK(W218,$R$208:$Z$219))</f>
        <v> </v>
      </c>
      <c r="AP218" s="321" t="str">
        <f aca="false">IF($A218="N/A"," ",RANK(X218,$R$208:$Z$219))</f>
        <v> </v>
      </c>
      <c r="AQ218" s="321" t="str">
        <f aca="false">IF($A218="N/A"," ",RANK(Y218,$R$208:$Z$219))</f>
        <v> </v>
      </c>
      <c r="AR218" s="345" t="str">
        <f aca="false">IF($A218="N/A"," ",RANK(Z218,$R$208:$Z$219))</f>
        <v> </v>
      </c>
      <c r="AS218" s="323" t="str">
        <f aca="false">IF($A218="N/A"," ",IF(AJ218&lt;=$AR$2,AA218,0))</f>
        <v> </v>
      </c>
      <c r="AT218" s="325" t="str">
        <f aca="false">IF($A218="N/A"," ",IF(AK218&lt;=$AR$2,AB218,0))</f>
        <v> </v>
      </c>
      <c r="AU218" s="325" t="str">
        <f aca="false">IF($A218="N/A"," ",IF(AL218&lt;=$AR$2,AC218,0))</f>
        <v> </v>
      </c>
      <c r="AV218" s="325" t="str">
        <f aca="false">IF($A218="N/A"," ",IF(AM218&lt;=$AR$2,AD218,0))</f>
        <v> </v>
      </c>
      <c r="AW218" s="325" t="str">
        <f aca="false">IF($A218="N/A"," ",IF(AN218&lt;=$AR$2,AE218,0))</f>
        <v> </v>
      </c>
      <c r="AX218" s="325" t="str">
        <f aca="false">IF($A218="N/A"," ",IF(AO218&lt;=$AR$2,AF218,0))</f>
        <v> </v>
      </c>
      <c r="AY218" s="325" t="str">
        <f aca="false">IF($A218="N/A"," ",IF(AP218&lt;=$AR$2,AG218,0))</f>
        <v> </v>
      </c>
      <c r="AZ218" s="325" t="str">
        <f aca="false">IF($A218="N/A"," ",IF(AQ218&lt;=$AR$2,AH218,0))</f>
        <v> </v>
      </c>
      <c r="BA218" s="325" t="str">
        <f aca="false">IF($A218="N/A"," ",IF(AR218&lt;=$AR$2,AI218,0))</f>
        <v> </v>
      </c>
      <c r="BB218" s="345" t="n">
        <f aca="false">SUM(AS208:BA219)</f>
        <v>0</v>
      </c>
      <c r="BC218" s="326" t="str">
        <f aca="false">IF($A218="N/A"," ",IF(AND(AJ218=$AR$2+1,AS218=0),MIN($BB$219,AA218),0))</f>
        <v> </v>
      </c>
      <c r="BD218" s="346" t="str">
        <f aca="false">IF($A218="N/A"," ",IF(AND(AK218=$AR$2+1,AT218=0),MIN($BB$219,AB218),0))</f>
        <v> </v>
      </c>
      <c r="BE218" s="346" t="str">
        <f aca="false">IF($A218="N/A"," ",IF(AND(AL218=$AR$2+1,AU218=0),MIN($BB$219,AC218),0))</f>
        <v> </v>
      </c>
      <c r="BF218" s="346" t="str">
        <f aca="false">IF($A218="N/A"," ",IF(AND(AM218=$AR$2+1,AV218=0),MIN($BB$219,AD218),0))</f>
        <v> </v>
      </c>
      <c r="BG218" s="346" t="str">
        <f aca="false">IF($A218="N/A"," ",IF(AND(AN218=$AR$2+1,AW218=0),MIN($BB$219,AE218),0))</f>
        <v> </v>
      </c>
      <c r="BH218" s="346" t="str">
        <f aca="false">IF($A218="N/A"," ",IF(AND(AO218=$AR$2+1,AX218=0),MIN($BB$219,AF218),0))</f>
        <v> </v>
      </c>
      <c r="BI218" s="346" t="str">
        <f aca="false">IF($A218="N/A"," ",IF(AND(AP218=$AR$2+1,AY218=0),MIN($BB$219,AG218),0))</f>
        <v> </v>
      </c>
      <c r="BJ218" s="346" t="str">
        <f aca="false">IF($A218="N/A"," ",IF(AND(AQ218=$AR$2+1,AZ218=0),MIN($BB$219,AH218),0))</f>
        <v> </v>
      </c>
      <c r="BK218" s="346" t="str">
        <f aca="false">IF($A218="N/A"," ",IF(AND(AR218=$AR$2+1,BA218=0),MIN($BB$219,AI218),0))</f>
        <v> </v>
      </c>
      <c r="BL218" s="345" t="n">
        <f aca="false">SUM(BC208:BK219)</f>
        <v>0</v>
      </c>
      <c r="BM218" s="329" t="str">
        <f aca="false">IF($A218="N/A"," ",(IF(MONTH(A218)&gt;=4,IF(MONTH(A218)&lt;=10,Inputs!$F$13-Inputs!$G$13,Inputs!$F$14-Inputs!$G$14),Inputs!$F$14-Inputs!$G$14))*$CK218*Availability)</f>
        <v> </v>
      </c>
      <c r="BN218" s="330" t="str">
        <f aca="false">IF($A218="N/A"," ",(IF(AS218&gt;0,($BM218*(8*($HD218))*R218),0)+IF(BC218&gt;0,($BM218*((BC218/AA218)*8*$HD218)*R218),0)))</f>
        <v> </v>
      </c>
      <c r="BO218" s="330" t="str">
        <f aca="false">IF($A218="N/A"," ",(IF(AT218&gt;0,($BM218*(8*($HD218))*S218),0)+IF(BD218&gt;0,($BM218*((BD218/AB218)*8*$HD218)*S218),0)))</f>
        <v> </v>
      </c>
      <c r="BP218" s="330" t="str">
        <f aca="false">IF($A218="N/A"," ",(IF(AU218&gt;0,($BM218*(8*($HD218))*T218),0)+IF(BE218&gt;0,($BM218*((BE218))*T218),0)))</f>
        <v> </v>
      </c>
      <c r="BQ218" s="330" t="str">
        <f aca="false">IF($A218="N/A"," ",(IF(AV218&gt;0,($BM218*(8*($HE218))*U218),0)+IF(BF218&gt;0,($BM218*((BF218/AD218)*8*$HE218)*U218),0)))</f>
        <v> </v>
      </c>
      <c r="BR218" s="330" t="str">
        <f aca="false">IF($A218="N/A"," ",(IF(AW218&gt;0,($BM218*(8*($HE218))*V218),0)+IF(BG218&gt;0,($BM218*((BG218/AE218)*8*$HE218)*V218),0)))</f>
        <v> </v>
      </c>
      <c r="BS218" s="330" t="str">
        <f aca="false">IF($A218="N/A"," ",(IF(AX218&gt;0,($BM218*(8*($HE218))*W218),0)+IF(BH218&gt;0,($BM218*((BH218))*W218),0)))</f>
        <v> </v>
      </c>
      <c r="BT218" s="330" t="str">
        <f aca="false">IF($A218="N/A"," ",(IF(AY218&gt;0,($BM218*(8*($HF218))*X218),0)+IF(BI218&gt;0,($BM218*((BI218/AG218)*8*$HF218)*X218),0)))</f>
        <v> </v>
      </c>
      <c r="BU218" s="330" t="str">
        <f aca="false">IF($A218="N/A"," ",(IF(AZ218&gt;0,($BM218*(8*($HF218))*Y218),0)+IF(BJ218&gt;0,($BM218*((BJ218/AH218)*8*$HF218)*Y218),0)))</f>
        <v> </v>
      </c>
      <c r="BV218" s="330" t="str">
        <f aca="false">IF($A218="N/A"," ",(IF(BA218&gt;0,($BM218*(8*($HF218))*Z218),0)+IF(BK218&gt;0,($BM218*((BK218))*Z218),0)))</f>
        <v> </v>
      </c>
      <c r="BW218" s="330" t="str">
        <f aca="false">IF($A218="N/A"," ",SUM(BN218:BV218))</f>
        <v> </v>
      </c>
      <c r="BX218" s="331" t="str">
        <f aca="false">IF($A218="N/A"," ",(H218*(SUM(AS218:BA218)+SUM(BC218:BK218))*BM218))</f>
        <v> </v>
      </c>
      <c r="BY218" s="332" t="str">
        <f aca="false">IF($A218="N/A"," ",((C218*D218)*(SUM($AS218:$BA218)+SUM($BC218:$BK218))*$BM218))</f>
        <v> </v>
      </c>
      <c r="BZ218" s="332" t="str">
        <f aca="false">IF($A218="N/A"," ",(F218*(SUM($AS218:$BA218)+SUM($BC218:$BK218))*$BM218))</f>
        <v> </v>
      </c>
      <c r="CA218" s="333" t="str">
        <f aca="false">IF($A218="N/A"," ",(G218*(SUM($AS218:$BA218)+SUM($BC218:$BK218))*$BM218))</f>
        <v> </v>
      </c>
      <c r="CB218" s="334" t="str">
        <f aca="false">IF(A218="N/A"," ",(VLOOKUP(A218,PowerVolTable,(IF(BMO=2,7,IF(BMO=1,6,8))),FALSE())))</f>
        <v> </v>
      </c>
      <c r="CC218" s="334" t="str">
        <f aca="false">IF(A218="N/A"," ",(VLOOKUP(A218,IntraPowerVol,(IF(BMO=2,3,IF(BMO=1,2,4))),FALSE())*VLOOKUP(MONTH($A218),Volscale,2)))</f>
        <v> </v>
      </c>
      <c r="CD218" s="335" t="str">
        <f aca="false">IF($A218="N/A"," ",(IF(DateToday&gt;$A218,$CC218,((($CB218^2)*((($A218-1)-DateToday)/((EOMONTH($A218,0)+1)-DateToday-15)))+((($CC218)^2)*((15)/((EOMONTH($A218,0)+1)-DateToday-15))))^0.5)))</f>
        <v> </v>
      </c>
      <c r="CE218" s="334" t="str">
        <f aca="false">IF($A218="N/A"," ",(VLOOKUP($A218,GasVolTable,(IF(BMO=2,6,IF(BMO=1,7,5))),FALSE())))</f>
        <v> </v>
      </c>
      <c r="CF218" s="334" t="str">
        <f aca="false">IF($A218="N/A"," ",(VLOOKUP($A218,OmicronVol,(IF(BMO=2,3,IF(BMO=1,4,2))),FALSE())))</f>
        <v> </v>
      </c>
      <c r="CG218" s="335" t="str">
        <f aca="false">IF($A218="N/A"," ",(IF(DateToday&gt;$A218,$CF218,((($CE218^2)*((($A218-1)-DateToday)/((EOMONTH($A218,0)+1)-DateToday-15)))+((($CF218)^2)*((15)/((EOMONTH($A218,0)+1)-DateToday-15))))^0.5)))</f>
        <v> </v>
      </c>
      <c r="CH218" s="334" t="str">
        <f aca="false">IF($A218="N/A"," ",VLOOKUP($A218,CorrelationTable,2,FALSE()))</f>
        <v> </v>
      </c>
      <c r="CI218" s="336" t="str">
        <f aca="false">IF($A218="N/A"," ",F218+G218+(D218*('Pricing Inputs'!T251)))</f>
        <v> </v>
      </c>
      <c r="CJ218" s="334" t="str">
        <f aca="false">IF($A218="N/A"," ",IF(PV=1,0,'Pricing Inputs'!U251))</f>
        <v> </v>
      </c>
      <c r="CK218" s="337" t="str">
        <f aca="false">IF($A218="N/A"," ",(1+CJ218/2)^(-2*((EOMONTH(A218,0)+20)-DateToday)/365.25))</f>
        <v> </v>
      </c>
      <c r="CL218" s="338" t="str">
        <f aca="false">IF(A218="N/A"," ",IF(CC=2,(VLOOKUP(MONTH($A218),Hrtable,3))/1000,0))</f>
        <v> </v>
      </c>
      <c r="CM218" s="339" t="str">
        <f aca="false">IF(A218="N/A"," ",IF(CC=2,(CL218*C218)+F218,0))</f>
        <v> </v>
      </c>
      <c r="CN218" s="340" t="str">
        <f aca="false">IF($A218="N/A"," ",IF(CC=2,(VLOOKUP(A218,ScaledPrice,(IF(AND(Dayrun&gt;=1,Dayrun&lt;=6),2,4)))-((IF(R218&lt;&gt;0,$D218,$CL218)*$C218)+$F218+$G218)),0))</f>
        <v> </v>
      </c>
      <c r="CO218" s="340" t="str">
        <f aca="false">IF($A218="N/A"," ",IF(CC=2,(IF(AND(Dayrun&gt;=1,Dayrun&lt;=6),I218,(VLOOKUP(A218,ScaledPrice,2))*(2-(VLOOKUP(A218,ScaledPrice,3))))-((IF(S218&lt;&gt;0,$D218,$CL218)*$C218)+$F218+$G218)),0))</f>
        <v> </v>
      </c>
      <c r="CP218" s="340" t="str">
        <f aca="false">IF(A218="N/A"," ",IF(CC=2,(VLOOKUP(A218,ScaledPrice,9)-((IF(T218&lt;&gt;0,$D218,$CL218)*$C218)+$F218+$G218)),0))</f>
        <v> </v>
      </c>
      <c r="CQ218" s="340" t="str">
        <f aca="false">IF(A218="N/A"," ",IF(CC=2,(IF(OR(Dayrun=2,Dayrun=3,Dayrun=5,Dayrun=6,Dayrun=8,Dayrun=9),VLOOKUP(A218,ScaledPrice,IF(AND(Dayrun&gt;=2,Dayrun&lt;=6),5,6)),0)-((IF(U218&lt;&gt;0,$D218,$CL218)*$C218)+$F218+$G218)),0))</f>
        <v> </v>
      </c>
      <c r="CR218" s="340" t="str">
        <f aca="false">IF(A218="N/A"," ",IF(CC=2,(IF(OR(Dayrun=2,Dayrun=3,Dayrun=5,Dayrun=6,Dayrun=8,Dayrun=9),IF(AND(Dayrun&gt;=2,Dayrun&lt;=6),L218,(VLOOKUP(A218,ScaledPrice,5))*(2-(VLOOKUP(A218,ScaledPrice,3)))),0)-((IF(V218&lt;&gt;0,$D218,$CL218)*$C218)+$F218+$G218)),0))</f>
        <v> </v>
      </c>
      <c r="CS218" s="340" t="str">
        <f aca="false">IF(A218="N/A"," ",IF(CC=2,(VLOOKUP(A218,ScaledPrice,9)-((IF(W218&lt;&gt;0,$D218,$CL218)*$C218)+$F218+$G218)),0))</f>
        <v> </v>
      </c>
      <c r="CT218" s="340" t="str">
        <f aca="false">IF(A218="N/A"," ",IF(CC=2,(IF(OR(Dayrun=3,Dayrun=6,Dayrun=9),(VLOOKUP(A218,ScaledPrice,IF(AND(Dayrun&gt;=3,Dayrun&lt;=6),7,8))),0)-((IF(X218&lt;&gt;0,$D218,$CL218)*$C218)+$F218+$G218)),0))</f>
        <v> </v>
      </c>
      <c r="CU218" s="340" t="str">
        <f aca="false">IF(A218="N/A"," ",IF(CC=2,(IF(OR(Dayrun=3,Dayrun=6,Dayrun=9),IF(AND(Dayrun&gt;=3,Dayrun&lt;=6),O218,(VLOOKUP(A218,ScaledPrice,7))*(2-(VLOOKUP(A218,ScaledPrice,3)))),0)-((IF(Y218&lt;&gt;0,$D218,$CL218)*$C218)+$F218+$G218)),0))</f>
        <v> </v>
      </c>
      <c r="CV218" s="340" t="str">
        <f aca="false">IF(A218="N/A"," ",IF(CC=2,(VLOOKUP(A218,ScaledPrice,9)-((IF(Z218&lt;&gt;0,$D218,$CL218)*$C218)+$F218+$G218)),0))</f>
        <v> </v>
      </c>
      <c r="CW218" s="318" t="str">
        <f aca="false">IF($A218="N/A"," ",IF(0&lt;&gt;CN218,IF(CC=2,8*$HD218,0),0))</f>
        <v> </v>
      </c>
      <c r="CX218" s="318" t="str">
        <f aca="false">IF($A218="N/A"," ",IF(0&lt;&gt;CO218,IF(CC=2,8*$HD218,0),0))</f>
        <v> </v>
      </c>
      <c r="CY218" s="318" t="str">
        <f aca="false">IF($A218="N/A"," ",IF(0&lt;&gt;CP218,IF(CC=2,8*$HD218,0),0))</f>
        <v> </v>
      </c>
      <c r="CZ218" s="318" t="str">
        <f aca="false">IF($A218="N/A"," ",IF(0&lt;&gt;CQ218,IF(CC=2,8*$HE218,0),0))</f>
        <v> </v>
      </c>
      <c r="DA218" s="318" t="str">
        <f aca="false">IF($A218="N/A"," ",IF(0&lt;&gt;CR218,IF(CC=2,8*$HE218,0),0))</f>
        <v> </v>
      </c>
      <c r="DB218" s="318" t="str">
        <f aca="false">IF($A218="N/A"," ",IF(0&lt;&gt;CS218,IF(CC=2,8*$HE218,0),0))</f>
        <v> </v>
      </c>
      <c r="DC218" s="318" t="str">
        <f aca="false">IF($A218="N/A"," ",IF(0&lt;&gt;CT218,IF(CC=2,8*$HF218,0),0))</f>
        <v> </v>
      </c>
      <c r="DD218" s="318" t="str">
        <f aca="false">IF($A218="N/A"," ",IF(0&lt;&gt;CU218,IF(CC=2,8*$HF218,0),0))</f>
        <v> </v>
      </c>
      <c r="DE218" s="318" t="str">
        <f aca="false">IF($A218="N/A"," ",IF(0&lt;&gt;CV218,IF(CC=2,8*$HF218,0),0))</f>
        <v> </v>
      </c>
      <c r="DF218" s="341" t="str">
        <f aca="false">IF($A218="N/A"," ",IF(CC=2,(IF(MONTH(A218)&gt;=4,IF(MONTH(A218)&lt;=10,Inputs!$G$13,Inputs!$G$14),Inputs!$G$14))*$CK218,0))</f>
        <v> </v>
      </c>
      <c r="DG218" s="342" t="str">
        <f aca="false">IF($A218="N/A"," ",IF(CC=2,$DF218*CW218*CN218,0))</f>
        <v> </v>
      </c>
      <c r="DH218" s="342" t="str">
        <f aca="false">IF($A218="N/A"," ",IF(CC=2,$DF218*CX218*CO218,0))</f>
        <v> </v>
      </c>
      <c r="DI218" s="342" t="str">
        <f aca="false">IF($A218="N/A"," ",IF(CC=2,$DF218*CY218*CP218,0))</f>
        <v> </v>
      </c>
      <c r="DJ218" s="342" t="str">
        <f aca="false">IF($A218="N/A"," ",IF(CC=2,$DF218*CZ218*CQ218,0))</f>
        <v> </v>
      </c>
      <c r="DK218" s="342" t="str">
        <f aca="false">IF($A218="N/A"," ",IF(CC=2,$DF218*DA218*CR218,0))</f>
        <v> </v>
      </c>
      <c r="DL218" s="342" t="str">
        <f aca="false">IF($A218="N/A"," ",IF(CC=2,$DF218*DB218*CS218,0))</f>
        <v> </v>
      </c>
      <c r="DM218" s="342" t="str">
        <f aca="false">IF($A218="N/A"," ",IF(CC=2,$DF218*DC218*CT218,0))</f>
        <v> </v>
      </c>
      <c r="DN218" s="342" t="str">
        <f aca="false">IF($A218="N/A"," ",IF(CC=2,$DF218*DD218*CU218,0))</f>
        <v> </v>
      </c>
      <c r="DO218" s="342" t="str">
        <f aca="false">IF($A218="N/A"," ",IF(CC=2,$DF218*DE218*CV218,0))</f>
        <v> </v>
      </c>
      <c r="DP218" s="343" t="str">
        <f aca="false">IF($A218="N/A"," ",IF(CC=2,SUM(DG218:DO218),0))</f>
        <v> </v>
      </c>
      <c r="DQ218" s="0" t="str">
        <f aca="false">IF(A218="N/A"," ",Perstart)</f>
        <v> </v>
      </c>
      <c r="HD218" s="0" t="str">
        <f aca="false">IF($A218="N/A"," ",VLOOKUP($A218,NumberofDaysTable,2))</f>
        <v> </v>
      </c>
      <c r="HE218" s="0" t="str">
        <f aca="false">IF($A218="N/A"," ",VLOOKUP($A218,NumberofDaysTable,3))</f>
        <v> </v>
      </c>
      <c r="HF218" s="0" t="str">
        <f aca="false">IF($A218="N/A"," ",VLOOKUP($A218,NumberofDaysTable,4))</f>
        <v> </v>
      </c>
    </row>
    <row r="219" customFormat="false" ht="12.75" hidden="false" customHeight="false" outlineLevel="0" collapsed="false">
      <c r="A219" s="308" t="str">
        <f aca="false">IF(A218="N/A","N/A",IF(EDATE(A218,1)&gt;Inputs!$K$3,"N/A",EDATE(A218,1)))</f>
        <v>N/A</v>
      </c>
      <c r="B219" s="309" t="str">
        <f aca="false">IF(A219="N/A"," ",YEAR(A219))</f>
        <v> </v>
      </c>
      <c r="C219" s="310" t="str">
        <f aca="false">IF(A219="N/A"," ",VLOOKUP(A219,ScaledPrice,10))</f>
        <v> </v>
      </c>
      <c r="D219" s="311" t="str">
        <f aca="false">IF(A219="N/A"," ",(VLOOKUP(MONTH($A219),Hrtable,2))/1000)</f>
        <v> </v>
      </c>
      <c r="E219" s="312" t="str">
        <f aca="false">IF($A219="N/A"," ",(C219-'Pricing Inputs'!T252)*D219)</f>
        <v> </v>
      </c>
      <c r="F219" s="313" t="str">
        <f aca="false">IF(A219="N/A"," ",$F207*(1+VOMesc))</f>
        <v> </v>
      </c>
      <c r="G219" s="313" t="str">
        <f aca="false">IF(A219="N/A"," ",Perstart/IF(AND(Dayrun&gt;=4,Dayrun&lt;=6),16,IF(AND(Dayrun&gt;=7,Dayrun&lt;=9),8,24))/(BM219/CK219))</f>
        <v> </v>
      </c>
      <c r="H219" s="314" t="str">
        <f aca="false">IF(A219="N/A"," ",(C219*D219)+F219+G219)</f>
        <v> </v>
      </c>
      <c r="I219" s="315" t="str">
        <f aca="false">VLOOKUP(A219,ScaledPrice,(IF(AND(Dayrun&gt;=1,Dayrun&lt;=6),2,4)))</f>
        <v> </v>
      </c>
      <c r="J219" s="315" t="str">
        <f aca="false">IF(A219="N/A"," ",IF(AND(Dayrun&gt;=1,Dayrun&lt;=6),I219,(VLOOKUP(A219,ScaledPrice,2))*(2-(VLOOKUP(A219,ScaledPrice,3)))))</f>
        <v> </v>
      </c>
      <c r="K219" s="315" t="str">
        <f aca="false">IF(A219="N/A"," ",IF(AND(Dayrun&gt;=1,Dayrun&lt;=3),VLOOKUP(A219,ScaledPrice,9),0))</f>
        <v> </v>
      </c>
      <c r="L219" s="315" t="str">
        <f aca="false">IF(A219="N/A"," ",IF(OR(Dayrun=2,Dayrun=3,Dayrun=5,Dayrun=6,Dayrun=8,Dayrun=9),VLOOKUP(A219,ScaledPrice,IF(AND(Dayrun&gt;=2,Dayrun&lt;=6),5,6)),0))</f>
        <v> </v>
      </c>
      <c r="M219" s="315" t="str">
        <f aca="false">IF(A219="N/A"," ",IF(OR(Dayrun=2,Dayrun=3,Dayrun=5,Dayrun=6,Dayrun=8,Dayrun=9),IF(AND(Dayrun&gt;=2,Dayrun&lt;=6),L219,(VLOOKUP(A219,ScaledPrice,5))*(2-(VLOOKUP(A219,ScaledPrice,3)))),0))</f>
        <v> </v>
      </c>
      <c r="N219" s="315" t="str">
        <f aca="false">IF(A219="N/A"," ",IF(AND(Dayrun&gt;1,Dayrun&lt;=3),VLOOKUP(A219,ScaledPrice,9),0))</f>
        <v> </v>
      </c>
      <c r="O219" s="315" t="str">
        <f aca="false">IF(A219="N/A"," ",IF(OR(Dayrun=3,Dayrun=6,Dayrun=9),(VLOOKUP(A219,ScaledPrice,IF(AND(Dayrun&gt;=3,Dayrun&lt;=6),7,8))),0))</f>
        <v> </v>
      </c>
      <c r="P219" s="315" t="str">
        <f aca="false">IF(A219="N/A"," ",IF(OR(Dayrun=3,Dayrun=6,Dayrun=9),IF(AND(Dayrun&gt;=3,Dayrun&lt;=6),O219,(VLOOKUP(A219,ScaledPrice,7))*(2-(VLOOKUP(A219,ScaledPrice,3)))),0))</f>
        <v> </v>
      </c>
      <c r="Q219" s="315" t="str">
        <f aca="false">IF(A219="N/A"," ",IF(AND(Dayrun&gt;2,Dayrun&lt;=3),VLOOKUP(A219,ScaledPrice,9),0))</f>
        <v> </v>
      </c>
      <c r="R219" s="316" t="str">
        <f aca="false">IF($A219="N/A"," ",IF(Pricetype=2,MAX(I219-$H219,0),IF(Pricetype=1,(xSPRDOPT(I219,$E219,$CI219,0,($CD219+IF(Smile=TRUE(),VLOOKUP(MAX(-5,$H219-I219),Volsmile,2),0)),$CG219,$CH219,($A219-DateToday)+15,1,0)),I219-$H219)))</f>
        <v> </v>
      </c>
      <c r="S219" s="316" t="str">
        <f aca="false">IF($A219="N/A"," ",IF(Pricetype=2,MAX(J219-$H219,0),IF(Pricetype=1,(xSPRDOPT(J219,$E219,$CI219,0,($CD219+IF(Smile=TRUE(),VLOOKUP(MAX(-5,$H219-J219),Volsmile,2),0)),$CG219,$CH219,($A219-DateToday)+15,1,0)),J219-$H219)))</f>
        <v> </v>
      </c>
      <c r="T219" s="317" t="str">
        <f aca="false">IF($A219="N/A"," ",(IF(Pricetype=2,IF((K219-$H219)&lt;=0,0,(K219-$H219)),IF(K219&lt;&gt;0,(K219-$H219),0))))</f>
        <v> </v>
      </c>
      <c r="U219" s="316" t="str">
        <f aca="false">IF($A219="N/A"," ",IF(Pricetype=2,MAX(L219-$H219,0),IF(L219&lt;&gt;0,IF(Pricetype=1,(xSPRDOPT(L219,$E219,$CI219,0,($CD219+IF(Smile=TRUE(),VLOOKUP(MAX(-5,$H219-L219),Volsmile,2),0)),$CG219,$CH219,($A219-DateToday)+15,1,0)),L219-$H219),0)))</f>
        <v> </v>
      </c>
      <c r="V219" s="316" t="str">
        <f aca="false">IF($A219="N/A"," ",IF(Pricetype=2,MAX(M219-$H219,0),IF(M219&lt;&gt;0,IF(Pricetype=1,(xSPRDOPT(M219,$E219,$CI219,0,($CD219+IF(Smile=TRUE(),VLOOKUP(MAX(-5,$H219-M219),Volsmile,2),0)),$CG219,$CH219,($A219-DateToday)+15,1,0)),M219-$H219),0)))</f>
        <v> </v>
      </c>
      <c r="W219" s="317" t="str">
        <f aca="false">IF($A219="N/A"," ",(IF(Pricetype=2,IF((N219-$H219)&lt;=0,0,(N219-$H219)),IF(N219&lt;&gt;0,(N219-$H219),0))))</f>
        <v> </v>
      </c>
      <c r="X219" s="316" t="str">
        <f aca="false">IF($A219="N/A"," ",IF(Pricetype=2,MAX(O219-$H219,0),IF(O219&lt;&gt;0,IF(Pricetype=1,(xSPRDOPT(O219,$E219,$CI219,0,($CD219+IF(Smile=TRUE(),VLOOKUP(MAX(-5,$H219-O219),Volsmile,2),0)),$CG219,$CH219,($A219-DateToday)+15,1,0)),O219-$H219),0)))</f>
        <v> </v>
      </c>
      <c r="Y219" s="316" t="str">
        <f aca="false">IF($A219="N/A"," ",IF(Pricetype=2,MAX(P219-$H219,0),IF(P219&lt;&gt;0,IF(Pricetype=1,(xSPRDOPT(P219,$E219,$CI219,0,($CD219+IF(Smile=TRUE(),VLOOKUP(MAX(-5,$H219-P219),Volsmile,2),0)),$CG219,$CH219,($A219-DateToday)+15,1,0)),P219-$H219),0)))</f>
        <v> </v>
      </c>
      <c r="Z219" s="317" t="str">
        <f aca="false">IF($A219="N/A"," ",(IF(Pricetype=2,IF((Q219-$H219)&lt;=0,0,(Q219-$H219)),IF(Q219&lt;&gt;0,(Q219-$H219),0))))</f>
        <v> </v>
      </c>
      <c r="AA219" s="318" t="str">
        <f aca="false">IF($A219="N/A"," ",IF(VLOOKUP(MONTH(A219),ManualTable,2)=1,(IF(0&lt;&gt;R219,IF(Pricetype=1,(xSPRDOPT(I219,$E219,$CI219,0,($CD219+IF(Smile=TRUE(),VLOOKUP(MAX(-5,$H219-I219),Volsmile,2),0)),$CG219,$CH219,($A219-DateToday)+15,1,1))*(8*$HD219),8*$HD219),0)),0))</f>
        <v> </v>
      </c>
      <c r="AB219" s="318" t="str">
        <f aca="false">IF($A219="N/A"," ",IF(VLOOKUP(MONTH(A219),ManualTable,3)=1,(IF(S219&lt;&gt;0,IF(Pricetype=1,(xSPRDOPT(J219,$E219,$CI219,0,($CD219+IF(Smile=TRUE(),VLOOKUP(MAX(-5,$H219-J219),Volsmile,2),0)),$CG219,$CH219,($A219-DateToday)+15,1,1))*(8*$HD219),8*$HD219),0)),0))</f>
        <v> </v>
      </c>
      <c r="AC219" s="318" t="str">
        <f aca="false">IF($A219="N/A"," ",IF(VLOOKUP(MONTH(A219),ManualTable,4)=1,(IF(T219&lt;&gt;0,(8*$HD219),0)),0))</f>
        <v> </v>
      </c>
      <c r="AD219" s="318" t="str">
        <f aca="false">IF($A219="N/A"," ",IF(VLOOKUP(MONTH(A219),ManualTable,5)=1,(IF(U219&lt;&gt;0,IF(Pricetype=1,(xSPRDOPT(L219,$E219,$CI219,0,($CD219+IF(Smile=TRUE(),VLOOKUP(MAX(-5,$H219-L219),Volsmile,2),0)),$CG219,$CH219,($A219-DateToday)+15,1,1))*(8*$HE219),8*$HE219),0)),0))</f>
        <v> </v>
      </c>
      <c r="AE219" s="318" t="str">
        <f aca="false">IF($A219="N/A"," ",IF(VLOOKUP(MONTH(A219),ManualTable,6)=1,(IF(V219&lt;&gt;0,IF(Pricetype=1,(xSPRDOPT(M219,$E219,$CI219,0,($CD219+IF(Smile=TRUE(),VLOOKUP(MAX(-5,$H219-M219),Volsmile,2),0)),$CG219,$CH219,($A219-DateToday)+15,1,1))*(8*$HE219),8*$HE219),0)),0))</f>
        <v> </v>
      </c>
      <c r="AF219" s="318" t="str">
        <f aca="false">IF($A219="N/A"," ",IF(VLOOKUP(MONTH(A219),ManualTable,7)=1,(IF(W219&lt;&gt;0,(8*$HE219),0)),0))</f>
        <v> </v>
      </c>
      <c r="AG219" s="318" t="str">
        <f aca="false">IF($A219="N/A"," ",IF(VLOOKUP(MONTH(A219),ManualTable,8)=1,(IF(X219&lt;&gt;0,IF(Pricetype=1,(xSPRDOPT(O219,$E219,$CI219,0,($CD219+IF(Smile=TRUE(),VLOOKUP(MAX(-5,$H219-O219),Volsmile,2),0)),$CG219,$CH219,($A219-DateToday)+15,1,1))*(8*$HF219),8*$HF219),0)),0))</f>
        <v> </v>
      </c>
      <c r="AH219" s="318" t="str">
        <f aca="false">IF($A219="N/A"," ",IF(VLOOKUP(MONTH(A219),ManualTable,9)=1,(IF(Y219&lt;&gt;0,IF(Pricetype=1,(xSPRDOPT(P219,$E219,$CI219,0,($CD219+IF(Smile=TRUE(),VLOOKUP(MAX(-5,$H219-P219),Volsmile,2),0)),$CG219,$CH219,($A219-DateToday)+15,1,1))*(8*$HF219),8*$HF219),0)),0))</f>
        <v> </v>
      </c>
      <c r="AI219" s="318" t="str">
        <f aca="false">IF($A219="N/A"," ",IF(VLOOKUP(MONTH(A219),ManualTable,10)=1,(IF(Z219&lt;&gt;0,(8*($HF219)),0)),0))</f>
        <v> </v>
      </c>
      <c r="AJ219" s="349" t="str">
        <f aca="false">IF($A219="N/A"," ",RANK(R219,$R$208:$Z$219))</f>
        <v> </v>
      </c>
      <c r="AK219" s="350" t="str">
        <f aca="false">IF($A219="N/A"," ",RANK(S219,$R$208:$Z$219))</f>
        <v> </v>
      </c>
      <c r="AL219" s="350" t="str">
        <f aca="false">IF($A219="N/A"," ",RANK(T219,$R$208:$Z$219))</f>
        <v> </v>
      </c>
      <c r="AM219" s="350" t="str">
        <f aca="false">IF($A219="N/A"," ",RANK(U219,$R$208:$Z$219))</f>
        <v> </v>
      </c>
      <c r="AN219" s="350" t="str">
        <f aca="false">IF($A219="N/A"," ",RANK(V219,$R$208:$Z$219))</f>
        <v> </v>
      </c>
      <c r="AO219" s="350" t="str">
        <f aca="false">IF($A219="N/A"," ",RANK(W219,$R$208:$Z$219))</f>
        <v> </v>
      </c>
      <c r="AP219" s="350" t="str">
        <f aca="false">IF($A219="N/A"," ",RANK(X219,$R$208:$Z$219))</f>
        <v> </v>
      </c>
      <c r="AQ219" s="350" t="str">
        <f aca="false">IF($A219="N/A"," ",RANK(Y219,$R$208:$Z$219))</f>
        <v> </v>
      </c>
      <c r="AR219" s="351" t="str">
        <f aca="false">IF($A219="N/A"," ",RANK(Z219,$R$208:$Z$219))</f>
        <v> </v>
      </c>
      <c r="AS219" s="352" t="str">
        <f aca="false">IF($A219="N/A"," ",IF(AJ219&lt;=$AR$2,AA219,0))</f>
        <v> </v>
      </c>
      <c r="AT219" s="353" t="str">
        <f aca="false">IF($A219="N/A"," ",IF(AK219&lt;=$AR$2,AB219,0))</f>
        <v> </v>
      </c>
      <c r="AU219" s="353" t="str">
        <f aca="false">IF($A219="N/A"," ",IF(AL219&lt;=$AR$2,AC219,0))</f>
        <v> </v>
      </c>
      <c r="AV219" s="353" t="str">
        <f aca="false">IF($A219="N/A"," ",IF(AM219&lt;=$AR$2,AD219,0))</f>
        <v> </v>
      </c>
      <c r="AW219" s="353" t="str">
        <f aca="false">IF($A219="N/A"," ",IF(AN219&lt;=$AR$2,AE219,0))</f>
        <v> </v>
      </c>
      <c r="AX219" s="353" t="str">
        <f aca="false">IF($A219="N/A"," ",IF(AO219&lt;=$AR$2,AF219,0))</f>
        <v> </v>
      </c>
      <c r="AY219" s="353" t="str">
        <f aca="false">IF($A219="N/A"," ",IF(AP219&lt;=$AR$2,AG219,0))</f>
        <v> </v>
      </c>
      <c r="AZ219" s="353" t="str">
        <f aca="false">IF($A219="N/A"," ",IF(AQ219&lt;=$AR$2,AH219,0))</f>
        <v> </v>
      </c>
      <c r="BA219" s="353" t="str">
        <f aca="false">IF($A219="N/A"," ",IF(AR219&lt;=$AR$2,AI219,0))</f>
        <v> </v>
      </c>
      <c r="BB219" s="351" t="n">
        <f aca="false">IF(($AZ$2-BB218)&gt;=0,$AZ$2-BB218,0)</f>
        <v>980</v>
      </c>
      <c r="BC219" s="354" t="str">
        <f aca="false">IF($A219="N/A"," ",IF(AND(AJ219=$AR$2+1,AS219=0),MIN($BB$219,AA219),0))</f>
        <v> </v>
      </c>
      <c r="BD219" s="355" t="str">
        <f aca="false">IF($A219="N/A"," ",IF(AND(AK219=$AR$2+1,AT219=0),MIN($BB$219,AB219),0))</f>
        <v> </v>
      </c>
      <c r="BE219" s="346" t="str">
        <f aca="false">IF($A219="N/A"," ",IF(AND(AL219=$AR$2+1,AU219=0),MIN($BB$219,AC219),0))</f>
        <v> </v>
      </c>
      <c r="BF219" s="355" t="str">
        <f aca="false">IF($A219="N/A"," ",IF(AND(AM219=$AR$2+1,AV219=0),MIN($BB$219,AD219),0))</f>
        <v> </v>
      </c>
      <c r="BG219" s="355" t="str">
        <f aca="false">IF($A219="N/A"," ",IF(AND(AN219=$AR$2+1,AW219=0),MIN($BB$219,AE219),0))</f>
        <v> </v>
      </c>
      <c r="BH219" s="346" t="str">
        <f aca="false">IF($A219="N/A"," ",IF(AND(AO219=$AR$2+1,AX219=0),MIN($BB$219,AF219),0))</f>
        <v> </v>
      </c>
      <c r="BI219" s="355" t="str">
        <f aca="false">IF($A219="N/A"," ",IF(AND(AP219=$AR$2+1,AY219=0),MIN($BB$219,AG219),0))</f>
        <v> </v>
      </c>
      <c r="BJ219" s="355" t="str">
        <f aca="false">IF($A219="N/A"," ",IF(AND(AQ219=$AR$2+1,AZ219=0),MIN($BB$219,AH219),0))</f>
        <v> </v>
      </c>
      <c r="BK219" s="355" t="str">
        <f aca="false">IF($A219="N/A"," ",IF(AND(AR219=$AR$2+1,BA219=0),MIN($BB$219,AI219),0))</f>
        <v> </v>
      </c>
      <c r="BL219" s="356" t="n">
        <f aca="false">BB218+BL218</f>
        <v>0</v>
      </c>
      <c r="BM219" s="329" t="str">
        <f aca="false">IF($A219="N/A"," ",(IF(MONTH(A219)&gt;=4,IF(MONTH(A219)&lt;=10,Inputs!$F$13-Inputs!$G$13,Inputs!$F$14-Inputs!$G$14),Inputs!$F$14-Inputs!$G$14))*$CK219*Availability)</f>
        <v> </v>
      </c>
      <c r="BN219" s="330" t="str">
        <f aca="false">IF($A219="N/A"," ",(IF(AS219&gt;0,($BM219*(8*($HD219))*R219),0)+IF(BC219&gt;0,($BM219*((BC219/AA219)*8*$HD219)*R219),0)))</f>
        <v> </v>
      </c>
      <c r="BO219" s="330" t="str">
        <f aca="false">IF($A219="N/A"," ",(IF(AT219&gt;0,($BM219*(8*($HD219))*S219),0)+IF(BD219&gt;0,($BM219*((BD219/AB219)*8*$HD219)*S219),0)))</f>
        <v> </v>
      </c>
      <c r="BP219" s="330" t="str">
        <f aca="false">IF($A219="N/A"," ",(IF(AU219&gt;0,($BM219*(8*($HD219))*T219),0)+IF(BE219&gt;0,($BM219*((BE219))*T219),0)))</f>
        <v> </v>
      </c>
      <c r="BQ219" s="330" t="str">
        <f aca="false">IF($A219="N/A"," ",(IF(AV219&gt;0,($BM219*(8*($HE219))*U219),0)+IF(BF219&gt;0,($BM219*((BF219/AD219)*8*$HE219)*U219),0)))</f>
        <v> </v>
      </c>
      <c r="BR219" s="330" t="str">
        <f aca="false">IF($A219="N/A"," ",(IF(AW219&gt;0,($BM219*(8*($HE219))*V219),0)+IF(BG219&gt;0,($BM219*((BG219/AE219)*8*$HE219)*V219),0)))</f>
        <v> </v>
      </c>
      <c r="BS219" s="330" t="str">
        <f aca="false">IF($A219="N/A"," ",(IF(AX219&gt;0,($BM219*(8*($HE219))*W219),0)+IF(BH219&gt;0,($BM219*((BH219))*W219),0)))</f>
        <v> </v>
      </c>
      <c r="BT219" s="330" t="str">
        <f aca="false">IF($A219="N/A"," ",(IF(AY219&gt;0,($BM219*(8*($HF219))*X219),0)+IF(BI219&gt;0,($BM219*((BI219/AG219)*8*$HF219)*X219),0)))</f>
        <v> </v>
      </c>
      <c r="BU219" s="330" t="str">
        <f aca="false">IF($A219="N/A"," ",(IF(AZ219&gt;0,($BM219*(8*($HF219))*Y219),0)+IF(BJ219&gt;0,($BM219*((BJ219/AH219)*8*$HF219)*Y219),0)))</f>
        <v> </v>
      </c>
      <c r="BV219" s="330" t="str">
        <f aca="false">IF($A219="N/A"," ",(IF(BA219&gt;0,($BM219*(8*($HF219))*Z219),0)+IF(BK219&gt;0,($BM219*((BK219))*Z219),0)))</f>
        <v> </v>
      </c>
      <c r="BW219" s="330" t="str">
        <f aca="false">IF($A219="N/A"," ",SUM(BN219:BV219))</f>
        <v> </v>
      </c>
      <c r="BX219" s="331" t="str">
        <f aca="false">IF($A219="N/A"," ",(H219*(SUM(AS219:BA219)+SUM(BC219:BK219))*BM219))</f>
        <v> </v>
      </c>
      <c r="BY219" s="332" t="str">
        <f aca="false">IF($A219="N/A"," ",((C219*D219)*(SUM($AS219:$BA219)+SUM($BC219:$BK219))*$BM219))</f>
        <v> </v>
      </c>
      <c r="BZ219" s="332" t="str">
        <f aca="false">IF($A219="N/A"," ",(F219*(SUM($AS219:$BA219)+SUM($BC219:$BK219))*$BM219))</f>
        <v> </v>
      </c>
      <c r="CA219" s="333" t="str">
        <f aca="false">IF($A219="N/A"," ",(G219*(SUM($AS219:$BA219)+SUM($BC219:$BK219))*$BM219))</f>
        <v> </v>
      </c>
      <c r="CB219" s="334" t="str">
        <f aca="false">IF(A219="N/A"," ",(VLOOKUP(A219,PowerVolTable,(IF(BMO=2,7,IF(BMO=1,6,8))),FALSE())))</f>
        <v> </v>
      </c>
      <c r="CC219" s="334" t="str">
        <f aca="false">IF(A219="N/A"," ",(VLOOKUP(A219,IntraPowerVol,(IF(BMO=2,3,IF(BMO=1,2,4))),FALSE())*VLOOKUP(MONTH($A219),Volscale,2)))</f>
        <v> </v>
      </c>
      <c r="CD219" s="335" t="str">
        <f aca="false">IF($A219="N/A"," ",(IF(DateToday&gt;$A219,$CC219,((($CB219^2)*((($A219-1)-DateToday)/((EOMONTH($A219,0)+1)-DateToday-15)))+((($CC219)^2)*((15)/((EOMONTH($A219,0)+1)-DateToday-15))))^0.5)))</f>
        <v> </v>
      </c>
      <c r="CE219" s="334" t="str">
        <f aca="false">IF($A219="N/A"," ",(VLOOKUP($A219,GasVolTable,(IF(BMO=2,6,IF(BMO=1,7,5))),FALSE())))</f>
        <v> </v>
      </c>
      <c r="CF219" s="334" t="str">
        <f aca="false">IF($A219="N/A"," ",(VLOOKUP($A219,OmicronVol,(IF(BMO=2,3,IF(BMO=1,4,2))),FALSE())))</f>
        <v> </v>
      </c>
      <c r="CG219" s="335" t="str">
        <f aca="false">IF($A219="N/A"," ",(IF(DateToday&gt;$A219,$CF219,((($CE219^2)*((($A219-1)-DateToday)/((EOMONTH($A219,0)+1)-DateToday-15)))+((($CF219)^2)*((15)/((EOMONTH($A219,0)+1)-DateToday-15))))^0.5)))</f>
        <v> </v>
      </c>
      <c r="CH219" s="334" t="str">
        <f aca="false">IF($A219="N/A"," ",VLOOKUP($A219,CorrelationTable,2,FALSE()))</f>
        <v> </v>
      </c>
      <c r="CI219" s="336" t="str">
        <f aca="false">IF($A219="N/A"," ",F219+G219+(D219*('Pricing Inputs'!T252)))</f>
        <v> </v>
      </c>
      <c r="CJ219" s="334" t="str">
        <f aca="false">IF($A219="N/A"," ",IF(PV=1,0,'Pricing Inputs'!U252))</f>
        <v> </v>
      </c>
      <c r="CK219" s="337" t="str">
        <f aca="false">IF($A219="N/A"," ",(1+CJ219/2)^(-2*((EOMONTH(A219,0)+20)-DateToday)/365.25))</f>
        <v> </v>
      </c>
      <c r="CL219" s="338" t="str">
        <f aca="false">IF(A219="N/A"," ",IF(CC=2,(VLOOKUP(MONTH($A219),Hrtable,3))/1000,0))</f>
        <v> </v>
      </c>
      <c r="CM219" s="339" t="str">
        <f aca="false">IF(A219="N/A"," ",IF(CC=2,(CL219*C219)+F219,0))</f>
        <v> </v>
      </c>
      <c r="CN219" s="340" t="str">
        <f aca="false">IF($A219="N/A"," ",IF(CC=2,(VLOOKUP(A219,ScaledPrice,(IF(AND(Dayrun&gt;=1,Dayrun&lt;=6),2,4)))-((IF(R219&lt;&gt;0,$D219,$CL219)*$C219)+$F219+$G219)),0))</f>
        <v> </v>
      </c>
      <c r="CO219" s="340" t="str">
        <f aca="false">IF($A219="N/A"," ",IF(CC=2,(IF(AND(Dayrun&gt;=1,Dayrun&lt;=6),I219,(VLOOKUP(A219,ScaledPrice,2))*(2-(VLOOKUP(A219,ScaledPrice,3))))-((IF(S219&lt;&gt;0,$D219,$CL219)*$C219)+$F219+$G219)),0))</f>
        <v> </v>
      </c>
      <c r="CP219" s="340" t="str">
        <f aca="false">IF(A219="N/A"," ",IF(CC=2,(VLOOKUP(A219,ScaledPrice,9)-((IF(T219&lt;&gt;0,$D219,$CL219)*$C219)+$F219+$G219)),0))</f>
        <v> </v>
      </c>
      <c r="CQ219" s="340" t="str">
        <f aca="false">IF(A219="N/A"," ",IF(CC=2,(IF(OR(Dayrun=2,Dayrun=3,Dayrun=5,Dayrun=6,Dayrun=8,Dayrun=9),VLOOKUP(A219,ScaledPrice,IF(AND(Dayrun&gt;=2,Dayrun&lt;=6),5,6)),0)-((IF(U219&lt;&gt;0,$D219,$CL219)*$C219)+$F219+$G219)),0))</f>
        <v> </v>
      </c>
      <c r="CR219" s="340" t="str">
        <f aca="false">IF(A219="N/A"," ",IF(CC=2,(IF(OR(Dayrun=2,Dayrun=3,Dayrun=5,Dayrun=6,Dayrun=8,Dayrun=9),IF(AND(Dayrun&gt;=2,Dayrun&lt;=6),L219,(VLOOKUP(A219,ScaledPrice,5))*(2-(VLOOKUP(A219,ScaledPrice,3)))),0)-((IF(V219&lt;&gt;0,$D219,$CL219)*$C219)+$F219+$G219)),0))</f>
        <v> </v>
      </c>
      <c r="CS219" s="340" t="str">
        <f aca="false">IF(A219="N/A"," ",IF(CC=2,(VLOOKUP(A219,ScaledPrice,9)-((IF(W219&lt;&gt;0,$D219,$CL219)*$C219)+$F219+$G219)),0))</f>
        <v> </v>
      </c>
      <c r="CT219" s="340" t="str">
        <f aca="false">IF(A219="N/A"," ",IF(CC=2,(IF(OR(Dayrun=3,Dayrun=6,Dayrun=9),(VLOOKUP(A219,ScaledPrice,IF(AND(Dayrun&gt;=3,Dayrun&lt;=6),7,8))),0)-((IF(X219&lt;&gt;0,$D219,$CL219)*$C219)+$F219+$G219)),0))</f>
        <v> </v>
      </c>
      <c r="CU219" s="340" t="str">
        <f aca="false">IF(A219="N/A"," ",IF(CC=2,(IF(OR(Dayrun=3,Dayrun=6,Dayrun=9),IF(AND(Dayrun&gt;=3,Dayrun&lt;=6),O219,(VLOOKUP(A219,ScaledPrice,7))*(2-(VLOOKUP(A219,ScaledPrice,3)))),0)-((IF(Y219&lt;&gt;0,$D219,$CL219)*$C219)+$F219+$G219)),0))</f>
        <v> </v>
      </c>
      <c r="CV219" s="340" t="str">
        <f aca="false">IF(A219="N/A"," ",IF(CC=2,(VLOOKUP(A219,ScaledPrice,9)-((IF(Z219&lt;&gt;0,$D219,$CL219)*$C219)+$F219+$G219)),0))</f>
        <v> </v>
      </c>
      <c r="CW219" s="318" t="str">
        <f aca="false">IF($A219="N/A"," ",IF(0&lt;&gt;CN219,IF(CC=2,8*$HD219,0),0))</f>
        <v> </v>
      </c>
      <c r="CX219" s="318" t="str">
        <f aca="false">IF($A219="N/A"," ",IF(0&lt;&gt;CO219,IF(CC=2,8*$HD219,0),0))</f>
        <v> </v>
      </c>
      <c r="CY219" s="318" t="str">
        <f aca="false">IF($A219="N/A"," ",IF(0&lt;&gt;CP219,IF(CC=2,8*$HD219,0),0))</f>
        <v> </v>
      </c>
      <c r="CZ219" s="318" t="str">
        <f aca="false">IF($A219="N/A"," ",IF(0&lt;&gt;CQ219,IF(CC=2,8*$HE219,0),0))</f>
        <v> </v>
      </c>
      <c r="DA219" s="318" t="str">
        <f aca="false">IF($A219="N/A"," ",IF(0&lt;&gt;CR219,IF(CC=2,8*$HE219,0),0))</f>
        <v> </v>
      </c>
      <c r="DB219" s="318" t="str">
        <f aca="false">IF($A219="N/A"," ",IF(0&lt;&gt;CS219,IF(CC=2,8*$HE219,0),0))</f>
        <v> </v>
      </c>
      <c r="DC219" s="318" t="str">
        <f aca="false">IF($A219="N/A"," ",IF(0&lt;&gt;CT219,IF(CC=2,8*$HF219,0),0))</f>
        <v> </v>
      </c>
      <c r="DD219" s="318" t="str">
        <f aca="false">IF($A219="N/A"," ",IF(0&lt;&gt;CU219,IF(CC=2,8*$HF219,0),0))</f>
        <v> </v>
      </c>
      <c r="DE219" s="318" t="str">
        <f aca="false">IF($A219="N/A"," ",IF(0&lt;&gt;CV219,IF(CC=2,8*$HF219,0),0))</f>
        <v> </v>
      </c>
      <c r="DF219" s="341" t="str">
        <f aca="false">IF($A219="N/A"," ",IF(CC=2,(IF(MONTH(A219)&gt;=4,IF(MONTH(A219)&lt;=10,Inputs!$G$13,Inputs!$G$14),Inputs!$G$14))*$CK219,0))</f>
        <v> </v>
      </c>
      <c r="DG219" s="342" t="str">
        <f aca="false">IF($A219="N/A"," ",IF(CC=2,$DF219*CW219*CN219,0))</f>
        <v> </v>
      </c>
      <c r="DH219" s="342" t="str">
        <f aca="false">IF($A219="N/A"," ",IF(CC=2,$DF219*CX219*CO219,0))</f>
        <v> </v>
      </c>
      <c r="DI219" s="342" t="str">
        <f aca="false">IF($A219="N/A"," ",IF(CC=2,$DF219*CY219*CP219,0))</f>
        <v> </v>
      </c>
      <c r="DJ219" s="342" t="str">
        <f aca="false">IF($A219="N/A"," ",IF(CC=2,$DF219*CZ219*CQ219,0))</f>
        <v> </v>
      </c>
      <c r="DK219" s="342" t="str">
        <f aca="false">IF($A219="N/A"," ",IF(CC=2,$DF219*DA219*CR219,0))</f>
        <v> </v>
      </c>
      <c r="DL219" s="342" t="str">
        <f aca="false">IF($A219="N/A"," ",IF(CC=2,$DF219*DB219*CS219,0))</f>
        <v> </v>
      </c>
      <c r="DM219" s="342" t="str">
        <f aca="false">IF($A219="N/A"," ",IF(CC=2,$DF219*DC219*CT219,0))</f>
        <v> </v>
      </c>
      <c r="DN219" s="342" t="str">
        <f aca="false">IF($A219="N/A"," ",IF(CC=2,$DF219*DD219*CU219,0))</f>
        <v> </v>
      </c>
      <c r="DO219" s="342" t="str">
        <f aca="false">IF($A219="N/A"," ",IF(CC=2,$DF219*DE219*CV219,0))</f>
        <v> </v>
      </c>
      <c r="DP219" s="343" t="str">
        <f aca="false">IF($A219="N/A"," ",IF(CC=2,SUM(DG219:DO219),0))</f>
        <v> </v>
      </c>
      <c r="DQ219" s="0" t="str">
        <f aca="false">IF(A219="N/A"," ",Perstart)</f>
        <v> </v>
      </c>
      <c r="HD219" s="0" t="str">
        <f aca="false">IF($A219="N/A"," ",VLOOKUP($A219,NumberofDaysTable,2))</f>
        <v> </v>
      </c>
      <c r="HE219" s="0" t="str">
        <f aca="false">IF($A219="N/A"," ",VLOOKUP($A219,NumberofDaysTable,3))</f>
        <v> </v>
      </c>
      <c r="HF219" s="0" t="str">
        <f aca="false">IF($A219="N/A"," ",VLOOKUP($A219,NumberofDaysTable,4))</f>
        <v> </v>
      </c>
    </row>
    <row r="220" customFormat="false" ht="12.75" hidden="false" customHeight="false" outlineLevel="0" collapsed="false">
      <c r="A220" s="308" t="str">
        <f aca="false">IF(A219="N/A","N/A",IF(EDATE(A219,1)&gt;Inputs!$K$3,"N/A",EDATE(A219,1)))</f>
        <v>N/A</v>
      </c>
      <c r="B220" s="309" t="str">
        <f aca="false">IF(A220="N/A"," ",YEAR(A220))</f>
        <v> </v>
      </c>
      <c r="C220" s="310" t="str">
        <f aca="false">IF(A220="N/A"," ",VLOOKUP(A220,ScaledPrice,10))</f>
        <v> </v>
      </c>
      <c r="D220" s="311" t="str">
        <f aca="false">IF(A220="N/A"," ",(VLOOKUP(MONTH($A220),Hrtable,2))/1000)</f>
        <v> </v>
      </c>
      <c r="E220" s="312" t="str">
        <f aca="false">IF($A220="N/A"," ",(C220-'Pricing Inputs'!T253)*D220)</f>
        <v> </v>
      </c>
      <c r="F220" s="313" t="str">
        <f aca="false">IF(A220="N/A"," ",$F208*(1+VOMesc))</f>
        <v> </v>
      </c>
      <c r="G220" s="313" t="str">
        <f aca="false">IF(A220="N/A"," ",Perstart/IF(AND(Dayrun&gt;=4,Dayrun&lt;=6),16,IF(AND(Dayrun&gt;=7,Dayrun&lt;=9),8,24))/(BM220/CK220))</f>
        <v> </v>
      </c>
      <c r="H220" s="314" t="str">
        <f aca="false">IF(A220="N/A"," ",(C220*D220)+F220+G220)</f>
        <v> </v>
      </c>
      <c r="I220" s="315" t="str">
        <f aca="false">VLOOKUP(A220,ScaledPrice,(IF(AND(Dayrun&gt;=1,Dayrun&lt;=6),2,4)))</f>
        <v> </v>
      </c>
      <c r="J220" s="315" t="str">
        <f aca="false">IF(A220="N/A"," ",IF(AND(Dayrun&gt;=1,Dayrun&lt;=6),I220,(VLOOKUP(A220,ScaledPrice,2))*(2-(VLOOKUP(A220,ScaledPrice,3)))))</f>
        <v> </v>
      </c>
      <c r="K220" s="315" t="str">
        <f aca="false">IF(A220="N/A"," ",IF(AND(Dayrun&gt;=1,Dayrun&lt;=3),VLOOKUP(A220,ScaledPrice,9),0))</f>
        <v> </v>
      </c>
      <c r="L220" s="315" t="str">
        <f aca="false">IF(A220="N/A"," ",IF(OR(Dayrun=2,Dayrun=3,Dayrun=5,Dayrun=6,Dayrun=8,Dayrun=9),VLOOKUP(A220,ScaledPrice,IF(AND(Dayrun&gt;=2,Dayrun&lt;=6),5,6)),0))</f>
        <v> </v>
      </c>
      <c r="M220" s="315" t="str">
        <f aca="false">IF(A220="N/A"," ",IF(OR(Dayrun=2,Dayrun=3,Dayrun=5,Dayrun=6,Dayrun=8,Dayrun=9),IF(AND(Dayrun&gt;=2,Dayrun&lt;=6),L220,(VLOOKUP(A220,ScaledPrice,5))*(2-(VLOOKUP(A220,ScaledPrice,3)))),0))</f>
        <v> </v>
      </c>
      <c r="N220" s="315" t="str">
        <f aca="false">IF(A220="N/A"," ",IF(AND(Dayrun&gt;1,Dayrun&lt;=3),VLOOKUP(A220,ScaledPrice,9),0))</f>
        <v> </v>
      </c>
      <c r="O220" s="315" t="str">
        <f aca="false">IF(A220="N/A"," ",IF(OR(Dayrun=3,Dayrun=6,Dayrun=9),(VLOOKUP(A220,ScaledPrice,IF(AND(Dayrun&gt;=3,Dayrun&lt;=6),7,8))),0))</f>
        <v> </v>
      </c>
      <c r="P220" s="315" t="str">
        <f aca="false">IF(A220="N/A"," ",IF(OR(Dayrun=3,Dayrun=6,Dayrun=9),IF(AND(Dayrun&gt;=3,Dayrun&lt;=6),O220,(VLOOKUP(A220,ScaledPrice,7))*(2-(VLOOKUP(A220,ScaledPrice,3)))),0))</f>
        <v> </v>
      </c>
      <c r="Q220" s="315" t="str">
        <f aca="false">IF(A220="N/A"," ",IF(AND(Dayrun&gt;2,Dayrun&lt;=3),VLOOKUP(A220,ScaledPrice,9),0))</f>
        <v> </v>
      </c>
      <c r="R220" s="316" t="str">
        <f aca="false">IF($A220="N/A"," ",IF(Pricetype=2,MAX(I220-$H220,0),IF(Pricetype=1,(xSPRDOPT(I220,$E220,$CI220,0,($CD220+IF(Smile=TRUE(),VLOOKUP(MAX(-5,$H220-I220),Volsmile,2),0)),$CG220,$CH220,($A220-DateToday)+15,1,0)),I220-$H220)))</f>
        <v> </v>
      </c>
      <c r="S220" s="316" t="str">
        <f aca="false">IF($A220="N/A"," ",IF(Pricetype=2,MAX(J220-$H220,0),IF(Pricetype=1,(xSPRDOPT(J220,$E220,$CI220,0,($CD220+IF(Smile=TRUE(),VLOOKUP(MAX(-5,$H220-J220),Volsmile,2),0)),$CG220,$CH220,($A220-DateToday)+15,1,0)),J220-$H220)))</f>
        <v> </v>
      </c>
      <c r="T220" s="317" t="str">
        <f aca="false">IF($A220="N/A"," ",(IF(Pricetype=2,IF((K220-$H220)&lt;=0,0,(K220-$H220)),IF(K220&lt;&gt;0,(K220-$H220),0))))</f>
        <v> </v>
      </c>
      <c r="U220" s="316" t="str">
        <f aca="false">IF($A220="N/A"," ",IF(Pricetype=2,MAX(L220-$H220,0),IF(L220&lt;&gt;0,IF(Pricetype=1,(xSPRDOPT(L220,$E220,$CI220,0,($CD220+IF(Smile=TRUE(),VLOOKUP(MAX(-5,$H220-L220),Volsmile,2),0)),$CG220,$CH220,($A220-DateToday)+15,1,0)),L220-$H220),0)))</f>
        <v> </v>
      </c>
      <c r="V220" s="316" t="str">
        <f aca="false">IF($A220="N/A"," ",IF(Pricetype=2,MAX(M220-$H220,0),IF(M220&lt;&gt;0,IF(Pricetype=1,(xSPRDOPT(M220,$E220,$CI220,0,($CD220+IF(Smile=TRUE(),VLOOKUP(MAX(-5,$H220-M220),Volsmile,2),0)),$CG220,$CH220,($A220-DateToday)+15,1,0)),M220-$H220),0)))</f>
        <v> </v>
      </c>
      <c r="W220" s="317" t="str">
        <f aca="false">IF($A220="N/A"," ",(IF(Pricetype=2,IF((N220-$H220)&lt;=0,0,(N220-$H220)),IF(N220&lt;&gt;0,(N220-$H220),0))))</f>
        <v> </v>
      </c>
      <c r="X220" s="316" t="str">
        <f aca="false">IF($A220="N/A"," ",IF(Pricetype=2,MAX(O220-$H220,0),IF(O220&lt;&gt;0,IF(Pricetype=1,(xSPRDOPT(O220,$E220,$CI220,0,($CD220+IF(Smile=TRUE(),VLOOKUP(MAX(-5,$H220-O220),Volsmile,2),0)),$CG220,$CH220,($A220-DateToday)+15,1,0)),O220-$H220),0)))</f>
        <v> </v>
      </c>
      <c r="Y220" s="316" t="str">
        <f aca="false">IF($A220="N/A"," ",IF(Pricetype=2,MAX(P220-$H220,0),IF(P220&lt;&gt;0,IF(Pricetype=1,(xSPRDOPT(P220,$E220,$CI220,0,($CD220+IF(Smile=TRUE(),VLOOKUP(MAX(-5,$H220-P220),Volsmile,2),0)),$CG220,$CH220,($A220-DateToday)+15,1,0)),P220-$H220),0)))</f>
        <v> </v>
      </c>
      <c r="Z220" s="317" t="str">
        <f aca="false">IF($A220="N/A"," ",(IF(Pricetype=2,IF((Q220-$H220)&lt;=0,0,(Q220-$H220)),IF(Q220&lt;&gt;0,(Q220-$H220),0))))</f>
        <v> </v>
      </c>
      <c r="AA220" s="318" t="str">
        <f aca="false">IF($A220="N/A"," ",IF(VLOOKUP(MONTH(A220),ManualTable,2)=1,(IF(0&lt;&gt;R220,IF(Pricetype=1,(xSPRDOPT(I220,$E220,$CI220,0,($CD220+IF(Smile=TRUE(),VLOOKUP(MAX(-5,$H220-I220),Volsmile,2),0)),$CG220,$CH220,($A220-DateToday)+15,1,1))*(8*$HD220),8*$HD220),0)),0))</f>
        <v> </v>
      </c>
      <c r="AB220" s="318" t="str">
        <f aca="false">IF($A220="N/A"," ",IF(VLOOKUP(MONTH(A220),ManualTable,3)=1,(IF(S220&lt;&gt;0,IF(Pricetype=1,(xSPRDOPT(J220,$E220,$CI220,0,($CD220+IF(Smile=TRUE(),VLOOKUP(MAX(-5,$H220-J220),Volsmile,2),0)),$CG220,$CH220,($A220-DateToday)+15,1,1))*(8*$HD220),8*$HD220),0)),0))</f>
        <v> </v>
      </c>
      <c r="AC220" s="318" t="str">
        <f aca="false">IF($A220="N/A"," ",IF(VLOOKUP(MONTH(A220),ManualTable,4)=1,(IF(T220&lt;&gt;0,(8*$HD220),0)),0))</f>
        <v> </v>
      </c>
      <c r="AD220" s="318" t="str">
        <f aca="false">IF($A220="N/A"," ",IF(VLOOKUP(MONTH(A220),ManualTable,5)=1,(IF(U220&lt;&gt;0,IF(Pricetype=1,(xSPRDOPT(L220,$E220,$CI220,0,($CD220+IF(Smile=TRUE(),VLOOKUP(MAX(-5,$H220-L220),Volsmile,2),0)),$CG220,$CH220,($A220-DateToday)+15,1,1))*(8*$HE220),8*$HE220),0)),0))</f>
        <v> </v>
      </c>
      <c r="AE220" s="318" t="str">
        <f aca="false">IF($A220="N/A"," ",IF(VLOOKUP(MONTH(A220),ManualTable,6)=1,(IF(V220&lt;&gt;0,IF(Pricetype=1,(xSPRDOPT(M220,$E220,$CI220,0,($CD220+IF(Smile=TRUE(),VLOOKUP(MAX(-5,$H220-M220),Volsmile,2),0)),$CG220,$CH220,($A220-DateToday)+15,1,1))*(8*$HE220),8*$HE220),0)),0))</f>
        <v> </v>
      </c>
      <c r="AF220" s="318" t="str">
        <f aca="false">IF($A220="N/A"," ",IF(VLOOKUP(MONTH(A220),ManualTable,7)=1,(IF(W220&lt;&gt;0,(8*$HE220),0)),0))</f>
        <v> </v>
      </c>
      <c r="AG220" s="318" t="str">
        <f aca="false">IF($A220="N/A"," ",IF(VLOOKUP(MONTH(A220),ManualTable,8)=1,(IF(X220&lt;&gt;0,IF(Pricetype=1,(xSPRDOPT(O220,$E220,$CI220,0,($CD220+IF(Smile=TRUE(),VLOOKUP(MAX(-5,$H220-O220),Volsmile,2),0)),$CG220,$CH220,($A220-DateToday)+15,1,1))*(8*$HF220),8*$HF220),0)),0))</f>
        <v> </v>
      </c>
      <c r="AH220" s="318" t="str">
        <f aca="false">IF($A220="N/A"," ",IF(VLOOKUP(MONTH(A220),ManualTable,9)=1,(IF(Y220&lt;&gt;0,IF(Pricetype=1,(xSPRDOPT(P220,$E220,$CI220,0,($CD220+IF(Smile=TRUE(),VLOOKUP(MAX(-5,$H220-P220),Volsmile,2),0)),$CG220,$CH220,($A220-DateToday)+15,1,1))*(8*$HF220),8*$HF220),0)),0))</f>
        <v> </v>
      </c>
      <c r="AI220" s="318" t="str">
        <f aca="false">IF($A220="N/A"," ",IF(VLOOKUP(MONTH(A220),ManualTable,10)=1,(IF(Z220&lt;&gt;0,(8*($HF220)),0)),0))</f>
        <v> </v>
      </c>
      <c r="AJ220" s="319" t="str">
        <f aca="false">IF($A220="N/A"," ",RANK(R220,$R$220:$Z$231))</f>
        <v> </v>
      </c>
      <c r="AK220" s="320" t="str">
        <f aca="false">IF($A220="N/A"," ",RANK(S220,$R$220:$Z$231))</f>
        <v> </v>
      </c>
      <c r="AL220" s="320" t="str">
        <f aca="false">IF($A220="N/A"," ",RANK(T220,$R$220:$Z$231))</f>
        <v> </v>
      </c>
      <c r="AM220" s="320" t="str">
        <f aca="false">IF($A220="N/A"," ",RANK(U220,$R$220:$Z$231))</f>
        <v> </v>
      </c>
      <c r="AN220" s="320" t="str">
        <f aca="false">IF($A220="N/A"," ",RANK(V220,$R$220:$Z$231))</f>
        <v> </v>
      </c>
      <c r="AO220" s="320" t="str">
        <f aca="false">IF($A220="N/A"," ",RANK(W220,$R$220:$Z$231))</f>
        <v> </v>
      </c>
      <c r="AP220" s="320" t="str">
        <f aca="false">IF($A220="N/A"," ",RANK(X220,$R$220:$Z$231))</f>
        <v> </v>
      </c>
      <c r="AQ220" s="320" t="str">
        <f aca="false">IF($A220="N/A"," ",RANK(Y220,$R$220:$Z$231))</f>
        <v> </v>
      </c>
      <c r="AR220" s="322" t="str">
        <f aca="false">IF($A220="N/A"," ",RANK(Z220,$R$220:$Z$231))</f>
        <v> </v>
      </c>
      <c r="AS220" s="357" t="str">
        <f aca="false">IF($A220="N/A"," ",IF(AJ220&lt;=$AR$2,AA220,0))</f>
        <v> </v>
      </c>
      <c r="AT220" s="324" t="str">
        <f aca="false">IF($A220="N/A"," ",IF(AK220&lt;=$AR$2,AB220,0))</f>
        <v> </v>
      </c>
      <c r="AU220" s="325" t="str">
        <f aca="false">IF($A220="N/A"," ",IF(AL220&lt;=$AR$2,AC220,0))</f>
        <v> </v>
      </c>
      <c r="AV220" s="325" t="str">
        <f aca="false">IF($A220="N/A"," ",IF(AM220&lt;=$AR$2,AD220,0))</f>
        <v> </v>
      </c>
      <c r="AW220" s="325" t="str">
        <f aca="false">IF($A220="N/A"," ",IF(AN220&lt;=$AR$2,AE220,0))</f>
        <v> </v>
      </c>
      <c r="AX220" s="325" t="str">
        <f aca="false">IF($A220="N/A"," ",IF(AO220&lt;=$AR$2,AF220,0))</f>
        <v> </v>
      </c>
      <c r="AY220" s="324" t="str">
        <f aca="false">IF($A220="N/A"," ",IF(AP220&lt;=$AR$2,AG220,0))</f>
        <v> </v>
      </c>
      <c r="AZ220" s="324" t="str">
        <f aca="false">IF($A220="N/A"," ",IF(AQ220&lt;=$AR$2,AH220,0))</f>
        <v> </v>
      </c>
      <c r="BA220" s="324" t="str">
        <f aca="false">IF($A220="N/A"," ",IF(AR220&lt;=$AR$2,AI220,0))</f>
        <v> </v>
      </c>
      <c r="BB220" s="322"/>
      <c r="BC220" s="358" t="str">
        <f aca="false">IF($A220="N/A"," ",IF(AND(AJ220=$AR$2+1,AS220=0),MIN($BB$231,AA220),0))</f>
        <v> </v>
      </c>
      <c r="BD220" s="327" t="str">
        <f aca="false">IF($A220="N/A"," ",IF(AND(AK220=$AR$2+1,AT220=0),MIN($BB$231,AB220),0))</f>
        <v> </v>
      </c>
      <c r="BE220" s="327" t="str">
        <f aca="false">IF($A220="N/A"," ",IF(AND(AL220=$AR$2+1,AU220=0),MIN($BB$231,AC220),0))</f>
        <v> </v>
      </c>
      <c r="BF220" s="327" t="str">
        <f aca="false">IF($A220="N/A"," ",IF(AND(AM220=$AR$2+1,AV220=0),MIN($BB$231,AD220),0))</f>
        <v> </v>
      </c>
      <c r="BG220" s="327" t="str">
        <f aca="false">IF($A220="N/A"," ",IF(AND(AN220=$AR$2+1,AW220=0),MIN($BB$231,AE220),0))</f>
        <v> </v>
      </c>
      <c r="BH220" s="327" t="str">
        <f aca="false">IF($A220="N/A"," ",IF(AND(AO220=$AR$2+1,AX220=0),MIN($BB$231,AF220),0))</f>
        <v> </v>
      </c>
      <c r="BI220" s="327" t="str">
        <f aca="false">IF($A220="N/A"," ",IF(AND(AP220=$AR$2+1,AY220=0),MIN($BB$231,AG220),0))</f>
        <v> </v>
      </c>
      <c r="BJ220" s="327" t="str">
        <f aca="false">IF($A220="N/A"," ",IF(AND(AQ220=$AR$2+1,AZ220=0),MIN($BB$231,AH220),0))</f>
        <v> </v>
      </c>
      <c r="BK220" s="327" t="str">
        <f aca="false">IF($A220="N/A"," ",IF(AND(AR220=$AR$2+1,BA220=0),MIN($BB$231,AI220),0))</f>
        <v> </v>
      </c>
      <c r="BL220" s="322"/>
      <c r="BM220" s="329" t="str">
        <f aca="false">IF($A220="N/A"," ",(IF(MONTH(A220)&gt;=4,IF(MONTH(A220)&lt;=10,Inputs!$F$13-Inputs!$G$13,Inputs!$F$14-Inputs!$G$14),Inputs!$F$14-Inputs!$G$14))*$CK220*Availability)</f>
        <v> </v>
      </c>
      <c r="BN220" s="330" t="str">
        <f aca="false">IF($A220="N/A"," ",(IF(AS220&gt;0,($BM220*(8*($HD220))*R220),0)+IF(BC220&gt;0,($BM220*((BC220/AA220)*8*$HD220)*R220),0)))</f>
        <v> </v>
      </c>
      <c r="BO220" s="330" t="str">
        <f aca="false">IF($A220="N/A"," ",(IF(AT220&gt;0,($BM220*(8*($HD220))*S220),0)+IF(BD220&gt;0,($BM220*((BD220/AB220)*8*$HD220)*S220),0)))</f>
        <v> </v>
      </c>
      <c r="BP220" s="330" t="str">
        <f aca="false">IF($A220="N/A"," ",(IF(AU220&gt;0,($BM220*(8*($HD220))*T220),0)+IF(BE220&gt;0,($BM220*((BE220))*T220),0)))</f>
        <v> </v>
      </c>
      <c r="BQ220" s="330" t="str">
        <f aca="false">IF($A220="N/A"," ",(IF(AV220&gt;0,($BM220*(8*($HE220))*U220),0)+IF(BF220&gt;0,($BM220*((BF220/AD220)*8*$HE220)*U220),0)))</f>
        <v> </v>
      </c>
      <c r="BR220" s="330" t="str">
        <f aca="false">IF($A220="N/A"," ",(IF(AW220&gt;0,($BM220*(8*($HE220))*V220),0)+IF(BG220&gt;0,($BM220*((BG220/AE220)*8*$HE220)*V220),0)))</f>
        <v> </v>
      </c>
      <c r="BS220" s="330" t="str">
        <f aca="false">IF($A220="N/A"," ",(IF(AX220&gt;0,($BM220*(8*($HE220))*W220),0)+IF(BH220&gt;0,($BM220*((BH220))*W220),0)))</f>
        <v> </v>
      </c>
      <c r="BT220" s="330" t="str">
        <f aca="false">IF($A220="N/A"," ",(IF(AY220&gt;0,($BM220*(8*($HF220))*X220),0)+IF(BI220&gt;0,($BM220*((BI220/AG220)*8*$HF220)*X220),0)))</f>
        <v> </v>
      </c>
      <c r="BU220" s="330" t="str">
        <f aca="false">IF($A220="N/A"," ",(IF(AZ220&gt;0,($BM220*(8*($HF220))*Y220),0)+IF(BJ220&gt;0,($BM220*((BJ220/AH220)*8*$HF220)*Y220),0)))</f>
        <v> </v>
      </c>
      <c r="BV220" s="330" t="str">
        <f aca="false">IF($A220="N/A"," ",(IF(BA220&gt;0,($BM220*(8*($HF220))*Z220),0)+IF(BK220&gt;0,($BM220*((BK220))*Z220),0)))</f>
        <v> </v>
      </c>
      <c r="BW220" s="330" t="str">
        <f aca="false">IF($A220="N/A"," ",SUM(BN220:BV220))</f>
        <v> </v>
      </c>
      <c r="BX220" s="331" t="str">
        <f aca="false">IF($A220="N/A"," ",(H220*(SUM(AS220:BA220)+SUM(BC220:BK220))*BM220))</f>
        <v> </v>
      </c>
      <c r="BY220" s="332" t="str">
        <f aca="false">IF($A220="N/A"," ",((C220*D220)*(SUM($AS220:$BA220)+SUM($BC220:$BK220))*$BM220))</f>
        <v> </v>
      </c>
      <c r="BZ220" s="332" t="str">
        <f aca="false">IF($A220="N/A"," ",(F220*(SUM($AS220:$BA220)+SUM($BC220:$BK220))*$BM220))</f>
        <v> </v>
      </c>
      <c r="CA220" s="333" t="str">
        <f aca="false">IF($A220="N/A"," ",(G220*(SUM($AS220:$BA220)+SUM($BC220:$BK220))*$BM220))</f>
        <v> </v>
      </c>
      <c r="CB220" s="334" t="str">
        <f aca="false">IF(A220="N/A"," ",(VLOOKUP(A220,PowerVolTable,(IF(BMO=2,7,IF(BMO=1,6,8))),FALSE())))</f>
        <v> </v>
      </c>
      <c r="CC220" s="334" t="str">
        <f aca="false">IF(A220="N/A"," ",(VLOOKUP(A220,IntraPowerVol,(IF(BMO=2,3,IF(BMO=1,2,4))),FALSE())*VLOOKUP(MONTH($A220),Volscale,2)))</f>
        <v> </v>
      </c>
      <c r="CD220" s="335" t="str">
        <f aca="false">IF($A220="N/A"," ",(IF(DateToday&gt;$A220,$CC220,((($CB220^2)*((($A220-1)-DateToday)/((EOMONTH($A220,0)+1)-DateToday-15)))+((($CC220)^2)*((15)/((EOMONTH($A220,0)+1)-DateToday-15))))^0.5)))</f>
        <v> </v>
      </c>
      <c r="CE220" s="334" t="str">
        <f aca="false">IF($A220="N/A"," ",(VLOOKUP($A220,GasVolTable,(IF(BMO=2,6,IF(BMO=1,7,5))),FALSE())))</f>
        <v> </v>
      </c>
      <c r="CF220" s="334" t="str">
        <f aca="false">IF($A220="N/A"," ",(VLOOKUP($A220,OmicronVol,(IF(BMO=2,3,IF(BMO=1,4,2))),FALSE())))</f>
        <v> </v>
      </c>
      <c r="CG220" s="335" t="str">
        <f aca="false">IF($A220="N/A"," ",(IF(DateToday&gt;$A220,$CF220,((($CE220^2)*((($A220-1)-DateToday)/((EOMONTH($A220,0)+1)-DateToday-15)))+((($CF220)^2)*((15)/((EOMONTH($A220,0)+1)-DateToday-15))))^0.5)))</f>
        <v> </v>
      </c>
      <c r="CH220" s="334" t="str">
        <f aca="false">IF($A220="N/A"," ",VLOOKUP($A220,CorrelationTable,2,FALSE()))</f>
        <v> </v>
      </c>
      <c r="CI220" s="336" t="str">
        <f aca="false">IF($A220="N/A"," ",F220+G220+(D220*('Pricing Inputs'!T253)))</f>
        <v> </v>
      </c>
      <c r="CJ220" s="334" t="str">
        <f aca="false">IF($A220="N/A"," ",IF(PV=1,0,'Pricing Inputs'!U253))</f>
        <v> </v>
      </c>
      <c r="CK220" s="337" t="str">
        <f aca="false">IF($A220="N/A"," ",(1+CJ220/2)^(-2*((EOMONTH(A220,0)+20)-DateToday)/365.25))</f>
        <v> </v>
      </c>
      <c r="CL220" s="338" t="str">
        <f aca="false">IF(A220="N/A"," ",IF(CC=2,(VLOOKUP(MONTH($A220),Hrtable,3))/1000,0))</f>
        <v> </v>
      </c>
      <c r="CM220" s="339" t="str">
        <f aca="false">IF(A220="N/A"," ",IF(CC=2,(CL220*C220)+F220,0))</f>
        <v> </v>
      </c>
      <c r="CN220" s="340" t="str">
        <f aca="false">IF($A220="N/A"," ",IF(CC=2,(VLOOKUP(A220,ScaledPrice,(IF(AND(Dayrun&gt;=1,Dayrun&lt;=6),2,4)))-((IF(R220&lt;&gt;0,$D220,$CL220)*$C220)+$F220+$G220)),0))</f>
        <v> </v>
      </c>
      <c r="CO220" s="340" t="str">
        <f aca="false">IF($A220="N/A"," ",IF(CC=2,(IF(AND(Dayrun&gt;=1,Dayrun&lt;=6),I220,(VLOOKUP(A220,ScaledPrice,2))*(2-(VLOOKUP(A220,ScaledPrice,3))))-((IF(S220&lt;&gt;0,$D220,$CL220)*$C220)+$F220+$G220)),0))</f>
        <v> </v>
      </c>
      <c r="CP220" s="340" t="str">
        <f aca="false">IF(A220="N/A"," ",IF(CC=2,(VLOOKUP(A220,ScaledPrice,9)-((IF(T220&lt;&gt;0,$D220,$CL220)*$C220)+$F220+$G220)),0))</f>
        <v> </v>
      </c>
      <c r="CQ220" s="340" t="str">
        <f aca="false">IF(A220="N/A"," ",IF(CC=2,(IF(OR(Dayrun=2,Dayrun=3,Dayrun=5,Dayrun=6,Dayrun=8,Dayrun=9),VLOOKUP(A220,ScaledPrice,IF(AND(Dayrun&gt;=2,Dayrun&lt;=6),5,6)),0)-((IF(U220&lt;&gt;0,$D220,$CL220)*$C220)+$F220+$G220)),0))</f>
        <v> </v>
      </c>
      <c r="CR220" s="340" t="str">
        <f aca="false">IF(A220="N/A"," ",IF(CC=2,(IF(OR(Dayrun=2,Dayrun=3,Dayrun=5,Dayrun=6,Dayrun=8,Dayrun=9),IF(AND(Dayrun&gt;=2,Dayrun&lt;=6),L220,(VLOOKUP(A220,ScaledPrice,5))*(2-(VLOOKUP(A220,ScaledPrice,3)))),0)-((IF(V220&lt;&gt;0,$D220,$CL220)*$C220)+$F220+$G220)),0))</f>
        <v> </v>
      </c>
      <c r="CS220" s="340" t="str">
        <f aca="false">IF(A220="N/A"," ",IF(CC=2,(VLOOKUP(A220,ScaledPrice,9)-((IF(W220&lt;&gt;0,$D220,$CL220)*$C220)+$F220+$G220)),0))</f>
        <v> </v>
      </c>
      <c r="CT220" s="340" t="str">
        <f aca="false">IF(A220="N/A"," ",IF(CC=2,(IF(OR(Dayrun=3,Dayrun=6,Dayrun=9),(VLOOKUP(A220,ScaledPrice,IF(AND(Dayrun&gt;=3,Dayrun&lt;=6),7,8))),0)-((IF(X220&lt;&gt;0,$D220,$CL220)*$C220)+$F220+$G220)),0))</f>
        <v> </v>
      </c>
      <c r="CU220" s="340" t="str">
        <f aca="false">IF(A220="N/A"," ",IF(CC=2,(IF(OR(Dayrun=3,Dayrun=6,Dayrun=9),IF(AND(Dayrun&gt;=3,Dayrun&lt;=6),O220,(VLOOKUP(A220,ScaledPrice,7))*(2-(VLOOKUP(A220,ScaledPrice,3)))),0)-((IF(Y220&lt;&gt;0,$D220,$CL220)*$C220)+$F220+$G220)),0))</f>
        <v> </v>
      </c>
      <c r="CV220" s="340" t="str">
        <f aca="false">IF(A220="N/A"," ",IF(CC=2,(VLOOKUP(A220,ScaledPrice,9)-((IF(Z220&lt;&gt;0,$D220,$CL220)*$C220)+$F220+$G220)),0))</f>
        <v> </v>
      </c>
      <c r="CW220" s="318" t="str">
        <f aca="false">IF($A220="N/A"," ",IF(0&lt;&gt;CN220,IF(CC=2,8*$HD220,0),0))</f>
        <v> </v>
      </c>
      <c r="CX220" s="318" t="str">
        <f aca="false">IF($A220="N/A"," ",IF(0&lt;&gt;CO220,IF(CC=2,8*$HD220,0),0))</f>
        <v> </v>
      </c>
      <c r="CY220" s="318" t="str">
        <f aca="false">IF($A220="N/A"," ",IF(0&lt;&gt;CP220,IF(CC=2,8*$HD220,0),0))</f>
        <v> </v>
      </c>
      <c r="CZ220" s="318" t="str">
        <f aca="false">IF($A220="N/A"," ",IF(0&lt;&gt;CQ220,IF(CC=2,8*$HE220,0),0))</f>
        <v> </v>
      </c>
      <c r="DA220" s="318" t="str">
        <f aca="false">IF($A220="N/A"," ",IF(0&lt;&gt;CR220,IF(CC=2,8*$HE220,0),0))</f>
        <v> </v>
      </c>
      <c r="DB220" s="318" t="str">
        <f aca="false">IF($A220="N/A"," ",IF(0&lt;&gt;CS220,IF(CC=2,8*$HE220,0),0))</f>
        <v> </v>
      </c>
      <c r="DC220" s="318" t="str">
        <f aca="false">IF($A220="N/A"," ",IF(0&lt;&gt;CT220,IF(CC=2,8*$HF220,0),0))</f>
        <v> </v>
      </c>
      <c r="DD220" s="318" t="str">
        <f aca="false">IF($A220="N/A"," ",IF(0&lt;&gt;CU220,IF(CC=2,8*$HF220,0),0))</f>
        <v> </v>
      </c>
      <c r="DE220" s="318" t="str">
        <f aca="false">IF($A220="N/A"," ",IF(0&lt;&gt;CV220,IF(CC=2,8*$HF220,0),0))</f>
        <v> </v>
      </c>
      <c r="DF220" s="341" t="str">
        <f aca="false">IF($A220="N/A"," ",IF(CC=2,(IF(MONTH(A220)&gt;=4,IF(MONTH(A220)&lt;=10,Inputs!$G$13,Inputs!$G$14),Inputs!$G$14))*$CK220,0))</f>
        <v> </v>
      </c>
      <c r="DG220" s="342" t="str">
        <f aca="false">IF($A220="N/A"," ",IF(CC=2,$DF220*CW220*CN220,0))</f>
        <v> </v>
      </c>
      <c r="DH220" s="342" t="str">
        <f aca="false">IF($A220="N/A"," ",IF(CC=2,$DF220*CX220*CO220,0))</f>
        <v> </v>
      </c>
      <c r="DI220" s="342" t="str">
        <f aca="false">IF($A220="N/A"," ",IF(CC=2,$DF220*CY220*CP220,0))</f>
        <v> </v>
      </c>
      <c r="DJ220" s="342" t="str">
        <f aca="false">IF($A220="N/A"," ",IF(CC=2,$DF220*CZ220*CQ220,0))</f>
        <v> </v>
      </c>
      <c r="DK220" s="342" t="str">
        <f aca="false">IF($A220="N/A"," ",IF(CC=2,$DF220*DA220*CR220,0))</f>
        <v> </v>
      </c>
      <c r="DL220" s="342" t="str">
        <f aca="false">IF($A220="N/A"," ",IF(CC=2,$DF220*DB220*CS220,0))</f>
        <v> </v>
      </c>
      <c r="DM220" s="342" t="str">
        <f aca="false">IF($A220="N/A"," ",IF(CC=2,$DF220*DC220*CT220,0))</f>
        <v> </v>
      </c>
      <c r="DN220" s="342" t="str">
        <f aca="false">IF($A220="N/A"," ",IF(CC=2,$DF220*DD220*CU220,0))</f>
        <v> </v>
      </c>
      <c r="DO220" s="342" t="str">
        <f aca="false">IF($A220="N/A"," ",IF(CC=2,$DF220*DE220*CV220,0))</f>
        <v> </v>
      </c>
      <c r="DP220" s="343" t="str">
        <f aca="false">IF($A220="N/A"," ",IF(CC=2,SUM(DG220:DO220),0))</f>
        <v> </v>
      </c>
      <c r="DQ220" s="0" t="str">
        <f aca="false">IF(A220="N/A"," ",Perstart)</f>
        <v> </v>
      </c>
      <c r="HD220" s="0" t="str">
        <f aca="false">IF($A220="N/A"," ",VLOOKUP($A220,NumberofDaysTable,2))</f>
        <v> </v>
      </c>
      <c r="HE220" s="0" t="str">
        <f aca="false">IF($A220="N/A"," ",VLOOKUP($A220,NumberofDaysTable,3))</f>
        <v> </v>
      </c>
      <c r="HF220" s="0" t="str">
        <f aca="false">IF($A220="N/A"," ",VLOOKUP($A220,NumberofDaysTable,4))</f>
        <v> </v>
      </c>
    </row>
    <row r="221" customFormat="false" ht="12.75" hidden="false" customHeight="false" outlineLevel="0" collapsed="false">
      <c r="A221" s="308" t="str">
        <f aca="false">IF(A220="N/A","N/A",IF(EDATE(A220,1)&gt;Inputs!$K$3,"N/A",EDATE(A220,1)))</f>
        <v>N/A</v>
      </c>
      <c r="B221" s="309" t="str">
        <f aca="false">IF(A221="N/A"," ",YEAR(A221))</f>
        <v> </v>
      </c>
      <c r="C221" s="310" t="str">
        <f aca="false">IF(A221="N/A"," ",VLOOKUP(A221,ScaledPrice,10))</f>
        <v> </v>
      </c>
      <c r="D221" s="311" t="str">
        <f aca="false">IF(A221="N/A"," ",(VLOOKUP(MONTH($A221),Hrtable,2))/1000)</f>
        <v> </v>
      </c>
      <c r="E221" s="312" t="str">
        <f aca="false">IF($A221="N/A"," ",(C221-'Pricing Inputs'!T254)*D221)</f>
        <v> </v>
      </c>
      <c r="F221" s="313" t="str">
        <f aca="false">IF(A221="N/A"," ",$F209*(1+VOMesc))</f>
        <v> </v>
      </c>
      <c r="G221" s="313" t="str">
        <f aca="false">IF(A221="N/A"," ",Perstart/IF(AND(Dayrun&gt;=4,Dayrun&lt;=6),16,IF(AND(Dayrun&gt;=7,Dayrun&lt;=9),8,24))/(BM221/CK221))</f>
        <v> </v>
      </c>
      <c r="H221" s="314" t="str">
        <f aca="false">IF(A221="N/A"," ",(C221*D221)+F221+G221)</f>
        <v> </v>
      </c>
      <c r="I221" s="315" t="str">
        <f aca="false">VLOOKUP(A221,ScaledPrice,(IF(AND(Dayrun&gt;=1,Dayrun&lt;=6),2,4)))</f>
        <v> </v>
      </c>
      <c r="J221" s="315" t="str">
        <f aca="false">IF(A221="N/A"," ",IF(AND(Dayrun&gt;=1,Dayrun&lt;=6),I221,(VLOOKUP(A221,ScaledPrice,2))*(2-(VLOOKUP(A221,ScaledPrice,3)))))</f>
        <v> </v>
      </c>
      <c r="K221" s="315" t="str">
        <f aca="false">IF(A221="N/A"," ",IF(AND(Dayrun&gt;=1,Dayrun&lt;=3),VLOOKUP(A221,ScaledPrice,9),0))</f>
        <v> </v>
      </c>
      <c r="L221" s="315" t="str">
        <f aca="false">IF(A221="N/A"," ",IF(OR(Dayrun=2,Dayrun=3,Dayrun=5,Dayrun=6,Dayrun=8,Dayrun=9),VLOOKUP(A221,ScaledPrice,IF(AND(Dayrun&gt;=2,Dayrun&lt;=6),5,6)),0))</f>
        <v> </v>
      </c>
      <c r="M221" s="315" t="str">
        <f aca="false">IF(A221="N/A"," ",IF(OR(Dayrun=2,Dayrun=3,Dayrun=5,Dayrun=6,Dayrun=8,Dayrun=9),IF(AND(Dayrun&gt;=2,Dayrun&lt;=6),L221,(VLOOKUP(A221,ScaledPrice,5))*(2-(VLOOKUP(A221,ScaledPrice,3)))),0))</f>
        <v> </v>
      </c>
      <c r="N221" s="315" t="str">
        <f aca="false">IF(A221="N/A"," ",IF(AND(Dayrun&gt;1,Dayrun&lt;=3),VLOOKUP(A221,ScaledPrice,9),0))</f>
        <v> </v>
      </c>
      <c r="O221" s="315" t="str">
        <f aca="false">IF(A221="N/A"," ",IF(OR(Dayrun=3,Dayrun=6,Dayrun=9),(VLOOKUP(A221,ScaledPrice,IF(AND(Dayrun&gt;=3,Dayrun&lt;=6),7,8))),0))</f>
        <v> </v>
      </c>
      <c r="P221" s="315" t="str">
        <f aca="false">IF(A221="N/A"," ",IF(OR(Dayrun=3,Dayrun=6,Dayrun=9),IF(AND(Dayrun&gt;=3,Dayrun&lt;=6),O221,(VLOOKUP(A221,ScaledPrice,7))*(2-(VLOOKUP(A221,ScaledPrice,3)))),0))</f>
        <v> </v>
      </c>
      <c r="Q221" s="315" t="str">
        <f aca="false">IF(A221="N/A"," ",IF(AND(Dayrun&gt;2,Dayrun&lt;=3),VLOOKUP(A221,ScaledPrice,9),0))</f>
        <v> </v>
      </c>
      <c r="R221" s="316" t="str">
        <f aca="false">IF($A221="N/A"," ",IF(Pricetype=2,MAX(I221-$H221,0),IF(Pricetype=1,(xSPRDOPT(I221,$E221,$CI221,0,($CD221+IF(Smile=TRUE(),VLOOKUP(MAX(-5,$H221-I221),Volsmile,2),0)),$CG221,$CH221,($A221-DateToday)+15,1,0)),I221-$H221)))</f>
        <v> </v>
      </c>
      <c r="S221" s="316" t="str">
        <f aca="false">IF($A221="N/A"," ",IF(Pricetype=2,MAX(J221-$H221,0),IF(Pricetype=1,(xSPRDOPT(J221,$E221,$CI221,0,($CD221+IF(Smile=TRUE(),VLOOKUP(MAX(-5,$H221-J221),Volsmile,2),0)),$CG221,$CH221,($A221-DateToday)+15,1,0)),J221-$H221)))</f>
        <v> </v>
      </c>
      <c r="T221" s="317" t="str">
        <f aca="false">IF($A221="N/A"," ",(IF(Pricetype=2,IF((K221-$H221)&lt;=0,0,(K221-$H221)),IF(K221&lt;&gt;0,(K221-$H221),0))))</f>
        <v> </v>
      </c>
      <c r="U221" s="316" t="str">
        <f aca="false">IF($A221="N/A"," ",IF(Pricetype=2,MAX(L221-$H221,0),IF(L221&lt;&gt;0,IF(Pricetype=1,(xSPRDOPT(L221,$E221,$CI221,0,($CD221+IF(Smile=TRUE(),VLOOKUP(MAX(-5,$H221-L221),Volsmile,2),0)),$CG221,$CH221,($A221-DateToday)+15,1,0)),L221-$H221),0)))</f>
        <v> </v>
      </c>
      <c r="V221" s="316" t="str">
        <f aca="false">IF($A221="N/A"," ",IF(Pricetype=2,MAX(M221-$H221,0),IF(M221&lt;&gt;0,IF(Pricetype=1,(xSPRDOPT(M221,$E221,$CI221,0,($CD221+IF(Smile=TRUE(),VLOOKUP(MAX(-5,$H221-M221),Volsmile,2),0)),$CG221,$CH221,($A221-DateToday)+15,1,0)),M221-$H221),0)))</f>
        <v> </v>
      </c>
      <c r="W221" s="317" t="str">
        <f aca="false">IF($A221="N/A"," ",(IF(Pricetype=2,IF((N221-$H221)&lt;=0,0,(N221-$H221)),IF(N221&lt;&gt;0,(N221-$H221),0))))</f>
        <v> </v>
      </c>
      <c r="X221" s="316" t="str">
        <f aca="false">IF($A221="N/A"," ",IF(Pricetype=2,MAX(O221-$H221,0),IF(O221&lt;&gt;0,IF(Pricetype=1,(xSPRDOPT(O221,$E221,$CI221,0,($CD221+IF(Smile=TRUE(),VLOOKUP(MAX(-5,$H221-O221),Volsmile,2),0)),$CG221,$CH221,($A221-DateToday)+15,1,0)),O221-$H221),0)))</f>
        <v> </v>
      </c>
      <c r="Y221" s="316" t="str">
        <f aca="false">IF($A221="N/A"," ",IF(Pricetype=2,MAX(P221-$H221,0),IF(P221&lt;&gt;0,IF(Pricetype=1,(xSPRDOPT(P221,$E221,$CI221,0,($CD221+IF(Smile=TRUE(),VLOOKUP(MAX(-5,$H221-P221),Volsmile,2),0)),$CG221,$CH221,($A221-DateToday)+15,1,0)),P221-$H221),0)))</f>
        <v> </v>
      </c>
      <c r="Z221" s="317" t="str">
        <f aca="false">IF($A221="N/A"," ",(IF(Pricetype=2,IF((Q221-$H221)&lt;=0,0,(Q221-$H221)),IF(Q221&lt;&gt;0,(Q221-$H221),0))))</f>
        <v> </v>
      </c>
      <c r="AA221" s="318" t="str">
        <f aca="false">IF($A221="N/A"," ",IF(VLOOKUP(MONTH(A221),ManualTable,2)=1,(IF(0&lt;&gt;R221,IF(Pricetype=1,(xSPRDOPT(I221,$E221,$CI221,0,($CD221+IF(Smile=TRUE(),VLOOKUP(MAX(-5,$H221-I221),Volsmile,2),0)),$CG221,$CH221,($A221-DateToday)+15,1,1))*(8*$HD221),8*$HD221),0)),0))</f>
        <v> </v>
      </c>
      <c r="AB221" s="318" t="str">
        <f aca="false">IF($A221="N/A"," ",IF(VLOOKUP(MONTH(A221),ManualTable,3)=1,(IF(S221&lt;&gt;0,IF(Pricetype=1,(xSPRDOPT(J221,$E221,$CI221,0,($CD221+IF(Smile=TRUE(),VLOOKUP(MAX(-5,$H221-J221),Volsmile,2),0)),$CG221,$CH221,($A221-DateToday)+15,1,1))*(8*$HD221),8*$HD221),0)),0))</f>
        <v> </v>
      </c>
      <c r="AC221" s="318" t="str">
        <f aca="false">IF($A221="N/A"," ",IF(VLOOKUP(MONTH(A221),ManualTable,4)=1,(IF(T221&lt;&gt;0,(8*$HD221),0)),0))</f>
        <v> </v>
      </c>
      <c r="AD221" s="318" t="str">
        <f aca="false">IF($A221="N/A"," ",IF(VLOOKUP(MONTH(A221),ManualTable,5)=1,(IF(U221&lt;&gt;0,IF(Pricetype=1,(xSPRDOPT(L221,$E221,$CI221,0,($CD221+IF(Smile=TRUE(),VLOOKUP(MAX(-5,$H221-L221),Volsmile,2),0)),$CG221,$CH221,($A221-DateToday)+15,1,1))*(8*$HE221),8*$HE221),0)),0))</f>
        <v> </v>
      </c>
      <c r="AE221" s="318" t="str">
        <f aca="false">IF($A221="N/A"," ",IF(VLOOKUP(MONTH(A221),ManualTable,6)=1,(IF(V221&lt;&gt;0,IF(Pricetype=1,(xSPRDOPT(M221,$E221,$CI221,0,($CD221+IF(Smile=TRUE(),VLOOKUP(MAX(-5,$H221-M221),Volsmile,2),0)),$CG221,$CH221,($A221-DateToday)+15,1,1))*(8*$HE221),8*$HE221),0)),0))</f>
        <v> </v>
      </c>
      <c r="AF221" s="318" t="str">
        <f aca="false">IF($A221="N/A"," ",IF(VLOOKUP(MONTH(A221),ManualTable,7)=1,(IF(W221&lt;&gt;0,(8*$HE221),0)),0))</f>
        <v> </v>
      </c>
      <c r="AG221" s="318" t="str">
        <f aca="false">IF($A221="N/A"," ",IF(VLOOKUP(MONTH(A221),ManualTable,8)=1,(IF(X221&lt;&gt;0,IF(Pricetype=1,(xSPRDOPT(O221,$E221,$CI221,0,($CD221+IF(Smile=TRUE(),VLOOKUP(MAX(-5,$H221-O221),Volsmile,2),0)),$CG221,$CH221,($A221-DateToday)+15,1,1))*(8*$HF221),8*$HF221),0)),0))</f>
        <v> </v>
      </c>
      <c r="AH221" s="318" t="str">
        <f aca="false">IF($A221="N/A"," ",IF(VLOOKUP(MONTH(A221),ManualTable,9)=1,(IF(Y221&lt;&gt;0,IF(Pricetype=1,(xSPRDOPT(P221,$E221,$CI221,0,($CD221+IF(Smile=TRUE(),VLOOKUP(MAX(-5,$H221-P221),Volsmile,2),0)),$CG221,$CH221,($A221-DateToday)+15,1,1))*(8*$HF221),8*$HF221),0)),0))</f>
        <v> </v>
      </c>
      <c r="AI221" s="318" t="str">
        <f aca="false">IF($A221="N/A"," ",IF(VLOOKUP(MONTH(A221),ManualTable,10)=1,(IF(Z221&lt;&gt;0,(8*($HF221)),0)),0))</f>
        <v> </v>
      </c>
      <c r="AJ221" s="344" t="str">
        <f aca="false">IF($A221="N/A"," ",RANK(R221,$R$220:$Z$231))</f>
        <v> </v>
      </c>
      <c r="AK221" s="321" t="str">
        <f aca="false">IF($A221="N/A"," ",RANK(S221,$R$220:$Z$231))</f>
        <v> </v>
      </c>
      <c r="AL221" s="321" t="str">
        <f aca="false">IF($A221="N/A"," ",RANK(T221,$R$220:$Z$231))</f>
        <v> </v>
      </c>
      <c r="AM221" s="321" t="str">
        <f aca="false">IF($A221="N/A"," ",RANK(U221,$R$220:$Z$231))</f>
        <v> </v>
      </c>
      <c r="AN221" s="321" t="str">
        <f aca="false">IF($A221="N/A"," ",RANK(V221,$R$220:$Z$231))</f>
        <v> </v>
      </c>
      <c r="AO221" s="321" t="str">
        <f aca="false">IF($A221="N/A"," ",RANK(W221,$R$220:$Z$231))</f>
        <v> </v>
      </c>
      <c r="AP221" s="321" t="str">
        <f aca="false">IF($A221="N/A"," ",RANK(X221,$R$220:$Z$231))</f>
        <v> </v>
      </c>
      <c r="AQ221" s="321" t="str">
        <f aca="false">IF($A221="N/A"," ",RANK(Y221,$R$220:$Z$231))</f>
        <v> </v>
      </c>
      <c r="AR221" s="345" t="str">
        <f aca="false">IF($A221="N/A"," ",RANK(Z221,$R$220:$Z$231))</f>
        <v> </v>
      </c>
      <c r="AS221" s="323" t="str">
        <f aca="false">IF($A221="N/A"," ",IF(AJ221&lt;=$AR$2,AA221,0))</f>
        <v> </v>
      </c>
      <c r="AT221" s="325" t="str">
        <f aca="false">IF($A221="N/A"," ",IF(AK221&lt;=$AR$2,AB221,0))</f>
        <v> </v>
      </c>
      <c r="AU221" s="325" t="str">
        <f aca="false">IF($A221="N/A"," ",IF(AL221&lt;=$AR$2,AC221,0))</f>
        <v> </v>
      </c>
      <c r="AV221" s="325" t="str">
        <f aca="false">IF($A221="N/A"," ",IF(AM221&lt;=$AR$2,AD221,0))</f>
        <v> </v>
      </c>
      <c r="AW221" s="325" t="str">
        <f aca="false">IF($A221="N/A"," ",IF(AN221&lt;=$AR$2,AE221,0))</f>
        <v> </v>
      </c>
      <c r="AX221" s="325" t="str">
        <f aca="false">IF($A221="N/A"," ",IF(AO221&lt;=$AR$2,AF221,0))</f>
        <v> </v>
      </c>
      <c r="AY221" s="325" t="str">
        <f aca="false">IF($A221="N/A"," ",IF(AP221&lt;=$AR$2,AG221,0))</f>
        <v> </v>
      </c>
      <c r="AZ221" s="325" t="str">
        <f aca="false">IF($A221="N/A"," ",IF(AQ221&lt;=$AR$2,AH221,0))</f>
        <v> </v>
      </c>
      <c r="BA221" s="325" t="str">
        <f aca="false">IF($A221="N/A"," ",IF(AR221&lt;=$AR$2,AI221,0))</f>
        <v> </v>
      </c>
      <c r="BB221" s="345"/>
      <c r="BC221" s="326" t="str">
        <f aca="false">IF($A221="N/A"," ",IF(AND(AJ221=$AR$2+1,AS221=0),MIN($BB$231,AA221),0))</f>
        <v> </v>
      </c>
      <c r="BD221" s="346" t="str">
        <f aca="false">IF($A221="N/A"," ",IF(AND(AK221=$AR$2+1,AT221=0),MIN($BB$231,AB221),0))</f>
        <v> </v>
      </c>
      <c r="BE221" s="346" t="str">
        <f aca="false">IF($A221="N/A"," ",IF(AND(AL221=$AR$2+1,AU221=0),MIN($BB$231,AC221),0))</f>
        <v> </v>
      </c>
      <c r="BF221" s="346" t="str">
        <f aca="false">IF($A221="N/A"," ",IF(AND(AM221=$AR$2+1,AV221=0),MIN($BB$231,AD221),0))</f>
        <v> </v>
      </c>
      <c r="BG221" s="346" t="str">
        <f aca="false">IF($A221="N/A"," ",IF(AND(AN221=$AR$2+1,AW221=0),MIN($BB$231,AE221),0))</f>
        <v> </v>
      </c>
      <c r="BH221" s="346" t="str">
        <f aca="false">IF($A221="N/A"," ",IF(AND(AO221=$AR$2+1,AX221=0),MIN($BB$231,AF221),0))</f>
        <v> </v>
      </c>
      <c r="BI221" s="346" t="str">
        <f aca="false">IF($A221="N/A"," ",IF(AND(AP221=$AR$2+1,AY221=0),MIN($BB$231,AG221),0))</f>
        <v> </v>
      </c>
      <c r="BJ221" s="346" t="str">
        <f aca="false">IF($A221="N/A"," ",IF(AND(AQ221=$AR$2+1,AZ221=0),MIN($BB$231,AH221),0))</f>
        <v> </v>
      </c>
      <c r="BK221" s="346" t="str">
        <f aca="false">IF($A221="N/A"," ",IF(AND(AR221=$AR$2+1,BA221=0),MIN($BB$231,AI221),0))</f>
        <v> </v>
      </c>
      <c r="BL221" s="345"/>
      <c r="BM221" s="329" t="str">
        <f aca="false">IF($A221="N/A"," ",(IF(MONTH(A221)&gt;=4,IF(MONTH(A221)&lt;=10,Inputs!$F$13-Inputs!$G$13,Inputs!$F$14-Inputs!$G$14),Inputs!$F$14-Inputs!$G$14))*$CK221*Availability)</f>
        <v> </v>
      </c>
      <c r="BN221" s="330" t="str">
        <f aca="false">IF($A221="N/A"," ",(IF(AS221&gt;0,($BM221*(8*($HD221))*R221),0)+IF(BC221&gt;0,($BM221*((BC221/AA221)*8*$HD221)*R221),0)))</f>
        <v> </v>
      </c>
      <c r="BO221" s="330" t="str">
        <f aca="false">IF($A221="N/A"," ",(IF(AT221&gt;0,($BM221*(8*($HD221))*S221),0)+IF(BD221&gt;0,($BM221*((BD221/AB221)*8*$HD221)*S221),0)))</f>
        <v> </v>
      </c>
      <c r="BP221" s="330" t="str">
        <f aca="false">IF($A221="N/A"," ",(IF(AU221&gt;0,($BM221*(8*($HD221))*T221),0)+IF(BE221&gt;0,($BM221*((BE221))*T221),0)))</f>
        <v> </v>
      </c>
      <c r="BQ221" s="330" t="str">
        <f aca="false">IF($A221="N/A"," ",(IF(AV221&gt;0,($BM221*(8*($HE221))*U221),0)+IF(BF221&gt;0,($BM221*((BF221/AD221)*8*$HE221)*U221),0)))</f>
        <v> </v>
      </c>
      <c r="BR221" s="330" t="str">
        <f aca="false">IF($A221="N/A"," ",(IF(AW221&gt;0,($BM221*(8*($HE221))*V221),0)+IF(BG221&gt;0,($BM221*((BG221/AE221)*8*$HE221)*V221),0)))</f>
        <v> </v>
      </c>
      <c r="BS221" s="330" t="str">
        <f aca="false">IF($A221="N/A"," ",(IF(AX221&gt;0,($BM221*(8*($HE221))*W221),0)+IF(BH221&gt;0,($BM221*((BH221))*W221),0)))</f>
        <v> </v>
      </c>
      <c r="BT221" s="330" t="str">
        <f aca="false">IF($A221="N/A"," ",(IF(AY221&gt;0,($BM221*(8*($HF221))*X221),0)+IF(BI221&gt;0,($BM221*((BI221/AG221)*8*$HF221)*X221),0)))</f>
        <v> </v>
      </c>
      <c r="BU221" s="330" t="str">
        <f aca="false">IF($A221="N/A"," ",(IF(AZ221&gt;0,($BM221*(8*($HF221))*Y221),0)+IF(BJ221&gt;0,($BM221*((BJ221/AH221)*8*$HF221)*Y221),0)))</f>
        <v> </v>
      </c>
      <c r="BV221" s="330" t="str">
        <f aca="false">IF($A221="N/A"," ",(IF(BA221&gt;0,($BM221*(8*($HF221))*Z221),0)+IF(BK221&gt;0,($BM221*((BK221))*Z221),0)))</f>
        <v> </v>
      </c>
      <c r="BW221" s="330" t="str">
        <f aca="false">IF($A221="N/A"," ",SUM(BN221:BV221))</f>
        <v> </v>
      </c>
      <c r="BX221" s="331" t="str">
        <f aca="false">IF($A221="N/A"," ",(H221*(SUM(AS221:BA221)+SUM(BC221:BK221))*BM221))</f>
        <v> </v>
      </c>
      <c r="BY221" s="332" t="str">
        <f aca="false">IF($A221="N/A"," ",((C221*D221)*(SUM($AS221:$BA221)+SUM($BC221:$BK221))*$BM221))</f>
        <v> </v>
      </c>
      <c r="BZ221" s="332" t="str">
        <f aca="false">IF($A221="N/A"," ",(F221*(SUM($AS221:$BA221)+SUM($BC221:$BK221))*$BM221))</f>
        <v> </v>
      </c>
      <c r="CA221" s="333" t="str">
        <f aca="false">IF($A221="N/A"," ",(G221*(SUM($AS221:$BA221)+SUM($BC221:$BK221))*$BM221))</f>
        <v> </v>
      </c>
      <c r="CB221" s="334" t="str">
        <f aca="false">IF(A221="N/A"," ",(VLOOKUP(A221,PowerVolTable,(IF(BMO=2,7,IF(BMO=1,6,8))),FALSE())))</f>
        <v> </v>
      </c>
      <c r="CC221" s="334" t="str">
        <f aca="false">IF(A221="N/A"," ",(VLOOKUP(A221,IntraPowerVol,(IF(BMO=2,3,IF(BMO=1,2,4))),FALSE())*VLOOKUP(MONTH($A221),Volscale,2)))</f>
        <v> </v>
      </c>
      <c r="CD221" s="335" t="str">
        <f aca="false">IF($A221="N/A"," ",(IF(DateToday&gt;$A221,$CC221,((($CB221^2)*((($A221-1)-DateToday)/((EOMONTH($A221,0)+1)-DateToday-15)))+((($CC221)^2)*((15)/((EOMONTH($A221,0)+1)-DateToday-15))))^0.5)))</f>
        <v> </v>
      </c>
      <c r="CE221" s="334" t="str">
        <f aca="false">IF($A221="N/A"," ",(VLOOKUP($A221,GasVolTable,(IF(BMO=2,6,IF(BMO=1,7,5))),FALSE())))</f>
        <v> </v>
      </c>
      <c r="CF221" s="334" t="str">
        <f aca="false">IF($A221="N/A"," ",(VLOOKUP($A221,OmicronVol,(IF(BMO=2,3,IF(BMO=1,4,2))),FALSE())))</f>
        <v> </v>
      </c>
      <c r="CG221" s="335" t="str">
        <f aca="false">IF($A221="N/A"," ",(IF(DateToday&gt;$A221,$CF221,((($CE221^2)*((($A221-1)-DateToday)/((EOMONTH($A221,0)+1)-DateToday-15)))+((($CF221)^2)*((15)/((EOMONTH($A221,0)+1)-DateToday-15))))^0.5)))</f>
        <v> </v>
      </c>
      <c r="CH221" s="334" t="str">
        <f aca="false">IF($A221="N/A"," ",VLOOKUP($A221,CorrelationTable,2,FALSE()))</f>
        <v> </v>
      </c>
      <c r="CI221" s="336" t="str">
        <f aca="false">IF($A221="N/A"," ",F221+G221+(D221*('Pricing Inputs'!T254)))</f>
        <v> </v>
      </c>
      <c r="CJ221" s="334" t="str">
        <f aca="false">IF($A221="N/A"," ",IF(PV=1,0,'Pricing Inputs'!U254))</f>
        <v> </v>
      </c>
      <c r="CK221" s="337" t="str">
        <f aca="false">IF($A221="N/A"," ",(1+CJ221/2)^(-2*((EOMONTH(A221,0)+20)-DateToday)/365.25))</f>
        <v> </v>
      </c>
      <c r="CL221" s="338" t="str">
        <f aca="false">IF(A221="N/A"," ",IF(CC=2,(VLOOKUP(MONTH($A221),Hrtable,3))/1000,0))</f>
        <v> </v>
      </c>
      <c r="CM221" s="339" t="str">
        <f aca="false">IF(A221="N/A"," ",IF(CC=2,(CL221*C221)+F221,0))</f>
        <v> </v>
      </c>
      <c r="CN221" s="340" t="str">
        <f aca="false">IF($A221="N/A"," ",IF(CC=2,(VLOOKUP(A221,ScaledPrice,(IF(AND(Dayrun&gt;=1,Dayrun&lt;=6),2,4)))-((IF(R221&lt;&gt;0,$D221,$CL221)*$C221)+$F221+$G221)),0))</f>
        <v> </v>
      </c>
      <c r="CO221" s="340" t="str">
        <f aca="false">IF($A221="N/A"," ",IF(CC=2,(IF(AND(Dayrun&gt;=1,Dayrun&lt;=6),I221,(VLOOKUP(A221,ScaledPrice,2))*(2-(VLOOKUP(A221,ScaledPrice,3))))-((IF(S221&lt;&gt;0,$D221,$CL221)*$C221)+$F221+$G221)),0))</f>
        <v> </v>
      </c>
      <c r="CP221" s="340" t="str">
        <f aca="false">IF(A221="N/A"," ",IF(CC=2,(VLOOKUP(A221,ScaledPrice,9)-((IF(T221&lt;&gt;0,$D221,$CL221)*$C221)+$F221+$G221)),0))</f>
        <v> </v>
      </c>
      <c r="CQ221" s="340" t="str">
        <f aca="false">IF(A221="N/A"," ",IF(CC=2,(IF(OR(Dayrun=2,Dayrun=3,Dayrun=5,Dayrun=6,Dayrun=8,Dayrun=9),VLOOKUP(A221,ScaledPrice,IF(AND(Dayrun&gt;=2,Dayrun&lt;=6),5,6)),0)-((IF(U221&lt;&gt;0,$D221,$CL221)*$C221)+$F221+$G221)),0))</f>
        <v> </v>
      </c>
      <c r="CR221" s="340" t="str">
        <f aca="false">IF(A221="N/A"," ",IF(CC=2,(IF(OR(Dayrun=2,Dayrun=3,Dayrun=5,Dayrun=6,Dayrun=8,Dayrun=9),IF(AND(Dayrun&gt;=2,Dayrun&lt;=6),L221,(VLOOKUP(A221,ScaledPrice,5))*(2-(VLOOKUP(A221,ScaledPrice,3)))),0)-((IF(V221&lt;&gt;0,$D221,$CL221)*$C221)+$F221+$G221)),0))</f>
        <v> </v>
      </c>
      <c r="CS221" s="340" t="str">
        <f aca="false">IF(A221="N/A"," ",IF(CC=2,(VLOOKUP(A221,ScaledPrice,9)-((IF(W221&lt;&gt;0,$D221,$CL221)*$C221)+$F221+$G221)),0))</f>
        <v> </v>
      </c>
      <c r="CT221" s="340" t="str">
        <f aca="false">IF(A221="N/A"," ",IF(CC=2,(IF(OR(Dayrun=3,Dayrun=6,Dayrun=9),(VLOOKUP(A221,ScaledPrice,IF(AND(Dayrun&gt;=3,Dayrun&lt;=6),7,8))),0)-((IF(X221&lt;&gt;0,$D221,$CL221)*$C221)+$F221+$G221)),0))</f>
        <v> </v>
      </c>
      <c r="CU221" s="340" t="str">
        <f aca="false">IF(A221="N/A"," ",IF(CC=2,(IF(OR(Dayrun=3,Dayrun=6,Dayrun=9),IF(AND(Dayrun&gt;=3,Dayrun&lt;=6),O221,(VLOOKUP(A221,ScaledPrice,7))*(2-(VLOOKUP(A221,ScaledPrice,3)))),0)-((IF(Y221&lt;&gt;0,$D221,$CL221)*$C221)+$F221+$G221)),0))</f>
        <v> </v>
      </c>
      <c r="CV221" s="340" t="str">
        <f aca="false">IF(A221="N/A"," ",IF(CC=2,(VLOOKUP(A221,ScaledPrice,9)-((IF(Z221&lt;&gt;0,$D221,$CL221)*$C221)+$F221+$G221)),0))</f>
        <v> </v>
      </c>
      <c r="CW221" s="318" t="str">
        <f aca="false">IF($A221="N/A"," ",IF(0&lt;&gt;CN221,IF(CC=2,8*$HD221,0),0))</f>
        <v> </v>
      </c>
      <c r="CX221" s="318" t="str">
        <f aca="false">IF($A221="N/A"," ",IF(0&lt;&gt;CO221,IF(CC=2,8*$HD221,0),0))</f>
        <v> </v>
      </c>
      <c r="CY221" s="318" t="str">
        <f aca="false">IF($A221="N/A"," ",IF(0&lt;&gt;CP221,IF(CC=2,8*$HD221,0),0))</f>
        <v> </v>
      </c>
      <c r="CZ221" s="318" t="str">
        <f aca="false">IF($A221="N/A"," ",IF(0&lt;&gt;CQ221,IF(CC=2,8*$HE221,0),0))</f>
        <v> </v>
      </c>
      <c r="DA221" s="318" t="str">
        <f aca="false">IF($A221="N/A"," ",IF(0&lt;&gt;CR221,IF(CC=2,8*$HE221,0),0))</f>
        <v> </v>
      </c>
      <c r="DB221" s="318" t="str">
        <f aca="false">IF($A221="N/A"," ",IF(0&lt;&gt;CS221,IF(CC=2,8*$HE221,0),0))</f>
        <v> </v>
      </c>
      <c r="DC221" s="318" t="str">
        <f aca="false">IF($A221="N/A"," ",IF(0&lt;&gt;CT221,IF(CC=2,8*$HF221,0),0))</f>
        <v> </v>
      </c>
      <c r="DD221" s="318" t="str">
        <f aca="false">IF($A221="N/A"," ",IF(0&lt;&gt;CU221,IF(CC=2,8*$HF221,0),0))</f>
        <v> </v>
      </c>
      <c r="DE221" s="318" t="str">
        <f aca="false">IF($A221="N/A"," ",IF(0&lt;&gt;CV221,IF(CC=2,8*$HF221,0),0))</f>
        <v> </v>
      </c>
      <c r="DF221" s="341" t="str">
        <f aca="false">IF($A221="N/A"," ",IF(CC=2,(IF(MONTH(A221)&gt;=4,IF(MONTH(A221)&lt;=10,Inputs!$G$13,Inputs!$G$14),Inputs!$G$14))*$CK221,0))</f>
        <v> </v>
      </c>
      <c r="DG221" s="342" t="str">
        <f aca="false">IF($A221="N/A"," ",IF(CC=2,$DF221*CW221*CN221,0))</f>
        <v> </v>
      </c>
      <c r="DH221" s="342" t="str">
        <f aca="false">IF($A221="N/A"," ",IF(CC=2,$DF221*CX221*CO221,0))</f>
        <v> </v>
      </c>
      <c r="DI221" s="342" t="str">
        <f aca="false">IF($A221="N/A"," ",IF(CC=2,$DF221*CY221*CP221,0))</f>
        <v> </v>
      </c>
      <c r="DJ221" s="342" t="str">
        <f aca="false">IF($A221="N/A"," ",IF(CC=2,$DF221*CZ221*CQ221,0))</f>
        <v> </v>
      </c>
      <c r="DK221" s="342" t="str">
        <f aca="false">IF($A221="N/A"," ",IF(CC=2,$DF221*DA221*CR221,0))</f>
        <v> </v>
      </c>
      <c r="DL221" s="342" t="str">
        <f aca="false">IF($A221="N/A"," ",IF(CC=2,$DF221*DB221*CS221,0))</f>
        <v> </v>
      </c>
      <c r="DM221" s="342" t="str">
        <f aca="false">IF($A221="N/A"," ",IF(CC=2,$DF221*DC221*CT221,0))</f>
        <v> </v>
      </c>
      <c r="DN221" s="342" t="str">
        <f aca="false">IF($A221="N/A"," ",IF(CC=2,$DF221*DD221*CU221,0))</f>
        <v> </v>
      </c>
      <c r="DO221" s="342" t="str">
        <f aca="false">IF($A221="N/A"," ",IF(CC=2,$DF221*DE221*CV221,0))</f>
        <v> </v>
      </c>
      <c r="DP221" s="343" t="str">
        <f aca="false">IF($A221="N/A"," ",IF(CC=2,SUM(DG221:DO221),0))</f>
        <v> </v>
      </c>
      <c r="DQ221" s="0" t="str">
        <f aca="false">IF(A221="N/A"," ",Perstart)</f>
        <v> </v>
      </c>
      <c r="HD221" s="0" t="str">
        <f aca="false">IF($A221="N/A"," ",VLOOKUP($A221,NumberofDaysTable,2))</f>
        <v> </v>
      </c>
      <c r="HE221" s="0" t="str">
        <f aca="false">IF($A221="N/A"," ",VLOOKUP($A221,NumberofDaysTable,3))</f>
        <v> </v>
      </c>
      <c r="HF221" s="0" t="str">
        <f aca="false">IF($A221="N/A"," ",VLOOKUP($A221,NumberofDaysTable,4))</f>
        <v> </v>
      </c>
    </row>
    <row r="222" customFormat="false" ht="12.75" hidden="false" customHeight="false" outlineLevel="0" collapsed="false">
      <c r="A222" s="308" t="str">
        <f aca="false">IF(A221="N/A","N/A",IF(EDATE(A221,1)&gt;Inputs!$K$3,"N/A",EDATE(A221,1)))</f>
        <v>N/A</v>
      </c>
      <c r="B222" s="309" t="str">
        <f aca="false">IF(A222="N/A"," ",YEAR(A222))</f>
        <v> </v>
      </c>
      <c r="C222" s="310" t="str">
        <f aca="false">IF(A222="N/A"," ",VLOOKUP(A222,ScaledPrice,10))</f>
        <v> </v>
      </c>
      <c r="D222" s="311" t="str">
        <f aca="false">IF(A222="N/A"," ",(VLOOKUP(MONTH($A222),Hrtable,2))/1000)</f>
        <v> </v>
      </c>
      <c r="E222" s="312" t="str">
        <f aca="false">IF($A222="N/A"," ",(C222-'Pricing Inputs'!T255)*D222)</f>
        <v> </v>
      </c>
      <c r="F222" s="313" t="str">
        <f aca="false">IF(A222="N/A"," ",$F210*(1+VOMesc))</f>
        <v> </v>
      </c>
      <c r="G222" s="313" t="str">
        <f aca="false">IF(A222="N/A"," ",Perstart/IF(AND(Dayrun&gt;=4,Dayrun&lt;=6),16,IF(AND(Dayrun&gt;=7,Dayrun&lt;=9),8,24))/(BM222/CK222))</f>
        <v> </v>
      </c>
      <c r="H222" s="314" t="str">
        <f aca="false">IF(A222="N/A"," ",(C222*D222)+F222+G222)</f>
        <v> </v>
      </c>
      <c r="I222" s="315" t="str">
        <f aca="false">VLOOKUP(A222,ScaledPrice,(IF(AND(Dayrun&gt;=1,Dayrun&lt;=6),2,4)))</f>
        <v> </v>
      </c>
      <c r="J222" s="315" t="str">
        <f aca="false">IF(A222="N/A"," ",IF(AND(Dayrun&gt;=1,Dayrun&lt;=6),I222,(VLOOKUP(A222,ScaledPrice,2))*(2-(VLOOKUP(A222,ScaledPrice,3)))))</f>
        <v> </v>
      </c>
      <c r="K222" s="315" t="str">
        <f aca="false">IF(A222="N/A"," ",IF(AND(Dayrun&gt;=1,Dayrun&lt;=3),VLOOKUP(A222,ScaledPrice,9),0))</f>
        <v> </v>
      </c>
      <c r="L222" s="315" t="str">
        <f aca="false">IF(A222="N/A"," ",IF(OR(Dayrun=2,Dayrun=3,Dayrun=5,Dayrun=6,Dayrun=8,Dayrun=9),VLOOKUP(A222,ScaledPrice,IF(AND(Dayrun&gt;=2,Dayrun&lt;=6),5,6)),0))</f>
        <v> </v>
      </c>
      <c r="M222" s="315" t="str">
        <f aca="false">IF(A222="N/A"," ",IF(OR(Dayrun=2,Dayrun=3,Dayrun=5,Dayrun=6,Dayrun=8,Dayrun=9),IF(AND(Dayrun&gt;=2,Dayrun&lt;=6),L222,(VLOOKUP(A222,ScaledPrice,5))*(2-(VLOOKUP(A222,ScaledPrice,3)))),0))</f>
        <v> </v>
      </c>
      <c r="N222" s="315" t="str">
        <f aca="false">IF(A222="N/A"," ",IF(AND(Dayrun&gt;1,Dayrun&lt;=3),VLOOKUP(A222,ScaledPrice,9),0))</f>
        <v> </v>
      </c>
      <c r="O222" s="315" t="str">
        <f aca="false">IF(A222="N/A"," ",IF(OR(Dayrun=3,Dayrun=6,Dayrun=9),(VLOOKUP(A222,ScaledPrice,IF(AND(Dayrun&gt;=3,Dayrun&lt;=6),7,8))),0))</f>
        <v> </v>
      </c>
      <c r="P222" s="315" t="str">
        <f aca="false">IF(A222="N/A"," ",IF(OR(Dayrun=3,Dayrun=6,Dayrun=9),IF(AND(Dayrun&gt;=3,Dayrun&lt;=6),O222,(VLOOKUP(A222,ScaledPrice,7))*(2-(VLOOKUP(A222,ScaledPrice,3)))),0))</f>
        <v> </v>
      </c>
      <c r="Q222" s="315" t="str">
        <f aca="false">IF(A222="N/A"," ",IF(AND(Dayrun&gt;2,Dayrun&lt;=3),VLOOKUP(A222,ScaledPrice,9),0))</f>
        <v> </v>
      </c>
      <c r="R222" s="316" t="str">
        <f aca="false">IF($A222="N/A"," ",IF(Pricetype=2,MAX(I222-$H222,0),IF(Pricetype=1,(xSPRDOPT(I222,$E222,$CI222,0,($CD222+IF(Smile=TRUE(),VLOOKUP(MAX(-5,$H222-I222),Volsmile,2),0)),$CG222,$CH222,($A222-DateToday)+15,1,0)),I222-$H222)))</f>
        <v> </v>
      </c>
      <c r="S222" s="316" t="str">
        <f aca="false">IF($A222="N/A"," ",IF(Pricetype=2,MAX(J222-$H222,0),IF(Pricetype=1,(xSPRDOPT(J222,$E222,$CI222,0,($CD222+IF(Smile=TRUE(),VLOOKUP(MAX(-5,$H222-J222),Volsmile,2),0)),$CG222,$CH222,($A222-DateToday)+15,1,0)),J222-$H222)))</f>
        <v> </v>
      </c>
      <c r="T222" s="317" t="str">
        <f aca="false">IF($A222="N/A"," ",(IF(Pricetype=2,IF((K222-$H222)&lt;=0,0,(K222-$H222)),IF(K222&lt;&gt;0,(K222-$H222),0))))</f>
        <v> </v>
      </c>
      <c r="U222" s="316" t="str">
        <f aca="false">IF($A222="N/A"," ",IF(Pricetype=2,MAX(L222-$H222,0),IF(L222&lt;&gt;0,IF(Pricetype=1,(xSPRDOPT(L222,$E222,$CI222,0,($CD222+IF(Smile=TRUE(),VLOOKUP(MAX(-5,$H222-L222),Volsmile,2),0)),$CG222,$CH222,($A222-DateToday)+15,1,0)),L222-$H222),0)))</f>
        <v> </v>
      </c>
      <c r="V222" s="316" t="str">
        <f aca="false">IF($A222="N/A"," ",IF(Pricetype=2,MAX(M222-$H222,0),IF(M222&lt;&gt;0,IF(Pricetype=1,(xSPRDOPT(M222,$E222,$CI222,0,($CD222+IF(Smile=TRUE(),VLOOKUP(MAX(-5,$H222-M222),Volsmile,2),0)),$CG222,$CH222,($A222-DateToday)+15,1,0)),M222-$H222),0)))</f>
        <v> </v>
      </c>
      <c r="W222" s="317" t="str">
        <f aca="false">IF($A222="N/A"," ",(IF(Pricetype=2,IF((N222-$H222)&lt;=0,0,(N222-$H222)),IF(N222&lt;&gt;0,(N222-$H222),0))))</f>
        <v> </v>
      </c>
      <c r="X222" s="316" t="str">
        <f aca="false">IF($A222="N/A"," ",IF(Pricetype=2,MAX(O222-$H222,0),IF(O222&lt;&gt;0,IF(Pricetype=1,(xSPRDOPT(O222,$E222,$CI222,0,($CD222+IF(Smile=TRUE(),VLOOKUP(MAX(-5,$H222-O222),Volsmile,2),0)),$CG222,$CH222,($A222-DateToday)+15,1,0)),O222-$H222),0)))</f>
        <v> </v>
      </c>
      <c r="Y222" s="316" t="str">
        <f aca="false">IF($A222="N/A"," ",IF(Pricetype=2,MAX(P222-$H222,0),IF(P222&lt;&gt;0,IF(Pricetype=1,(xSPRDOPT(P222,$E222,$CI222,0,($CD222+IF(Smile=TRUE(),VLOOKUP(MAX(-5,$H222-P222),Volsmile,2),0)),$CG222,$CH222,($A222-DateToday)+15,1,0)),P222-$H222),0)))</f>
        <v> </v>
      </c>
      <c r="Z222" s="317" t="str">
        <f aca="false">IF($A222="N/A"," ",(IF(Pricetype=2,IF((Q222-$H222)&lt;=0,0,(Q222-$H222)),IF(Q222&lt;&gt;0,(Q222-$H222),0))))</f>
        <v> </v>
      </c>
      <c r="AA222" s="318" t="str">
        <f aca="false">IF($A222="N/A"," ",IF(VLOOKUP(MONTH(A222),ManualTable,2)=1,(IF(0&lt;&gt;R222,IF(Pricetype=1,(xSPRDOPT(I222,$E222,$CI222,0,($CD222+IF(Smile=TRUE(),VLOOKUP(MAX(-5,$H222-I222),Volsmile,2),0)),$CG222,$CH222,($A222-DateToday)+15,1,1))*(8*$HD222),8*$HD222),0)),0))</f>
        <v> </v>
      </c>
      <c r="AB222" s="318" t="str">
        <f aca="false">IF($A222="N/A"," ",IF(VLOOKUP(MONTH(A222),ManualTable,3)=1,(IF(S222&lt;&gt;0,IF(Pricetype=1,(xSPRDOPT(J222,$E222,$CI222,0,($CD222+IF(Smile=TRUE(),VLOOKUP(MAX(-5,$H222-J222),Volsmile,2),0)),$CG222,$CH222,($A222-DateToday)+15,1,1))*(8*$HD222),8*$HD222),0)),0))</f>
        <v> </v>
      </c>
      <c r="AC222" s="318" t="str">
        <f aca="false">IF($A222="N/A"," ",IF(VLOOKUP(MONTH(A222),ManualTable,4)=1,(IF(T222&lt;&gt;0,(8*$HD222),0)),0))</f>
        <v> </v>
      </c>
      <c r="AD222" s="318" t="str">
        <f aca="false">IF($A222="N/A"," ",IF(VLOOKUP(MONTH(A222),ManualTable,5)=1,(IF(U222&lt;&gt;0,IF(Pricetype=1,(xSPRDOPT(L222,$E222,$CI222,0,($CD222+IF(Smile=TRUE(),VLOOKUP(MAX(-5,$H222-L222),Volsmile,2),0)),$CG222,$CH222,($A222-DateToday)+15,1,1))*(8*$HE222),8*$HE222),0)),0))</f>
        <v> </v>
      </c>
      <c r="AE222" s="318" t="str">
        <f aca="false">IF($A222="N/A"," ",IF(VLOOKUP(MONTH(A222),ManualTable,6)=1,(IF(V222&lt;&gt;0,IF(Pricetype=1,(xSPRDOPT(M222,$E222,$CI222,0,($CD222+IF(Smile=TRUE(),VLOOKUP(MAX(-5,$H222-M222),Volsmile,2),0)),$CG222,$CH222,($A222-DateToday)+15,1,1))*(8*$HE222),8*$HE222),0)),0))</f>
        <v> </v>
      </c>
      <c r="AF222" s="318" t="str">
        <f aca="false">IF($A222="N/A"," ",IF(VLOOKUP(MONTH(A222),ManualTable,7)=1,(IF(W222&lt;&gt;0,(8*$HE222),0)),0))</f>
        <v> </v>
      </c>
      <c r="AG222" s="318" t="str">
        <f aca="false">IF($A222="N/A"," ",IF(VLOOKUP(MONTH(A222),ManualTable,8)=1,(IF(X222&lt;&gt;0,IF(Pricetype=1,(xSPRDOPT(O222,$E222,$CI222,0,($CD222+IF(Smile=TRUE(),VLOOKUP(MAX(-5,$H222-O222),Volsmile,2),0)),$CG222,$CH222,($A222-DateToday)+15,1,1))*(8*$HF222),8*$HF222),0)),0))</f>
        <v> </v>
      </c>
      <c r="AH222" s="318" t="str">
        <f aca="false">IF($A222="N/A"," ",IF(VLOOKUP(MONTH(A222),ManualTable,9)=1,(IF(Y222&lt;&gt;0,IF(Pricetype=1,(xSPRDOPT(P222,$E222,$CI222,0,($CD222+IF(Smile=TRUE(),VLOOKUP(MAX(-5,$H222-P222),Volsmile,2),0)),$CG222,$CH222,($A222-DateToday)+15,1,1))*(8*$HF222),8*$HF222),0)),0))</f>
        <v> </v>
      </c>
      <c r="AI222" s="318" t="str">
        <f aca="false">IF($A222="N/A"," ",IF(VLOOKUP(MONTH(A222),ManualTable,10)=1,(IF(Z222&lt;&gt;0,(8*($HF222)),0)),0))</f>
        <v> </v>
      </c>
      <c r="AJ222" s="344" t="str">
        <f aca="false">IF($A222="N/A"," ",RANK(R222,$R$220:$Z$231))</f>
        <v> </v>
      </c>
      <c r="AK222" s="321" t="str">
        <f aca="false">IF($A222="N/A"," ",RANK(S222,$R$220:$Z$231))</f>
        <v> </v>
      </c>
      <c r="AL222" s="321" t="str">
        <f aca="false">IF($A222="N/A"," ",RANK(T222,$R$220:$Z$231))</f>
        <v> </v>
      </c>
      <c r="AM222" s="321" t="str">
        <f aca="false">IF($A222="N/A"," ",RANK(U222,$R$220:$Z$231))</f>
        <v> </v>
      </c>
      <c r="AN222" s="321" t="str">
        <f aca="false">IF($A222="N/A"," ",RANK(V222,$R$220:$Z$231))</f>
        <v> </v>
      </c>
      <c r="AO222" s="321" t="str">
        <f aca="false">IF($A222="N/A"," ",RANK(W222,$R$220:$Z$231))</f>
        <v> </v>
      </c>
      <c r="AP222" s="321" t="str">
        <f aca="false">IF($A222="N/A"," ",RANK(X222,$R$220:$Z$231))</f>
        <v> </v>
      </c>
      <c r="AQ222" s="321" t="str">
        <f aca="false">IF($A222="N/A"," ",RANK(Y222,$R$220:$Z$231))</f>
        <v> </v>
      </c>
      <c r="AR222" s="345" t="str">
        <f aca="false">IF($A222="N/A"," ",RANK(Z222,$R$220:$Z$231))</f>
        <v> </v>
      </c>
      <c r="AS222" s="323" t="str">
        <f aca="false">IF($A222="N/A"," ",IF(AJ222&lt;=$AR$2,AA222,0))</f>
        <v> </v>
      </c>
      <c r="AT222" s="325" t="str">
        <f aca="false">IF($A222="N/A"," ",IF(AK222&lt;=$AR$2,AB222,0))</f>
        <v> </v>
      </c>
      <c r="AU222" s="325" t="str">
        <f aca="false">IF($A222="N/A"," ",IF(AL222&lt;=$AR$2,AC222,0))</f>
        <v> </v>
      </c>
      <c r="AV222" s="325" t="str">
        <f aca="false">IF($A222="N/A"," ",IF(AM222&lt;=$AR$2,AD222,0))</f>
        <v> </v>
      </c>
      <c r="AW222" s="325" t="str">
        <f aca="false">IF($A222="N/A"," ",IF(AN222&lt;=$AR$2,AE222,0))</f>
        <v> </v>
      </c>
      <c r="AX222" s="325" t="str">
        <f aca="false">IF($A222="N/A"," ",IF(AO222&lt;=$AR$2,AF222,0))</f>
        <v> </v>
      </c>
      <c r="AY222" s="325" t="str">
        <f aca="false">IF($A222="N/A"," ",IF(AP222&lt;=$AR$2,AG222,0))</f>
        <v> </v>
      </c>
      <c r="AZ222" s="325" t="str">
        <f aca="false">IF($A222="N/A"," ",IF(AQ222&lt;=$AR$2,AH222,0))</f>
        <v> </v>
      </c>
      <c r="BA222" s="325" t="str">
        <f aca="false">IF($A222="N/A"," ",IF(AR222&lt;=$AR$2,AI222,0))</f>
        <v> </v>
      </c>
      <c r="BB222" s="345"/>
      <c r="BC222" s="326" t="str">
        <f aca="false">IF($A222="N/A"," ",IF(AND(AJ222=$AR$2+1,AS222=0),MIN($BB$231,AA222),0))</f>
        <v> </v>
      </c>
      <c r="BD222" s="346" t="str">
        <f aca="false">IF($A222="N/A"," ",IF(AND(AK222=$AR$2+1,AT222=0),MIN($BB$231,AB222),0))</f>
        <v> </v>
      </c>
      <c r="BE222" s="346" t="str">
        <f aca="false">IF($A222="N/A"," ",IF(AND(AL222=$AR$2+1,AU222=0),MIN($BB$231,AC222),0))</f>
        <v> </v>
      </c>
      <c r="BF222" s="346" t="str">
        <f aca="false">IF($A222="N/A"," ",IF(AND(AM222=$AR$2+1,AV222=0),MIN($BB$231,AD222),0))</f>
        <v> </v>
      </c>
      <c r="BG222" s="346" t="str">
        <f aca="false">IF($A222="N/A"," ",IF(AND(AN222=$AR$2+1,AW222=0),MIN($BB$231,AE222),0))</f>
        <v> </v>
      </c>
      <c r="BH222" s="346" t="str">
        <f aca="false">IF($A222="N/A"," ",IF(AND(AO222=$AR$2+1,AX222=0),MIN($BB$231,AF222),0))</f>
        <v> </v>
      </c>
      <c r="BI222" s="346" t="str">
        <f aca="false">IF($A222="N/A"," ",IF(AND(AP222=$AR$2+1,AY222=0),MIN($BB$231,AG222),0))</f>
        <v> </v>
      </c>
      <c r="BJ222" s="346" t="str">
        <f aca="false">IF($A222="N/A"," ",IF(AND(AQ222=$AR$2+1,AZ222=0),MIN($BB$231,AH222),0))</f>
        <v> </v>
      </c>
      <c r="BK222" s="346" t="str">
        <f aca="false">IF($A222="N/A"," ",IF(AND(AR222=$AR$2+1,BA222=0),MIN($BB$231,AI222),0))</f>
        <v> </v>
      </c>
      <c r="BL222" s="345"/>
      <c r="BM222" s="329" t="str">
        <f aca="false">IF($A222="N/A"," ",(IF(MONTH(A222)&gt;=4,IF(MONTH(A222)&lt;=10,Inputs!$F$13-Inputs!$G$13,Inputs!$F$14-Inputs!$G$14),Inputs!$F$14-Inputs!$G$14))*$CK222*Availability)</f>
        <v> </v>
      </c>
      <c r="BN222" s="330" t="str">
        <f aca="false">IF($A222="N/A"," ",(IF(AS222&gt;0,($BM222*(8*($HD222))*R222),0)+IF(BC222&gt;0,($BM222*((BC222/AA222)*8*$HD222)*R222),0)))</f>
        <v> </v>
      </c>
      <c r="BO222" s="330" t="str">
        <f aca="false">IF($A222="N/A"," ",(IF(AT222&gt;0,($BM222*(8*($HD222))*S222),0)+IF(BD222&gt;0,($BM222*((BD222/AB222)*8*$HD222)*S222),0)))</f>
        <v> </v>
      </c>
      <c r="BP222" s="330" t="str">
        <f aca="false">IF($A222="N/A"," ",(IF(AU222&gt;0,($BM222*(8*($HD222))*T222),0)+IF(BE222&gt;0,($BM222*((BE222))*T222),0)))</f>
        <v> </v>
      </c>
      <c r="BQ222" s="330" t="str">
        <f aca="false">IF($A222="N/A"," ",(IF(AV222&gt;0,($BM222*(8*($HE222))*U222),0)+IF(BF222&gt;0,($BM222*((BF222/AD222)*8*$HE222)*U222),0)))</f>
        <v> </v>
      </c>
      <c r="BR222" s="330" t="str">
        <f aca="false">IF($A222="N/A"," ",(IF(AW222&gt;0,($BM222*(8*($HE222))*V222),0)+IF(BG222&gt;0,($BM222*((BG222/AE222)*8*$HE222)*V222),0)))</f>
        <v> </v>
      </c>
      <c r="BS222" s="330" t="str">
        <f aca="false">IF($A222="N/A"," ",(IF(AX222&gt;0,($BM222*(8*($HE222))*W222),0)+IF(BH222&gt;0,($BM222*((BH222))*W222),0)))</f>
        <v> </v>
      </c>
      <c r="BT222" s="330" t="str">
        <f aca="false">IF($A222="N/A"," ",(IF(AY222&gt;0,($BM222*(8*($HF222))*X222),0)+IF(BI222&gt;0,($BM222*((BI222/AG222)*8*$HF222)*X222),0)))</f>
        <v> </v>
      </c>
      <c r="BU222" s="330" t="str">
        <f aca="false">IF($A222="N/A"," ",(IF(AZ222&gt;0,($BM222*(8*($HF222))*Y222),0)+IF(BJ222&gt;0,($BM222*((BJ222/AH222)*8*$HF222)*Y222),0)))</f>
        <v> </v>
      </c>
      <c r="BV222" s="330" t="str">
        <f aca="false">IF($A222="N/A"," ",(IF(BA222&gt;0,($BM222*(8*($HF222))*Z222),0)+IF(BK222&gt;0,($BM222*((BK222))*Z222),0)))</f>
        <v> </v>
      </c>
      <c r="BW222" s="330" t="str">
        <f aca="false">IF($A222="N/A"," ",SUM(BN222:BV222))</f>
        <v> </v>
      </c>
      <c r="BX222" s="331" t="str">
        <f aca="false">IF($A222="N/A"," ",(H222*(SUM(AS222:BA222)+SUM(BC222:BK222))*BM222))</f>
        <v> </v>
      </c>
      <c r="BY222" s="332" t="str">
        <f aca="false">IF($A222="N/A"," ",((C222*D222)*(SUM($AS222:$BA222)+SUM($BC222:$BK222))*$BM222))</f>
        <v> </v>
      </c>
      <c r="BZ222" s="332" t="str">
        <f aca="false">IF($A222="N/A"," ",(F222*(SUM($AS222:$BA222)+SUM($BC222:$BK222))*$BM222))</f>
        <v> </v>
      </c>
      <c r="CA222" s="333" t="str">
        <f aca="false">IF($A222="N/A"," ",(G222*(SUM($AS222:$BA222)+SUM($BC222:$BK222))*$BM222))</f>
        <v> </v>
      </c>
      <c r="CB222" s="334" t="str">
        <f aca="false">IF(A222="N/A"," ",(VLOOKUP(A222,PowerVolTable,(IF(BMO=2,7,IF(BMO=1,6,8))),FALSE())))</f>
        <v> </v>
      </c>
      <c r="CC222" s="334" t="str">
        <f aca="false">IF(A222="N/A"," ",(VLOOKUP(A222,IntraPowerVol,(IF(BMO=2,3,IF(BMO=1,2,4))),FALSE())*VLOOKUP(MONTH($A222),Volscale,2)))</f>
        <v> </v>
      </c>
      <c r="CD222" s="335" t="str">
        <f aca="false">IF($A222="N/A"," ",(IF(DateToday&gt;$A222,$CC222,((($CB222^2)*((($A222-1)-DateToday)/((EOMONTH($A222,0)+1)-DateToday-15)))+((($CC222)^2)*((15)/((EOMONTH($A222,0)+1)-DateToday-15))))^0.5)))</f>
        <v> </v>
      </c>
      <c r="CE222" s="334" t="str">
        <f aca="false">IF($A222="N/A"," ",(VLOOKUP($A222,GasVolTable,(IF(BMO=2,6,IF(BMO=1,7,5))),FALSE())))</f>
        <v> </v>
      </c>
      <c r="CF222" s="334" t="str">
        <f aca="false">IF($A222="N/A"," ",(VLOOKUP($A222,OmicronVol,(IF(BMO=2,3,IF(BMO=1,4,2))),FALSE())))</f>
        <v> </v>
      </c>
      <c r="CG222" s="335" t="str">
        <f aca="false">IF($A222="N/A"," ",(IF(DateToday&gt;$A222,$CF222,((($CE222^2)*((($A222-1)-DateToday)/((EOMONTH($A222,0)+1)-DateToday-15)))+((($CF222)^2)*((15)/((EOMONTH($A222,0)+1)-DateToday-15))))^0.5)))</f>
        <v> </v>
      </c>
      <c r="CH222" s="334" t="str">
        <f aca="false">IF($A222="N/A"," ",VLOOKUP($A222,CorrelationTable,2,FALSE()))</f>
        <v> </v>
      </c>
      <c r="CI222" s="336" t="str">
        <f aca="false">IF($A222="N/A"," ",F222+G222+(D222*('Pricing Inputs'!T255)))</f>
        <v> </v>
      </c>
      <c r="CJ222" s="334" t="str">
        <f aca="false">IF($A222="N/A"," ",IF(PV=1,0,'Pricing Inputs'!U255))</f>
        <v> </v>
      </c>
      <c r="CK222" s="337" t="str">
        <f aca="false">IF($A222="N/A"," ",(1+CJ222/2)^(-2*((EOMONTH(A222,0)+20)-DateToday)/365.25))</f>
        <v> </v>
      </c>
      <c r="CL222" s="338" t="str">
        <f aca="false">IF(A222="N/A"," ",IF(CC=2,(VLOOKUP(MONTH($A222),Hrtable,3))/1000,0))</f>
        <v> </v>
      </c>
      <c r="CM222" s="339" t="str">
        <f aca="false">IF(A222="N/A"," ",IF(CC=2,(CL222*C222)+F222,0))</f>
        <v> </v>
      </c>
      <c r="CN222" s="340" t="str">
        <f aca="false">IF($A222="N/A"," ",IF(CC=2,(VLOOKUP(A222,ScaledPrice,(IF(AND(Dayrun&gt;=1,Dayrun&lt;=6),2,4)))-((IF(R222&lt;&gt;0,$D222,$CL222)*$C222)+$F222+$G222)),0))</f>
        <v> </v>
      </c>
      <c r="CO222" s="340" t="str">
        <f aca="false">IF($A222="N/A"," ",IF(CC=2,(IF(AND(Dayrun&gt;=1,Dayrun&lt;=6),I222,(VLOOKUP(A222,ScaledPrice,2))*(2-(VLOOKUP(A222,ScaledPrice,3))))-((IF(S222&lt;&gt;0,$D222,$CL222)*$C222)+$F222+$G222)),0))</f>
        <v> </v>
      </c>
      <c r="CP222" s="340" t="str">
        <f aca="false">IF(A222="N/A"," ",IF(CC=2,(VLOOKUP(A222,ScaledPrice,9)-((IF(T222&lt;&gt;0,$D222,$CL222)*$C222)+$F222+$G222)),0))</f>
        <v> </v>
      </c>
      <c r="CQ222" s="340" t="str">
        <f aca="false">IF(A222="N/A"," ",IF(CC=2,(IF(OR(Dayrun=2,Dayrun=3,Dayrun=5,Dayrun=6,Dayrun=8,Dayrun=9),VLOOKUP(A222,ScaledPrice,IF(AND(Dayrun&gt;=2,Dayrun&lt;=6),5,6)),0)-((IF(U222&lt;&gt;0,$D222,$CL222)*$C222)+$F222+$G222)),0))</f>
        <v> </v>
      </c>
      <c r="CR222" s="340" t="str">
        <f aca="false">IF(A222="N/A"," ",IF(CC=2,(IF(OR(Dayrun=2,Dayrun=3,Dayrun=5,Dayrun=6,Dayrun=8,Dayrun=9),IF(AND(Dayrun&gt;=2,Dayrun&lt;=6),L222,(VLOOKUP(A222,ScaledPrice,5))*(2-(VLOOKUP(A222,ScaledPrice,3)))),0)-((IF(V222&lt;&gt;0,$D222,$CL222)*$C222)+$F222+$G222)),0))</f>
        <v> </v>
      </c>
      <c r="CS222" s="340" t="str">
        <f aca="false">IF(A222="N/A"," ",IF(CC=2,(VLOOKUP(A222,ScaledPrice,9)-((IF(W222&lt;&gt;0,$D222,$CL222)*$C222)+$F222+$G222)),0))</f>
        <v> </v>
      </c>
      <c r="CT222" s="340" t="str">
        <f aca="false">IF(A222="N/A"," ",IF(CC=2,(IF(OR(Dayrun=3,Dayrun=6,Dayrun=9),(VLOOKUP(A222,ScaledPrice,IF(AND(Dayrun&gt;=3,Dayrun&lt;=6),7,8))),0)-((IF(X222&lt;&gt;0,$D222,$CL222)*$C222)+$F222+$G222)),0))</f>
        <v> </v>
      </c>
      <c r="CU222" s="340" t="str">
        <f aca="false">IF(A222="N/A"," ",IF(CC=2,(IF(OR(Dayrun=3,Dayrun=6,Dayrun=9),IF(AND(Dayrun&gt;=3,Dayrun&lt;=6),O222,(VLOOKUP(A222,ScaledPrice,7))*(2-(VLOOKUP(A222,ScaledPrice,3)))),0)-((IF(Y222&lt;&gt;0,$D222,$CL222)*$C222)+$F222+$G222)),0))</f>
        <v> </v>
      </c>
      <c r="CV222" s="340" t="str">
        <f aca="false">IF(A222="N/A"," ",IF(CC=2,(VLOOKUP(A222,ScaledPrice,9)-((IF(Z222&lt;&gt;0,$D222,$CL222)*$C222)+$F222+$G222)),0))</f>
        <v> </v>
      </c>
      <c r="CW222" s="318" t="str">
        <f aca="false">IF($A222="N/A"," ",IF(0&lt;&gt;CN222,IF(CC=2,8*$HD222,0),0))</f>
        <v> </v>
      </c>
      <c r="CX222" s="318" t="str">
        <f aca="false">IF($A222="N/A"," ",IF(0&lt;&gt;CO222,IF(CC=2,8*$HD222,0),0))</f>
        <v> </v>
      </c>
      <c r="CY222" s="318" t="str">
        <f aca="false">IF($A222="N/A"," ",IF(0&lt;&gt;CP222,IF(CC=2,8*$HD222,0),0))</f>
        <v> </v>
      </c>
      <c r="CZ222" s="318" t="str">
        <f aca="false">IF($A222="N/A"," ",IF(0&lt;&gt;CQ222,IF(CC=2,8*$HE222,0),0))</f>
        <v> </v>
      </c>
      <c r="DA222" s="318" t="str">
        <f aca="false">IF($A222="N/A"," ",IF(0&lt;&gt;CR222,IF(CC=2,8*$HE222,0),0))</f>
        <v> </v>
      </c>
      <c r="DB222" s="318" t="str">
        <f aca="false">IF($A222="N/A"," ",IF(0&lt;&gt;CS222,IF(CC=2,8*$HE222,0),0))</f>
        <v> </v>
      </c>
      <c r="DC222" s="318" t="str">
        <f aca="false">IF($A222="N/A"," ",IF(0&lt;&gt;CT222,IF(CC=2,8*$HF222,0),0))</f>
        <v> </v>
      </c>
      <c r="DD222" s="318" t="str">
        <f aca="false">IF($A222="N/A"," ",IF(0&lt;&gt;CU222,IF(CC=2,8*$HF222,0),0))</f>
        <v> </v>
      </c>
      <c r="DE222" s="318" t="str">
        <f aca="false">IF($A222="N/A"," ",IF(0&lt;&gt;CV222,IF(CC=2,8*$HF222,0),0))</f>
        <v> </v>
      </c>
      <c r="DF222" s="341" t="str">
        <f aca="false">IF($A222="N/A"," ",IF(CC=2,(IF(MONTH(A222)&gt;=4,IF(MONTH(A222)&lt;=10,Inputs!$G$13,Inputs!$G$14),Inputs!$G$14))*$CK222,0))</f>
        <v> </v>
      </c>
      <c r="DG222" s="342" t="str">
        <f aca="false">IF($A222="N/A"," ",IF(CC=2,$DF222*CW222*CN222,0))</f>
        <v> </v>
      </c>
      <c r="DH222" s="342" t="str">
        <f aca="false">IF($A222="N/A"," ",IF(CC=2,$DF222*CX222*CO222,0))</f>
        <v> </v>
      </c>
      <c r="DI222" s="342" t="str">
        <f aca="false">IF($A222="N/A"," ",IF(CC=2,$DF222*CY222*CP222,0))</f>
        <v> </v>
      </c>
      <c r="DJ222" s="342" t="str">
        <f aca="false">IF($A222="N/A"," ",IF(CC=2,$DF222*CZ222*CQ222,0))</f>
        <v> </v>
      </c>
      <c r="DK222" s="342" t="str">
        <f aca="false">IF($A222="N/A"," ",IF(CC=2,$DF222*DA222*CR222,0))</f>
        <v> </v>
      </c>
      <c r="DL222" s="342" t="str">
        <f aca="false">IF($A222="N/A"," ",IF(CC=2,$DF222*DB222*CS222,0))</f>
        <v> </v>
      </c>
      <c r="DM222" s="342" t="str">
        <f aca="false">IF($A222="N/A"," ",IF(CC=2,$DF222*DC222*CT222,0))</f>
        <v> </v>
      </c>
      <c r="DN222" s="342" t="str">
        <f aca="false">IF($A222="N/A"," ",IF(CC=2,$DF222*DD222*CU222,0))</f>
        <v> </v>
      </c>
      <c r="DO222" s="342" t="str">
        <f aca="false">IF($A222="N/A"," ",IF(CC=2,$DF222*DE222*CV222,0))</f>
        <v> </v>
      </c>
      <c r="DP222" s="343" t="str">
        <f aca="false">IF($A222="N/A"," ",IF(CC=2,SUM(DG222:DO222),0))</f>
        <v> </v>
      </c>
      <c r="DQ222" s="0" t="str">
        <f aca="false">IF(A222="N/A"," ",Perstart)</f>
        <v> </v>
      </c>
      <c r="HD222" s="0" t="str">
        <f aca="false">IF($A222="N/A"," ",VLOOKUP($A222,NumberofDaysTable,2))</f>
        <v> </v>
      </c>
      <c r="HE222" s="0" t="str">
        <f aca="false">IF($A222="N/A"," ",VLOOKUP($A222,NumberofDaysTable,3))</f>
        <v> </v>
      </c>
      <c r="HF222" s="0" t="str">
        <f aca="false">IF($A222="N/A"," ",VLOOKUP($A222,NumberofDaysTable,4))</f>
        <v> </v>
      </c>
    </row>
    <row r="223" customFormat="false" ht="12.75" hidden="false" customHeight="false" outlineLevel="0" collapsed="false">
      <c r="A223" s="308" t="str">
        <f aca="false">IF(A222="N/A","N/A",IF(EDATE(A222,1)&gt;Inputs!$K$3,"N/A",EDATE(A222,1)))</f>
        <v>N/A</v>
      </c>
      <c r="B223" s="309" t="str">
        <f aca="false">IF(A223="N/A"," ",YEAR(A223))</f>
        <v> </v>
      </c>
      <c r="C223" s="310" t="str">
        <f aca="false">IF(A223="N/A"," ",VLOOKUP(A223,ScaledPrice,10))</f>
        <v> </v>
      </c>
      <c r="D223" s="311" t="str">
        <f aca="false">IF(A223="N/A"," ",(VLOOKUP(MONTH($A223),Hrtable,2))/1000)</f>
        <v> </v>
      </c>
      <c r="E223" s="312" t="str">
        <f aca="false">IF($A223="N/A"," ",(C223-'Pricing Inputs'!T256)*D223)</f>
        <v> </v>
      </c>
      <c r="F223" s="313" t="str">
        <f aca="false">IF(A223="N/A"," ",$F211*(1+VOMesc))</f>
        <v> </v>
      </c>
      <c r="G223" s="313" t="str">
        <f aca="false">IF(A223="N/A"," ",Perstart/IF(AND(Dayrun&gt;=4,Dayrun&lt;=6),16,IF(AND(Dayrun&gt;=7,Dayrun&lt;=9),8,24))/(BM223/CK223))</f>
        <v> </v>
      </c>
      <c r="H223" s="314" t="str">
        <f aca="false">IF(A223="N/A"," ",(C223*D223)+F223+G223)</f>
        <v> </v>
      </c>
      <c r="I223" s="315" t="str">
        <f aca="false">VLOOKUP(A223,ScaledPrice,(IF(AND(Dayrun&gt;=1,Dayrun&lt;=6),2,4)))</f>
        <v> </v>
      </c>
      <c r="J223" s="315" t="str">
        <f aca="false">IF(A223="N/A"," ",IF(AND(Dayrun&gt;=1,Dayrun&lt;=6),I223,(VLOOKUP(A223,ScaledPrice,2))*(2-(VLOOKUP(A223,ScaledPrice,3)))))</f>
        <v> </v>
      </c>
      <c r="K223" s="315" t="str">
        <f aca="false">IF(A223="N/A"," ",IF(AND(Dayrun&gt;=1,Dayrun&lt;=3),VLOOKUP(A223,ScaledPrice,9),0))</f>
        <v> </v>
      </c>
      <c r="L223" s="315" t="str">
        <f aca="false">IF(A223="N/A"," ",IF(OR(Dayrun=2,Dayrun=3,Dayrun=5,Dayrun=6,Dayrun=8,Dayrun=9),VLOOKUP(A223,ScaledPrice,IF(AND(Dayrun&gt;=2,Dayrun&lt;=6),5,6)),0))</f>
        <v> </v>
      </c>
      <c r="M223" s="315" t="str">
        <f aca="false">IF(A223="N/A"," ",IF(OR(Dayrun=2,Dayrun=3,Dayrun=5,Dayrun=6,Dayrun=8,Dayrun=9),IF(AND(Dayrun&gt;=2,Dayrun&lt;=6),L223,(VLOOKUP(A223,ScaledPrice,5))*(2-(VLOOKUP(A223,ScaledPrice,3)))),0))</f>
        <v> </v>
      </c>
      <c r="N223" s="315" t="str">
        <f aca="false">IF(A223="N/A"," ",IF(AND(Dayrun&gt;1,Dayrun&lt;=3),VLOOKUP(A223,ScaledPrice,9),0))</f>
        <v> </v>
      </c>
      <c r="O223" s="315" t="str">
        <f aca="false">IF(A223="N/A"," ",IF(OR(Dayrun=3,Dayrun=6,Dayrun=9),(VLOOKUP(A223,ScaledPrice,IF(AND(Dayrun&gt;=3,Dayrun&lt;=6),7,8))),0))</f>
        <v> </v>
      </c>
      <c r="P223" s="315" t="str">
        <f aca="false">IF(A223="N/A"," ",IF(OR(Dayrun=3,Dayrun=6,Dayrun=9),IF(AND(Dayrun&gt;=3,Dayrun&lt;=6),O223,(VLOOKUP(A223,ScaledPrice,7))*(2-(VLOOKUP(A223,ScaledPrice,3)))),0))</f>
        <v> </v>
      </c>
      <c r="Q223" s="315" t="str">
        <f aca="false">IF(A223="N/A"," ",IF(AND(Dayrun&gt;2,Dayrun&lt;=3),VLOOKUP(A223,ScaledPrice,9),0))</f>
        <v> </v>
      </c>
      <c r="R223" s="316" t="str">
        <f aca="false">IF($A223="N/A"," ",IF(Pricetype=2,MAX(I223-$H223,0),IF(Pricetype=1,(xSPRDOPT(I223,$E223,$CI223,0,($CD223+IF(Smile=TRUE(),VLOOKUP(MAX(-5,$H223-I223),Volsmile,2),0)),$CG223,$CH223,($A223-DateToday)+15,1,0)),I223-$H223)))</f>
        <v> </v>
      </c>
      <c r="S223" s="316" t="str">
        <f aca="false">IF($A223="N/A"," ",IF(Pricetype=2,MAX(J223-$H223,0),IF(Pricetype=1,(xSPRDOPT(J223,$E223,$CI223,0,($CD223+IF(Smile=TRUE(),VLOOKUP(MAX(-5,$H223-J223),Volsmile,2),0)),$CG223,$CH223,($A223-DateToday)+15,1,0)),J223-$H223)))</f>
        <v> </v>
      </c>
      <c r="T223" s="317" t="str">
        <f aca="false">IF($A223="N/A"," ",(IF(Pricetype=2,IF((K223-$H223)&lt;=0,0,(K223-$H223)),IF(K223&lt;&gt;0,(K223-$H223),0))))</f>
        <v> </v>
      </c>
      <c r="U223" s="316" t="str">
        <f aca="false">IF($A223="N/A"," ",IF(Pricetype=2,MAX(L223-$H223,0),IF(L223&lt;&gt;0,IF(Pricetype=1,(xSPRDOPT(L223,$E223,$CI223,0,($CD223+IF(Smile=TRUE(),VLOOKUP(MAX(-5,$H223-L223),Volsmile,2),0)),$CG223,$CH223,($A223-DateToday)+15,1,0)),L223-$H223),0)))</f>
        <v> </v>
      </c>
      <c r="V223" s="316" t="str">
        <f aca="false">IF($A223="N/A"," ",IF(Pricetype=2,MAX(M223-$H223,0),IF(M223&lt;&gt;0,IF(Pricetype=1,(xSPRDOPT(M223,$E223,$CI223,0,($CD223+IF(Smile=TRUE(),VLOOKUP(MAX(-5,$H223-M223),Volsmile,2),0)),$CG223,$CH223,($A223-DateToday)+15,1,0)),M223-$H223),0)))</f>
        <v> </v>
      </c>
      <c r="W223" s="317" t="str">
        <f aca="false">IF($A223="N/A"," ",(IF(Pricetype=2,IF((N223-$H223)&lt;=0,0,(N223-$H223)),IF(N223&lt;&gt;0,(N223-$H223),0))))</f>
        <v> </v>
      </c>
      <c r="X223" s="316" t="str">
        <f aca="false">IF($A223="N/A"," ",IF(Pricetype=2,MAX(O223-$H223,0),IF(O223&lt;&gt;0,IF(Pricetype=1,(xSPRDOPT(O223,$E223,$CI223,0,($CD223+IF(Smile=TRUE(),VLOOKUP(MAX(-5,$H223-O223),Volsmile,2),0)),$CG223,$CH223,($A223-DateToday)+15,1,0)),O223-$H223),0)))</f>
        <v> </v>
      </c>
      <c r="Y223" s="316" t="str">
        <f aca="false">IF($A223="N/A"," ",IF(Pricetype=2,MAX(P223-$H223,0),IF(P223&lt;&gt;0,IF(Pricetype=1,(xSPRDOPT(P223,$E223,$CI223,0,($CD223+IF(Smile=TRUE(),VLOOKUP(MAX(-5,$H223-P223),Volsmile,2),0)),$CG223,$CH223,($A223-DateToday)+15,1,0)),P223-$H223),0)))</f>
        <v> </v>
      </c>
      <c r="Z223" s="317" t="str">
        <f aca="false">IF($A223="N/A"," ",(IF(Pricetype=2,IF((Q223-$H223)&lt;=0,0,(Q223-$H223)),IF(Q223&lt;&gt;0,(Q223-$H223),0))))</f>
        <v> </v>
      </c>
      <c r="AA223" s="318" t="str">
        <f aca="false">IF($A223="N/A"," ",IF(VLOOKUP(MONTH(A223),ManualTable,2)=1,(IF(0&lt;&gt;R223,IF(Pricetype=1,(xSPRDOPT(I223,$E223,$CI223,0,($CD223+IF(Smile=TRUE(),VLOOKUP(MAX(-5,$H223-I223),Volsmile,2),0)),$CG223,$CH223,($A223-DateToday)+15,1,1))*(8*$HD223),8*$HD223),0)),0))</f>
        <v> </v>
      </c>
      <c r="AB223" s="318" t="str">
        <f aca="false">IF($A223="N/A"," ",IF(VLOOKUP(MONTH(A223),ManualTable,3)=1,(IF(S223&lt;&gt;0,IF(Pricetype=1,(xSPRDOPT(J223,$E223,$CI223,0,($CD223+IF(Smile=TRUE(),VLOOKUP(MAX(-5,$H223-J223),Volsmile,2),0)),$CG223,$CH223,($A223-DateToday)+15,1,1))*(8*$HD223),8*$HD223),0)),0))</f>
        <v> </v>
      </c>
      <c r="AC223" s="318" t="str">
        <f aca="false">IF($A223="N/A"," ",IF(VLOOKUP(MONTH(A223),ManualTable,4)=1,(IF(T223&lt;&gt;0,(8*$HD223),0)),0))</f>
        <v> </v>
      </c>
      <c r="AD223" s="318" t="str">
        <f aca="false">IF($A223="N/A"," ",IF(VLOOKUP(MONTH(A223),ManualTable,5)=1,(IF(U223&lt;&gt;0,IF(Pricetype=1,(xSPRDOPT(L223,$E223,$CI223,0,($CD223+IF(Smile=TRUE(),VLOOKUP(MAX(-5,$H223-L223),Volsmile,2),0)),$CG223,$CH223,($A223-DateToday)+15,1,1))*(8*$HE223),8*$HE223),0)),0))</f>
        <v> </v>
      </c>
      <c r="AE223" s="318" t="str">
        <f aca="false">IF($A223="N/A"," ",IF(VLOOKUP(MONTH(A223),ManualTable,6)=1,(IF(V223&lt;&gt;0,IF(Pricetype=1,(xSPRDOPT(M223,$E223,$CI223,0,($CD223+IF(Smile=TRUE(),VLOOKUP(MAX(-5,$H223-M223),Volsmile,2),0)),$CG223,$CH223,($A223-DateToday)+15,1,1))*(8*$HE223),8*$HE223),0)),0))</f>
        <v> </v>
      </c>
      <c r="AF223" s="318" t="str">
        <f aca="false">IF($A223="N/A"," ",IF(VLOOKUP(MONTH(A223),ManualTable,7)=1,(IF(W223&lt;&gt;0,(8*$HE223),0)),0))</f>
        <v> </v>
      </c>
      <c r="AG223" s="318" t="str">
        <f aca="false">IF($A223="N/A"," ",IF(VLOOKUP(MONTH(A223),ManualTable,8)=1,(IF(X223&lt;&gt;0,IF(Pricetype=1,(xSPRDOPT(O223,$E223,$CI223,0,($CD223+IF(Smile=TRUE(),VLOOKUP(MAX(-5,$H223-O223),Volsmile,2),0)),$CG223,$CH223,($A223-DateToday)+15,1,1))*(8*$HF223),8*$HF223),0)),0))</f>
        <v> </v>
      </c>
      <c r="AH223" s="318" t="str">
        <f aca="false">IF($A223="N/A"," ",IF(VLOOKUP(MONTH(A223),ManualTable,9)=1,(IF(Y223&lt;&gt;0,IF(Pricetype=1,(xSPRDOPT(P223,$E223,$CI223,0,($CD223+IF(Smile=TRUE(),VLOOKUP(MAX(-5,$H223-P223),Volsmile,2),0)),$CG223,$CH223,($A223-DateToday)+15,1,1))*(8*$HF223),8*$HF223),0)),0))</f>
        <v> </v>
      </c>
      <c r="AI223" s="318" t="str">
        <f aca="false">IF($A223="N/A"," ",IF(VLOOKUP(MONTH(A223),ManualTable,10)=1,(IF(Z223&lt;&gt;0,(8*($HF223)),0)),0))</f>
        <v> </v>
      </c>
      <c r="AJ223" s="344" t="str">
        <f aca="false">IF($A223="N/A"," ",RANK(R223,$R$220:$Z$231))</f>
        <v> </v>
      </c>
      <c r="AK223" s="321" t="str">
        <f aca="false">IF($A223="N/A"," ",RANK(S223,$R$220:$Z$231))</f>
        <v> </v>
      </c>
      <c r="AL223" s="321" t="str">
        <f aca="false">IF($A223="N/A"," ",RANK(T223,$R$220:$Z$231))</f>
        <v> </v>
      </c>
      <c r="AM223" s="321" t="str">
        <f aca="false">IF($A223="N/A"," ",RANK(U223,$R$220:$Z$231))</f>
        <v> </v>
      </c>
      <c r="AN223" s="321" t="str">
        <f aca="false">IF($A223="N/A"," ",RANK(V223,$R$220:$Z$231))</f>
        <v> </v>
      </c>
      <c r="AO223" s="321" t="str">
        <f aca="false">IF($A223="N/A"," ",RANK(W223,$R$220:$Z$231))</f>
        <v> </v>
      </c>
      <c r="AP223" s="321" t="str">
        <f aca="false">IF($A223="N/A"," ",RANK(X223,$R$220:$Z$231))</f>
        <v> </v>
      </c>
      <c r="AQ223" s="321" t="str">
        <f aca="false">IF($A223="N/A"," ",RANK(Y223,$R$220:$Z$231))</f>
        <v> </v>
      </c>
      <c r="AR223" s="345" t="str">
        <f aca="false">IF($A223="N/A"," ",RANK(Z223,$R$220:$Z$231))</f>
        <v> </v>
      </c>
      <c r="AS223" s="323" t="str">
        <f aca="false">IF($A223="N/A"," ",IF(AJ223&lt;=$AR$2,AA223,0))</f>
        <v> </v>
      </c>
      <c r="AT223" s="325" t="str">
        <f aca="false">IF($A223="N/A"," ",IF(AK223&lt;=$AR$2,AB223,0))</f>
        <v> </v>
      </c>
      <c r="AU223" s="325" t="str">
        <f aca="false">IF($A223="N/A"," ",IF(AL223&lt;=$AR$2,AC223,0))</f>
        <v> </v>
      </c>
      <c r="AV223" s="325" t="str">
        <f aca="false">IF($A223="N/A"," ",IF(AM223&lt;=$AR$2,AD223,0))</f>
        <v> </v>
      </c>
      <c r="AW223" s="325" t="str">
        <f aca="false">IF($A223="N/A"," ",IF(AN223&lt;=$AR$2,AE223,0))</f>
        <v> </v>
      </c>
      <c r="AX223" s="325" t="str">
        <f aca="false">IF($A223="N/A"," ",IF(AO223&lt;=$AR$2,AF223,0))</f>
        <v> </v>
      </c>
      <c r="AY223" s="325" t="str">
        <f aca="false">IF($A223="N/A"," ",IF(AP223&lt;=$AR$2,AG223,0))</f>
        <v> </v>
      </c>
      <c r="AZ223" s="325" t="str">
        <f aca="false">IF($A223="N/A"," ",IF(AQ223&lt;=$AR$2,AH223,0))</f>
        <v> </v>
      </c>
      <c r="BA223" s="325" t="str">
        <f aca="false">IF($A223="N/A"," ",IF(AR223&lt;=$AR$2,AI223,0))</f>
        <v> </v>
      </c>
      <c r="BB223" s="345"/>
      <c r="BC223" s="326" t="str">
        <f aca="false">IF($A223="N/A"," ",IF(AND(AJ223=$AR$2+1,AS223=0),MIN($BB$231,AA223),0))</f>
        <v> </v>
      </c>
      <c r="BD223" s="346" t="str">
        <f aca="false">IF($A223="N/A"," ",IF(AND(AK223=$AR$2+1,AT223=0),MIN($BB$231,AB223),0))</f>
        <v> </v>
      </c>
      <c r="BE223" s="346" t="str">
        <f aca="false">IF($A223="N/A"," ",IF(AND(AL223=$AR$2+1,AU223=0),MIN($BB$231,AC223),0))</f>
        <v> </v>
      </c>
      <c r="BF223" s="346" t="str">
        <f aca="false">IF($A223="N/A"," ",IF(AND(AM223=$AR$2+1,AV223=0),MIN($BB$231,AD223),0))</f>
        <v> </v>
      </c>
      <c r="BG223" s="346" t="str">
        <f aca="false">IF($A223="N/A"," ",IF(AND(AN223=$AR$2+1,AW223=0),MIN($BB$231,AE223),0))</f>
        <v> </v>
      </c>
      <c r="BH223" s="346" t="str">
        <f aca="false">IF($A223="N/A"," ",IF(AND(AO223=$AR$2+1,AX223=0),MIN($BB$231,AF223),0))</f>
        <v> </v>
      </c>
      <c r="BI223" s="346" t="str">
        <f aca="false">IF($A223="N/A"," ",IF(AND(AP223=$AR$2+1,AY223=0),MIN($BB$231,AG223),0))</f>
        <v> </v>
      </c>
      <c r="BJ223" s="346" t="str">
        <f aca="false">IF($A223="N/A"," ",IF(AND(AQ223=$AR$2+1,AZ223=0),MIN($BB$231,AH223),0))</f>
        <v> </v>
      </c>
      <c r="BK223" s="346" t="str">
        <f aca="false">IF($A223="N/A"," ",IF(AND(AR223=$AR$2+1,BA223=0),MIN($BB$231,AI223),0))</f>
        <v> </v>
      </c>
      <c r="BL223" s="345"/>
      <c r="BM223" s="329" t="str">
        <f aca="false">IF($A223="N/A"," ",(IF(MONTH(A223)&gt;=4,IF(MONTH(A223)&lt;=10,Inputs!$F$13-Inputs!$G$13,Inputs!$F$14-Inputs!$G$14),Inputs!$F$14-Inputs!$G$14))*$CK223*Availability)</f>
        <v> </v>
      </c>
      <c r="BN223" s="330" t="str">
        <f aca="false">IF($A223="N/A"," ",(IF(AS223&gt;0,($BM223*(8*($HD223))*R223),0)+IF(BC223&gt;0,($BM223*((BC223/AA223)*8*$HD223)*R223),0)))</f>
        <v> </v>
      </c>
      <c r="BO223" s="330" t="str">
        <f aca="false">IF($A223="N/A"," ",(IF(AT223&gt;0,($BM223*(8*($HD223))*S223),0)+IF(BD223&gt;0,($BM223*((BD223/AB223)*8*$HD223)*S223),0)))</f>
        <v> </v>
      </c>
      <c r="BP223" s="330" t="str">
        <f aca="false">IF($A223="N/A"," ",(IF(AU223&gt;0,($BM223*(8*($HD223))*T223),0)+IF(BE223&gt;0,($BM223*((BE223))*T223),0)))</f>
        <v> </v>
      </c>
      <c r="BQ223" s="330" t="str">
        <f aca="false">IF($A223="N/A"," ",(IF(AV223&gt;0,($BM223*(8*($HE223))*U223),0)+IF(BF223&gt;0,($BM223*((BF223/AD223)*8*$HE223)*U223),0)))</f>
        <v> </v>
      </c>
      <c r="BR223" s="330" t="str">
        <f aca="false">IF($A223="N/A"," ",(IF(AW223&gt;0,($BM223*(8*($HE223))*V223),0)+IF(BG223&gt;0,($BM223*((BG223/AE223)*8*$HE223)*V223),0)))</f>
        <v> </v>
      </c>
      <c r="BS223" s="330" t="str">
        <f aca="false">IF($A223="N/A"," ",(IF(AX223&gt;0,($BM223*(8*($HE223))*W223),0)+IF(BH223&gt;0,($BM223*((BH223))*W223),0)))</f>
        <v> </v>
      </c>
      <c r="BT223" s="330" t="str">
        <f aca="false">IF($A223="N/A"," ",(IF(AY223&gt;0,($BM223*(8*($HF223))*X223),0)+IF(BI223&gt;0,($BM223*((BI223/AG223)*8*$HF223)*X223),0)))</f>
        <v> </v>
      </c>
      <c r="BU223" s="330" t="str">
        <f aca="false">IF($A223="N/A"," ",(IF(AZ223&gt;0,($BM223*(8*($HF223))*Y223),0)+IF(BJ223&gt;0,($BM223*((BJ223/AH223)*8*$HF223)*Y223),0)))</f>
        <v> </v>
      </c>
      <c r="BV223" s="330" t="str">
        <f aca="false">IF($A223="N/A"," ",(IF(BA223&gt;0,($BM223*(8*($HF223))*Z223),0)+IF(BK223&gt;0,($BM223*((BK223))*Z223),0)))</f>
        <v> </v>
      </c>
      <c r="BW223" s="330" t="str">
        <f aca="false">IF($A223="N/A"," ",SUM(BN223:BV223))</f>
        <v> </v>
      </c>
      <c r="BX223" s="331" t="str">
        <f aca="false">IF($A223="N/A"," ",(H223*(SUM(AS223:BA223)+SUM(BC223:BK223))*BM223))</f>
        <v> </v>
      </c>
      <c r="BY223" s="332" t="str">
        <f aca="false">IF($A223="N/A"," ",((C223*D223)*(SUM($AS223:$BA223)+SUM($BC223:$BK223))*$BM223))</f>
        <v> </v>
      </c>
      <c r="BZ223" s="332" t="str">
        <f aca="false">IF($A223="N/A"," ",(F223*(SUM($AS223:$BA223)+SUM($BC223:$BK223))*$BM223))</f>
        <v> </v>
      </c>
      <c r="CA223" s="333" t="str">
        <f aca="false">IF($A223="N/A"," ",(G223*(SUM($AS223:$BA223)+SUM($BC223:$BK223))*$BM223))</f>
        <v> </v>
      </c>
      <c r="CB223" s="334" t="str">
        <f aca="false">IF(A223="N/A"," ",(VLOOKUP(A223,PowerVolTable,(IF(BMO=2,7,IF(BMO=1,6,8))),FALSE())))</f>
        <v> </v>
      </c>
      <c r="CC223" s="334" t="str">
        <f aca="false">IF(A223="N/A"," ",(VLOOKUP(A223,IntraPowerVol,(IF(BMO=2,3,IF(BMO=1,2,4))),FALSE())*VLOOKUP(MONTH($A223),Volscale,2)))</f>
        <v> </v>
      </c>
      <c r="CD223" s="335" t="str">
        <f aca="false">IF($A223="N/A"," ",(IF(DateToday&gt;$A223,$CC223,((($CB223^2)*((($A223-1)-DateToday)/((EOMONTH($A223,0)+1)-DateToday-15)))+((($CC223)^2)*((15)/((EOMONTH($A223,0)+1)-DateToday-15))))^0.5)))</f>
        <v> </v>
      </c>
      <c r="CE223" s="334" t="str">
        <f aca="false">IF($A223="N/A"," ",(VLOOKUP($A223,GasVolTable,(IF(BMO=2,6,IF(BMO=1,7,5))),FALSE())))</f>
        <v> </v>
      </c>
      <c r="CF223" s="334" t="str">
        <f aca="false">IF($A223="N/A"," ",(VLOOKUP($A223,OmicronVol,(IF(BMO=2,3,IF(BMO=1,4,2))),FALSE())))</f>
        <v> </v>
      </c>
      <c r="CG223" s="335" t="str">
        <f aca="false">IF($A223="N/A"," ",(IF(DateToday&gt;$A223,$CF223,((($CE223^2)*((($A223-1)-DateToday)/((EOMONTH($A223,0)+1)-DateToday-15)))+((($CF223)^2)*((15)/((EOMONTH($A223,0)+1)-DateToday-15))))^0.5)))</f>
        <v> </v>
      </c>
      <c r="CH223" s="334" t="str">
        <f aca="false">IF($A223="N/A"," ",VLOOKUP($A223,CorrelationTable,2,FALSE()))</f>
        <v> </v>
      </c>
      <c r="CI223" s="336" t="str">
        <f aca="false">IF($A223="N/A"," ",F223+G223+(D223*('Pricing Inputs'!T256)))</f>
        <v> </v>
      </c>
      <c r="CJ223" s="334" t="str">
        <f aca="false">IF($A223="N/A"," ",IF(PV=1,0,'Pricing Inputs'!U256))</f>
        <v> </v>
      </c>
      <c r="CK223" s="337" t="str">
        <f aca="false">IF($A223="N/A"," ",(1+CJ223/2)^(-2*((EOMONTH(A223,0)+20)-DateToday)/365.25))</f>
        <v> </v>
      </c>
      <c r="CL223" s="338" t="str">
        <f aca="false">IF(A223="N/A"," ",IF(CC=2,(VLOOKUP(MONTH($A223),Hrtable,3))/1000,0))</f>
        <v> </v>
      </c>
      <c r="CM223" s="339" t="str">
        <f aca="false">IF(A223="N/A"," ",IF(CC=2,(CL223*C223)+F223,0))</f>
        <v> </v>
      </c>
      <c r="CN223" s="340" t="str">
        <f aca="false">IF($A223="N/A"," ",IF(CC=2,(VLOOKUP(A223,ScaledPrice,(IF(AND(Dayrun&gt;=1,Dayrun&lt;=6),2,4)))-((IF(R223&lt;&gt;0,$D223,$CL223)*$C223)+$F223+$G223)),0))</f>
        <v> </v>
      </c>
      <c r="CO223" s="340" t="str">
        <f aca="false">IF($A223="N/A"," ",IF(CC=2,(IF(AND(Dayrun&gt;=1,Dayrun&lt;=6),I223,(VLOOKUP(A223,ScaledPrice,2))*(2-(VLOOKUP(A223,ScaledPrice,3))))-((IF(S223&lt;&gt;0,$D223,$CL223)*$C223)+$F223+$G223)),0))</f>
        <v> </v>
      </c>
      <c r="CP223" s="340" t="str">
        <f aca="false">IF(A223="N/A"," ",IF(CC=2,(VLOOKUP(A223,ScaledPrice,9)-((IF(T223&lt;&gt;0,$D223,$CL223)*$C223)+$F223+$G223)),0))</f>
        <v> </v>
      </c>
      <c r="CQ223" s="340" t="str">
        <f aca="false">IF(A223="N/A"," ",IF(CC=2,(IF(OR(Dayrun=2,Dayrun=3,Dayrun=5,Dayrun=6,Dayrun=8,Dayrun=9),VLOOKUP(A223,ScaledPrice,IF(AND(Dayrun&gt;=2,Dayrun&lt;=6),5,6)),0)-((IF(U223&lt;&gt;0,$D223,$CL223)*$C223)+$F223+$G223)),0))</f>
        <v> </v>
      </c>
      <c r="CR223" s="340" t="str">
        <f aca="false">IF(A223="N/A"," ",IF(CC=2,(IF(OR(Dayrun=2,Dayrun=3,Dayrun=5,Dayrun=6,Dayrun=8,Dayrun=9),IF(AND(Dayrun&gt;=2,Dayrun&lt;=6),L223,(VLOOKUP(A223,ScaledPrice,5))*(2-(VLOOKUP(A223,ScaledPrice,3)))),0)-((IF(V223&lt;&gt;0,$D223,$CL223)*$C223)+$F223+$G223)),0))</f>
        <v> </v>
      </c>
      <c r="CS223" s="340" t="str">
        <f aca="false">IF(A223="N/A"," ",IF(CC=2,(VLOOKUP(A223,ScaledPrice,9)-((IF(W223&lt;&gt;0,$D223,$CL223)*$C223)+$F223+$G223)),0))</f>
        <v> </v>
      </c>
      <c r="CT223" s="340" t="str">
        <f aca="false">IF(A223="N/A"," ",IF(CC=2,(IF(OR(Dayrun=3,Dayrun=6,Dayrun=9),(VLOOKUP(A223,ScaledPrice,IF(AND(Dayrun&gt;=3,Dayrun&lt;=6),7,8))),0)-((IF(X223&lt;&gt;0,$D223,$CL223)*$C223)+$F223+$G223)),0))</f>
        <v> </v>
      </c>
      <c r="CU223" s="340" t="str">
        <f aca="false">IF(A223="N/A"," ",IF(CC=2,(IF(OR(Dayrun=3,Dayrun=6,Dayrun=9),IF(AND(Dayrun&gt;=3,Dayrun&lt;=6),O223,(VLOOKUP(A223,ScaledPrice,7))*(2-(VLOOKUP(A223,ScaledPrice,3)))),0)-((IF(Y223&lt;&gt;0,$D223,$CL223)*$C223)+$F223+$G223)),0))</f>
        <v> </v>
      </c>
      <c r="CV223" s="340" t="str">
        <f aca="false">IF(A223="N/A"," ",IF(CC=2,(VLOOKUP(A223,ScaledPrice,9)-((IF(Z223&lt;&gt;0,$D223,$CL223)*$C223)+$F223+$G223)),0))</f>
        <v> </v>
      </c>
      <c r="CW223" s="318" t="str">
        <f aca="false">IF($A223="N/A"," ",IF(0&lt;&gt;CN223,IF(CC=2,8*$HD223,0),0))</f>
        <v> </v>
      </c>
      <c r="CX223" s="318" t="str">
        <f aca="false">IF($A223="N/A"," ",IF(0&lt;&gt;CO223,IF(CC=2,8*$HD223,0),0))</f>
        <v> </v>
      </c>
      <c r="CY223" s="318" t="str">
        <f aca="false">IF($A223="N/A"," ",IF(0&lt;&gt;CP223,IF(CC=2,8*$HD223,0),0))</f>
        <v> </v>
      </c>
      <c r="CZ223" s="318" t="str">
        <f aca="false">IF($A223="N/A"," ",IF(0&lt;&gt;CQ223,IF(CC=2,8*$HE223,0),0))</f>
        <v> </v>
      </c>
      <c r="DA223" s="318" t="str">
        <f aca="false">IF($A223="N/A"," ",IF(0&lt;&gt;CR223,IF(CC=2,8*$HE223,0),0))</f>
        <v> </v>
      </c>
      <c r="DB223" s="318" t="str">
        <f aca="false">IF($A223="N/A"," ",IF(0&lt;&gt;CS223,IF(CC=2,8*$HE223,0),0))</f>
        <v> </v>
      </c>
      <c r="DC223" s="318" t="str">
        <f aca="false">IF($A223="N/A"," ",IF(0&lt;&gt;CT223,IF(CC=2,8*$HF223,0),0))</f>
        <v> </v>
      </c>
      <c r="DD223" s="318" t="str">
        <f aca="false">IF($A223="N/A"," ",IF(0&lt;&gt;CU223,IF(CC=2,8*$HF223,0),0))</f>
        <v> </v>
      </c>
      <c r="DE223" s="318" t="str">
        <f aca="false">IF($A223="N/A"," ",IF(0&lt;&gt;CV223,IF(CC=2,8*$HF223,0),0))</f>
        <v> </v>
      </c>
      <c r="DF223" s="341" t="str">
        <f aca="false">IF($A223="N/A"," ",IF(CC=2,(IF(MONTH(A223)&gt;=4,IF(MONTH(A223)&lt;=10,Inputs!$G$13,Inputs!$G$14),Inputs!$G$14))*$CK223,0))</f>
        <v> </v>
      </c>
      <c r="DG223" s="342" t="str">
        <f aca="false">IF($A223="N/A"," ",IF(CC=2,$DF223*CW223*CN223,0))</f>
        <v> </v>
      </c>
      <c r="DH223" s="342" t="str">
        <f aca="false">IF($A223="N/A"," ",IF(CC=2,$DF223*CX223*CO223,0))</f>
        <v> </v>
      </c>
      <c r="DI223" s="342" t="str">
        <f aca="false">IF($A223="N/A"," ",IF(CC=2,$DF223*CY223*CP223,0))</f>
        <v> </v>
      </c>
      <c r="DJ223" s="342" t="str">
        <f aca="false">IF($A223="N/A"," ",IF(CC=2,$DF223*CZ223*CQ223,0))</f>
        <v> </v>
      </c>
      <c r="DK223" s="342" t="str">
        <f aca="false">IF($A223="N/A"," ",IF(CC=2,$DF223*DA223*CR223,0))</f>
        <v> </v>
      </c>
      <c r="DL223" s="342" t="str">
        <f aca="false">IF($A223="N/A"," ",IF(CC=2,$DF223*DB223*CS223,0))</f>
        <v> </v>
      </c>
      <c r="DM223" s="342" t="str">
        <f aca="false">IF($A223="N/A"," ",IF(CC=2,$DF223*DC223*CT223,0))</f>
        <v> </v>
      </c>
      <c r="DN223" s="342" t="str">
        <f aca="false">IF($A223="N/A"," ",IF(CC=2,$DF223*DD223*CU223,0))</f>
        <v> </v>
      </c>
      <c r="DO223" s="342" t="str">
        <f aca="false">IF($A223="N/A"," ",IF(CC=2,$DF223*DE223*CV223,0))</f>
        <v> </v>
      </c>
      <c r="DP223" s="343" t="str">
        <f aca="false">IF($A223="N/A"," ",IF(CC=2,SUM(DG223:DO223),0))</f>
        <v> </v>
      </c>
      <c r="DQ223" s="0" t="str">
        <f aca="false">IF(A223="N/A"," ",Perstart)</f>
        <v> </v>
      </c>
      <c r="HD223" s="0" t="str">
        <f aca="false">IF($A223="N/A"," ",VLOOKUP($A223,NumberofDaysTable,2))</f>
        <v> </v>
      </c>
      <c r="HE223" s="0" t="str">
        <f aca="false">IF($A223="N/A"," ",VLOOKUP($A223,NumberofDaysTable,3))</f>
        <v> </v>
      </c>
      <c r="HF223" s="0" t="str">
        <f aca="false">IF($A223="N/A"," ",VLOOKUP($A223,NumberofDaysTable,4))</f>
        <v> </v>
      </c>
    </row>
    <row r="224" customFormat="false" ht="12.75" hidden="false" customHeight="false" outlineLevel="0" collapsed="false">
      <c r="A224" s="308" t="str">
        <f aca="false">IF(A223="N/A","N/A",IF(EDATE(A223,1)&gt;Inputs!$K$3,"N/A",EDATE(A223,1)))</f>
        <v>N/A</v>
      </c>
      <c r="B224" s="309" t="str">
        <f aca="false">IF(A224="N/A"," ",YEAR(A224))</f>
        <v> </v>
      </c>
      <c r="C224" s="310" t="str">
        <f aca="false">IF(A224="N/A"," ",VLOOKUP(A224,ScaledPrice,10))</f>
        <v> </v>
      </c>
      <c r="D224" s="311" t="str">
        <f aca="false">IF(A224="N/A"," ",(VLOOKUP(MONTH($A224),Hrtable,2))/1000)</f>
        <v> </v>
      </c>
      <c r="E224" s="312" t="str">
        <f aca="false">IF($A224="N/A"," ",(C224-'Pricing Inputs'!T257)*D224)</f>
        <v> </v>
      </c>
      <c r="F224" s="313" t="str">
        <f aca="false">IF(A224="N/A"," ",$F212*(1+VOMesc))</f>
        <v> </v>
      </c>
      <c r="G224" s="313" t="str">
        <f aca="false">IF(A224="N/A"," ",Perstart/IF(AND(Dayrun&gt;=4,Dayrun&lt;=6),16,IF(AND(Dayrun&gt;=7,Dayrun&lt;=9),8,24))/(BM224/CK224))</f>
        <v> </v>
      </c>
      <c r="H224" s="314" t="str">
        <f aca="false">IF(A224="N/A"," ",(C224*D224)+F224+G224)</f>
        <v> </v>
      </c>
      <c r="I224" s="315" t="str">
        <f aca="false">VLOOKUP(A224,ScaledPrice,(IF(AND(Dayrun&gt;=1,Dayrun&lt;=6),2,4)))</f>
        <v> </v>
      </c>
      <c r="J224" s="315" t="str">
        <f aca="false">IF(A224="N/A"," ",IF(AND(Dayrun&gt;=1,Dayrun&lt;=6),I224,(VLOOKUP(A224,ScaledPrice,2))*(2-(VLOOKUP(A224,ScaledPrice,3)))))</f>
        <v> </v>
      </c>
      <c r="K224" s="315" t="str">
        <f aca="false">IF(A224="N/A"," ",IF(AND(Dayrun&gt;=1,Dayrun&lt;=3),VLOOKUP(A224,ScaledPrice,9),0))</f>
        <v> </v>
      </c>
      <c r="L224" s="315" t="str">
        <f aca="false">IF(A224="N/A"," ",IF(OR(Dayrun=2,Dayrun=3,Dayrun=5,Dayrun=6,Dayrun=8,Dayrun=9),VLOOKUP(A224,ScaledPrice,IF(AND(Dayrun&gt;=2,Dayrun&lt;=6),5,6)),0))</f>
        <v> </v>
      </c>
      <c r="M224" s="315" t="str">
        <f aca="false">IF(A224="N/A"," ",IF(OR(Dayrun=2,Dayrun=3,Dayrun=5,Dayrun=6,Dayrun=8,Dayrun=9),IF(AND(Dayrun&gt;=2,Dayrun&lt;=6),L224,(VLOOKUP(A224,ScaledPrice,5))*(2-(VLOOKUP(A224,ScaledPrice,3)))),0))</f>
        <v> </v>
      </c>
      <c r="N224" s="315" t="str">
        <f aca="false">IF(A224="N/A"," ",IF(AND(Dayrun&gt;1,Dayrun&lt;=3),VLOOKUP(A224,ScaledPrice,9),0))</f>
        <v> </v>
      </c>
      <c r="O224" s="315" t="str">
        <f aca="false">IF(A224="N/A"," ",IF(OR(Dayrun=3,Dayrun=6,Dayrun=9),(VLOOKUP(A224,ScaledPrice,IF(AND(Dayrun&gt;=3,Dayrun&lt;=6),7,8))),0))</f>
        <v> </v>
      </c>
      <c r="P224" s="315" t="str">
        <f aca="false">IF(A224="N/A"," ",IF(OR(Dayrun=3,Dayrun=6,Dayrun=9),IF(AND(Dayrun&gt;=3,Dayrun&lt;=6),O224,(VLOOKUP(A224,ScaledPrice,7))*(2-(VLOOKUP(A224,ScaledPrice,3)))),0))</f>
        <v> </v>
      </c>
      <c r="Q224" s="315" t="str">
        <f aca="false">IF(A224="N/A"," ",IF(AND(Dayrun&gt;2,Dayrun&lt;=3),VLOOKUP(A224,ScaledPrice,9),0))</f>
        <v> </v>
      </c>
      <c r="R224" s="316" t="str">
        <f aca="false">IF($A224="N/A"," ",IF(Pricetype=2,MAX(I224-$H224,0),IF(Pricetype=1,(xSPRDOPT(I224,$E224,$CI224,0,($CD224+IF(Smile=TRUE(),VLOOKUP(MAX(-5,$H224-I224),Volsmile,2),0)),$CG224,$CH224,($A224-DateToday)+15,1,0)),I224-$H224)))</f>
        <v> </v>
      </c>
      <c r="S224" s="316" t="str">
        <f aca="false">IF($A224="N/A"," ",IF(Pricetype=2,MAX(J224-$H224,0),IF(Pricetype=1,(xSPRDOPT(J224,$E224,$CI224,0,($CD224+IF(Smile=TRUE(),VLOOKUP(MAX(-5,$H224-J224),Volsmile,2),0)),$CG224,$CH224,($A224-DateToday)+15,1,0)),J224-$H224)))</f>
        <v> </v>
      </c>
      <c r="T224" s="317" t="str">
        <f aca="false">IF($A224="N/A"," ",(IF(Pricetype=2,IF((K224-$H224)&lt;=0,0,(K224-$H224)),IF(K224&lt;&gt;0,(K224-$H224),0))))</f>
        <v> </v>
      </c>
      <c r="U224" s="316" t="str">
        <f aca="false">IF($A224="N/A"," ",IF(Pricetype=2,MAX(L224-$H224,0),IF(L224&lt;&gt;0,IF(Pricetype=1,(xSPRDOPT(L224,$E224,$CI224,0,($CD224+IF(Smile=TRUE(),VLOOKUP(MAX(-5,$H224-L224),Volsmile,2),0)),$CG224,$CH224,($A224-DateToday)+15,1,0)),L224-$H224),0)))</f>
        <v> </v>
      </c>
      <c r="V224" s="316" t="str">
        <f aca="false">IF($A224="N/A"," ",IF(Pricetype=2,MAX(M224-$H224,0),IF(M224&lt;&gt;0,IF(Pricetype=1,(xSPRDOPT(M224,$E224,$CI224,0,($CD224+IF(Smile=TRUE(),VLOOKUP(MAX(-5,$H224-M224),Volsmile,2),0)),$CG224,$CH224,($A224-DateToday)+15,1,0)),M224-$H224),0)))</f>
        <v> </v>
      </c>
      <c r="W224" s="317" t="str">
        <f aca="false">IF($A224="N/A"," ",(IF(Pricetype=2,IF((N224-$H224)&lt;=0,0,(N224-$H224)),IF(N224&lt;&gt;0,(N224-$H224),0))))</f>
        <v> </v>
      </c>
      <c r="X224" s="316" t="str">
        <f aca="false">IF($A224="N/A"," ",IF(Pricetype=2,MAX(O224-$H224,0),IF(O224&lt;&gt;0,IF(Pricetype=1,(xSPRDOPT(O224,$E224,$CI224,0,($CD224+IF(Smile=TRUE(),VLOOKUP(MAX(-5,$H224-O224),Volsmile,2),0)),$CG224,$CH224,($A224-DateToday)+15,1,0)),O224-$H224),0)))</f>
        <v> </v>
      </c>
      <c r="Y224" s="316" t="str">
        <f aca="false">IF($A224="N/A"," ",IF(Pricetype=2,MAX(P224-$H224,0),IF(P224&lt;&gt;0,IF(Pricetype=1,(xSPRDOPT(P224,$E224,$CI224,0,($CD224+IF(Smile=TRUE(),VLOOKUP(MAX(-5,$H224-P224),Volsmile,2),0)),$CG224,$CH224,($A224-DateToday)+15,1,0)),P224-$H224),0)))</f>
        <v> </v>
      </c>
      <c r="Z224" s="317" t="str">
        <f aca="false">IF($A224="N/A"," ",(IF(Pricetype=2,IF((Q224-$H224)&lt;=0,0,(Q224-$H224)),IF(Q224&lt;&gt;0,(Q224-$H224),0))))</f>
        <v> </v>
      </c>
      <c r="AA224" s="318" t="str">
        <f aca="false">IF($A224="N/A"," ",IF(VLOOKUP(MONTH(A224),ManualTable,2)=1,(IF(0&lt;&gt;R224,IF(Pricetype=1,(xSPRDOPT(I224,$E224,$CI224,0,($CD224+IF(Smile=TRUE(),VLOOKUP(MAX(-5,$H224-I224),Volsmile,2),0)),$CG224,$CH224,($A224-DateToday)+15,1,1))*(8*$HD224),8*$HD224),0)),0))</f>
        <v> </v>
      </c>
      <c r="AB224" s="318" t="str">
        <f aca="false">IF($A224="N/A"," ",IF(VLOOKUP(MONTH(A224),ManualTable,3)=1,(IF(S224&lt;&gt;0,IF(Pricetype=1,(xSPRDOPT(J224,$E224,$CI224,0,($CD224+IF(Smile=TRUE(),VLOOKUP(MAX(-5,$H224-J224),Volsmile,2),0)),$CG224,$CH224,($A224-DateToday)+15,1,1))*(8*$HD224),8*$HD224),0)),0))</f>
        <v> </v>
      </c>
      <c r="AC224" s="318" t="str">
        <f aca="false">IF($A224="N/A"," ",IF(VLOOKUP(MONTH(A224),ManualTable,4)=1,(IF(T224&lt;&gt;0,(8*$HD224),0)),0))</f>
        <v> </v>
      </c>
      <c r="AD224" s="318" t="str">
        <f aca="false">IF($A224="N/A"," ",IF(VLOOKUP(MONTH(A224),ManualTable,5)=1,(IF(U224&lt;&gt;0,IF(Pricetype=1,(xSPRDOPT(L224,$E224,$CI224,0,($CD224+IF(Smile=TRUE(),VLOOKUP(MAX(-5,$H224-L224),Volsmile,2),0)),$CG224,$CH224,($A224-DateToday)+15,1,1))*(8*$HE224),8*$HE224),0)),0))</f>
        <v> </v>
      </c>
      <c r="AE224" s="318" t="str">
        <f aca="false">IF($A224="N/A"," ",IF(VLOOKUP(MONTH(A224),ManualTable,6)=1,(IF(V224&lt;&gt;0,IF(Pricetype=1,(xSPRDOPT(M224,$E224,$CI224,0,($CD224+IF(Smile=TRUE(),VLOOKUP(MAX(-5,$H224-M224),Volsmile,2),0)),$CG224,$CH224,($A224-DateToday)+15,1,1))*(8*$HE224),8*$HE224),0)),0))</f>
        <v> </v>
      </c>
      <c r="AF224" s="318" t="str">
        <f aca="false">IF($A224="N/A"," ",IF(VLOOKUP(MONTH(A224),ManualTable,7)=1,(IF(W224&lt;&gt;0,(8*$HE224),0)),0))</f>
        <v> </v>
      </c>
      <c r="AG224" s="318" t="str">
        <f aca="false">IF($A224="N/A"," ",IF(VLOOKUP(MONTH(A224),ManualTable,8)=1,(IF(X224&lt;&gt;0,IF(Pricetype=1,(xSPRDOPT(O224,$E224,$CI224,0,($CD224+IF(Smile=TRUE(),VLOOKUP(MAX(-5,$H224-O224),Volsmile,2),0)),$CG224,$CH224,($A224-DateToday)+15,1,1))*(8*$HF224),8*$HF224),0)),0))</f>
        <v> </v>
      </c>
      <c r="AH224" s="318" t="str">
        <f aca="false">IF($A224="N/A"," ",IF(VLOOKUP(MONTH(A224),ManualTable,9)=1,(IF(Y224&lt;&gt;0,IF(Pricetype=1,(xSPRDOPT(P224,$E224,$CI224,0,($CD224+IF(Smile=TRUE(),VLOOKUP(MAX(-5,$H224-P224),Volsmile,2),0)),$CG224,$CH224,($A224-DateToday)+15,1,1))*(8*$HF224),8*$HF224),0)),0))</f>
        <v> </v>
      </c>
      <c r="AI224" s="318" t="str">
        <f aca="false">IF($A224="N/A"," ",IF(VLOOKUP(MONTH(A224),ManualTable,10)=1,(IF(Z224&lt;&gt;0,(8*($HF224)),0)),0))</f>
        <v> </v>
      </c>
      <c r="AJ224" s="344" t="str">
        <f aca="false">IF($A224="N/A"," ",RANK(R224,$R$220:$Z$231))</f>
        <v> </v>
      </c>
      <c r="AK224" s="321" t="str">
        <f aca="false">IF($A224="N/A"," ",RANK(S224,$R$220:$Z$231))</f>
        <v> </v>
      </c>
      <c r="AL224" s="321" t="str">
        <f aca="false">IF($A224="N/A"," ",RANK(T224,$R$220:$Z$231))</f>
        <v> </v>
      </c>
      <c r="AM224" s="321" t="str">
        <f aca="false">IF($A224="N/A"," ",RANK(U224,$R$220:$Z$231))</f>
        <v> </v>
      </c>
      <c r="AN224" s="321" t="str">
        <f aca="false">IF($A224="N/A"," ",RANK(V224,$R$220:$Z$231))</f>
        <v> </v>
      </c>
      <c r="AO224" s="321" t="str">
        <f aca="false">IF($A224="N/A"," ",RANK(W224,$R$220:$Z$231))</f>
        <v> </v>
      </c>
      <c r="AP224" s="321" t="str">
        <f aca="false">IF($A224="N/A"," ",RANK(X224,$R$220:$Z$231))</f>
        <v> </v>
      </c>
      <c r="AQ224" s="321" t="str">
        <f aca="false">IF($A224="N/A"," ",RANK(Y224,$R$220:$Z$231))</f>
        <v> </v>
      </c>
      <c r="AR224" s="345" t="str">
        <f aca="false">IF($A224="N/A"," ",RANK(Z224,$R$220:$Z$231))</f>
        <v> </v>
      </c>
      <c r="AS224" s="323" t="str">
        <f aca="false">IF($A224="N/A"," ",IF(AJ224&lt;=$AR$2,AA224,0))</f>
        <v> </v>
      </c>
      <c r="AT224" s="325" t="str">
        <f aca="false">IF($A224="N/A"," ",IF(AK224&lt;=$AR$2,AB224,0))</f>
        <v> </v>
      </c>
      <c r="AU224" s="325" t="str">
        <f aca="false">IF($A224="N/A"," ",IF(AL224&lt;=$AR$2,AC224,0))</f>
        <v> </v>
      </c>
      <c r="AV224" s="325" t="str">
        <f aca="false">IF($A224="N/A"," ",IF(AM224&lt;=$AR$2,AD224,0))</f>
        <v> </v>
      </c>
      <c r="AW224" s="325" t="str">
        <f aca="false">IF($A224="N/A"," ",IF(AN224&lt;=$AR$2,AE224,0))</f>
        <v> </v>
      </c>
      <c r="AX224" s="325" t="str">
        <f aca="false">IF($A224="N/A"," ",IF(AO224&lt;=$AR$2,AF224,0))</f>
        <v> </v>
      </c>
      <c r="AY224" s="325" t="str">
        <f aca="false">IF($A224="N/A"," ",IF(AP224&lt;=$AR$2,AG224,0))</f>
        <v> </v>
      </c>
      <c r="AZ224" s="325" t="str">
        <f aca="false">IF($A224="N/A"," ",IF(AQ224&lt;=$AR$2,AH224,0))</f>
        <v> </v>
      </c>
      <c r="BA224" s="325" t="str">
        <f aca="false">IF($A224="N/A"," ",IF(AR224&lt;=$AR$2,AI224,0))</f>
        <v> </v>
      </c>
      <c r="BB224" s="345"/>
      <c r="BC224" s="326" t="str">
        <f aca="false">IF($A224="N/A"," ",IF(AND(AJ224=$AR$2+1,AS224=0),MIN($BB$231,AA224),0))</f>
        <v> </v>
      </c>
      <c r="BD224" s="346" t="str">
        <f aca="false">IF($A224="N/A"," ",IF(AND(AK224=$AR$2+1,AT224=0),MIN($BB$231,AB224),0))</f>
        <v> </v>
      </c>
      <c r="BE224" s="346" t="str">
        <f aca="false">IF($A224="N/A"," ",IF(AND(AL224=$AR$2+1,AU224=0),MIN($BB$231,AC224),0))</f>
        <v> </v>
      </c>
      <c r="BF224" s="346" t="str">
        <f aca="false">IF($A224="N/A"," ",IF(AND(AM224=$AR$2+1,AV224=0),MIN($BB$231,AD224),0))</f>
        <v> </v>
      </c>
      <c r="BG224" s="346" t="str">
        <f aca="false">IF($A224="N/A"," ",IF(AND(AN224=$AR$2+1,AW224=0),MIN($BB$231,AE224),0))</f>
        <v> </v>
      </c>
      <c r="BH224" s="346" t="str">
        <f aca="false">IF($A224="N/A"," ",IF(AND(AO224=$AR$2+1,AX224=0),MIN($BB$231,AF224),0))</f>
        <v> </v>
      </c>
      <c r="BI224" s="346" t="str">
        <f aca="false">IF($A224="N/A"," ",IF(AND(AP224=$AR$2+1,AY224=0),MIN($BB$231,AG224),0))</f>
        <v> </v>
      </c>
      <c r="BJ224" s="346" t="str">
        <f aca="false">IF($A224="N/A"," ",IF(AND(AQ224=$AR$2+1,AZ224=0),MIN($BB$231,AH224),0))</f>
        <v> </v>
      </c>
      <c r="BK224" s="346" t="str">
        <f aca="false">IF($A224="N/A"," ",IF(AND(AR224=$AR$2+1,BA224=0),MIN($BB$231,AI224),0))</f>
        <v> </v>
      </c>
      <c r="BL224" s="345"/>
      <c r="BM224" s="329" t="str">
        <f aca="false">IF($A224="N/A"," ",(IF(MONTH(A224)&gt;=4,IF(MONTH(A224)&lt;=10,Inputs!$F$13-Inputs!$G$13,Inputs!$F$14-Inputs!$G$14),Inputs!$F$14-Inputs!$G$14))*$CK224*Availability)</f>
        <v> </v>
      </c>
      <c r="BN224" s="330" t="str">
        <f aca="false">IF($A224="N/A"," ",(IF(AS224&gt;0,($BM224*(8*($HD224))*R224),0)+IF(BC224&gt;0,($BM224*((BC224/AA224)*8*$HD224)*R224),0)))</f>
        <v> </v>
      </c>
      <c r="BO224" s="330" t="str">
        <f aca="false">IF($A224="N/A"," ",(IF(AT224&gt;0,($BM224*(8*($HD224))*S224),0)+IF(BD224&gt;0,($BM224*((BD224/AB224)*8*$HD224)*S224),0)))</f>
        <v> </v>
      </c>
      <c r="BP224" s="330" t="str">
        <f aca="false">IF($A224="N/A"," ",(IF(AU224&gt;0,($BM224*(8*($HD224))*T224),0)+IF(BE224&gt;0,($BM224*((BE224))*T224),0)))</f>
        <v> </v>
      </c>
      <c r="BQ224" s="330" t="str">
        <f aca="false">IF($A224="N/A"," ",(IF(AV224&gt;0,($BM224*(8*($HE224))*U224),0)+IF(BF224&gt;0,($BM224*((BF224/AD224)*8*$HE224)*U224),0)))</f>
        <v> </v>
      </c>
      <c r="BR224" s="330" t="str">
        <f aca="false">IF($A224="N/A"," ",(IF(AW224&gt;0,($BM224*(8*($HE224))*V224),0)+IF(BG224&gt;0,($BM224*((BG224/AE224)*8*$HE224)*V224),0)))</f>
        <v> </v>
      </c>
      <c r="BS224" s="330" t="str">
        <f aca="false">IF($A224="N/A"," ",(IF(AX224&gt;0,($BM224*(8*($HE224))*W224),0)+IF(BH224&gt;0,($BM224*((BH224))*W224),0)))</f>
        <v> </v>
      </c>
      <c r="BT224" s="330" t="str">
        <f aca="false">IF($A224="N/A"," ",(IF(AY224&gt;0,($BM224*(8*($HF224))*X224),0)+IF(BI224&gt;0,($BM224*((BI224/AG224)*8*$HF224)*X224),0)))</f>
        <v> </v>
      </c>
      <c r="BU224" s="330" t="str">
        <f aca="false">IF($A224="N/A"," ",(IF(AZ224&gt;0,($BM224*(8*($HF224))*Y224),0)+IF(BJ224&gt;0,($BM224*((BJ224/AH224)*8*$HF224)*Y224),0)))</f>
        <v> </v>
      </c>
      <c r="BV224" s="330" t="str">
        <f aca="false">IF($A224="N/A"," ",(IF(BA224&gt;0,($BM224*(8*($HF224))*Z224),0)+IF(BK224&gt;0,($BM224*((BK224))*Z224),0)))</f>
        <v> </v>
      </c>
      <c r="BW224" s="330" t="str">
        <f aca="false">IF($A224="N/A"," ",SUM(BN224:BV224))</f>
        <v> </v>
      </c>
      <c r="BX224" s="331" t="str">
        <f aca="false">IF($A224="N/A"," ",(H224*(SUM(AS224:BA224)+SUM(BC224:BK224))*BM224))</f>
        <v> </v>
      </c>
      <c r="BY224" s="332" t="str">
        <f aca="false">IF($A224="N/A"," ",((C224*D224)*(SUM($AS224:$BA224)+SUM($BC224:$BK224))*$BM224))</f>
        <v> </v>
      </c>
      <c r="BZ224" s="332" t="str">
        <f aca="false">IF($A224="N/A"," ",(F224*(SUM($AS224:$BA224)+SUM($BC224:$BK224))*$BM224))</f>
        <v> </v>
      </c>
      <c r="CA224" s="333" t="str">
        <f aca="false">IF($A224="N/A"," ",(G224*(SUM($AS224:$BA224)+SUM($BC224:$BK224))*$BM224))</f>
        <v> </v>
      </c>
      <c r="CB224" s="334" t="str">
        <f aca="false">IF(A224="N/A"," ",(VLOOKUP(A224,PowerVolTable,(IF(BMO=2,7,IF(BMO=1,6,8))),FALSE())))</f>
        <v> </v>
      </c>
      <c r="CC224" s="334" t="str">
        <f aca="false">IF(A224="N/A"," ",(VLOOKUP(A224,IntraPowerVol,(IF(BMO=2,3,IF(BMO=1,2,4))),FALSE())*VLOOKUP(MONTH($A224),Volscale,2)))</f>
        <v> </v>
      </c>
      <c r="CD224" s="335" t="str">
        <f aca="false">IF($A224="N/A"," ",(IF(DateToday&gt;$A224,$CC224,((($CB224^2)*((($A224-1)-DateToday)/((EOMONTH($A224,0)+1)-DateToday-15)))+((($CC224)^2)*((15)/((EOMONTH($A224,0)+1)-DateToday-15))))^0.5)))</f>
        <v> </v>
      </c>
      <c r="CE224" s="334" t="str">
        <f aca="false">IF($A224="N/A"," ",(VLOOKUP($A224,GasVolTable,(IF(BMO=2,6,IF(BMO=1,7,5))),FALSE())))</f>
        <v> </v>
      </c>
      <c r="CF224" s="334" t="str">
        <f aca="false">IF($A224="N/A"," ",(VLOOKUP($A224,OmicronVol,(IF(BMO=2,3,IF(BMO=1,4,2))),FALSE())))</f>
        <v> </v>
      </c>
      <c r="CG224" s="335" t="str">
        <f aca="false">IF($A224="N/A"," ",(IF(DateToday&gt;$A224,$CF224,((($CE224^2)*((($A224-1)-DateToday)/((EOMONTH($A224,0)+1)-DateToday-15)))+((($CF224)^2)*((15)/((EOMONTH($A224,0)+1)-DateToday-15))))^0.5)))</f>
        <v> </v>
      </c>
      <c r="CH224" s="334" t="str">
        <f aca="false">IF($A224="N/A"," ",VLOOKUP($A224,CorrelationTable,2,FALSE()))</f>
        <v> </v>
      </c>
      <c r="CI224" s="336" t="str">
        <f aca="false">IF($A224="N/A"," ",F224+G224+(D224*('Pricing Inputs'!T257)))</f>
        <v> </v>
      </c>
      <c r="CJ224" s="334" t="str">
        <f aca="false">IF($A224="N/A"," ",IF(PV=1,0,'Pricing Inputs'!U257))</f>
        <v> </v>
      </c>
      <c r="CK224" s="337" t="str">
        <f aca="false">IF($A224="N/A"," ",(1+CJ224/2)^(-2*((EOMONTH(A224,0)+20)-DateToday)/365.25))</f>
        <v> </v>
      </c>
      <c r="CL224" s="338" t="str">
        <f aca="false">IF(A224="N/A"," ",IF(CC=2,(VLOOKUP(MONTH($A224),Hrtable,3))/1000,0))</f>
        <v> </v>
      </c>
      <c r="CM224" s="339" t="str">
        <f aca="false">IF(A224="N/A"," ",IF(CC=2,(CL224*C224)+F224,0))</f>
        <v> </v>
      </c>
      <c r="CN224" s="340" t="str">
        <f aca="false">IF($A224="N/A"," ",IF(CC=2,(VLOOKUP(A224,ScaledPrice,(IF(AND(Dayrun&gt;=1,Dayrun&lt;=6),2,4)))-((IF(R224&lt;&gt;0,$D224,$CL224)*$C224)+$F224+$G224)),0))</f>
        <v> </v>
      </c>
      <c r="CO224" s="340" t="str">
        <f aca="false">IF($A224="N/A"," ",IF(CC=2,(IF(AND(Dayrun&gt;=1,Dayrun&lt;=6),I224,(VLOOKUP(A224,ScaledPrice,2))*(2-(VLOOKUP(A224,ScaledPrice,3))))-((IF(S224&lt;&gt;0,$D224,$CL224)*$C224)+$F224+$G224)),0))</f>
        <v> </v>
      </c>
      <c r="CP224" s="340" t="str">
        <f aca="false">IF(A224="N/A"," ",IF(CC=2,(VLOOKUP(A224,ScaledPrice,9)-((IF(T224&lt;&gt;0,$D224,$CL224)*$C224)+$F224+$G224)),0))</f>
        <v> </v>
      </c>
      <c r="CQ224" s="340" t="str">
        <f aca="false">IF(A224="N/A"," ",IF(CC=2,(IF(OR(Dayrun=2,Dayrun=3,Dayrun=5,Dayrun=6,Dayrun=8,Dayrun=9),VLOOKUP(A224,ScaledPrice,IF(AND(Dayrun&gt;=2,Dayrun&lt;=6),5,6)),0)-((IF(U224&lt;&gt;0,$D224,$CL224)*$C224)+$F224+$G224)),0))</f>
        <v> </v>
      </c>
      <c r="CR224" s="340" t="str">
        <f aca="false">IF(A224="N/A"," ",IF(CC=2,(IF(OR(Dayrun=2,Dayrun=3,Dayrun=5,Dayrun=6,Dayrun=8,Dayrun=9),IF(AND(Dayrun&gt;=2,Dayrun&lt;=6),L224,(VLOOKUP(A224,ScaledPrice,5))*(2-(VLOOKUP(A224,ScaledPrice,3)))),0)-((IF(V224&lt;&gt;0,$D224,$CL224)*$C224)+$F224+$G224)),0))</f>
        <v> </v>
      </c>
      <c r="CS224" s="340" t="str">
        <f aca="false">IF(A224="N/A"," ",IF(CC=2,(VLOOKUP(A224,ScaledPrice,9)-((IF(W224&lt;&gt;0,$D224,$CL224)*$C224)+$F224+$G224)),0))</f>
        <v> </v>
      </c>
      <c r="CT224" s="340" t="str">
        <f aca="false">IF(A224="N/A"," ",IF(CC=2,(IF(OR(Dayrun=3,Dayrun=6,Dayrun=9),(VLOOKUP(A224,ScaledPrice,IF(AND(Dayrun&gt;=3,Dayrun&lt;=6),7,8))),0)-((IF(X224&lt;&gt;0,$D224,$CL224)*$C224)+$F224+$G224)),0))</f>
        <v> </v>
      </c>
      <c r="CU224" s="340" t="str">
        <f aca="false">IF(A224="N/A"," ",IF(CC=2,(IF(OR(Dayrun=3,Dayrun=6,Dayrun=9),IF(AND(Dayrun&gt;=3,Dayrun&lt;=6),O224,(VLOOKUP(A224,ScaledPrice,7))*(2-(VLOOKUP(A224,ScaledPrice,3)))),0)-((IF(Y224&lt;&gt;0,$D224,$CL224)*$C224)+$F224+$G224)),0))</f>
        <v> </v>
      </c>
      <c r="CV224" s="340" t="str">
        <f aca="false">IF(A224="N/A"," ",IF(CC=2,(VLOOKUP(A224,ScaledPrice,9)-((IF(Z224&lt;&gt;0,$D224,$CL224)*$C224)+$F224+$G224)),0))</f>
        <v> </v>
      </c>
      <c r="CW224" s="318" t="str">
        <f aca="false">IF($A224="N/A"," ",IF(0&lt;&gt;CN224,IF(CC=2,8*$HD224,0),0))</f>
        <v> </v>
      </c>
      <c r="CX224" s="318" t="str">
        <f aca="false">IF($A224="N/A"," ",IF(0&lt;&gt;CO224,IF(CC=2,8*$HD224,0),0))</f>
        <v> </v>
      </c>
      <c r="CY224" s="318" t="str">
        <f aca="false">IF($A224="N/A"," ",IF(0&lt;&gt;CP224,IF(CC=2,8*$HD224,0),0))</f>
        <v> </v>
      </c>
      <c r="CZ224" s="318" t="str">
        <f aca="false">IF($A224="N/A"," ",IF(0&lt;&gt;CQ224,IF(CC=2,8*$HE224,0),0))</f>
        <v> </v>
      </c>
      <c r="DA224" s="318" t="str">
        <f aca="false">IF($A224="N/A"," ",IF(0&lt;&gt;CR224,IF(CC=2,8*$HE224,0),0))</f>
        <v> </v>
      </c>
      <c r="DB224" s="318" t="str">
        <f aca="false">IF($A224="N/A"," ",IF(0&lt;&gt;CS224,IF(CC=2,8*$HE224,0),0))</f>
        <v> </v>
      </c>
      <c r="DC224" s="318" t="str">
        <f aca="false">IF($A224="N/A"," ",IF(0&lt;&gt;CT224,IF(CC=2,8*$HF224,0),0))</f>
        <v> </v>
      </c>
      <c r="DD224" s="318" t="str">
        <f aca="false">IF($A224="N/A"," ",IF(0&lt;&gt;CU224,IF(CC=2,8*$HF224,0),0))</f>
        <v> </v>
      </c>
      <c r="DE224" s="318" t="str">
        <f aca="false">IF($A224="N/A"," ",IF(0&lt;&gt;CV224,IF(CC=2,8*$HF224,0),0))</f>
        <v> </v>
      </c>
      <c r="DF224" s="341" t="str">
        <f aca="false">IF($A224="N/A"," ",IF(CC=2,(IF(MONTH(A224)&gt;=4,IF(MONTH(A224)&lt;=10,Inputs!$G$13,Inputs!$G$14),Inputs!$G$14))*$CK224,0))</f>
        <v> </v>
      </c>
      <c r="DG224" s="342" t="str">
        <f aca="false">IF($A224="N/A"," ",IF(CC=2,$DF224*CW224*CN224,0))</f>
        <v> </v>
      </c>
      <c r="DH224" s="342" t="str">
        <f aca="false">IF($A224="N/A"," ",IF(CC=2,$DF224*CX224*CO224,0))</f>
        <v> </v>
      </c>
      <c r="DI224" s="342" t="str">
        <f aca="false">IF($A224="N/A"," ",IF(CC=2,$DF224*CY224*CP224,0))</f>
        <v> </v>
      </c>
      <c r="DJ224" s="342" t="str">
        <f aca="false">IF($A224="N/A"," ",IF(CC=2,$DF224*CZ224*CQ224,0))</f>
        <v> </v>
      </c>
      <c r="DK224" s="342" t="str">
        <f aca="false">IF($A224="N/A"," ",IF(CC=2,$DF224*DA224*CR224,0))</f>
        <v> </v>
      </c>
      <c r="DL224" s="342" t="str">
        <f aca="false">IF($A224="N/A"," ",IF(CC=2,$DF224*DB224*CS224,0))</f>
        <v> </v>
      </c>
      <c r="DM224" s="342" t="str">
        <f aca="false">IF($A224="N/A"," ",IF(CC=2,$DF224*DC224*CT224,0))</f>
        <v> </v>
      </c>
      <c r="DN224" s="342" t="str">
        <f aca="false">IF($A224="N/A"," ",IF(CC=2,$DF224*DD224*CU224,0))</f>
        <v> </v>
      </c>
      <c r="DO224" s="342" t="str">
        <f aca="false">IF($A224="N/A"," ",IF(CC=2,$DF224*DE224*CV224,0))</f>
        <v> </v>
      </c>
      <c r="DP224" s="343" t="str">
        <f aca="false">IF($A224="N/A"," ",IF(CC=2,SUM(DG224:DO224),0))</f>
        <v> </v>
      </c>
      <c r="DQ224" s="0" t="str">
        <f aca="false">IF(A224="N/A"," ",Perstart)</f>
        <v> </v>
      </c>
      <c r="HD224" s="0" t="str">
        <f aca="false">IF($A224="N/A"," ",VLOOKUP($A224,NumberofDaysTable,2))</f>
        <v> </v>
      </c>
      <c r="HE224" s="0" t="str">
        <f aca="false">IF($A224="N/A"," ",VLOOKUP($A224,NumberofDaysTable,3))</f>
        <v> </v>
      </c>
      <c r="HF224" s="0" t="str">
        <f aca="false">IF($A224="N/A"," ",VLOOKUP($A224,NumberofDaysTable,4))</f>
        <v> </v>
      </c>
    </row>
    <row r="225" customFormat="false" ht="12.75" hidden="false" customHeight="false" outlineLevel="0" collapsed="false">
      <c r="A225" s="308" t="str">
        <f aca="false">IF(A224="N/A","N/A",IF(EDATE(A224,1)&gt;Inputs!$K$3,"N/A",EDATE(A224,1)))</f>
        <v>N/A</v>
      </c>
      <c r="B225" s="309" t="str">
        <f aca="false">IF(A225="N/A"," ",YEAR(A225))</f>
        <v> </v>
      </c>
      <c r="C225" s="310" t="str">
        <f aca="false">IF(A225="N/A"," ",VLOOKUP(A225,ScaledPrice,10))</f>
        <v> </v>
      </c>
      <c r="D225" s="311" t="str">
        <f aca="false">IF(A225="N/A"," ",(VLOOKUP(MONTH($A225),Hrtable,2))/1000)</f>
        <v> </v>
      </c>
      <c r="E225" s="312" t="str">
        <f aca="false">IF($A225="N/A"," ",(C225-'Pricing Inputs'!T258)*D225)</f>
        <v> </v>
      </c>
      <c r="F225" s="313" t="str">
        <f aca="false">IF(A225="N/A"," ",$F213*(1+VOMesc))</f>
        <v> </v>
      </c>
      <c r="G225" s="313" t="str">
        <f aca="false">IF(A225="N/A"," ",Perstart/IF(AND(Dayrun&gt;=4,Dayrun&lt;=6),16,IF(AND(Dayrun&gt;=7,Dayrun&lt;=9),8,24))/(BM225/CK225))</f>
        <v> </v>
      </c>
      <c r="H225" s="314" t="str">
        <f aca="false">IF(A225="N/A"," ",(C225*D225)+F225+G225)</f>
        <v> </v>
      </c>
      <c r="I225" s="315" t="str">
        <f aca="false">VLOOKUP(A225,ScaledPrice,(IF(AND(Dayrun&gt;=1,Dayrun&lt;=6),2,4)))</f>
        <v> </v>
      </c>
      <c r="J225" s="315" t="str">
        <f aca="false">IF(A225="N/A"," ",IF(AND(Dayrun&gt;=1,Dayrun&lt;=6),I225,(VLOOKUP(A225,ScaledPrice,2))*(2-(VLOOKUP(A225,ScaledPrice,3)))))</f>
        <v> </v>
      </c>
      <c r="K225" s="315" t="str">
        <f aca="false">IF(A225="N/A"," ",IF(AND(Dayrun&gt;=1,Dayrun&lt;=3),VLOOKUP(A225,ScaledPrice,9),0))</f>
        <v> </v>
      </c>
      <c r="L225" s="315" t="str">
        <f aca="false">IF(A225="N/A"," ",IF(OR(Dayrun=2,Dayrun=3,Dayrun=5,Dayrun=6,Dayrun=8,Dayrun=9),VLOOKUP(A225,ScaledPrice,IF(AND(Dayrun&gt;=2,Dayrun&lt;=6),5,6)),0))</f>
        <v> </v>
      </c>
      <c r="M225" s="315" t="str">
        <f aca="false">IF(A225="N/A"," ",IF(OR(Dayrun=2,Dayrun=3,Dayrun=5,Dayrun=6,Dayrun=8,Dayrun=9),IF(AND(Dayrun&gt;=2,Dayrun&lt;=6),L225,(VLOOKUP(A225,ScaledPrice,5))*(2-(VLOOKUP(A225,ScaledPrice,3)))),0))</f>
        <v> </v>
      </c>
      <c r="N225" s="315" t="str">
        <f aca="false">IF(A225="N/A"," ",IF(AND(Dayrun&gt;1,Dayrun&lt;=3),VLOOKUP(A225,ScaledPrice,9),0))</f>
        <v> </v>
      </c>
      <c r="O225" s="315" t="str">
        <f aca="false">IF(A225="N/A"," ",IF(OR(Dayrun=3,Dayrun=6,Dayrun=9),(VLOOKUP(A225,ScaledPrice,IF(AND(Dayrun&gt;=3,Dayrun&lt;=6),7,8))),0))</f>
        <v> </v>
      </c>
      <c r="P225" s="315" t="str">
        <f aca="false">IF(A225="N/A"," ",IF(OR(Dayrun=3,Dayrun=6,Dayrun=9),IF(AND(Dayrun&gt;=3,Dayrun&lt;=6),O225,(VLOOKUP(A225,ScaledPrice,7))*(2-(VLOOKUP(A225,ScaledPrice,3)))),0))</f>
        <v> </v>
      </c>
      <c r="Q225" s="315" t="str">
        <f aca="false">IF(A225="N/A"," ",IF(AND(Dayrun&gt;2,Dayrun&lt;=3),VLOOKUP(A225,ScaledPrice,9),0))</f>
        <v> </v>
      </c>
      <c r="R225" s="316" t="str">
        <f aca="false">IF($A225="N/A"," ",IF(Pricetype=2,MAX(I225-$H225,0),IF(Pricetype=1,(xSPRDOPT(I225,$E225,$CI225,0,($CD225+IF(Smile=TRUE(),VLOOKUP(MAX(-5,$H225-I225),Volsmile,2),0)),$CG225,$CH225,($A225-DateToday)+15,1,0)),I225-$H225)))</f>
        <v> </v>
      </c>
      <c r="S225" s="316" t="str">
        <f aca="false">IF($A225="N/A"," ",IF(Pricetype=2,MAX(J225-$H225,0),IF(Pricetype=1,(xSPRDOPT(J225,$E225,$CI225,0,($CD225+IF(Smile=TRUE(),VLOOKUP(MAX(-5,$H225-J225),Volsmile,2),0)),$CG225,$CH225,($A225-DateToday)+15,1,0)),J225-$H225)))</f>
        <v> </v>
      </c>
      <c r="T225" s="317" t="str">
        <f aca="false">IF($A225="N/A"," ",(IF(Pricetype=2,IF((K225-$H225)&lt;=0,0,(K225-$H225)),IF(K225&lt;&gt;0,(K225-$H225),0))))</f>
        <v> </v>
      </c>
      <c r="U225" s="316" t="str">
        <f aca="false">IF($A225="N/A"," ",IF(Pricetype=2,MAX(L225-$H225,0),IF(L225&lt;&gt;0,IF(Pricetype=1,(xSPRDOPT(L225,$E225,$CI225,0,($CD225+IF(Smile=TRUE(),VLOOKUP(MAX(-5,$H225-L225),Volsmile,2),0)),$CG225,$CH225,($A225-DateToday)+15,1,0)),L225-$H225),0)))</f>
        <v> </v>
      </c>
      <c r="V225" s="316" t="str">
        <f aca="false">IF($A225="N/A"," ",IF(Pricetype=2,MAX(M225-$H225,0),IF(M225&lt;&gt;0,IF(Pricetype=1,(xSPRDOPT(M225,$E225,$CI225,0,($CD225+IF(Smile=TRUE(),VLOOKUP(MAX(-5,$H225-M225),Volsmile,2),0)),$CG225,$CH225,($A225-DateToday)+15,1,0)),M225-$H225),0)))</f>
        <v> </v>
      </c>
      <c r="W225" s="317" t="str">
        <f aca="false">IF($A225="N/A"," ",(IF(Pricetype=2,IF((N225-$H225)&lt;=0,0,(N225-$H225)),IF(N225&lt;&gt;0,(N225-$H225),0))))</f>
        <v> </v>
      </c>
      <c r="X225" s="316" t="str">
        <f aca="false">IF($A225="N/A"," ",IF(Pricetype=2,MAX(O225-$H225,0),IF(O225&lt;&gt;0,IF(Pricetype=1,(xSPRDOPT(O225,$E225,$CI225,0,($CD225+IF(Smile=TRUE(),VLOOKUP(MAX(-5,$H225-O225),Volsmile,2),0)),$CG225,$CH225,($A225-DateToday)+15,1,0)),O225-$H225),0)))</f>
        <v> </v>
      </c>
      <c r="Y225" s="316" t="str">
        <f aca="false">IF($A225="N/A"," ",IF(Pricetype=2,MAX(P225-$H225,0),IF(P225&lt;&gt;0,IF(Pricetype=1,(xSPRDOPT(P225,$E225,$CI225,0,($CD225+IF(Smile=TRUE(),VLOOKUP(MAX(-5,$H225-P225),Volsmile,2),0)),$CG225,$CH225,($A225-DateToday)+15,1,0)),P225-$H225),0)))</f>
        <v> </v>
      </c>
      <c r="Z225" s="317" t="str">
        <f aca="false">IF($A225="N/A"," ",(IF(Pricetype=2,IF((Q225-$H225)&lt;=0,0,(Q225-$H225)),IF(Q225&lt;&gt;0,(Q225-$H225),0))))</f>
        <v> </v>
      </c>
      <c r="AA225" s="318" t="str">
        <f aca="false">IF($A225="N/A"," ",IF(VLOOKUP(MONTH(A225),ManualTable,2)=1,(IF(0&lt;&gt;R225,IF(Pricetype=1,(xSPRDOPT(I225,$E225,$CI225,0,($CD225+IF(Smile=TRUE(),VLOOKUP(MAX(-5,$H225-I225),Volsmile,2),0)),$CG225,$CH225,($A225-DateToday)+15,1,1))*(8*$HD225),8*$HD225),0)),0))</f>
        <v> </v>
      </c>
      <c r="AB225" s="318" t="str">
        <f aca="false">IF($A225="N/A"," ",IF(VLOOKUP(MONTH(A225),ManualTable,3)=1,(IF(S225&lt;&gt;0,IF(Pricetype=1,(xSPRDOPT(J225,$E225,$CI225,0,($CD225+IF(Smile=TRUE(),VLOOKUP(MAX(-5,$H225-J225),Volsmile,2),0)),$CG225,$CH225,($A225-DateToday)+15,1,1))*(8*$HD225),8*$HD225),0)),0))</f>
        <v> </v>
      </c>
      <c r="AC225" s="318" t="str">
        <f aca="false">IF($A225="N/A"," ",IF(VLOOKUP(MONTH(A225),ManualTable,4)=1,(IF(T225&lt;&gt;0,(8*$HD225),0)),0))</f>
        <v> </v>
      </c>
      <c r="AD225" s="318" t="str">
        <f aca="false">IF($A225="N/A"," ",IF(VLOOKUP(MONTH(A225),ManualTable,5)=1,(IF(U225&lt;&gt;0,IF(Pricetype=1,(xSPRDOPT(L225,$E225,$CI225,0,($CD225+IF(Smile=TRUE(),VLOOKUP(MAX(-5,$H225-L225),Volsmile,2),0)),$CG225,$CH225,($A225-DateToday)+15,1,1))*(8*$HE225),8*$HE225),0)),0))</f>
        <v> </v>
      </c>
      <c r="AE225" s="318" t="str">
        <f aca="false">IF($A225="N/A"," ",IF(VLOOKUP(MONTH(A225),ManualTable,6)=1,(IF(V225&lt;&gt;0,IF(Pricetype=1,(xSPRDOPT(M225,$E225,$CI225,0,($CD225+IF(Smile=TRUE(),VLOOKUP(MAX(-5,$H225-M225),Volsmile,2),0)),$CG225,$CH225,($A225-DateToday)+15,1,1))*(8*$HE225),8*$HE225),0)),0))</f>
        <v> </v>
      </c>
      <c r="AF225" s="318" t="str">
        <f aca="false">IF($A225="N/A"," ",IF(VLOOKUP(MONTH(A225),ManualTable,7)=1,(IF(W225&lt;&gt;0,(8*$HE225),0)),0))</f>
        <v> </v>
      </c>
      <c r="AG225" s="318" t="str">
        <f aca="false">IF($A225="N/A"," ",IF(VLOOKUP(MONTH(A225),ManualTable,8)=1,(IF(X225&lt;&gt;0,IF(Pricetype=1,(xSPRDOPT(O225,$E225,$CI225,0,($CD225+IF(Smile=TRUE(),VLOOKUP(MAX(-5,$H225-O225),Volsmile,2),0)),$CG225,$CH225,($A225-DateToday)+15,1,1))*(8*$HF225),8*$HF225),0)),0))</f>
        <v> </v>
      </c>
      <c r="AH225" s="318" t="str">
        <f aca="false">IF($A225="N/A"," ",IF(VLOOKUP(MONTH(A225),ManualTable,9)=1,(IF(Y225&lt;&gt;0,IF(Pricetype=1,(xSPRDOPT(P225,$E225,$CI225,0,($CD225+IF(Smile=TRUE(),VLOOKUP(MAX(-5,$H225-P225),Volsmile,2),0)),$CG225,$CH225,($A225-DateToday)+15,1,1))*(8*$HF225),8*$HF225),0)),0))</f>
        <v> </v>
      </c>
      <c r="AI225" s="318" t="str">
        <f aca="false">IF($A225="N/A"," ",IF(VLOOKUP(MONTH(A225),ManualTable,10)=1,(IF(Z225&lt;&gt;0,(8*($HF225)),0)),0))</f>
        <v> </v>
      </c>
      <c r="AJ225" s="344" t="str">
        <f aca="false">IF($A225="N/A"," ",RANK(R225,$R$220:$Z$231))</f>
        <v> </v>
      </c>
      <c r="AK225" s="321" t="str">
        <f aca="false">IF($A225="N/A"," ",RANK(S225,$R$220:$Z$231))</f>
        <v> </v>
      </c>
      <c r="AL225" s="321" t="str">
        <f aca="false">IF($A225="N/A"," ",RANK(T225,$R$220:$Z$231))</f>
        <v> </v>
      </c>
      <c r="AM225" s="321" t="str">
        <f aca="false">IF($A225="N/A"," ",RANK(U225,$R$220:$Z$231))</f>
        <v> </v>
      </c>
      <c r="AN225" s="321" t="str">
        <f aca="false">IF($A225="N/A"," ",RANK(V225,$R$220:$Z$231))</f>
        <v> </v>
      </c>
      <c r="AO225" s="321" t="str">
        <f aca="false">IF($A225="N/A"," ",RANK(W225,$R$220:$Z$231))</f>
        <v> </v>
      </c>
      <c r="AP225" s="321" t="str">
        <f aca="false">IF($A225="N/A"," ",RANK(X225,$R$220:$Z$231))</f>
        <v> </v>
      </c>
      <c r="AQ225" s="321" t="str">
        <f aca="false">IF($A225="N/A"," ",RANK(Y225,$R$220:$Z$231))</f>
        <v> </v>
      </c>
      <c r="AR225" s="345" t="str">
        <f aca="false">IF($A225="N/A"," ",RANK(Z225,$R$220:$Z$231))</f>
        <v> </v>
      </c>
      <c r="AS225" s="323" t="str">
        <f aca="false">IF($A225="N/A"," ",IF(AJ225&lt;=$AR$2,AA225,0))</f>
        <v> </v>
      </c>
      <c r="AT225" s="325" t="str">
        <f aca="false">IF($A225="N/A"," ",IF(AK225&lt;=$AR$2,AB225,0))</f>
        <v> </v>
      </c>
      <c r="AU225" s="325" t="str">
        <f aca="false">IF($A225="N/A"," ",IF(AL225&lt;=$AR$2,AC225,0))</f>
        <v> </v>
      </c>
      <c r="AV225" s="325" t="str">
        <f aca="false">IF($A225="N/A"," ",IF(AM225&lt;=$AR$2,AD225,0))</f>
        <v> </v>
      </c>
      <c r="AW225" s="325" t="str">
        <f aca="false">IF($A225="N/A"," ",IF(AN225&lt;=$AR$2,AE225,0))</f>
        <v> </v>
      </c>
      <c r="AX225" s="325" t="str">
        <f aca="false">IF($A225="N/A"," ",IF(AO225&lt;=$AR$2,AF225,0))</f>
        <v> </v>
      </c>
      <c r="AY225" s="325" t="str">
        <f aca="false">IF($A225="N/A"," ",IF(AP225&lt;=$AR$2,AG225,0))</f>
        <v> </v>
      </c>
      <c r="AZ225" s="325" t="str">
        <f aca="false">IF($A225="N/A"," ",IF(AQ225&lt;=$AR$2,AH225,0))</f>
        <v> </v>
      </c>
      <c r="BA225" s="325" t="str">
        <f aca="false">IF($A225="N/A"," ",IF(AR225&lt;=$AR$2,AI225,0))</f>
        <v> </v>
      </c>
      <c r="BB225" s="345"/>
      <c r="BC225" s="326" t="str">
        <f aca="false">IF($A225="N/A"," ",IF(AND(AJ225=$AR$2+1,AS225=0),MIN($BB$231,AA225),0))</f>
        <v> </v>
      </c>
      <c r="BD225" s="346" t="str">
        <f aca="false">IF($A225="N/A"," ",IF(AND(AK225=$AR$2+1,AT225=0),MIN($BB$231,AB225),0))</f>
        <v> </v>
      </c>
      <c r="BE225" s="346" t="str">
        <f aca="false">IF($A225="N/A"," ",IF(AND(AL225=$AR$2+1,AU225=0),MIN($BB$231,AC225),0))</f>
        <v> </v>
      </c>
      <c r="BF225" s="346" t="str">
        <f aca="false">IF($A225="N/A"," ",IF(AND(AM225=$AR$2+1,AV225=0),MIN($BB$231,AD225),0))</f>
        <v> </v>
      </c>
      <c r="BG225" s="346" t="str">
        <f aca="false">IF($A225="N/A"," ",IF(AND(AN225=$AR$2+1,AW225=0),MIN($BB$231,AE225),0))</f>
        <v> </v>
      </c>
      <c r="BH225" s="346" t="str">
        <f aca="false">IF($A225="N/A"," ",IF(AND(AO225=$AR$2+1,AX225=0),MIN($BB$231,AF225),0))</f>
        <v> </v>
      </c>
      <c r="BI225" s="346" t="str">
        <f aca="false">IF($A225="N/A"," ",IF(AND(AP225=$AR$2+1,AY225=0),MIN($BB$231,AG225),0))</f>
        <v> </v>
      </c>
      <c r="BJ225" s="346" t="str">
        <f aca="false">IF($A225="N/A"," ",IF(AND(AQ225=$AR$2+1,AZ225=0),MIN($BB$231,AH225),0))</f>
        <v> </v>
      </c>
      <c r="BK225" s="346" t="str">
        <f aca="false">IF($A225="N/A"," ",IF(AND(AR225=$AR$2+1,BA225=0),MIN($BB$231,AI225),0))</f>
        <v> </v>
      </c>
      <c r="BL225" s="345"/>
      <c r="BM225" s="329" t="str">
        <f aca="false">IF($A225="N/A"," ",(IF(MONTH(A225)&gt;=4,IF(MONTH(A225)&lt;=10,Inputs!$F$13-Inputs!$G$13,Inputs!$F$14-Inputs!$G$14),Inputs!$F$14-Inputs!$G$14))*$CK225*Availability)</f>
        <v> </v>
      </c>
      <c r="BN225" s="330" t="str">
        <f aca="false">IF($A225="N/A"," ",(IF(AS225&gt;0,($BM225*(8*($HD225))*R225),0)+IF(BC225&gt;0,($BM225*((BC225/AA225)*8*$HD225)*R225),0)))</f>
        <v> </v>
      </c>
      <c r="BO225" s="330" t="str">
        <f aca="false">IF($A225="N/A"," ",(IF(AT225&gt;0,($BM225*(8*($HD225))*S225),0)+IF(BD225&gt;0,($BM225*((BD225/AB225)*8*$HD225)*S225),0)))</f>
        <v> </v>
      </c>
      <c r="BP225" s="330" t="str">
        <f aca="false">IF($A225="N/A"," ",(IF(AU225&gt;0,($BM225*(8*($HD225))*T225),0)+IF(BE225&gt;0,($BM225*((BE225))*T225),0)))</f>
        <v> </v>
      </c>
      <c r="BQ225" s="330" t="str">
        <f aca="false">IF($A225="N/A"," ",(IF(AV225&gt;0,($BM225*(8*($HE225))*U225),0)+IF(BF225&gt;0,($BM225*((BF225/AD225)*8*$HE225)*U225),0)))</f>
        <v> </v>
      </c>
      <c r="BR225" s="330" t="str">
        <f aca="false">IF($A225="N/A"," ",(IF(AW225&gt;0,($BM225*(8*($HE225))*V225),0)+IF(BG225&gt;0,($BM225*((BG225/AE225)*8*$HE225)*V225),0)))</f>
        <v> </v>
      </c>
      <c r="BS225" s="330" t="str">
        <f aca="false">IF($A225="N/A"," ",(IF(AX225&gt;0,($BM225*(8*($HE225))*W225),0)+IF(BH225&gt;0,($BM225*((BH225))*W225),0)))</f>
        <v> </v>
      </c>
      <c r="BT225" s="330" t="str">
        <f aca="false">IF($A225="N/A"," ",(IF(AY225&gt;0,($BM225*(8*($HF225))*X225),0)+IF(BI225&gt;0,($BM225*((BI225/AG225)*8*$HF225)*X225),0)))</f>
        <v> </v>
      </c>
      <c r="BU225" s="330" t="str">
        <f aca="false">IF($A225="N/A"," ",(IF(AZ225&gt;0,($BM225*(8*($HF225))*Y225),0)+IF(BJ225&gt;0,($BM225*((BJ225/AH225)*8*$HF225)*Y225),0)))</f>
        <v> </v>
      </c>
      <c r="BV225" s="330" t="str">
        <f aca="false">IF($A225="N/A"," ",(IF(BA225&gt;0,($BM225*(8*($HF225))*Z225),0)+IF(BK225&gt;0,($BM225*((BK225))*Z225),0)))</f>
        <v> </v>
      </c>
      <c r="BW225" s="330" t="str">
        <f aca="false">IF($A225="N/A"," ",SUM(BN225:BV225))</f>
        <v> </v>
      </c>
      <c r="BX225" s="331" t="str">
        <f aca="false">IF($A225="N/A"," ",(H225*(SUM(AS225:BA225)+SUM(BC225:BK225))*BM225))</f>
        <v> </v>
      </c>
      <c r="BY225" s="332" t="str">
        <f aca="false">IF($A225="N/A"," ",((C225*D225)*(SUM($AS225:$BA225)+SUM($BC225:$BK225))*$BM225))</f>
        <v> </v>
      </c>
      <c r="BZ225" s="332" t="str">
        <f aca="false">IF($A225="N/A"," ",(F225*(SUM($AS225:$BA225)+SUM($BC225:$BK225))*$BM225))</f>
        <v> </v>
      </c>
      <c r="CA225" s="333" t="str">
        <f aca="false">IF($A225="N/A"," ",(G225*(SUM($AS225:$BA225)+SUM($BC225:$BK225))*$BM225))</f>
        <v> </v>
      </c>
      <c r="CB225" s="334" t="str">
        <f aca="false">IF(A225="N/A"," ",(VLOOKUP(A225,PowerVolTable,(IF(BMO=2,7,IF(BMO=1,6,8))),FALSE())))</f>
        <v> </v>
      </c>
      <c r="CC225" s="334" t="str">
        <f aca="false">IF(A225="N/A"," ",(VLOOKUP(A225,IntraPowerVol,(IF(BMO=2,3,IF(BMO=1,2,4))),FALSE())*VLOOKUP(MONTH($A225),Volscale,2)))</f>
        <v> </v>
      </c>
      <c r="CD225" s="335" t="str">
        <f aca="false">IF($A225="N/A"," ",(IF(DateToday&gt;$A225,$CC225,((($CB225^2)*((($A225-1)-DateToday)/((EOMONTH($A225,0)+1)-DateToday-15)))+((($CC225)^2)*((15)/((EOMONTH($A225,0)+1)-DateToday-15))))^0.5)))</f>
        <v> </v>
      </c>
      <c r="CE225" s="334" t="str">
        <f aca="false">IF($A225="N/A"," ",(VLOOKUP($A225,GasVolTable,(IF(BMO=2,6,IF(BMO=1,7,5))),FALSE())))</f>
        <v> </v>
      </c>
      <c r="CF225" s="334" t="str">
        <f aca="false">IF($A225="N/A"," ",(VLOOKUP($A225,OmicronVol,(IF(BMO=2,3,IF(BMO=1,4,2))),FALSE())))</f>
        <v> </v>
      </c>
      <c r="CG225" s="335" t="str">
        <f aca="false">IF($A225="N/A"," ",(IF(DateToday&gt;$A225,$CF225,((($CE225^2)*((($A225-1)-DateToday)/((EOMONTH($A225,0)+1)-DateToday-15)))+((($CF225)^2)*((15)/((EOMONTH($A225,0)+1)-DateToday-15))))^0.5)))</f>
        <v> </v>
      </c>
      <c r="CH225" s="334" t="str">
        <f aca="false">IF($A225="N/A"," ",VLOOKUP($A225,CorrelationTable,2,FALSE()))</f>
        <v> </v>
      </c>
      <c r="CI225" s="336" t="str">
        <f aca="false">IF($A225="N/A"," ",F225+G225+(D225*('Pricing Inputs'!T258)))</f>
        <v> </v>
      </c>
      <c r="CJ225" s="334" t="str">
        <f aca="false">IF($A225="N/A"," ",IF(PV=1,0,'Pricing Inputs'!U258))</f>
        <v> </v>
      </c>
      <c r="CK225" s="337" t="str">
        <f aca="false">IF($A225="N/A"," ",(1+CJ225/2)^(-2*((EOMONTH(A225,0)+20)-DateToday)/365.25))</f>
        <v> </v>
      </c>
      <c r="CL225" s="338" t="str">
        <f aca="false">IF(A225="N/A"," ",IF(CC=2,(VLOOKUP(MONTH($A225),Hrtable,3))/1000,0))</f>
        <v> </v>
      </c>
      <c r="CM225" s="339" t="str">
        <f aca="false">IF(A225="N/A"," ",IF(CC=2,(CL225*C225)+F225,0))</f>
        <v> </v>
      </c>
      <c r="CN225" s="340" t="str">
        <f aca="false">IF($A225="N/A"," ",IF(CC=2,(VLOOKUP(A225,ScaledPrice,(IF(AND(Dayrun&gt;=1,Dayrun&lt;=6),2,4)))-((IF(R225&lt;&gt;0,$D225,$CL225)*$C225)+$F225+$G225)),0))</f>
        <v> </v>
      </c>
      <c r="CO225" s="340" t="str">
        <f aca="false">IF($A225="N/A"," ",IF(CC=2,(IF(AND(Dayrun&gt;=1,Dayrun&lt;=6),I225,(VLOOKUP(A225,ScaledPrice,2))*(2-(VLOOKUP(A225,ScaledPrice,3))))-((IF(S225&lt;&gt;0,$D225,$CL225)*$C225)+$F225+$G225)),0))</f>
        <v> </v>
      </c>
      <c r="CP225" s="340" t="str">
        <f aca="false">IF(A225="N/A"," ",IF(CC=2,(VLOOKUP(A225,ScaledPrice,9)-((IF(T225&lt;&gt;0,$D225,$CL225)*$C225)+$F225+$G225)),0))</f>
        <v> </v>
      </c>
      <c r="CQ225" s="340" t="str">
        <f aca="false">IF(A225="N/A"," ",IF(CC=2,(IF(OR(Dayrun=2,Dayrun=3,Dayrun=5,Dayrun=6,Dayrun=8,Dayrun=9),VLOOKUP(A225,ScaledPrice,IF(AND(Dayrun&gt;=2,Dayrun&lt;=6),5,6)),0)-((IF(U225&lt;&gt;0,$D225,$CL225)*$C225)+$F225+$G225)),0))</f>
        <v> </v>
      </c>
      <c r="CR225" s="340" t="str">
        <f aca="false">IF(A225="N/A"," ",IF(CC=2,(IF(OR(Dayrun=2,Dayrun=3,Dayrun=5,Dayrun=6,Dayrun=8,Dayrun=9),IF(AND(Dayrun&gt;=2,Dayrun&lt;=6),L225,(VLOOKUP(A225,ScaledPrice,5))*(2-(VLOOKUP(A225,ScaledPrice,3)))),0)-((IF(V225&lt;&gt;0,$D225,$CL225)*$C225)+$F225+$G225)),0))</f>
        <v> </v>
      </c>
      <c r="CS225" s="340" t="str">
        <f aca="false">IF(A225="N/A"," ",IF(CC=2,(VLOOKUP(A225,ScaledPrice,9)-((IF(W225&lt;&gt;0,$D225,$CL225)*$C225)+$F225+$G225)),0))</f>
        <v> </v>
      </c>
      <c r="CT225" s="340" t="str">
        <f aca="false">IF(A225="N/A"," ",IF(CC=2,(IF(OR(Dayrun=3,Dayrun=6,Dayrun=9),(VLOOKUP(A225,ScaledPrice,IF(AND(Dayrun&gt;=3,Dayrun&lt;=6),7,8))),0)-((IF(X225&lt;&gt;0,$D225,$CL225)*$C225)+$F225+$G225)),0))</f>
        <v> </v>
      </c>
      <c r="CU225" s="340" t="str">
        <f aca="false">IF(A225="N/A"," ",IF(CC=2,(IF(OR(Dayrun=3,Dayrun=6,Dayrun=9),IF(AND(Dayrun&gt;=3,Dayrun&lt;=6),O225,(VLOOKUP(A225,ScaledPrice,7))*(2-(VLOOKUP(A225,ScaledPrice,3)))),0)-((IF(Y225&lt;&gt;0,$D225,$CL225)*$C225)+$F225+$G225)),0))</f>
        <v> </v>
      </c>
      <c r="CV225" s="340" t="str">
        <f aca="false">IF(A225="N/A"," ",IF(CC=2,(VLOOKUP(A225,ScaledPrice,9)-((IF(Z225&lt;&gt;0,$D225,$CL225)*$C225)+$F225+$G225)),0))</f>
        <v> </v>
      </c>
      <c r="CW225" s="318" t="str">
        <f aca="false">IF($A225="N/A"," ",IF(0&lt;&gt;CN225,IF(CC=2,8*$HD225,0),0))</f>
        <v> </v>
      </c>
      <c r="CX225" s="318" t="str">
        <f aca="false">IF($A225="N/A"," ",IF(0&lt;&gt;CO225,IF(CC=2,8*$HD225,0),0))</f>
        <v> </v>
      </c>
      <c r="CY225" s="318" t="str">
        <f aca="false">IF($A225="N/A"," ",IF(0&lt;&gt;CP225,IF(CC=2,8*$HD225,0),0))</f>
        <v> </v>
      </c>
      <c r="CZ225" s="318" t="str">
        <f aca="false">IF($A225="N/A"," ",IF(0&lt;&gt;CQ225,IF(CC=2,8*$HE225,0),0))</f>
        <v> </v>
      </c>
      <c r="DA225" s="318" t="str">
        <f aca="false">IF($A225="N/A"," ",IF(0&lt;&gt;CR225,IF(CC=2,8*$HE225,0),0))</f>
        <v> </v>
      </c>
      <c r="DB225" s="318" t="str">
        <f aca="false">IF($A225="N/A"," ",IF(0&lt;&gt;CS225,IF(CC=2,8*$HE225,0),0))</f>
        <v> </v>
      </c>
      <c r="DC225" s="318" t="str">
        <f aca="false">IF($A225="N/A"," ",IF(0&lt;&gt;CT225,IF(CC=2,8*$HF225,0),0))</f>
        <v> </v>
      </c>
      <c r="DD225" s="318" t="str">
        <f aca="false">IF($A225="N/A"," ",IF(0&lt;&gt;CU225,IF(CC=2,8*$HF225,0),0))</f>
        <v> </v>
      </c>
      <c r="DE225" s="318" t="str">
        <f aca="false">IF($A225="N/A"," ",IF(0&lt;&gt;CV225,IF(CC=2,8*$HF225,0),0))</f>
        <v> </v>
      </c>
      <c r="DF225" s="341" t="str">
        <f aca="false">IF($A225="N/A"," ",IF(CC=2,(IF(MONTH(A225)&gt;=4,IF(MONTH(A225)&lt;=10,Inputs!$G$13,Inputs!$G$14),Inputs!$G$14))*$CK225,0))</f>
        <v> </v>
      </c>
      <c r="DG225" s="342" t="str">
        <f aca="false">IF($A225="N/A"," ",IF(CC=2,$DF225*CW225*CN225,0))</f>
        <v> </v>
      </c>
      <c r="DH225" s="342" t="str">
        <f aca="false">IF($A225="N/A"," ",IF(CC=2,$DF225*CX225*CO225,0))</f>
        <v> </v>
      </c>
      <c r="DI225" s="342" t="str">
        <f aca="false">IF($A225="N/A"," ",IF(CC=2,$DF225*CY225*CP225,0))</f>
        <v> </v>
      </c>
      <c r="DJ225" s="342" t="str">
        <f aca="false">IF($A225="N/A"," ",IF(CC=2,$DF225*CZ225*CQ225,0))</f>
        <v> </v>
      </c>
      <c r="DK225" s="342" t="str">
        <f aca="false">IF($A225="N/A"," ",IF(CC=2,$DF225*DA225*CR225,0))</f>
        <v> </v>
      </c>
      <c r="DL225" s="342" t="str">
        <f aca="false">IF($A225="N/A"," ",IF(CC=2,$DF225*DB225*CS225,0))</f>
        <v> </v>
      </c>
      <c r="DM225" s="342" t="str">
        <f aca="false">IF($A225="N/A"," ",IF(CC=2,$DF225*DC225*CT225,0))</f>
        <v> </v>
      </c>
      <c r="DN225" s="342" t="str">
        <f aca="false">IF($A225="N/A"," ",IF(CC=2,$DF225*DD225*CU225,0))</f>
        <v> </v>
      </c>
      <c r="DO225" s="342" t="str">
        <f aca="false">IF($A225="N/A"," ",IF(CC=2,$DF225*DE225*CV225,0))</f>
        <v> </v>
      </c>
      <c r="DP225" s="343" t="str">
        <f aca="false">IF($A225="N/A"," ",IF(CC=2,SUM(DG225:DO225),0))</f>
        <v> </v>
      </c>
      <c r="DQ225" s="0" t="str">
        <f aca="false">IF(A225="N/A"," ",Perstart)</f>
        <v> </v>
      </c>
      <c r="HD225" s="0" t="str">
        <f aca="false">IF($A225="N/A"," ",VLOOKUP($A225,NumberofDaysTable,2))</f>
        <v> </v>
      </c>
      <c r="HE225" s="0" t="str">
        <f aca="false">IF($A225="N/A"," ",VLOOKUP($A225,NumberofDaysTable,3))</f>
        <v> </v>
      </c>
      <c r="HF225" s="0" t="str">
        <f aca="false">IF($A225="N/A"," ",VLOOKUP($A225,NumberofDaysTable,4))</f>
        <v> </v>
      </c>
    </row>
    <row r="226" customFormat="false" ht="12.75" hidden="false" customHeight="false" outlineLevel="0" collapsed="false">
      <c r="A226" s="308" t="str">
        <f aca="false">IF(A225="N/A","N/A",IF(EDATE(A225,1)&gt;Inputs!$K$3,"N/A",EDATE(A225,1)))</f>
        <v>N/A</v>
      </c>
      <c r="B226" s="309" t="str">
        <f aca="false">IF(A226="N/A"," ",YEAR(A226))</f>
        <v> </v>
      </c>
      <c r="C226" s="310" t="str">
        <f aca="false">IF(A226="N/A"," ",VLOOKUP(A226,ScaledPrice,10))</f>
        <v> </v>
      </c>
      <c r="D226" s="311" t="str">
        <f aca="false">IF(A226="N/A"," ",(VLOOKUP(MONTH($A226),Hrtable,2))/1000)</f>
        <v> </v>
      </c>
      <c r="E226" s="312" t="str">
        <f aca="false">IF($A226="N/A"," ",(C226-'Pricing Inputs'!T259)*D226)</f>
        <v> </v>
      </c>
      <c r="F226" s="313" t="str">
        <f aca="false">IF(A226="N/A"," ",$F214*(1+VOMesc))</f>
        <v> </v>
      </c>
      <c r="G226" s="313" t="str">
        <f aca="false">IF(A226="N/A"," ",Perstart/IF(AND(Dayrun&gt;=4,Dayrun&lt;=6),16,IF(AND(Dayrun&gt;=7,Dayrun&lt;=9),8,24))/(BM226/CK226))</f>
        <v> </v>
      </c>
      <c r="H226" s="314" t="str">
        <f aca="false">IF(A226="N/A"," ",(C226*D226)+F226+G226)</f>
        <v> </v>
      </c>
      <c r="I226" s="315" t="str">
        <f aca="false">VLOOKUP(A226,ScaledPrice,(IF(AND(Dayrun&gt;=1,Dayrun&lt;=6),2,4)))</f>
        <v> </v>
      </c>
      <c r="J226" s="315" t="str">
        <f aca="false">IF(A226="N/A"," ",IF(AND(Dayrun&gt;=1,Dayrun&lt;=6),I226,(VLOOKUP(A226,ScaledPrice,2))*(2-(VLOOKUP(A226,ScaledPrice,3)))))</f>
        <v> </v>
      </c>
      <c r="K226" s="315" t="str">
        <f aca="false">IF(A226="N/A"," ",IF(AND(Dayrun&gt;=1,Dayrun&lt;=3),VLOOKUP(A226,ScaledPrice,9),0))</f>
        <v> </v>
      </c>
      <c r="L226" s="315" t="str">
        <f aca="false">IF(A226="N/A"," ",IF(OR(Dayrun=2,Dayrun=3,Dayrun=5,Dayrun=6,Dayrun=8,Dayrun=9),VLOOKUP(A226,ScaledPrice,IF(AND(Dayrun&gt;=2,Dayrun&lt;=6),5,6)),0))</f>
        <v> </v>
      </c>
      <c r="M226" s="315" t="str">
        <f aca="false">IF(A226="N/A"," ",IF(OR(Dayrun=2,Dayrun=3,Dayrun=5,Dayrun=6,Dayrun=8,Dayrun=9),IF(AND(Dayrun&gt;=2,Dayrun&lt;=6),L226,(VLOOKUP(A226,ScaledPrice,5))*(2-(VLOOKUP(A226,ScaledPrice,3)))),0))</f>
        <v> </v>
      </c>
      <c r="N226" s="315" t="str">
        <f aca="false">IF(A226="N/A"," ",IF(AND(Dayrun&gt;1,Dayrun&lt;=3),VLOOKUP(A226,ScaledPrice,9),0))</f>
        <v> </v>
      </c>
      <c r="O226" s="315" t="str">
        <f aca="false">IF(A226="N/A"," ",IF(OR(Dayrun=3,Dayrun=6,Dayrun=9),(VLOOKUP(A226,ScaledPrice,IF(AND(Dayrun&gt;=3,Dayrun&lt;=6),7,8))),0))</f>
        <v> </v>
      </c>
      <c r="P226" s="315" t="str">
        <f aca="false">IF(A226="N/A"," ",IF(OR(Dayrun=3,Dayrun=6,Dayrun=9),IF(AND(Dayrun&gt;=3,Dayrun&lt;=6),O226,(VLOOKUP(A226,ScaledPrice,7))*(2-(VLOOKUP(A226,ScaledPrice,3)))),0))</f>
        <v> </v>
      </c>
      <c r="Q226" s="315" t="str">
        <f aca="false">IF(A226="N/A"," ",IF(AND(Dayrun&gt;2,Dayrun&lt;=3),VLOOKUP(A226,ScaledPrice,9),0))</f>
        <v> </v>
      </c>
      <c r="R226" s="316" t="str">
        <f aca="false">IF($A226="N/A"," ",IF(Pricetype=2,MAX(I226-$H226,0),IF(Pricetype=1,(xSPRDOPT(I226,$E226,$CI226,0,($CD226+IF(Smile=TRUE(),VLOOKUP(MAX(-5,$H226-I226),Volsmile,2),0)),$CG226,$CH226,($A226-DateToday)+15,1,0)),I226-$H226)))</f>
        <v> </v>
      </c>
      <c r="S226" s="316" t="str">
        <f aca="false">IF($A226="N/A"," ",IF(Pricetype=2,MAX(J226-$H226,0),IF(Pricetype=1,(xSPRDOPT(J226,$E226,$CI226,0,($CD226+IF(Smile=TRUE(),VLOOKUP(MAX(-5,$H226-J226),Volsmile,2),0)),$CG226,$CH226,($A226-DateToday)+15,1,0)),J226-$H226)))</f>
        <v> </v>
      </c>
      <c r="T226" s="317" t="str">
        <f aca="false">IF($A226="N/A"," ",(IF(Pricetype=2,IF((K226-$H226)&lt;=0,0,(K226-$H226)),IF(K226&lt;&gt;0,(K226-$H226),0))))</f>
        <v> </v>
      </c>
      <c r="U226" s="316" t="str">
        <f aca="false">IF($A226="N/A"," ",IF(Pricetype=2,MAX(L226-$H226,0),IF(L226&lt;&gt;0,IF(Pricetype=1,(xSPRDOPT(L226,$E226,$CI226,0,($CD226+IF(Smile=TRUE(),VLOOKUP(MAX(-5,$H226-L226),Volsmile,2),0)),$CG226,$CH226,($A226-DateToday)+15,1,0)),L226-$H226),0)))</f>
        <v> </v>
      </c>
      <c r="V226" s="316" t="str">
        <f aca="false">IF($A226="N/A"," ",IF(Pricetype=2,MAX(M226-$H226,0),IF(M226&lt;&gt;0,IF(Pricetype=1,(xSPRDOPT(M226,$E226,$CI226,0,($CD226+IF(Smile=TRUE(),VLOOKUP(MAX(-5,$H226-M226),Volsmile,2),0)),$CG226,$CH226,($A226-DateToday)+15,1,0)),M226-$H226),0)))</f>
        <v> </v>
      </c>
      <c r="W226" s="317" t="str">
        <f aca="false">IF($A226="N/A"," ",(IF(Pricetype=2,IF((N226-$H226)&lt;=0,0,(N226-$H226)),IF(N226&lt;&gt;0,(N226-$H226),0))))</f>
        <v> </v>
      </c>
      <c r="X226" s="316" t="str">
        <f aca="false">IF($A226="N/A"," ",IF(Pricetype=2,MAX(O226-$H226,0),IF(O226&lt;&gt;0,IF(Pricetype=1,(xSPRDOPT(O226,$E226,$CI226,0,($CD226+IF(Smile=TRUE(),VLOOKUP(MAX(-5,$H226-O226),Volsmile,2),0)),$CG226,$CH226,($A226-DateToday)+15,1,0)),O226-$H226),0)))</f>
        <v> </v>
      </c>
      <c r="Y226" s="316" t="str">
        <f aca="false">IF($A226="N/A"," ",IF(Pricetype=2,MAX(P226-$H226,0),IF(P226&lt;&gt;0,IF(Pricetype=1,(xSPRDOPT(P226,$E226,$CI226,0,($CD226+IF(Smile=TRUE(),VLOOKUP(MAX(-5,$H226-P226),Volsmile,2),0)),$CG226,$CH226,($A226-DateToday)+15,1,0)),P226-$H226),0)))</f>
        <v> </v>
      </c>
      <c r="Z226" s="317" t="str">
        <f aca="false">IF($A226="N/A"," ",(IF(Pricetype=2,IF((Q226-$H226)&lt;=0,0,(Q226-$H226)),IF(Q226&lt;&gt;0,(Q226-$H226),0))))</f>
        <v> </v>
      </c>
      <c r="AA226" s="318" t="str">
        <f aca="false">IF($A226="N/A"," ",IF(VLOOKUP(MONTH(A226),ManualTable,2)=1,(IF(0&lt;&gt;R226,IF(Pricetype=1,(xSPRDOPT(I226,$E226,$CI226,0,($CD226+IF(Smile=TRUE(),VLOOKUP(MAX(-5,$H226-I226),Volsmile,2),0)),$CG226,$CH226,($A226-DateToday)+15,1,1))*(8*$HD226),8*$HD226),0)),0))</f>
        <v> </v>
      </c>
      <c r="AB226" s="318" t="str">
        <f aca="false">IF($A226="N/A"," ",IF(VLOOKUP(MONTH(A226),ManualTable,3)=1,(IF(S226&lt;&gt;0,IF(Pricetype=1,(xSPRDOPT(J226,$E226,$CI226,0,($CD226+IF(Smile=TRUE(),VLOOKUP(MAX(-5,$H226-J226),Volsmile,2),0)),$CG226,$CH226,($A226-DateToday)+15,1,1))*(8*$HD226),8*$HD226),0)),0))</f>
        <v> </v>
      </c>
      <c r="AC226" s="318" t="str">
        <f aca="false">IF($A226="N/A"," ",IF(VLOOKUP(MONTH(A226),ManualTable,4)=1,(IF(T226&lt;&gt;0,(8*$HD226),0)),0))</f>
        <v> </v>
      </c>
      <c r="AD226" s="318" t="str">
        <f aca="false">IF($A226="N/A"," ",IF(VLOOKUP(MONTH(A226),ManualTable,5)=1,(IF(U226&lt;&gt;0,IF(Pricetype=1,(xSPRDOPT(L226,$E226,$CI226,0,($CD226+IF(Smile=TRUE(),VLOOKUP(MAX(-5,$H226-L226),Volsmile,2),0)),$CG226,$CH226,($A226-DateToday)+15,1,1))*(8*$HE226),8*$HE226),0)),0))</f>
        <v> </v>
      </c>
      <c r="AE226" s="318" t="str">
        <f aca="false">IF($A226="N/A"," ",IF(VLOOKUP(MONTH(A226),ManualTable,6)=1,(IF(V226&lt;&gt;0,IF(Pricetype=1,(xSPRDOPT(M226,$E226,$CI226,0,($CD226+IF(Smile=TRUE(),VLOOKUP(MAX(-5,$H226-M226),Volsmile,2),0)),$CG226,$CH226,($A226-DateToday)+15,1,1))*(8*$HE226),8*$HE226),0)),0))</f>
        <v> </v>
      </c>
      <c r="AF226" s="318" t="str">
        <f aca="false">IF($A226="N/A"," ",IF(VLOOKUP(MONTH(A226),ManualTable,7)=1,(IF(W226&lt;&gt;0,(8*$HE226),0)),0))</f>
        <v> </v>
      </c>
      <c r="AG226" s="318" t="str">
        <f aca="false">IF($A226="N/A"," ",IF(VLOOKUP(MONTH(A226),ManualTable,8)=1,(IF(X226&lt;&gt;0,IF(Pricetype=1,(xSPRDOPT(O226,$E226,$CI226,0,($CD226+IF(Smile=TRUE(),VLOOKUP(MAX(-5,$H226-O226),Volsmile,2),0)),$CG226,$CH226,($A226-DateToday)+15,1,1))*(8*$HF226),8*$HF226),0)),0))</f>
        <v> </v>
      </c>
      <c r="AH226" s="318" t="str">
        <f aca="false">IF($A226="N/A"," ",IF(VLOOKUP(MONTH(A226),ManualTable,9)=1,(IF(Y226&lt;&gt;0,IF(Pricetype=1,(xSPRDOPT(P226,$E226,$CI226,0,($CD226+IF(Smile=TRUE(),VLOOKUP(MAX(-5,$H226-P226),Volsmile,2),0)),$CG226,$CH226,($A226-DateToday)+15,1,1))*(8*$HF226),8*$HF226),0)),0))</f>
        <v> </v>
      </c>
      <c r="AI226" s="318" t="str">
        <f aca="false">IF($A226="N/A"," ",IF(VLOOKUP(MONTH(A226),ManualTable,10)=1,(IF(Z226&lt;&gt;0,(8*($HF226)),0)),0))</f>
        <v> </v>
      </c>
      <c r="AJ226" s="344" t="str">
        <f aca="false">IF($A226="N/A"," ",RANK(R226,$R$220:$Z$231))</f>
        <v> </v>
      </c>
      <c r="AK226" s="321" t="str">
        <f aca="false">IF($A226="N/A"," ",RANK(S226,$R$220:$Z$231))</f>
        <v> </v>
      </c>
      <c r="AL226" s="321" t="str">
        <f aca="false">IF($A226="N/A"," ",RANK(T226,$R$220:$Z$231))</f>
        <v> </v>
      </c>
      <c r="AM226" s="321" t="str">
        <f aca="false">IF($A226="N/A"," ",RANK(U226,$R$220:$Z$231))</f>
        <v> </v>
      </c>
      <c r="AN226" s="321" t="str">
        <f aca="false">IF($A226="N/A"," ",RANK(V226,$R$220:$Z$231))</f>
        <v> </v>
      </c>
      <c r="AO226" s="321" t="str">
        <f aca="false">IF($A226="N/A"," ",RANK(W226,$R$220:$Z$231))</f>
        <v> </v>
      </c>
      <c r="AP226" s="321" t="str">
        <f aca="false">IF($A226="N/A"," ",RANK(X226,$R$220:$Z$231))</f>
        <v> </v>
      </c>
      <c r="AQ226" s="321" t="str">
        <f aca="false">IF($A226="N/A"," ",RANK(Y226,$R$220:$Z$231))</f>
        <v> </v>
      </c>
      <c r="AR226" s="345" t="str">
        <f aca="false">IF($A226="N/A"," ",RANK(Z226,$R$220:$Z$231))</f>
        <v> </v>
      </c>
      <c r="AS226" s="323" t="str">
        <f aca="false">IF($A226="N/A"," ",IF(AJ226&lt;=$AR$2,AA226,0))</f>
        <v> </v>
      </c>
      <c r="AT226" s="325" t="str">
        <f aca="false">IF($A226="N/A"," ",IF(AK226&lt;=$AR$2,AB226,0))</f>
        <v> </v>
      </c>
      <c r="AU226" s="325" t="str">
        <f aca="false">IF($A226="N/A"," ",IF(AL226&lt;=$AR$2,AC226,0))</f>
        <v> </v>
      </c>
      <c r="AV226" s="325" t="str">
        <f aca="false">IF($A226="N/A"," ",IF(AM226&lt;=$AR$2,AD226,0))</f>
        <v> </v>
      </c>
      <c r="AW226" s="325" t="str">
        <f aca="false">IF($A226="N/A"," ",IF(AN226&lt;=$AR$2,AE226,0))</f>
        <v> </v>
      </c>
      <c r="AX226" s="325" t="str">
        <f aca="false">IF($A226="N/A"," ",IF(AO226&lt;=$AR$2,AF226,0))</f>
        <v> </v>
      </c>
      <c r="AY226" s="325" t="str">
        <f aca="false">IF($A226="N/A"," ",IF(AP226&lt;=$AR$2,AG226,0))</f>
        <v> </v>
      </c>
      <c r="AZ226" s="325" t="str">
        <f aca="false">IF($A226="N/A"," ",IF(AQ226&lt;=$AR$2,AH226,0))</f>
        <v> </v>
      </c>
      <c r="BA226" s="325" t="str">
        <f aca="false">IF($A226="N/A"," ",IF(AR226&lt;=$AR$2,AI226,0))</f>
        <v> </v>
      </c>
      <c r="BB226" s="345"/>
      <c r="BC226" s="326" t="str">
        <f aca="false">IF($A226="N/A"," ",IF(AND(AJ226=$AR$2+1,AS226=0),MIN($BB$231,AA226),0))</f>
        <v> </v>
      </c>
      <c r="BD226" s="346" t="str">
        <f aca="false">IF($A226="N/A"," ",IF(AND(AK226=$AR$2+1,AT226=0),MIN($BB$231,AB226),0))</f>
        <v> </v>
      </c>
      <c r="BE226" s="346" t="str">
        <f aca="false">IF($A226="N/A"," ",IF(AND(AL226=$AR$2+1,AU226=0),MIN($BB$231,AC226),0))</f>
        <v> </v>
      </c>
      <c r="BF226" s="346" t="str">
        <f aca="false">IF($A226="N/A"," ",IF(AND(AM226=$AR$2+1,AV226=0),MIN($BB$231,AD226),0))</f>
        <v> </v>
      </c>
      <c r="BG226" s="346" t="str">
        <f aca="false">IF($A226="N/A"," ",IF(AND(AN226=$AR$2+1,AW226=0),MIN($BB$231,AE226),0))</f>
        <v> </v>
      </c>
      <c r="BH226" s="346" t="str">
        <f aca="false">IF($A226="N/A"," ",IF(AND(AO226=$AR$2+1,AX226=0),MIN($BB$231,AF226),0))</f>
        <v> </v>
      </c>
      <c r="BI226" s="346" t="str">
        <f aca="false">IF($A226="N/A"," ",IF(AND(AP226=$AR$2+1,AY226=0),MIN($BB$231,AG226),0))</f>
        <v> </v>
      </c>
      <c r="BJ226" s="346" t="str">
        <f aca="false">IF($A226="N/A"," ",IF(AND(AQ226=$AR$2+1,AZ226=0),MIN($BB$231,AH226),0))</f>
        <v> </v>
      </c>
      <c r="BK226" s="346" t="str">
        <f aca="false">IF($A226="N/A"," ",IF(AND(AR226=$AR$2+1,BA226=0),MIN($BB$231,AI226),0))</f>
        <v> </v>
      </c>
      <c r="BL226" s="345"/>
      <c r="BM226" s="329" t="str">
        <f aca="false">IF($A226="N/A"," ",(IF(MONTH(A226)&gt;=4,IF(MONTH(A226)&lt;=10,Inputs!$F$13-Inputs!$G$13,Inputs!$F$14-Inputs!$G$14),Inputs!$F$14-Inputs!$G$14))*$CK226*Availability)</f>
        <v> </v>
      </c>
      <c r="BN226" s="330" t="str">
        <f aca="false">IF($A226="N/A"," ",(IF(AS226&gt;0,($BM226*(8*($HD226))*R226),0)+IF(BC226&gt;0,($BM226*((BC226/AA226)*8*$HD226)*R226),0)))</f>
        <v> </v>
      </c>
      <c r="BO226" s="330" t="str">
        <f aca="false">IF($A226="N/A"," ",(IF(AT226&gt;0,($BM226*(8*($HD226))*S226),0)+IF(BD226&gt;0,($BM226*((BD226/AB226)*8*$HD226)*S226),0)))</f>
        <v> </v>
      </c>
      <c r="BP226" s="330" t="str">
        <f aca="false">IF($A226="N/A"," ",(IF(AU226&gt;0,($BM226*(8*($HD226))*T226),0)+IF(BE226&gt;0,($BM226*((BE226))*T226),0)))</f>
        <v> </v>
      </c>
      <c r="BQ226" s="330" t="str">
        <f aca="false">IF($A226="N/A"," ",(IF(AV226&gt;0,($BM226*(8*($HE226))*U226),0)+IF(BF226&gt;0,($BM226*((BF226/AD226)*8*$HE226)*U226),0)))</f>
        <v> </v>
      </c>
      <c r="BR226" s="330" t="str">
        <f aca="false">IF($A226="N/A"," ",(IF(AW226&gt;0,($BM226*(8*($HE226))*V226),0)+IF(BG226&gt;0,($BM226*((BG226/AE226)*8*$HE226)*V226),0)))</f>
        <v> </v>
      </c>
      <c r="BS226" s="330" t="str">
        <f aca="false">IF($A226="N/A"," ",(IF(AX226&gt;0,($BM226*(8*($HE226))*W226),0)+IF(BH226&gt;0,($BM226*((BH226))*W226),0)))</f>
        <v> </v>
      </c>
      <c r="BT226" s="330" t="str">
        <f aca="false">IF($A226="N/A"," ",(IF(AY226&gt;0,($BM226*(8*($HF226))*X226),0)+IF(BI226&gt;0,($BM226*((BI226/AG226)*8*$HF226)*X226),0)))</f>
        <v> </v>
      </c>
      <c r="BU226" s="330" t="str">
        <f aca="false">IF($A226="N/A"," ",(IF(AZ226&gt;0,($BM226*(8*($HF226))*Y226),0)+IF(BJ226&gt;0,($BM226*((BJ226/AH226)*8*$HF226)*Y226),0)))</f>
        <v> </v>
      </c>
      <c r="BV226" s="330" t="str">
        <f aca="false">IF($A226="N/A"," ",(IF(BA226&gt;0,($BM226*(8*($HF226))*Z226),0)+IF(BK226&gt;0,($BM226*((BK226))*Z226),0)))</f>
        <v> </v>
      </c>
      <c r="BW226" s="330" t="str">
        <f aca="false">IF($A226="N/A"," ",SUM(BN226:BV226))</f>
        <v> </v>
      </c>
      <c r="BX226" s="331" t="str">
        <f aca="false">IF($A226="N/A"," ",(H226*(SUM(AS226:BA226)+SUM(BC226:BK226))*BM226))</f>
        <v> </v>
      </c>
      <c r="BY226" s="332" t="str">
        <f aca="false">IF($A226="N/A"," ",((C226*D226)*(SUM($AS226:$BA226)+SUM($BC226:$BK226))*$BM226))</f>
        <v> </v>
      </c>
      <c r="BZ226" s="332" t="str">
        <f aca="false">IF($A226="N/A"," ",(F226*(SUM($AS226:$BA226)+SUM($BC226:$BK226))*$BM226))</f>
        <v> </v>
      </c>
      <c r="CA226" s="333" t="str">
        <f aca="false">IF($A226="N/A"," ",(G226*(SUM($AS226:$BA226)+SUM($BC226:$BK226))*$BM226))</f>
        <v> </v>
      </c>
      <c r="CB226" s="334" t="str">
        <f aca="false">IF(A226="N/A"," ",(VLOOKUP(A226,PowerVolTable,(IF(BMO=2,7,IF(BMO=1,6,8))),FALSE())))</f>
        <v> </v>
      </c>
      <c r="CC226" s="334" t="str">
        <f aca="false">IF(A226="N/A"," ",(VLOOKUP(A226,IntraPowerVol,(IF(BMO=2,3,IF(BMO=1,2,4))),FALSE())*VLOOKUP(MONTH($A226),Volscale,2)))</f>
        <v> </v>
      </c>
      <c r="CD226" s="335" t="str">
        <f aca="false">IF($A226="N/A"," ",(IF(DateToday&gt;$A226,$CC226,((($CB226^2)*((($A226-1)-DateToday)/((EOMONTH($A226,0)+1)-DateToday-15)))+((($CC226)^2)*((15)/((EOMONTH($A226,0)+1)-DateToday-15))))^0.5)))</f>
        <v> </v>
      </c>
      <c r="CE226" s="334" t="str">
        <f aca="false">IF($A226="N/A"," ",(VLOOKUP($A226,GasVolTable,(IF(BMO=2,6,IF(BMO=1,7,5))),FALSE())))</f>
        <v> </v>
      </c>
      <c r="CF226" s="334" t="str">
        <f aca="false">IF($A226="N/A"," ",(VLOOKUP($A226,OmicronVol,(IF(BMO=2,3,IF(BMO=1,4,2))),FALSE())))</f>
        <v> </v>
      </c>
      <c r="CG226" s="335" t="str">
        <f aca="false">IF($A226="N/A"," ",(IF(DateToday&gt;$A226,$CF226,((($CE226^2)*((($A226-1)-DateToday)/((EOMONTH($A226,0)+1)-DateToday-15)))+((($CF226)^2)*((15)/((EOMONTH($A226,0)+1)-DateToday-15))))^0.5)))</f>
        <v> </v>
      </c>
      <c r="CH226" s="334" t="str">
        <f aca="false">IF($A226="N/A"," ",VLOOKUP($A226,CorrelationTable,2,FALSE()))</f>
        <v> </v>
      </c>
      <c r="CI226" s="336" t="str">
        <f aca="false">IF($A226="N/A"," ",F226+G226+(D226*('Pricing Inputs'!T259)))</f>
        <v> </v>
      </c>
      <c r="CJ226" s="334" t="str">
        <f aca="false">IF($A226="N/A"," ",IF(PV=1,0,'Pricing Inputs'!U259))</f>
        <v> </v>
      </c>
      <c r="CK226" s="337" t="str">
        <f aca="false">IF($A226="N/A"," ",(1+CJ226/2)^(-2*((EOMONTH(A226,0)+20)-DateToday)/365.25))</f>
        <v> </v>
      </c>
      <c r="CL226" s="338" t="str">
        <f aca="false">IF(A226="N/A"," ",IF(CC=2,(VLOOKUP(MONTH($A226),Hrtable,3))/1000,0))</f>
        <v> </v>
      </c>
      <c r="CM226" s="339" t="str">
        <f aca="false">IF(A226="N/A"," ",IF(CC=2,(CL226*C226)+F226,0))</f>
        <v> </v>
      </c>
      <c r="CN226" s="340" t="str">
        <f aca="false">IF($A226="N/A"," ",IF(CC=2,(VLOOKUP(A226,ScaledPrice,(IF(AND(Dayrun&gt;=1,Dayrun&lt;=6),2,4)))-((IF(R226&lt;&gt;0,$D226,$CL226)*$C226)+$F226+$G226)),0))</f>
        <v> </v>
      </c>
      <c r="CO226" s="340" t="str">
        <f aca="false">IF($A226="N/A"," ",IF(CC=2,(IF(AND(Dayrun&gt;=1,Dayrun&lt;=6),I226,(VLOOKUP(A226,ScaledPrice,2))*(2-(VLOOKUP(A226,ScaledPrice,3))))-((IF(S226&lt;&gt;0,$D226,$CL226)*$C226)+$F226+$G226)),0))</f>
        <v> </v>
      </c>
      <c r="CP226" s="340" t="str">
        <f aca="false">IF(A226="N/A"," ",IF(CC=2,(VLOOKUP(A226,ScaledPrice,9)-((IF(T226&lt;&gt;0,$D226,$CL226)*$C226)+$F226+$G226)),0))</f>
        <v> </v>
      </c>
      <c r="CQ226" s="340" t="str">
        <f aca="false">IF(A226="N/A"," ",IF(CC=2,(IF(OR(Dayrun=2,Dayrun=3,Dayrun=5,Dayrun=6,Dayrun=8,Dayrun=9),VLOOKUP(A226,ScaledPrice,IF(AND(Dayrun&gt;=2,Dayrun&lt;=6),5,6)),0)-((IF(U226&lt;&gt;0,$D226,$CL226)*$C226)+$F226+$G226)),0))</f>
        <v> </v>
      </c>
      <c r="CR226" s="340" t="str">
        <f aca="false">IF(A226="N/A"," ",IF(CC=2,(IF(OR(Dayrun=2,Dayrun=3,Dayrun=5,Dayrun=6,Dayrun=8,Dayrun=9),IF(AND(Dayrun&gt;=2,Dayrun&lt;=6),L226,(VLOOKUP(A226,ScaledPrice,5))*(2-(VLOOKUP(A226,ScaledPrice,3)))),0)-((IF(V226&lt;&gt;0,$D226,$CL226)*$C226)+$F226+$G226)),0))</f>
        <v> </v>
      </c>
      <c r="CS226" s="340" t="str">
        <f aca="false">IF(A226="N/A"," ",IF(CC=2,(VLOOKUP(A226,ScaledPrice,9)-((IF(W226&lt;&gt;0,$D226,$CL226)*$C226)+$F226+$G226)),0))</f>
        <v> </v>
      </c>
      <c r="CT226" s="340" t="str">
        <f aca="false">IF(A226="N/A"," ",IF(CC=2,(IF(OR(Dayrun=3,Dayrun=6,Dayrun=9),(VLOOKUP(A226,ScaledPrice,IF(AND(Dayrun&gt;=3,Dayrun&lt;=6),7,8))),0)-((IF(X226&lt;&gt;0,$D226,$CL226)*$C226)+$F226+$G226)),0))</f>
        <v> </v>
      </c>
      <c r="CU226" s="340" t="str">
        <f aca="false">IF(A226="N/A"," ",IF(CC=2,(IF(OR(Dayrun=3,Dayrun=6,Dayrun=9),IF(AND(Dayrun&gt;=3,Dayrun&lt;=6),O226,(VLOOKUP(A226,ScaledPrice,7))*(2-(VLOOKUP(A226,ScaledPrice,3)))),0)-((IF(Y226&lt;&gt;0,$D226,$CL226)*$C226)+$F226+$G226)),0))</f>
        <v> </v>
      </c>
      <c r="CV226" s="340" t="str">
        <f aca="false">IF(A226="N/A"," ",IF(CC=2,(VLOOKUP(A226,ScaledPrice,9)-((IF(Z226&lt;&gt;0,$D226,$CL226)*$C226)+$F226+$G226)),0))</f>
        <v> </v>
      </c>
      <c r="CW226" s="318" t="str">
        <f aca="false">IF($A226="N/A"," ",IF(0&lt;&gt;CN226,IF(CC=2,8*$HD226,0),0))</f>
        <v> </v>
      </c>
      <c r="CX226" s="318" t="str">
        <f aca="false">IF($A226="N/A"," ",IF(0&lt;&gt;CO226,IF(CC=2,8*$HD226,0),0))</f>
        <v> </v>
      </c>
      <c r="CY226" s="318" t="str">
        <f aca="false">IF($A226="N/A"," ",IF(0&lt;&gt;CP226,IF(CC=2,8*$HD226,0),0))</f>
        <v> </v>
      </c>
      <c r="CZ226" s="318" t="str">
        <f aca="false">IF($A226="N/A"," ",IF(0&lt;&gt;CQ226,IF(CC=2,8*$HE226,0),0))</f>
        <v> </v>
      </c>
      <c r="DA226" s="318" t="str">
        <f aca="false">IF($A226="N/A"," ",IF(0&lt;&gt;CR226,IF(CC=2,8*$HE226,0),0))</f>
        <v> </v>
      </c>
      <c r="DB226" s="318" t="str">
        <f aca="false">IF($A226="N/A"," ",IF(0&lt;&gt;CS226,IF(CC=2,8*$HE226,0),0))</f>
        <v> </v>
      </c>
      <c r="DC226" s="318" t="str">
        <f aca="false">IF($A226="N/A"," ",IF(0&lt;&gt;CT226,IF(CC=2,8*$HF226,0),0))</f>
        <v> </v>
      </c>
      <c r="DD226" s="318" t="str">
        <f aca="false">IF($A226="N/A"," ",IF(0&lt;&gt;CU226,IF(CC=2,8*$HF226,0),0))</f>
        <v> </v>
      </c>
      <c r="DE226" s="318" t="str">
        <f aca="false">IF($A226="N/A"," ",IF(0&lt;&gt;CV226,IF(CC=2,8*$HF226,0),0))</f>
        <v> </v>
      </c>
      <c r="DF226" s="341" t="str">
        <f aca="false">IF($A226="N/A"," ",IF(CC=2,(IF(MONTH(A226)&gt;=4,IF(MONTH(A226)&lt;=10,Inputs!$G$13,Inputs!$G$14),Inputs!$G$14))*$CK226,0))</f>
        <v> </v>
      </c>
      <c r="DG226" s="342" t="str">
        <f aca="false">IF($A226="N/A"," ",IF(CC=2,$DF226*CW226*CN226,0))</f>
        <v> </v>
      </c>
      <c r="DH226" s="342" t="str">
        <f aca="false">IF($A226="N/A"," ",IF(CC=2,$DF226*CX226*CO226,0))</f>
        <v> </v>
      </c>
      <c r="DI226" s="342" t="str">
        <f aca="false">IF($A226="N/A"," ",IF(CC=2,$DF226*CY226*CP226,0))</f>
        <v> </v>
      </c>
      <c r="DJ226" s="342" t="str">
        <f aca="false">IF($A226="N/A"," ",IF(CC=2,$DF226*CZ226*CQ226,0))</f>
        <v> </v>
      </c>
      <c r="DK226" s="342" t="str">
        <f aca="false">IF($A226="N/A"," ",IF(CC=2,$DF226*DA226*CR226,0))</f>
        <v> </v>
      </c>
      <c r="DL226" s="342" t="str">
        <f aca="false">IF($A226="N/A"," ",IF(CC=2,$DF226*DB226*CS226,0))</f>
        <v> </v>
      </c>
      <c r="DM226" s="342" t="str">
        <f aca="false">IF($A226="N/A"," ",IF(CC=2,$DF226*DC226*CT226,0))</f>
        <v> </v>
      </c>
      <c r="DN226" s="342" t="str">
        <f aca="false">IF($A226="N/A"," ",IF(CC=2,$DF226*DD226*CU226,0))</f>
        <v> </v>
      </c>
      <c r="DO226" s="342" t="str">
        <f aca="false">IF($A226="N/A"," ",IF(CC=2,$DF226*DE226*CV226,0))</f>
        <v> </v>
      </c>
      <c r="DP226" s="343" t="str">
        <f aca="false">IF($A226="N/A"," ",IF(CC=2,SUM(DG226:DO226),0))</f>
        <v> </v>
      </c>
      <c r="DQ226" s="0" t="str">
        <f aca="false">IF(A226="N/A"," ",Perstart)</f>
        <v> </v>
      </c>
      <c r="HD226" s="0" t="str">
        <f aca="false">IF($A226="N/A"," ",VLOOKUP($A226,NumberofDaysTable,2))</f>
        <v> </v>
      </c>
      <c r="HE226" s="0" t="str">
        <f aca="false">IF($A226="N/A"," ",VLOOKUP($A226,NumberofDaysTable,3))</f>
        <v> </v>
      </c>
      <c r="HF226" s="0" t="str">
        <f aca="false">IF($A226="N/A"," ",VLOOKUP($A226,NumberofDaysTable,4))</f>
        <v> </v>
      </c>
    </row>
    <row r="227" customFormat="false" ht="12.75" hidden="false" customHeight="false" outlineLevel="0" collapsed="false">
      <c r="A227" s="308" t="str">
        <f aca="false">IF(A226="N/A","N/A",IF(EDATE(A226,1)&gt;Inputs!$K$3,"N/A",EDATE(A226,1)))</f>
        <v>N/A</v>
      </c>
      <c r="B227" s="309" t="str">
        <f aca="false">IF(A227="N/A"," ",YEAR(A227))</f>
        <v> </v>
      </c>
      <c r="C227" s="310" t="str">
        <f aca="false">IF(A227="N/A"," ",VLOOKUP(A227,ScaledPrice,10))</f>
        <v> </v>
      </c>
      <c r="D227" s="311" t="str">
        <f aca="false">IF(A227="N/A"," ",(VLOOKUP(MONTH($A227),Hrtable,2))/1000)</f>
        <v> </v>
      </c>
      <c r="E227" s="312" t="str">
        <f aca="false">IF($A227="N/A"," ",(C227-'Pricing Inputs'!T260)*D227)</f>
        <v> </v>
      </c>
      <c r="F227" s="313" t="str">
        <f aca="false">IF(A227="N/A"," ",$F215*(1+VOMesc))</f>
        <v> </v>
      </c>
      <c r="G227" s="313" t="str">
        <f aca="false">IF(A227="N/A"," ",Perstart/IF(AND(Dayrun&gt;=4,Dayrun&lt;=6),16,IF(AND(Dayrun&gt;=7,Dayrun&lt;=9),8,24))/(BM227/CK227))</f>
        <v> </v>
      </c>
      <c r="H227" s="314" t="str">
        <f aca="false">IF(A227="N/A"," ",(C227*D227)+F227+G227)</f>
        <v> </v>
      </c>
      <c r="I227" s="315" t="str">
        <f aca="false">VLOOKUP(A227,ScaledPrice,(IF(AND(Dayrun&gt;=1,Dayrun&lt;=6),2,4)))</f>
        <v> </v>
      </c>
      <c r="J227" s="315" t="str">
        <f aca="false">IF(A227="N/A"," ",IF(AND(Dayrun&gt;=1,Dayrun&lt;=6),I227,(VLOOKUP(A227,ScaledPrice,2))*(2-(VLOOKUP(A227,ScaledPrice,3)))))</f>
        <v> </v>
      </c>
      <c r="K227" s="315" t="str">
        <f aca="false">IF(A227="N/A"," ",IF(AND(Dayrun&gt;=1,Dayrun&lt;=3),VLOOKUP(A227,ScaledPrice,9),0))</f>
        <v> </v>
      </c>
      <c r="L227" s="315" t="str">
        <f aca="false">IF(A227="N/A"," ",IF(OR(Dayrun=2,Dayrun=3,Dayrun=5,Dayrun=6,Dayrun=8,Dayrun=9),VLOOKUP(A227,ScaledPrice,IF(AND(Dayrun&gt;=2,Dayrun&lt;=6),5,6)),0))</f>
        <v> </v>
      </c>
      <c r="M227" s="315" t="str">
        <f aca="false">IF(A227="N/A"," ",IF(OR(Dayrun=2,Dayrun=3,Dayrun=5,Dayrun=6,Dayrun=8,Dayrun=9),IF(AND(Dayrun&gt;=2,Dayrun&lt;=6),L227,(VLOOKUP(A227,ScaledPrice,5))*(2-(VLOOKUP(A227,ScaledPrice,3)))),0))</f>
        <v> </v>
      </c>
      <c r="N227" s="315" t="str">
        <f aca="false">IF(A227="N/A"," ",IF(AND(Dayrun&gt;1,Dayrun&lt;=3),VLOOKUP(A227,ScaledPrice,9),0))</f>
        <v> </v>
      </c>
      <c r="O227" s="315" t="str">
        <f aca="false">IF(A227="N/A"," ",IF(OR(Dayrun=3,Dayrun=6,Dayrun=9),(VLOOKUP(A227,ScaledPrice,IF(AND(Dayrun&gt;=3,Dayrun&lt;=6),7,8))),0))</f>
        <v> </v>
      </c>
      <c r="P227" s="315" t="str">
        <f aca="false">IF(A227="N/A"," ",IF(OR(Dayrun=3,Dayrun=6,Dayrun=9),IF(AND(Dayrun&gt;=3,Dayrun&lt;=6),O227,(VLOOKUP(A227,ScaledPrice,7))*(2-(VLOOKUP(A227,ScaledPrice,3)))),0))</f>
        <v> </v>
      </c>
      <c r="Q227" s="315" t="str">
        <f aca="false">IF(A227="N/A"," ",IF(AND(Dayrun&gt;2,Dayrun&lt;=3),VLOOKUP(A227,ScaledPrice,9),0))</f>
        <v> </v>
      </c>
      <c r="R227" s="316" t="str">
        <f aca="false">IF($A227="N/A"," ",IF(Pricetype=2,MAX(I227-$H227,0),IF(Pricetype=1,(xSPRDOPT(I227,$E227,$CI227,0,($CD227+IF(Smile=TRUE(),VLOOKUP(MAX(-5,$H227-I227),Volsmile,2),0)),$CG227,$CH227,($A227-DateToday)+15,1,0)),I227-$H227)))</f>
        <v> </v>
      </c>
      <c r="S227" s="316" t="str">
        <f aca="false">IF($A227="N/A"," ",IF(Pricetype=2,MAX(J227-$H227,0),IF(Pricetype=1,(xSPRDOPT(J227,$E227,$CI227,0,($CD227+IF(Smile=TRUE(),VLOOKUP(MAX(-5,$H227-J227),Volsmile,2),0)),$CG227,$CH227,($A227-DateToday)+15,1,0)),J227-$H227)))</f>
        <v> </v>
      </c>
      <c r="T227" s="317" t="str">
        <f aca="false">IF($A227="N/A"," ",(IF(Pricetype=2,IF((K227-$H227)&lt;=0,0,(K227-$H227)),IF(K227&lt;&gt;0,(K227-$H227),0))))</f>
        <v> </v>
      </c>
      <c r="U227" s="316" t="str">
        <f aca="false">IF($A227="N/A"," ",IF(Pricetype=2,MAX(L227-$H227,0),IF(L227&lt;&gt;0,IF(Pricetype=1,(xSPRDOPT(L227,$E227,$CI227,0,($CD227+IF(Smile=TRUE(),VLOOKUP(MAX(-5,$H227-L227),Volsmile,2),0)),$CG227,$CH227,($A227-DateToday)+15,1,0)),L227-$H227),0)))</f>
        <v> </v>
      </c>
      <c r="V227" s="316" t="str">
        <f aca="false">IF($A227="N/A"," ",IF(Pricetype=2,MAX(M227-$H227,0),IF(M227&lt;&gt;0,IF(Pricetype=1,(xSPRDOPT(M227,$E227,$CI227,0,($CD227+IF(Smile=TRUE(),VLOOKUP(MAX(-5,$H227-M227),Volsmile,2),0)),$CG227,$CH227,($A227-DateToday)+15,1,0)),M227-$H227),0)))</f>
        <v> </v>
      </c>
      <c r="W227" s="317" t="str">
        <f aca="false">IF($A227="N/A"," ",(IF(Pricetype=2,IF((N227-$H227)&lt;=0,0,(N227-$H227)),IF(N227&lt;&gt;0,(N227-$H227),0))))</f>
        <v> </v>
      </c>
      <c r="X227" s="316" t="str">
        <f aca="false">IF($A227="N/A"," ",IF(Pricetype=2,MAX(O227-$H227,0),IF(O227&lt;&gt;0,IF(Pricetype=1,(xSPRDOPT(O227,$E227,$CI227,0,($CD227+IF(Smile=TRUE(),VLOOKUP(MAX(-5,$H227-O227),Volsmile,2),0)),$CG227,$CH227,($A227-DateToday)+15,1,0)),O227-$H227),0)))</f>
        <v> </v>
      </c>
      <c r="Y227" s="316" t="str">
        <f aca="false">IF($A227="N/A"," ",IF(Pricetype=2,MAX(P227-$H227,0),IF(P227&lt;&gt;0,IF(Pricetype=1,(xSPRDOPT(P227,$E227,$CI227,0,($CD227+IF(Smile=TRUE(),VLOOKUP(MAX(-5,$H227-P227),Volsmile,2),0)),$CG227,$CH227,($A227-DateToday)+15,1,0)),P227-$H227),0)))</f>
        <v> </v>
      </c>
      <c r="Z227" s="317" t="str">
        <f aca="false">IF($A227="N/A"," ",(IF(Pricetype=2,IF((Q227-$H227)&lt;=0,0,(Q227-$H227)),IF(Q227&lt;&gt;0,(Q227-$H227),0))))</f>
        <v> </v>
      </c>
      <c r="AA227" s="318" t="str">
        <f aca="false">IF($A227="N/A"," ",IF(VLOOKUP(MONTH(A227),ManualTable,2)=1,(IF(0&lt;&gt;R227,IF(Pricetype=1,(xSPRDOPT(I227,$E227,$CI227,0,($CD227+IF(Smile=TRUE(),VLOOKUP(MAX(-5,$H227-I227),Volsmile,2),0)),$CG227,$CH227,($A227-DateToday)+15,1,1))*(8*$HD227),8*$HD227),0)),0))</f>
        <v> </v>
      </c>
      <c r="AB227" s="318" t="str">
        <f aca="false">IF($A227="N/A"," ",IF(VLOOKUP(MONTH(A227),ManualTable,3)=1,(IF(S227&lt;&gt;0,IF(Pricetype=1,(xSPRDOPT(J227,$E227,$CI227,0,($CD227+IF(Smile=TRUE(),VLOOKUP(MAX(-5,$H227-J227),Volsmile,2),0)),$CG227,$CH227,($A227-DateToday)+15,1,1))*(8*$HD227),8*$HD227),0)),0))</f>
        <v> </v>
      </c>
      <c r="AC227" s="318" t="str">
        <f aca="false">IF($A227="N/A"," ",IF(VLOOKUP(MONTH(A227),ManualTable,4)=1,(IF(T227&lt;&gt;0,(8*$HD227),0)),0))</f>
        <v> </v>
      </c>
      <c r="AD227" s="318" t="str">
        <f aca="false">IF($A227="N/A"," ",IF(VLOOKUP(MONTH(A227),ManualTable,5)=1,(IF(U227&lt;&gt;0,IF(Pricetype=1,(xSPRDOPT(L227,$E227,$CI227,0,($CD227+IF(Smile=TRUE(),VLOOKUP(MAX(-5,$H227-L227),Volsmile,2),0)),$CG227,$CH227,($A227-DateToday)+15,1,1))*(8*$HE227),8*$HE227),0)),0))</f>
        <v> </v>
      </c>
      <c r="AE227" s="318" t="str">
        <f aca="false">IF($A227="N/A"," ",IF(VLOOKUP(MONTH(A227),ManualTable,6)=1,(IF(V227&lt;&gt;0,IF(Pricetype=1,(xSPRDOPT(M227,$E227,$CI227,0,($CD227+IF(Smile=TRUE(),VLOOKUP(MAX(-5,$H227-M227),Volsmile,2),0)),$CG227,$CH227,($A227-DateToday)+15,1,1))*(8*$HE227),8*$HE227),0)),0))</f>
        <v> </v>
      </c>
      <c r="AF227" s="318" t="str">
        <f aca="false">IF($A227="N/A"," ",IF(VLOOKUP(MONTH(A227),ManualTable,7)=1,(IF(W227&lt;&gt;0,(8*$HE227),0)),0))</f>
        <v> </v>
      </c>
      <c r="AG227" s="318" t="str">
        <f aca="false">IF($A227="N/A"," ",IF(VLOOKUP(MONTH(A227),ManualTable,8)=1,(IF(X227&lt;&gt;0,IF(Pricetype=1,(xSPRDOPT(O227,$E227,$CI227,0,($CD227+IF(Smile=TRUE(),VLOOKUP(MAX(-5,$H227-O227),Volsmile,2),0)),$CG227,$CH227,($A227-DateToday)+15,1,1))*(8*$HF227),8*$HF227),0)),0))</f>
        <v> </v>
      </c>
      <c r="AH227" s="318" t="str">
        <f aca="false">IF($A227="N/A"," ",IF(VLOOKUP(MONTH(A227),ManualTable,9)=1,(IF(Y227&lt;&gt;0,IF(Pricetype=1,(xSPRDOPT(P227,$E227,$CI227,0,($CD227+IF(Smile=TRUE(),VLOOKUP(MAX(-5,$H227-P227),Volsmile,2),0)),$CG227,$CH227,($A227-DateToday)+15,1,1))*(8*$HF227),8*$HF227),0)),0))</f>
        <v> </v>
      </c>
      <c r="AI227" s="318" t="str">
        <f aca="false">IF($A227="N/A"," ",IF(VLOOKUP(MONTH(A227),ManualTable,10)=1,(IF(Z227&lt;&gt;0,(8*($HF227)),0)),0))</f>
        <v> </v>
      </c>
      <c r="AJ227" s="344" t="str">
        <f aca="false">IF($A227="N/A"," ",RANK(R227,$R$220:$Z$231))</f>
        <v> </v>
      </c>
      <c r="AK227" s="321" t="str">
        <f aca="false">IF($A227="N/A"," ",RANK(S227,$R$220:$Z$231))</f>
        <v> </v>
      </c>
      <c r="AL227" s="321" t="str">
        <f aca="false">IF($A227="N/A"," ",RANK(T227,$R$220:$Z$231))</f>
        <v> </v>
      </c>
      <c r="AM227" s="321" t="str">
        <f aca="false">IF($A227="N/A"," ",RANK(U227,$R$220:$Z$231))</f>
        <v> </v>
      </c>
      <c r="AN227" s="321" t="str">
        <f aca="false">IF($A227="N/A"," ",RANK(V227,$R$220:$Z$231))</f>
        <v> </v>
      </c>
      <c r="AO227" s="321" t="str">
        <f aca="false">IF($A227="N/A"," ",RANK(W227,$R$220:$Z$231))</f>
        <v> </v>
      </c>
      <c r="AP227" s="321" t="str">
        <f aca="false">IF($A227="N/A"," ",RANK(X227,$R$220:$Z$231))</f>
        <v> </v>
      </c>
      <c r="AQ227" s="321" t="str">
        <f aca="false">IF($A227="N/A"," ",RANK(Y227,$R$220:$Z$231))</f>
        <v> </v>
      </c>
      <c r="AR227" s="345" t="str">
        <f aca="false">IF($A227="N/A"," ",RANK(Z227,$R$220:$Z$231))</f>
        <v> </v>
      </c>
      <c r="AS227" s="323" t="str">
        <f aca="false">IF($A227="N/A"," ",IF(AJ227&lt;=$AR$2,AA227,0))</f>
        <v> </v>
      </c>
      <c r="AT227" s="325" t="str">
        <f aca="false">IF($A227="N/A"," ",IF(AK227&lt;=$AR$2,AB227,0))</f>
        <v> </v>
      </c>
      <c r="AU227" s="325" t="str">
        <f aca="false">IF($A227="N/A"," ",IF(AL227&lt;=$AR$2,AC227,0))</f>
        <v> </v>
      </c>
      <c r="AV227" s="325" t="str">
        <f aca="false">IF($A227="N/A"," ",IF(AM227&lt;=$AR$2,AD227,0))</f>
        <v> </v>
      </c>
      <c r="AW227" s="325" t="str">
        <f aca="false">IF($A227="N/A"," ",IF(AN227&lt;=$AR$2,AE227,0))</f>
        <v> </v>
      </c>
      <c r="AX227" s="325" t="str">
        <f aca="false">IF($A227="N/A"," ",IF(AO227&lt;=$AR$2,AF227,0))</f>
        <v> </v>
      </c>
      <c r="AY227" s="325" t="str">
        <f aca="false">IF($A227="N/A"," ",IF(AP227&lt;=$AR$2,AG227,0))</f>
        <v> </v>
      </c>
      <c r="AZ227" s="325" t="str">
        <f aca="false">IF($A227="N/A"," ",IF(AQ227&lt;=$AR$2,AH227,0))</f>
        <v> </v>
      </c>
      <c r="BA227" s="325" t="str">
        <f aca="false">IF($A227="N/A"," ",IF(AR227&lt;=$AR$2,AI227,0))</f>
        <v> </v>
      </c>
      <c r="BB227" s="345"/>
      <c r="BC227" s="326" t="str">
        <f aca="false">IF($A227="N/A"," ",IF(AND(AJ227=$AR$2+1,AS227=0),MIN($BB$231,AA227),0))</f>
        <v> </v>
      </c>
      <c r="BD227" s="346" t="str">
        <f aca="false">IF($A227="N/A"," ",IF(AND(AK227=$AR$2+1,AT227=0),MIN($BB$231,AB227),0))</f>
        <v> </v>
      </c>
      <c r="BE227" s="346" t="str">
        <f aca="false">IF($A227="N/A"," ",IF(AND(AL227=$AR$2+1,AU227=0),MIN($BB$231,AC227),0))</f>
        <v> </v>
      </c>
      <c r="BF227" s="346" t="str">
        <f aca="false">IF($A227="N/A"," ",IF(AND(AM227=$AR$2+1,AV227=0),MIN($BB$231,AD227),0))</f>
        <v> </v>
      </c>
      <c r="BG227" s="346" t="str">
        <f aca="false">IF($A227="N/A"," ",IF(AND(AN227=$AR$2+1,AW227=0),MIN($BB$231,AE227),0))</f>
        <v> </v>
      </c>
      <c r="BH227" s="346" t="str">
        <f aca="false">IF($A227="N/A"," ",IF(AND(AO227=$AR$2+1,AX227=0),MIN($BB$231,AF227),0))</f>
        <v> </v>
      </c>
      <c r="BI227" s="346" t="str">
        <f aca="false">IF($A227="N/A"," ",IF(AND(AP227=$AR$2+1,AY227=0),MIN($BB$231,AG227),0))</f>
        <v> </v>
      </c>
      <c r="BJ227" s="346" t="str">
        <f aca="false">IF($A227="N/A"," ",IF(AND(AQ227=$AR$2+1,AZ227=0),MIN($BB$231,AH227),0))</f>
        <v> </v>
      </c>
      <c r="BK227" s="346" t="str">
        <f aca="false">IF($A227="N/A"," ",IF(AND(AR227=$AR$2+1,BA227=0),MIN($BB$231,AI227),0))</f>
        <v> </v>
      </c>
      <c r="BL227" s="345"/>
      <c r="BM227" s="329" t="str">
        <f aca="false">IF($A227="N/A"," ",(IF(MONTH(A227)&gt;=4,IF(MONTH(A227)&lt;=10,Inputs!$F$13-Inputs!$G$13,Inputs!$F$14-Inputs!$G$14),Inputs!$F$14-Inputs!$G$14))*$CK227*Availability)</f>
        <v> </v>
      </c>
      <c r="BN227" s="330" t="str">
        <f aca="false">IF($A227="N/A"," ",(IF(AS227&gt;0,($BM227*(8*($HD227))*R227),0)+IF(BC227&gt;0,($BM227*((BC227/AA227)*8*$HD227)*R227),0)))</f>
        <v> </v>
      </c>
      <c r="BO227" s="330" t="str">
        <f aca="false">IF($A227="N/A"," ",(IF(AT227&gt;0,($BM227*(8*($HD227))*S227),0)+IF(BD227&gt;0,($BM227*((BD227/AB227)*8*$HD227)*S227),0)))</f>
        <v> </v>
      </c>
      <c r="BP227" s="330" t="str">
        <f aca="false">IF($A227="N/A"," ",(IF(AU227&gt;0,($BM227*(8*($HD227))*T227),0)+IF(BE227&gt;0,($BM227*((BE227))*T227),0)))</f>
        <v> </v>
      </c>
      <c r="BQ227" s="330" t="str">
        <f aca="false">IF($A227="N/A"," ",(IF(AV227&gt;0,($BM227*(8*($HE227))*U227),0)+IF(BF227&gt;0,($BM227*((BF227/AD227)*8*$HE227)*U227),0)))</f>
        <v> </v>
      </c>
      <c r="BR227" s="330" t="str">
        <f aca="false">IF($A227="N/A"," ",(IF(AW227&gt;0,($BM227*(8*($HE227))*V227),0)+IF(BG227&gt;0,($BM227*((BG227/AE227)*8*$HE227)*V227),0)))</f>
        <v> </v>
      </c>
      <c r="BS227" s="330" t="str">
        <f aca="false">IF($A227="N/A"," ",(IF(AX227&gt;0,($BM227*(8*($HE227))*W227),0)+IF(BH227&gt;0,($BM227*((BH227))*W227),0)))</f>
        <v> </v>
      </c>
      <c r="BT227" s="330" t="str">
        <f aca="false">IF($A227="N/A"," ",(IF(AY227&gt;0,($BM227*(8*($HF227))*X227),0)+IF(BI227&gt;0,($BM227*((BI227/AG227)*8*$HF227)*X227),0)))</f>
        <v> </v>
      </c>
      <c r="BU227" s="330" t="str">
        <f aca="false">IF($A227="N/A"," ",(IF(AZ227&gt;0,($BM227*(8*($HF227))*Y227),0)+IF(BJ227&gt;0,($BM227*((BJ227/AH227)*8*$HF227)*Y227),0)))</f>
        <v> </v>
      </c>
      <c r="BV227" s="330" t="str">
        <f aca="false">IF($A227="N/A"," ",(IF(BA227&gt;0,($BM227*(8*($HF227))*Z227),0)+IF(BK227&gt;0,($BM227*((BK227))*Z227),0)))</f>
        <v> </v>
      </c>
      <c r="BW227" s="330" t="str">
        <f aca="false">IF($A227="N/A"," ",SUM(BN227:BV227))</f>
        <v> </v>
      </c>
      <c r="BX227" s="331" t="str">
        <f aca="false">IF($A227="N/A"," ",(H227*(SUM(AS227:BA227)+SUM(BC227:BK227))*BM227))</f>
        <v> </v>
      </c>
      <c r="BY227" s="332" t="str">
        <f aca="false">IF($A227="N/A"," ",((C227*D227)*(SUM($AS227:$BA227)+SUM($BC227:$BK227))*$BM227))</f>
        <v> </v>
      </c>
      <c r="BZ227" s="332" t="str">
        <f aca="false">IF($A227="N/A"," ",(F227*(SUM($AS227:$BA227)+SUM($BC227:$BK227))*$BM227))</f>
        <v> </v>
      </c>
      <c r="CA227" s="333" t="str">
        <f aca="false">IF($A227="N/A"," ",(G227*(SUM($AS227:$BA227)+SUM($BC227:$BK227))*$BM227))</f>
        <v> </v>
      </c>
      <c r="CB227" s="334" t="str">
        <f aca="false">IF(A227="N/A"," ",(VLOOKUP(A227,PowerVolTable,(IF(BMO=2,7,IF(BMO=1,6,8))),FALSE())))</f>
        <v> </v>
      </c>
      <c r="CC227" s="334" t="str">
        <f aca="false">IF(A227="N/A"," ",(VLOOKUP(A227,IntraPowerVol,(IF(BMO=2,3,IF(BMO=1,2,4))),FALSE())*VLOOKUP(MONTH($A227),Volscale,2)))</f>
        <v> </v>
      </c>
      <c r="CD227" s="335" t="str">
        <f aca="false">IF($A227="N/A"," ",(IF(DateToday&gt;$A227,$CC227,((($CB227^2)*((($A227-1)-DateToday)/((EOMONTH($A227,0)+1)-DateToday-15)))+((($CC227)^2)*((15)/((EOMONTH($A227,0)+1)-DateToday-15))))^0.5)))</f>
        <v> </v>
      </c>
      <c r="CE227" s="334" t="str">
        <f aca="false">IF($A227="N/A"," ",(VLOOKUP($A227,GasVolTable,(IF(BMO=2,6,IF(BMO=1,7,5))),FALSE())))</f>
        <v> </v>
      </c>
      <c r="CF227" s="334" t="str">
        <f aca="false">IF($A227="N/A"," ",(VLOOKUP($A227,OmicronVol,(IF(BMO=2,3,IF(BMO=1,4,2))),FALSE())))</f>
        <v> </v>
      </c>
      <c r="CG227" s="335" t="str">
        <f aca="false">IF($A227="N/A"," ",(IF(DateToday&gt;$A227,$CF227,((($CE227^2)*((($A227-1)-DateToday)/((EOMONTH($A227,0)+1)-DateToday-15)))+((($CF227)^2)*((15)/((EOMONTH($A227,0)+1)-DateToday-15))))^0.5)))</f>
        <v> </v>
      </c>
      <c r="CH227" s="334" t="str">
        <f aca="false">IF($A227="N/A"," ",VLOOKUP($A227,CorrelationTable,2,FALSE()))</f>
        <v> </v>
      </c>
      <c r="CI227" s="336" t="str">
        <f aca="false">IF($A227="N/A"," ",F227+G227+(D227*('Pricing Inputs'!T260)))</f>
        <v> </v>
      </c>
      <c r="CJ227" s="334" t="str">
        <f aca="false">IF($A227="N/A"," ",IF(PV=1,0,'Pricing Inputs'!U260))</f>
        <v> </v>
      </c>
      <c r="CK227" s="337" t="str">
        <f aca="false">IF($A227="N/A"," ",(1+CJ227/2)^(-2*((EOMONTH(A227,0)+20)-DateToday)/365.25))</f>
        <v> </v>
      </c>
      <c r="CL227" s="338" t="str">
        <f aca="false">IF(A227="N/A"," ",IF(CC=2,(VLOOKUP(MONTH($A227),Hrtable,3))/1000,0))</f>
        <v> </v>
      </c>
      <c r="CM227" s="339" t="str">
        <f aca="false">IF(A227="N/A"," ",IF(CC=2,(CL227*C227)+F227,0))</f>
        <v> </v>
      </c>
      <c r="CN227" s="340" t="str">
        <f aca="false">IF($A227="N/A"," ",IF(CC=2,(VLOOKUP(A227,ScaledPrice,(IF(AND(Dayrun&gt;=1,Dayrun&lt;=6),2,4)))-((IF(R227&lt;&gt;0,$D227,$CL227)*$C227)+$F227+$G227)),0))</f>
        <v> </v>
      </c>
      <c r="CO227" s="340" t="str">
        <f aca="false">IF($A227="N/A"," ",IF(CC=2,(IF(AND(Dayrun&gt;=1,Dayrun&lt;=6),I227,(VLOOKUP(A227,ScaledPrice,2))*(2-(VLOOKUP(A227,ScaledPrice,3))))-((IF(S227&lt;&gt;0,$D227,$CL227)*$C227)+$F227+$G227)),0))</f>
        <v> </v>
      </c>
      <c r="CP227" s="340" t="str">
        <f aca="false">IF(A227="N/A"," ",IF(CC=2,(VLOOKUP(A227,ScaledPrice,9)-((IF(T227&lt;&gt;0,$D227,$CL227)*$C227)+$F227+$G227)),0))</f>
        <v> </v>
      </c>
      <c r="CQ227" s="340" t="str">
        <f aca="false">IF(A227="N/A"," ",IF(CC=2,(IF(OR(Dayrun=2,Dayrun=3,Dayrun=5,Dayrun=6,Dayrun=8,Dayrun=9),VLOOKUP(A227,ScaledPrice,IF(AND(Dayrun&gt;=2,Dayrun&lt;=6),5,6)),0)-((IF(U227&lt;&gt;0,$D227,$CL227)*$C227)+$F227+$G227)),0))</f>
        <v> </v>
      </c>
      <c r="CR227" s="340" t="str">
        <f aca="false">IF(A227="N/A"," ",IF(CC=2,(IF(OR(Dayrun=2,Dayrun=3,Dayrun=5,Dayrun=6,Dayrun=8,Dayrun=9),IF(AND(Dayrun&gt;=2,Dayrun&lt;=6),L227,(VLOOKUP(A227,ScaledPrice,5))*(2-(VLOOKUP(A227,ScaledPrice,3)))),0)-((IF(V227&lt;&gt;0,$D227,$CL227)*$C227)+$F227+$G227)),0))</f>
        <v> </v>
      </c>
      <c r="CS227" s="340" t="str">
        <f aca="false">IF(A227="N/A"," ",IF(CC=2,(VLOOKUP(A227,ScaledPrice,9)-((IF(W227&lt;&gt;0,$D227,$CL227)*$C227)+$F227+$G227)),0))</f>
        <v> </v>
      </c>
      <c r="CT227" s="340" t="str">
        <f aca="false">IF(A227="N/A"," ",IF(CC=2,(IF(OR(Dayrun=3,Dayrun=6,Dayrun=9),(VLOOKUP(A227,ScaledPrice,IF(AND(Dayrun&gt;=3,Dayrun&lt;=6),7,8))),0)-((IF(X227&lt;&gt;0,$D227,$CL227)*$C227)+$F227+$G227)),0))</f>
        <v> </v>
      </c>
      <c r="CU227" s="340" t="str">
        <f aca="false">IF(A227="N/A"," ",IF(CC=2,(IF(OR(Dayrun=3,Dayrun=6,Dayrun=9),IF(AND(Dayrun&gt;=3,Dayrun&lt;=6),O227,(VLOOKUP(A227,ScaledPrice,7))*(2-(VLOOKUP(A227,ScaledPrice,3)))),0)-((IF(Y227&lt;&gt;0,$D227,$CL227)*$C227)+$F227+$G227)),0))</f>
        <v> </v>
      </c>
      <c r="CV227" s="340" t="str">
        <f aca="false">IF(A227="N/A"," ",IF(CC=2,(VLOOKUP(A227,ScaledPrice,9)-((IF(Z227&lt;&gt;0,$D227,$CL227)*$C227)+$F227+$G227)),0))</f>
        <v> </v>
      </c>
      <c r="CW227" s="318" t="str">
        <f aca="false">IF($A227="N/A"," ",IF(0&lt;&gt;CN227,IF(CC=2,8*$HD227,0),0))</f>
        <v> </v>
      </c>
      <c r="CX227" s="318" t="str">
        <f aca="false">IF($A227="N/A"," ",IF(0&lt;&gt;CO227,IF(CC=2,8*$HD227,0),0))</f>
        <v> </v>
      </c>
      <c r="CY227" s="318" t="str">
        <f aca="false">IF($A227="N/A"," ",IF(0&lt;&gt;CP227,IF(CC=2,8*$HD227,0),0))</f>
        <v> </v>
      </c>
      <c r="CZ227" s="318" t="str">
        <f aca="false">IF($A227="N/A"," ",IF(0&lt;&gt;CQ227,IF(CC=2,8*$HE227,0),0))</f>
        <v> </v>
      </c>
      <c r="DA227" s="318" t="str">
        <f aca="false">IF($A227="N/A"," ",IF(0&lt;&gt;CR227,IF(CC=2,8*$HE227,0),0))</f>
        <v> </v>
      </c>
      <c r="DB227" s="318" t="str">
        <f aca="false">IF($A227="N/A"," ",IF(0&lt;&gt;CS227,IF(CC=2,8*$HE227,0),0))</f>
        <v> </v>
      </c>
      <c r="DC227" s="318" t="str">
        <f aca="false">IF($A227="N/A"," ",IF(0&lt;&gt;CT227,IF(CC=2,8*$HF227,0),0))</f>
        <v> </v>
      </c>
      <c r="DD227" s="318" t="str">
        <f aca="false">IF($A227="N/A"," ",IF(0&lt;&gt;CU227,IF(CC=2,8*$HF227,0),0))</f>
        <v> </v>
      </c>
      <c r="DE227" s="318" t="str">
        <f aca="false">IF($A227="N/A"," ",IF(0&lt;&gt;CV227,IF(CC=2,8*$HF227,0),0))</f>
        <v> </v>
      </c>
      <c r="DF227" s="341" t="str">
        <f aca="false">IF($A227="N/A"," ",IF(CC=2,(IF(MONTH(A227)&gt;=4,IF(MONTH(A227)&lt;=10,Inputs!$G$13,Inputs!$G$14),Inputs!$G$14))*$CK227,0))</f>
        <v> </v>
      </c>
      <c r="DG227" s="342" t="str">
        <f aca="false">IF($A227="N/A"," ",IF(CC=2,$DF227*CW227*CN227,0))</f>
        <v> </v>
      </c>
      <c r="DH227" s="342" t="str">
        <f aca="false">IF($A227="N/A"," ",IF(CC=2,$DF227*CX227*CO227,0))</f>
        <v> </v>
      </c>
      <c r="DI227" s="342" t="str">
        <f aca="false">IF($A227="N/A"," ",IF(CC=2,$DF227*CY227*CP227,0))</f>
        <v> </v>
      </c>
      <c r="DJ227" s="342" t="str">
        <f aca="false">IF($A227="N/A"," ",IF(CC=2,$DF227*CZ227*CQ227,0))</f>
        <v> </v>
      </c>
      <c r="DK227" s="342" t="str">
        <f aca="false">IF($A227="N/A"," ",IF(CC=2,$DF227*DA227*CR227,0))</f>
        <v> </v>
      </c>
      <c r="DL227" s="342" t="str">
        <f aca="false">IF($A227="N/A"," ",IF(CC=2,$DF227*DB227*CS227,0))</f>
        <v> </v>
      </c>
      <c r="DM227" s="342" t="str">
        <f aca="false">IF($A227="N/A"," ",IF(CC=2,$DF227*DC227*CT227,0))</f>
        <v> </v>
      </c>
      <c r="DN227" s="342" t="str">
        <f aca="false">IF($A227="N/A"," ",IF(CC=2,$DF227*DD227*CU227,0))</f>
        <v> </v>
      </c>
      <c r="DO227" s="342" t="str">
        <f aca="false">IF($A227="N/A"," ",IF(CC=2,$DF227*DE227*CV227,0))</f>
        <v> </v>
      </c>
      <c r="DP227" s="343" t="str">
        <f aca="false">IF($A227="N/A"," ",IF(CC=2,SUM(DG227:DO227),0))</f>
        <v> </v>
      </c>
      <c r="DQ227" s="0" t="str">
        <f aca="false">IF(A227="N/A"," ",Perstart)</f>
        <v> </v>
      </c>
      <c r="HD227" s="0" t="str">
        <f aca="false">IF($A227="N/A"," ",VLOOKUP($A227,NumberofDaysTable,2))</f>
        <v> </v>
      </c>
      <c r="HE227" s="0" t="str">
        <f aca="false">IF($A227="N/A"," ",VLOOKUP($A227,NumberofDaysTable,3))</f>
        <v> </v>
      </c>
      <c r="HF227" s="0" t="str">
        <f aca="false">IF($A227="N/A"," ",VLOOKUP($A227,NumberofDaysTable,4))</f>
        <v> </v>
      </c>
    </row>
    <row r="228" customFormat="false" ht="12.75" hidden="false" customHeight="false" outlineLevel="0" collapsed="false">
      <c r="A228" s="308" t="str">
        <f aca="false">IF(A227="N/A","N/A",IF(EDATE(A227,1)&gt;Inputs!$K$3,"N/A",EDATE(A227,1)))</f>
        <v>N/A</v>
      </c>
      <c r="B228" s="309" t="str">
        <f aca="false">IF(A228="N/A"," ",YEAR(A228))</f>
        <v> </v>
      </c>
      <c r="C228" s="310" t="str">
        <f aca="false">IF(A228="N/A"," ",VLOOKUP(A228,ScaledPrice,10))</f>
        <v> </v>
      </c>
      <c r="D228" s="311" t="str">
        <f aca="false">IF(A228="N/A"," ",(VLOOKUP(MONTH($A228),Hrtable,2))/1000)</f>
        <v> </v>
      </c>
      <c r="E228" s="312" t="str">
        <f aca="false">IF($A228="N/A"," ",(C228-'Pricing Inputs'!T261)*D228)</f>
        <v> </v>
      </c>
      <c r="F228" s="313" t="str">
        <f aca="false">IF(A228="N/A"," ",$F216*(1+VOMesc))</f>
        <v> </v>
      </c>
      <c r="G228" s="313" t="str">
        <f aca="false">IF(A228="N/A"," ",Perstart/IF(AND(Dayrun&gt;=4,Dayrun&lt;=6),16,IF(AND(Dayrun&gt;=7,Dayrun&lt;=9),8,24))/(BM228/CK228))</f>
        <v> </v>
      </c>
      <c r="H228" s="314" t="str">
        <f aca="false">IF(A228="N/A"," ",(C228*D228)+F228+G228)</f>
        <v> </v>
      </c>
      <c r="I228" s="315" t="str">
        <f aca="false">VLOOKUP(A228,ScaledPrice,(IF(AND(Dayrun&gt;=1,Dayrun&lt;=6),2,4)))</f>
        <v> </v>
      </c>
      <c r="J228" s="315" t="str">
        <f aca="false">IF(A228="N/A"," ",IF(AND(Dayrun&gt;=1,Dayrun&lt;=6),I228,(VLOOKUP(A228,ScaledPrice,2))*(2-(VLOOKUP(A228,ScaledPrice,3)))))</f>
        <v> </v>
      </c>
      <c r="K228" s="315" t="str">
        <f aca="false">IF(A228="N/A"," ",IF(AND(Dayrun&gt;=1,Dayrun&lt;=3),VLOOKUP(A228,ScaledPrice,9),0))</f>
        <v> </v>
      </c>
      <c r="L228" s="315" t="str">
        <f aca="false">IF(A228="N/A"," ",IF(OR(Dayrun=2,Dayrun=3,Dayrun=5,Dayrun=6,Dayrun=8,Dayrun=9),VLOOKUP(A228,ScaledPrice,IF(AND(Dayrun&gt;=2,Dayrun&lt;=6),5,6)),0))</f>
        <v> </v>
      </c>
      <c r="M228" s="315" t="str">
        <f aca="false">IF(A228="N/A"," ",IF(OR(Dayrun=2,Dayrun=3,Dayrun=5,Dayrun=6,Dayrun=8,Dayrun=9),IF(AND(Dayrun&gt;=2,Dayrun&lt;=6),L228,(VLOOKUP(A228,ScaledPrice,5))*(2-(VLOOKUP(A228,ScaledPrice,3)))),0))</f>
        <v> </v>
      </c>
      <c r="N228" s="315" t="str">
        <f aca="false">IF(A228="N/A"," ",IF(AND(Dayrun&gt;1,Dayrun&lt;=3),VLOOKUP(A228,ScaledPrice,9),0))</f>
        <v> </v>
      </c>
      <c r="O228" s="315" t="str">
        <f aca="false">IF(A228="N/A"," ",IF(OR(Dayrun=3,Dayrun=6,Dayrun=9),(VLOOKUP(A228,ScaledPrice,IF(AND(Dayrun&gt;=3,Dayrun&lt;=6),7,8))),0))</f>
        <v> </v>
      </c>
      <c r="P228" s="315" t="str">
        <f aca="false">IF(A228="N/A"," ",IF(OR(Dayrun=3,Dayrun=6,Dayrun=9),IF(AND(Dayrun&gt;=3,Dayrun&lt;=6),O228,(VLOOKUP(A228,ScaledPrice,7))*(2-(VLOOKUP(A228,ScaledPrice,3)))),0))</f>
        <v> </v>
      </c>
      <c r="Q228" s="315" t="str">
        <f aca="false">IF(A228="N/A"," ",IF(AND(Dayrun&gt;2,Dayrun&lt;=3),VLOOKUP(A228,ScaledPrice,9),0))</f>
        <v> </v>
      </c>
      <c r="R228" s="316" t="str">
        <f aca="false">IF($A228="N/A"," ",IF(Pricetype=2,MAX(I228-$H228,0),IF(Pricetype=1,(xSPRDOPT(I228,$E228,$CI228,0,($CD228+IF(Smile=TRUE(),VLOOKUP(MAX(-5,$H228-I228),Volsmile,2),0)),$CG228,$CH228,($A228-DateToday)+15,1,0)),I228-$H228)))</f>
        <v> </v>
      </c>
      <c r="S228" s="316" t="str">
        <f aca="false">IF($A228="N/A"," ",IF(Pricetype=2,MAX(J228-$H228,0),IF(Pricetype=1,(xSPRDOPT(J228,$E228,$CI228,0,($CD228+IF(Smile=TRUE(),VLOOKUP(MAX(-5,$H228-J228),Volsmile,2),0)),$CG228,$CH228,($A228-DateToday)+15,1,0)),J228-$H228)))</f>
        <v> </v>
      </c>
      <c r="T228" s="317" t="str">
        <f aca="false">IF($A228="N/A"," ",(IF(Pricetype=2,IF((K228-$H228)&lt;=0,0,(K228-$H228)),IF(K228&lt;&gt;0,(K228-$H228),0))))</f>
        <v> </v>
      </c>
      <c r="U228" s="316" t="str">
        <f aca="false">IF($A228="N/A"," ",IF(Pricetype=2,MAX(L228-$H228,0),IF(L228&lt;&gt;0,IF(Pricetype=1,(xSPRDOPT(L228,$E228,$CI228,0,($CD228+IF(Smile=TRUE(),VLOOKUP(MAX(-5,$H228-L228),Volsmile,2),0)),$CG228,$CH228,($A228-DateToday)+15,1,0)),L228-$H228),0)))</f>
        <v> </v>
      </c>
      <c r="V228" s="316" t="str">
        <f aca="false">IF($A228="N/A"," ",IF(Pricetype=2,MAX(M228-$H228,0),IF(M228&lt;&gt;0,IF(Pricetype=1,(xSPRDOPT(M228,$E228,$CI228,0,($CD228+IF(Smile=TRUE(),VLOOKUP(MAX(-5,$H228-M228),Volsmile,2),0)),$CG228,$CH228,($A228-DateToday)+15,1,0)),M228-$H228),0)))</f>
        <v> </v>
      </c>
      <c r="W228" s="317" t="str">
        <f aca="false">IF($A228="N/A"," ",(IF(Pricetype=2,IF((N228-$H228)&lt;=0,0,(N228-$H228)),IF(N228&lt;&gt;0,(N228-$H228),0))))</f>
        <v> </v>
      </c>
      <c r="X228" s="316" t="str">
        <f aca="false">IF($A228="N/A"," ",IF(Pricetype=2,MAX(O228-$H228,0),IF(O228&lt;&gt;0,IF(Pricetype=1,(xSPRDOPT(O228,$E228,$CI228,0,($CD228+IF(Smile=TRUE(),VLOOKUP(MAX(-5,$H228-O228),Volsmile,2),0)),$CG228,$CH228,($A228-DateToday)+15,1,0)),O228-$H228),0)))</f>
        <v> </v>
      </c>
      <c r="Y228" s="316" t="str">
        <f aca="false">IF($A228="N/A"," ",IF(Pricetype=2,MAX(P228-$H228,0),IF(P228&lt;&gt;0,IF(Pricetype=1,(xSPRDOPT(P228,$E228,$CI228,0,($CD228+IF(Smile=TRUE(),VLOOKUP(MAX(-5,$H228-P228),Volsmile,2),0)),$CG228,$CH228,($A228-DateToday)+15,1,0)),P228-$H228),0)))</f>
        <v> </v>
      </c>
      <c r="Z228" s="317" t="str">
        <f aca="false">IF($A228="N/A"," ",(IF(Pricetype=2,IF((Q228-$H228)&lt;=0,0,(Q228-$H228)),IF(Q228&lt;&gt;0,(Q228-$H228),0))))</f>
        <v> </v>
      </c>
      <c r="AA228" s="318" t="str">
        <f aca="false">IF($A228="N/A"," ",IF(VLOOKUP(MONTH(A228),ManualTable,2)=1,(IF(0&lt;&gt;R228,IF(Pricetype=1,(xSPRDOPT(I228,$E228,$CI228,0,($CD228+IF(Smile=TRUE(),VLOOKUP(MAX(-5,$H228-I228),Volsmile,2),0)),$CG228,$CH228,($A228-DateToday)+15,1,1))*(8*$HD228),8*$HD228),0)),0))</f>
        <v> </v>
      </c>
      <c r="AB228" s="318" t="str">
        <f aca="false">IF($A228="N/A"," ",IF(VLOOKUP(MONTH(A228),ManualTable,3)=1,(IF(S228&lt;&gt;0,IF(Pricetype=1,(xSPRDOPT(J228,$E228,$CI228,0,($CD228+IF(Smile=TRUE(),VLOOKUP(MAX(-5,$H228-J228),Volsmile,2),0)),$CG228,$CH228,($A228-DateToday)+15,1,1))*(8*$HD228),8*$HD228),0)),0))</f>
        <v> </v>
      </c>
      <c r="AC228" s="318" t="str">
        <f aca="false">IF($A228="N/A"," ",IF(VLOOKUP(MONTH(A228),ManualTable,4)=1,(IF(T228&lt;&gt;0,(8*$HD228),0)),0))</f>
        <v> </v>
      </c>
      <c r="AD228" s="318" t="str">
        <f aca="false">IF($A228="N/A"," ",IF(VLOOKUP(MONTH(A228),ManualTable,5)=1,(IF(U228&lt;&gt;0,IF(Pricetype=1,(xSPRDOPT(L228,$E228,$CI228,0,($CD228+IF(Smile=TRUE(),VLOOKUP(MAX(-5,$H228-L228),Volsmile,2),0)),$CG228,$CH228,($A228-DateToday)+15,1,1))*(8*$HE228),8*$HE228),0)),0))</f>
        <v> </v>
      </c>
      <c r="AE228" s="318" t="str">
        <f aca="false">IF($A228="N/A"," ",IF(VLOOKUP(MONTH(A228),ManualTable,6)=1,(IF(V228&lt;&gt;0,IF(Pricetype=1,(xSPRDOPT(M228,$E228,$CI228,0,($CD228+IF(Smile=TRUE(),VLOOKUP(MAX(-5,$H228-M228),Volsmile,2),0)),$CG228,$CH228,($A228-DateToday)+15,1,1))*(8*$HE228),8*$HE228),0)),0))</f>
        <v> </v>
      </c>
      <c r="AF228" s="318" t="str">
        <f aca="false">IF($A228="N/A"," ",IF(VLOOKUP(MONTH(A228),ManualTable,7)=1,(IF(W228&lt;&gt;0,(8*$HE228),0)),0))</f>
        <v> </v>
      </c>
      <c r="AG228" s="318" t="str">
        <f aca="false">IF($A228="N/A"," ",IF(VLOOKUP(MONTH(A228),ManualTable,8)=1,(IF(X228&lt;&gt;0,IF(Pricetype=1,(xSPRDOPT(O228,$E228,$CI228,0,($CD228+IF(Smile=TRUE(),VLOOKUP(MAX(-5,$H228-O228),Volsmile,2),0)),$CG228,$CH228,($A228-DateToday)+15,1,1))*(8*$HF228),8*$HF228),0)),0))</f>
        <v> </v>
      </c>
      <c r="AH228" s="318" t="str">
        <f aca="false">IF($A228="N/A"," ",IF(VLOOKUP(MONTH(A228),ManualTable,9)=1,(IF(Y228&lt;&gt;0,IF(Pricetype=1,(xSPRDOPT(P228,$E228,$CI228,0,($CD228+IF(Smile=TRUE(),VLOOKUP(MAX(-5,$H228-P228),Volsmile,2),0)),$CG228,$CH228,($A228-DateToday)+15,1,1))*(8*$HF228),8*$HF228),0)),0))</f>
        <v> </v>
      </c>
      <c r="AI228" s="318" t="str">
        <f aca="false">IF($A228="N/A"," ",IF(VLOOKUP(MONTH(A228),ManualTable,10)=1,(IF(Z228&lt;&gt;0,(8*($HF228)),0)),0))</f>
        <v> </v>
      </c>
      <c r="AJ228" s="344" t="str">
        <f aca="false">IF($A228="N/A"," ",RANK(R228,$R$220:$Z$231))</f>
        <v> </v>
      </c>
      <c r="AK228" s="321" t="str">
        <f aca="false">IF($A228="N/A"," ",RANK(S228,$R$220:$Z$231))</f>
        <v> </v>
      </c>
      <c r="AL228" s="321" t="str">
        <f aca="false">IF($A228="N/A"," ",RANK(T228,$R$220:$Z$231))</f>
        <v> </v>
      </c>
      <c r="AM228" s="321" t="str">
        <f aca="false">IF($A228="N/A"," ",RANK(U228,$R$220:$Z$231))</f>
        <v> </v>
      </c>
      <c r="AN228" s="321" t="str">
        <f aca="false">IF($A228="N/A"," ",RANK(V228,$R$220:$Z$231))</f>
        <v> </v>
      </c>
      <c r="AO228" s="321" t="str">
        <f aca="false">IF($A228="N/A"," ",RANK(W228,$R$220:$Z$231))</f>
        <v> </v>
      </c>
      <c r="AP228" s="321" t="str">
        <f aca="false">IF($A228="N/A"," ",RANK(X228,$R$220:$Z$231))</f>
        <v> </v>
      </c>
      <c r="AQ228" s="321" t="str">
        <f aca="false">IF($A228="N/A"," ",RANK(Y228,$R$220:$Z$231))</f>
        <v> </v>
      </c>
      <c r="AR228" s="345" t="str">
        <f aca="false">IF($A228="N/A"," ",RANK(Z228,$R$220:$Z$231))</f>
        <v> </v>
      </c>
      <c r="AS228" s="323" t="str">
        <f aca="false">IF($A228="N/A"," ",IF(AJ228&lt;=$AR$2,AA228,0))</f>
        <v> </v>
      </c>
      <c r="AT228" s="325" t="str">
        <f aca="false">IF($A228="N/A"," ",IF(AK228&lt;=$AR$2,AB228,0))</f>
        <v> </v>
      </c>
      <c r="AU228" s="325" t="str">
        <f aca="false">IF($A228="N/A"," ",IF(AL228&lt;=$AR$2,AC228,0))</f>
        <v> </v>
      </c>
      <c r="AV228" s="325" t="str">
        <f aca="false">IF($A228="N/A"," ",IF(AM228&lt;=$AR$2,AD228,0))</f>
        <v> </v>
      </c>
      <c r="AW228" s="325" t="str">
        <f aca="false">IF($A228="N/A"," ",IF(AN228&lt;=$AR$2,AE228,0))</f>
        <v> </v>
      </c>
      <c r="AX228" s="325" t="str">
        <f aca="false">IF($A228="N/A"," ",IF(AO228&lt;=$AR$2,AF228,0))</f>
        <v> </v>
      </c>
      <c r="AY228" s="325" t="str">
        <f aca="false">IF($A228="N/A"," ",IF(AP228&lt;=$AR$2,AG228,0))</f>
        <v> </v>
      </c>
      <c r="AZ228" s="325" t="str">
        <f aca="false">IF($A228="N/A"," ",IF(AQ228&lt;=$AR$2,AH228,0))</f>
        <v> </v>
      </c>
      <c r="BA228" s="325" t="str">
        <f aca="false">IF($A228="N/A"," ",IF(AR228&lt;=$AR$2,AI228,0))</f>
        <v> </v>
      </c>
      <c r="BB228" s="345"/>
      <c r="BC228" s="326" t="str">
        <f aca="false">IF($A228="N/A"," ",IF(AND(AJ228=$AR$2+1,AS228=0),MIN($BB$231,AA228),0))</f>
        <v> </v>
      </c>
      <c r="BD228" s="346" t="str">
        <f aca="false">IF($A228="N/A"," ",IF(AND(AK228=$AR$2+1,AT228=0),MIN($BB$231,AB228),0))</f>
        <v> </v>
      </c>
      <c r="BE228" s="346" t="str">
        <f aca="false">IF($A228="N/A"," ",IF(AND(AL228=$AR$2+1,AU228=0),MIN($BB$231,AC228),0))</f>
        <v> </v>
      </c>
      <c r="BF228" s="346" t="str">
        <f aca="false">IF($A228="N/A"," ",IF(AND(AM228=$AR$2+1,AV228=0),MIN($BB$231,AD228),0))</f>
        <v> </v>
      </c>
      <c r="BG228" s="346" t="str">
        <f aca="false">IF($A228="N/A"," ",IF(AND(AN228=$AR$2+1,AW228=0),MIN($BB$231,AE228),0))</f>
        <v> </v>
      </c>
      <c r="BH228" s="346" t="str">
        <f aca="false">IF($A228="N/A"," ",IF(AND(AO228=$AR$2+1,AX228=0),MIN($BB$231,AF228),0))</f>
        <v> </v>
      </c>
      <c r="BI228" s="346" t="str">
        <f aca="false">IF($A228="N/A"," ",IF(AND(AP228=$AR$2+1,AY228=0),MIN($BB$231,AG228),0))</f>
        <v> </v>
      </c>
      <c r="BJ228" s="346" t="str">
        <f aca="false">IF($A228="N/A"," ",IF(AND(AQ228=$AR$2+1,AZ228=0),MIN($BB$231,AH228),0))</f>
        <v> </v>
      </c>
      <c r="BK228" s="346" t="str">
        <f aca="false">IF($A228="N/A"," ",IF(AND(AR228=$AR$2+1,BA228=0),MIN($BB$231,AI228),0))</f>
        <v> </v>
      </c>
      <c r="BL228" s="345"/>
      <c r="BM228" s="329" t="str">
        <f aca="false">IF($A228="N/A"," ",(IF(MONTH(A228)&gt;=4,IF(MONTH(A228)&lt;=10,Inputs!$F$13-Inputs!$G$13,Inputs!$F$14-Inputs!$G$14),Inputs!$F$14-Inputs!$G$14))*$CK228*Availability)</f>
        <v> </v>
      </c>
      <c r="BN228" s="330" t="str">
        <f aca="false">IF($A228="N/A"," ",(IF(AS228&gt;0,($BM228*(8*($HD228))*R228),0)+IF(BC228&gt;0,($BM228*((BC228/AA228)*8*$HD228)*R228),0)))</f>
        <v> </v>
      </c>
      <c r="BO228" s="330" t="str">
        <f aca="false">IF($A228="N/A"," ",(IF(AT228&gt;0,($BM228*(8*($HD228))*S228),0)+IF(BD228&gt;0,($BM228*((BD228/AB228)*8*$HD228)*S228),0)))</f>
        <v> </v>
      </c>
      <c r="BP228" s="330" t="str">
        <f aca="false">IF($A228="N/A"," ",(IF(AU228&gt;0,($BM228*(8*($HD228))*T228),0)+IF(BE228&gt;0,($BM228*((BE228))*T228),0)))</f>
        <v> </v>
      </c>
      <c r="BQ228" s="330" t="str">
        <f aca="false">IF($A228="N/A"," ",(IF(AV228&gt;0,($BM228*(8*($HE228))*U228),0)+IF(BF228&gt;0,($BM228*((BF228/AD228)*8*$HE228)*U228),0)))</f>
        <v> </v>
      </c>
      <c r="BR228" s="330" t="str">
        <f aca="false">IF($A228="N/A"," ",(IF(AW228&gt;0,($BM228*(8*($HE228))*V228),0)+IF(BG228&gt;0,($BM228*((BG228/AE228)*8*$HE228)*V228),0)))</f>
        <v> </v>
      </c>
      <c r="BS228" s="330" t="str">
        <f aca="false">IF($A228="N/A"," ",(IF(AX228&gt;0,($BM228*(8*($HE228))*W228),0)+IF(BH228&gt;0,($BM228*((BH228))*W228),0)))</f>
        <v> </v>
      </c>
      <c r="BT228" s="330" t="str">
        <f aca="false">IF($A228="N/A"," ",(IF(AY228&gt;0,($BM228*(8*($HF228))*X228),0)+IF(BI228&gt;0,($BM228*((BI228/AG228)*8*$HF228)*X228),0)))</f>
        <v> </v>
      </c>
      <c r="BU228" s="330" t="str">
        <f aca="false">IF($A228="N/A"," ",(IF(AZ228&gt;0,($BM228*(8*($HF228))*Y228),0)+IF(BJ228&gt;0,($BM228*((BJ228/AH228)*8*$HF228)*Y228),0)))</f>
        <v> </v>
      </c>
      <c r="BV228" s="330" t="str">
        <f aca="false">IF($A228="N/A"," ",(IF(BA228&gt;0,($BM228*(8*($HF228))*Z228),0)+IF(BK228&gt;0,($BM228*((BK228))*Z228),0)))</f>
        <v> </v>
      </c>
      <c r="BW228" s="330" t="str">
        <f aca="false">IF($A228="N/A"," ",SUM(BN228:BV228))</f>
        <v> </v>
      </c>
      <c r="BX228" s="331" t="str">
        <f aca="false">IF($A228="N/A"," ",(H228*(SUM(AS228:BA228)+SUM(BC228:BK228))*BM228))</f>
        <v> </v>
      </c>
      <c r="BY228" s="332" t="str">
        <f aca="false">IF($A228="N/A"," ",((C228*D228)*(SUM($AS228:$BA228)+SUM($BC228:$BK228))*$BM228))</f>
        <v> </v>
      </c>
      <c r="BZ228" s="332" t="str">
        <f aca="false">IF($A228="N/A"," ",(F228*(SUM($AS228:$BA228)+SUM($BC228:$BK228))*$BM228))</f>
        <v> </v>
      </c>
      <c r="CA228" s="333" t="str">
        <f aca="false">IF($A228="N/A"," ",(G228*(SUM($AS228:$BA228)+SUM($BC228:$BK228))*$BM228))</f>
        <v> </v>
      </c>
      <c r="CB228" s="334" t="str">
        <f aca="false">IF(A228="N/A"," ",(VLOOKUP(A228,PowerVolTable,(IF(BMO=2,7,IF(BMO=1,6,8))),FALSE())))</f>
        <v> </v>
      </c>
      <c r="CC228" s="334" t="str">
        <f aca="false">IF(A228="N/A"," ",(VLOOKUP(A228,IntraPowerVol,(IF(BMO=2,3,IF(BMO=1,2,4))),FALSE())*VLOOKUP(MONTH($A228),Volscale,2)))</f>
        <v> </v>
      </c>
      <c r="CD228" s="335" t="str">
        <f aca="false">IF($A228="N/A"," ",(IF(DateToday&gt;$A228,$CC228,((($CB228^2)*((($A228-1)-DateToday)/((EOMONTH($A228,0)+1)-DateToday-15)))+((($CC228)^2)*((15)/((EOMONTH($A228,0)+1)-DateToday-15))))^0.5)))</f>
        <v> </v>
      </c>
      <c r="CE228" s="334" t="str">
        <f aca="false">IF($A228="N/A"," ",(VLOOKUP($A228,GasVolTable,(IF(BMO=2,6,IF(BMO=1,7,5))),FALSE())))</f>
        <v> </v>
      </c>
      <c r="CF228" s="334" t="str">
        <f aca="false">IF($A228="N/A"," ",(VLOOKUP($A228,OmicronVol,(IF(BMO=2,3,IF(BMO=1,4,2))),FALSE())))</f>
        <v> </v>
      </c>
      <c r="CG228" s="335" t="str">
        <f aca="false">IF($A228="N/A"," ",(IF(DateToday&gt;$A228,$CF228,((($CE228^2)*((($A228-1)-DateToday)/((EOMONTH($A228,0)+1)-DateToday-15)))+((($CF228)^2)*((15)/((EOMONTH($A228,0)+1)-DateToday-15))))^0.5)))</f>
        <v> </v>
      </c>
      <c r="CH228" s="334" t="str">
        <f aca="false">IF($A228="N/A"," ",VLOOKUP($A228,CorrelationTable,2,FALSE()))</f>
        <v> </v>
      </c>
      <c r="CI228" s="336" t="str">
        <f aca="false">IF($A228="N/A"," ",F228+G228+(D228*('Pricing Inputs'!T261)))</f>
        <v> </v>
      </c>
      <c r="CJ228" s="334" t="str">
        <f aca="false">IF($A228="N/A"," ",IF(PV=1,0,'Pricing Inputs'!U261))</f>
        <v> </v>
      </c>
      <c r="CK228" s="337" t="str">
        <f aca="false">IF($A228="N/A"," ",(1+CJ228/2)^(-2*((EOMONTH(A228,0)+20)-DateToday)/365.25))</f>
        <v> </v>
      </c>
      <c r="CL228" s="338" t="str">
        <f aca="false">IF(A228="N/A"," ",IF(CC=2,(VLOOKUP(MONTH($A228),Hrtable,3))/1000,0))</f>
        <v> </v>
      </c>
      <c r="CM228" s="339" t="str">
        <f aca="false">IF(A228="N/A"," ",IF(CC=2,(CL228*C228)+F228,0))</f>
        <v> </v>
      </c>
      <c r="CN228" s="340" t="str">
        <f aca="false">IF($A228="N/A"," ",IF(CC=2,(VLOOKUP(A228,ScaledPrice,(IF(AND(Dayrun&gt;=1,Dayrun&lt;=6),2,4)))-((IF(R228&lt;&gt;0,$D228,$CL228)*$C228)+$F228+$G228)),0))</f>
        <v> </v>
      </c>
      <c r="CO228" s="340" t="str">
        <f aca="false">IF($A228="N/A"," ",IF(CC=2,(IF(AND(Dayrun&gt;=1,Dayrun&lt;=6),I228,(VLOOKUP(A228,ScaledPrice,2))*(2-(VLOOKUP(A228,ScaledPrice,3))))-((IF(S228&lt;&gt;0,$D228,$CL228)*$C228)+$F228+$G228)),0))</f>
        <v> </v>
      </c>
      <c r="CP228" s="340" t="str">
        <f aca="false">IF(A228="N/A"," ",IF(CC=2,(VLOOKUP(A228,ScaledPrice,9)-((IF(T228&lt;&gt;0,$D228,$CL228)*$C228)+$F228+$G228)),0))</f>
        <v> </v>
      </c>
      <c r="CQ228" s="340" t="str">
        <f aca="false">IF(A228="N/A"," ",IF(CC=2,(IF(OR(Dayrun=2,Dayrun=3,Dayrun=5,Dayrun=6,Dayrun=8,Dayrun=9),VLOOKUP(A228,ScaledPrice,IF(AND(Dayrun&gt;=2,Dayrun&lt;=6),5,6)),0)-((IF(U228&lt;&gt;0,$D228,$CL228)*$C228)+$F228+$G228)),0))</f>
        <v> </v>
      </c>
      <c r="CR228" s="340" t="str">
        <f aca="false">IF(A228="N/A"," ",IF(CC=2,(IF(OR(Dayrun=2,Dayrun=3,Dayrun=5,Dayrun=6,Dayrun=8,Dayrun=9),IF(AND(Dayrun&gt;=2,Dayrun&lt;=6),L228,(VLOOKUP(A228,ScaledPrice,5))*(2-(VLOOKUP(A228,ScaledPrice,3)))),0)-((IF(V228&lt;&gt;0,$D228,$CL228)*$C228)+$F228+$G228)),0))</f>
        <v> </v>
      </c>
      <c r="CS228" s="340" t="str">
        <f aca="false">IF(A228="N/A"," ",IF(CC=2,(VLOOKUP(A228,ScaledPrice,9)-((IF(W228&lt;&gt;0,$D228,$CL228)*$C228)+$F228+$G228)),0))</f>
        <v> </v>
      </c>
      <c r="CT228" s="340" t="str">
        <f aca="false">IF(A228="N/A"," ",IF(CC=2,(IF(OR(Dayrun=3,Dayrun=6,Dayrun=9),(VLOOKUP(A228,ScaledPrice,IF(AND(Dayrun&gt;=3,Dayrun&lt;=6),7,8))),0)-((IF(X228&lt;&gt;0,$D228,$CL228)*$C228)+$F228+$G228)),0))</f>
        <v> </v>
      </c>
      <c r="CU228" s="340" t="str">
        <f aca="false">IF(A228="N/A"," ",IF(CC=2,(IF(OR(Dayrun=3,Dayrun=6,Dayrun=9),IF(AND(Dayrun&gt;=3,Dayrun&lt;=6),O228,(VLOOKUP(A228,ScaledPrice,7))*(2-(VLOOKUP(A228,ScaledPrice,3)))),0)-((IF(Y228&lt;&gt;0,$D228,$CL228)*$C228)+$F228+$G228)),0))</f>
        <v> </v>
      </c>
      <c r="CV228" s="340" t="str">
        <f aca="false">IF(A228="N/A"," ",IF(CC=2,(VLOOKUP(A228,ScaledPrice,9)-((IF(Z228&lt;&gt;0,$D228,$CL228)*$C228)+$F228+$G228)),0))</f>
        <v> </v>
      </c>
      <c r="CW228" s="318" t="str">
        <f aca="false">IF($A228="N/A"," ",IF(0&lt;&gt;CN228,IF(CC=2,8*$HD228,0),0))</f>
        <v> </v>
      </c>
      <c r="CX228" s="318" t="str">
        <f aca="false">IF($A228="N/A"," ",IF(0&lt;&gt;CO228,IF(CC=2,8*$HD228,0),0))</f>
        <v> </v>
      </c>
      <c r="CY228" s="318" t="str">
        <f aca="false">IF($A228="N/A"," ",IF(0&lt;&gt;CP228,IF(CC=2,8*$HD228,0),0))</f>
        <v> </v>
      </c>
      <c r="CZ228" s="318" t="str">
        <f aca="false">IF($A228="N/A"," ",IF(0&lt;&gt;CQ228,IF(CC=2,8*$HE228,0),0))</f>
        <v> </v>
      </c>
      <c r="DA228" s="318" t="str">
        <f aca="false">IF($A228="N/A"," ",IF(0&lt;&gt;CR228,IF(CC=2,8*$HE228,0),0))</f>
        <v> </v>
      </c>
      <c r="DB228" s="318" t="str">
        <f aca="false">IF($A228="N/A"," ",IF(0&lt;&gt;CS228,IF(CC=2,8*$HE228,0),0))</f>
        <v> </v>
      </c>
      <c r="DC228" s="318" t="str">
        <f aca="false">IF($A228="N/A"," ",IF(0&lt;&gt;CT228,IF(CC=2,8*$HF228,0),0))</f>
        <v> </v>
      </c>
      <c r="DD228" s="318" t="str">
        <f aca="false">IF($A228="N/A"," ",IF(0&lt;&gt;CU228,IF(CC=2,8*$HF228,0),0))</f>
        <v> </v>
      </c>
      <c r="DE228" s="318" t="str">
        <f aca="false">IF($A228="N/A"," ",IF(0&lt;&gt;CV228,IF(CC=2,8*$HF228,0),0))</f>
        <v> </v>
      </c>
      <c r="DF228" s="341" t="str">
        <f aca="false">IF($A228="N/A"," ",IF(CC=2,(IF(MONTH(A228)&gt;=4,IF(MONTH(A228)&lt;=10,Inputs!$G$13,Inputs!$G$14),Inputs!$G$14))*$CK228,0))</f>
        <v> </v>
      </c>
      <c r="DG228" s="342" t="str">
        <f aca="false">IF($A228="N/A"," ",IF(CC=2,$DF228*CW228*CN228,0))</f>
        <v> </v>
      </c>
      <c r="DH228" s="342" t="str">
        <f aca="false">IF($A228="N/A"," ",IF(CC=2,$DF228*CX228*CO228,0))</f>
        <v> </v>
      </c>
      <c r="DI228" s="342" t="str">
        <f aca="false">IF($A228="N/A"," ",IF(CC=2,$DF228*CY228*CP228,0))</f>
        <v> </v>
      </c>
      <c r="DJ228" s="342" t="str">
        <f aca="false">IF($A228="N/A"," ",IF(CC=2,$DF228*CZ228*CQ228,0))</f>
        <v> </v>
      </c>
      <c r="DK228" s="342" t="str">
        <f aca="false">IF($A228="N/A"," ",IF(CC=2,$DF228*DA228*CR228,0))</f>
        <v> </v>
      </c>
      <c r="DL228" s="342" t="str">
        <f aca="false">IF($A228="N/A"," ",IF(CC=2,$DF228*DB228*CS228,0))</f>
        <v> </v>
      </c>
      <c r="DM228" s="342" t="str">
        <f aca="false">IF($A228="N/A"," ",IF(CC=2,$DF228*DC228*CT228,0))</f>
        <v> </v>
      </c>
      <c r="DN228" s="342" t="str">
        <f aca="false">IF($A228="N/A"," ",IF(CC=2,$DF228*DD228*CU228,0))</f>
        <v> </v>
      </c>
      <c r="DO228" s="342" t="str">
        <f aca="false">IF($A228="N/A"," ",IF(CC=2,$DF228*DE228*CV228,0))</f>
        <v> </v>
      </c>
      <c r="DP228" s="343" t="str">
        <f aca="false">IF($A228="N/A"," ",IF(CC=2,SUM(DG228:DO228),0))</f>
        <v> </v>
      </c>
      <c r="DQ228" s="0" t="str">
        <f aca="false">IF(A228="N/A"," ",Perstart)</f>
        <v> </v>
      </c>
      <c r="HD228" s="0" t="str">
        <f aca="false">IF($A228="N/A"," ",VLOOKUP($A228,NumberofDaysTable,2))</f>
        <v> </v>
      </c>
      <c r="HE228" s="0" t="str">
        <f aca="false">IF($A228="N/A"," ",VLOOKUP($A228,NumberofDaysTable,3))</f>
        <v> </v>
      </c>
      <c r="HF228" s="0" t="str">
        <f aca="false">IF($A228="N/A"," ",VLOOKUP($A228,NumberofDaysTable,4))</f>
        <v> </v>
      </c>
    </row>
    <row r="229" customFormat="false" ht="12.75" hidden="false" customHeight="false" outlineLevel="0" collapsed="false">
      <c r="A229" s="308" t="str">
        <f aca="false">IF(A228="N/A","N/A",IF(EDATE(A228,1)&gt;Inputs!$K$3,"N/A",EDATE(A228,1)))</f>
        <v>N/A</v>
      </c>
      <c r="B229" s="309" t="str">
        <f aca="false">IF(A229="N/A"," ",YEAR(A229))</f>
        <v> </v>
      </c>
      <c r="C229" s="310" t="str">
        <f aca="false">IF(A229="N/A"," ",VLOOKUP(A229,ScaledPrice,10))</f>
        <v> </v>
      </c>
      <c r="D229" s="311" t="str">
        <f aca="false">IF(A229="N/A"," ",(VLOOKUP(MONTH($A229),Hrtable,2))/1000)</f>
        <v> </v>
      </c>
      <c r="E229" s="312" t="str">
        <f aca="false">IF($A229="N/A"," ",(C229-'Pricing Inputs'!T262)*D229)</f>
        <v> </v>
      </c>
      <c r="F229" s="313" t="str">
        <f aca="false">IF(A229="N/A"," ",$F217*(1+VOMesc))</f>
        <v> </v>
      </c>
      <c r="G229" s="313" t="str">
        <f aca="false">IF(A229="N/A"," ",Perstart/IF(AND(Dayrun&gt;=4,Dayrun&lt;=6),16,IF(AND(Dayrun&gt;=7,Dayrun&lt;=9),8,24))/(BM229/CK229))</f>
        <v> </v>
      </c>
      <c r="H229" s="314" t="str">
        <f aca="false">IF(A229="N/A"," ",(C229*D229)+F229+G229)</f>
        <v> </v>
      </c>
      <c r="I229" s="315" t="str">
        <f aca="false">VLOOKUP(A229,ScaledPrice,(IF(AND(Dayrun&gt;=1,Dayrun&lt;=6),2,4)))</f>
        <v> </v>
      </c>
      <c r="J229" s="315" t="str">
        <f aca="false">IF(A229="N/A"," ",IF(AND(Dayrun&gt;=1,Dayrun&lt;=6),I229,(VLOOKUP(A229,ScaledPrice,2))*(2-(VLOOKUP(A229,ScaledPrice,3)))))</f>
        <v> </v>
      </c>
      <c r="K229" s="315" t="str">
        <f aca="false">IF(A229="N/A"," ",IF(AND(Dayrun&gt;=1,Dayrun&lt;=3),VLOOKUP(A229,ScaledPrice,9),0))</f>
        <v> </v>
      </c>
      <c r="L229" s="315" t="str">
        <f aca="false">IF(A229="N/A"," ",IF(OR(Dayrun=2,Dayrun=3,Dayrun=5,Dayrun=6,Dayrun=8,Dayrun=9),VLOOKUP(A229,ScaledPrice,IF(AND(Dayrun&gt;=2,Dayrun&lt;=6),5,6)),0))</f>
        <v> </v>
      </c>
      <c r="M229" s="315" t="str">
        <f aca="false">IF(A229="N/A"," ",IF(OR(Dayrun=2,Dayrun=3,Dayrun=5,Dayrun=6,Dayrun=8,Dayrun=9),IF(AND(Dayrun&gt;=2,Dayrun&lt;=6),L229,(VLOOKUP(A229,ScaledPrice,5))*(2-(VLOOKUP(A229,ScaledPrice,3)))),0))</f>
        <v> </v>
      </c>
      <c r="N229" s="315" t="str">
        <f aca="false">IF(A229="N/A"," ",IF(AND(Dayrun&gt;1,Dayrun&lt;=3),VLOOKUP(A229,ScaledPrice,9),0))</f>
        <v> </v>
      </c>
      <c r="O229" s="315" t="str">
        <f aca="false">IF(A229="N/A"," ",IF(OR(Dayrun=3,Dayrun=6,Dayrun=9),(VLOOKUP(A229,ScaledPrice,IF(AND(Dayrun&gt;=3,Dayrun&lt;=6),7,8))),0))</f>
        <v> </v>
      </c>
      <c r="P229" s="315" t="str">
        <f aca="false">IF(A229="N/A"," ",IF(OR(Dayrun=3,Dayrun=6,Dayrun=9),IF(AND(Dayrun&gt;=3,Dayrun&lt;=6),O229,(VLOOKUP(A229,ScaledPrice,7))*(2-(VLOOKUP(A229,ScaledPrice,3)))),0))</f>
        <v> </v>
      </c>
      <c r="Q229" s="315" t="str">
        <f aca="false">IF(A229="N/A"," ",IF(AND(Dayrun&gt;2,Dayrun&lt;=3),VLOOKUP(A229,ScaledPrice,9),0))</f>
        <v> </v>
      </c>
      <c r="R229" s="316" t="str">
        <f aca="false">IF($A229="N/A"," ",IF(Pricetype=2,MAX(I229-$H229,0),IF(Pricetype=1,(xSPRDOPT(I229,$E229,$CI229,0,($CD229+IF(Smile=TRUE(),VLOOKUP(MAX(-5,$H229-I229),Volsmile,2),0)),$CG229,$CH229,($A229-DateToday)+15,1,0)),I229-$H229)))</f>
        <v> </v>
      </c>
      <c r="S229" s="316" t="str">
        <f aca="false">IF($A229="N/A"," ",IF(Pricetype=2,MAX(J229-$H229,0),IF(Pricetype=1,(xSPRDOPT(J229,$E229,$CI229,0,($CD229+IF(Smile=TRUE(),VLOOKUP(MAX(-5,$H229-J229),Volsmile,2),0)),$CG229,$CH229,($A229-DateToday)+15,1,0)),J229-$H229)))</f>
        <v> </v>
      </c>
      <c r="T229" s="317" t="str">
        <f aca="false">IF($A229="N/A"," ",(IF(Pricetype=2,IF((K229-$H229)&lt;=0,0,(K229-$H229)),IF(K229&lt;&gt;0,(K229-$H229),0))))</f>
        <v> </v>
      </c>
      <c r="U229" s="316" t="str">
        <f aca="false">IF($A229="N/A"," ",IF(Pricetype=2,MAX(L229-$H229,0),IF(L229&lt;&gt;0,IF(Pricetype=1,(xSPRDOPT(L229,$E229,$CI229,0,($CD229+IF(Smile=TRUE(),VLOOKUP(MAX(-5,$H229-L229),Volsmile,2),0)),$CG229,$CH229,($A229-DateToday)+15,1,0)),L229-$H229),0)))</f>
        <v> </v>
      </c>
      <c r="V229" s="316" t="str">
        <f aca="false">IF($A229="N/A"," ",IF(Pricetype=2,MAX(M229-$H229,0),IF(M229&lt;&gt;0,IF(Pricetype=1,(xSPRDOPT(M229,$E229,$CI229,0,($CD229+IF(Smile=TRUE(),VLOOKUP(MAX(-5,$H229-M229),Volsmile,2),0)),$CG229,$CH229,($A229-DateToday)+15,1,0)),M229-$H229),0)))</f>
        <v> </v>
      </c>
      <c r="W229" s="317" t="str">
        <f aca="false">IF($A229="N/A"," ",(IF(Pricetype=2,IF((N229-$H229)&lt;=0,0,(N229-$H229)),IF(N229&lt;&gt;0,(N229-$H229),0))))</f>
        <v> </v>
      </c>
      <c r="X229" s="316" t="str">
        <f aca="false">IF($A229="N/A"," ",IF(Pricetype=2,MAX(O229-$H229,0),IF(O229&lt;&gt;0,IF(Pricetype=1,(xSPRDOPT(O229,$E229,$CI229,0,($CD229+IF(Smile=TRUE(),VLOOKUP(MAX(-5,$H229-O229),Volsmile,2),0)),$CG229,$CH229,($A229-DateToday)+15,1,0)),O229-$H229),0)))</f>
        <v> </v>
      </c>
      <c r="Y229" s="316" t="str">
        <f aca="false">IF($A229="N/A"," ",IF(Pricetype=2,MAX(P229-$H229,0),IF(P229&lt;&gt;0,IF(Pricetype=1,(xSPRDOPT(P229,$E229,$CI229,0,($CD229+IF(Smile=TRUE(),VLOOKUP(MAX(-5,$H229-P229),Volsmile,2),0)),$CG229,$CH229,($A229-DateToday)+15,1,0)),P229-$H229),0)))</f>
        <v> </v>
      </c>
      <c r="Z229" s="317" t="str">
        <f aca="false">IF($A229="N/A"," ",(IF(Pricetype=2,IF((Q229-$H229)&lt;=0,0,(Q229-$H229)),IF(Q229&lt;&gt;0,(Q229-$H229),0))))</f>
        <v> </v>
      </c>
      <c r="AA229" s="318" t="str">
        <f aca="false">IF($A229="N/A"," ",IF(VLOOKUP(MONTH(A229),ManualTable,2)=1,(IF(0&lt;&gt;R229,IF(Pricetype=1,(xSPRDOPT(I229,$E229,$CI229,0,($CD229+IF(Smile=TRUE(),VLOOKUP(MAX(-5,$H229-I229),Volsmile,2),0)),$CG229,$CH229,($A229-DateToday)+15,1,1))*(8*$HD229),8*$HD229),0)),0))</f>
        <v> </v>
      </c>
      <c r="AB229" s="318" t="str">
        <f aca="false">IF($A229="N/A"," ",IF(VLOOKUP(MONTH(A229),ManualTable,3)=1,(IF(S229&lt;&gt;0,IF(Pricetype=1,(xSPRDOPT(J229,$E229,$CI229,0,($CD229+IF(Smile=TRUE(),VLOOKUP(MAX(-5,$H229-J229),Volsmile,2),0)),$CG229,$CH229,($A229-DateToday)+15,1,1))*(8*$HD229),8*$HD229),0)),0))</f>
        <v> </v>
      </c>
      <c r="AC229" s="318" t="str">
        <f aca="false">IF($A229="N/A"," ",IF(VLOOKUP(MONTH(A229),ManualTable,4)=1,(IF(T229&lt;&gt;0,(8*$HD229),0)),0))</f>
        <v> </v>
      </c>
      <c r="AD229" s="318" t="str">
        <f aca="false">IF($A229="N/A"," ",IF(VLOOKUP(MONTH(A229),ManualTable,5)=1,(IF(U229&lt;&gt;0,IF(Pricetype=1,(xSPRDOPT(L229,$E229,$CI229,0,($CD229+IF(Smile=TRUE(),VLOOKUP(MAX(-5,$H229-L229),Volsmile,2),0)),$CG229,$CH229,($A229-DateToday)+15,1,1))*(8*$HE229),8*$HE229),0)),0))</f>
        <v> </v>
      </c>
      <c r="AE229" s="318" t="str">
        <f aca="false">IF($A229="N/A"," ",IF(VLOOKUP(MONTH(A229),ManualTable,6)=1,(IF(V229&lt;&gt;0,IF(Pricetype=1,(xSPRDOPT(M229,$E229,$CI229,0,($CD229+IF(Smile=TRUE(),VLOOKUP(MAX(-5,$H229-M229),Volsmile,2),0)),$CG229,$CH229,($A229-DateToday)+15,1,1))*(8*$HE229),8*$HE229),0)),0))</f>
        <v> </v>
      </c>
      <c r="AF229" s="318" t="str">
        <f aca="false">IF($A229="N/A"," ",IF(VLOOKUP(MONTH(A229),ManualTable,7)=1,(IF(W229&lt;&gt;0,(8*$HE229),0)),0))</f>
        <v> </v>
      </c>
      <c r="AG229" s="318" t="str">
        <f aca="false">IF($A229="N/A"," ",IF(VLOOKUP(MONTH(A229),ManualTable,8)=1,(IF(X229&lt;&gt;0,IF(Pricetype=1,(xSPRDOPT(O229,$E229,$CI229,0,($CD229+IF(Smile=TRUE(),VLOOKUP(MAX(-5,$H229-O229),Volsmile,2),0)),$CG229,$CH229,($A229-DateToday)+15,1,1))*(8*$HF229),8*$HF229),0)),0))</f>
        <v> </v>
      </c>
      <c r="AH229" s="318" t="str">
        <f aca="false">IF($A229="N/A"," ",IF(VLOOKUP(MONTH(A229),ManualTable,9)=1,(IF(Y229&lt;&gt;0,IF(Pricetype=1,(xSPRDOPT(P229,$E229,$CI229,0,($CD229+IF(Smile=TRUE(),VLOOKUP(MAX(-5,$H229-P229),Volsmile,2),0)),$CG229,$CH229,($A229-DateToday)+15,1,1))*(8*$HF229),8*$HF229),0)),0))</f>
        <v> </v>
      </c>
      <c r="AI229" s="318" t="str">
        <f aca="false">IF($A229="N/A"," ",IF(VLOOKUP(MONTH(A229),ManualTable,10)=1,(IF(Z229&lt;&gt;0,(8*($HF229)),0)),0))</f>
        <v> </v>
      </c>
      <c r="AJ229" s="344" t="str">
        <f aca="false">IF($A229="N/A"," ",RANK(R229,$R$220:$Z$231))</f>
        <v> </v>
      </c>
      <c r="AK229" s="321" t="str">
        <f aca="false">IF($A229="N/A"," ",RANK(S229,$R$220:$Z$231))</f>
        <v> </v>
      </c>
      <c r="AL229" s="321" t="str">
        <f aca="false">IF($A229="N/A"," ",RANK(T229,$R$220:$Z$231))</f>
        <v> </v>
      </c>
      <c r="AM229" s="321" t="str">
        <f aca="false">IF($A229="N/A"," ",RANK(U229,$R$220:$Z$231))</f>
        <v> </v>
      </c>
      <c r="AN229" s="321" t="str">
        <f aca="false">IF($A229="N/A"," ",RANK(V229,$R$220:$Z$231))</f>
        <v> </v>
      </c>
      <c r="AO229" s="321" t="str">
        <f aca="false">IF($A229="N/A"," ",RANK(W229,$R$220:$Z$231))</f>
        <v> </v>
      </c>
      <c r="AP229" s="321" t="str">
        <f aca="false">IF($A229="N/A"," ",RANK(X229,$R$220:$Z$231))</f>
        <v> </v>
      </c>
      <c r="AQ229" s="321" t="str">
        <f aca="false">IF($A229="N/A"," ",RANK(Y229,$R$220:$Z$231))</f>
        <v> </v>
      </c>
      <c r="AR229" s="345" t="str">
        <f aca="false">IF($A229="N/A"," ",RANK(Z229,$R$220:$Z$231))</f>
        <v> </v>
      </c>
      <c r="AS229" s="323" t="str">
        <f aca="false">IF($A229="N/A"," ",IF(AJ229&lt;=$AR$2,AA229,0))</f>
        <v> </v>
      </c>
      <c r="AT229" s="325" t="str">
        <f aca="false">IF($A229="N/A"," ",IF(AK229&lt;=$AR$2,AB229,0))</f>
        <v> </v>
      </c>
      <c r="AU229" s="325" t="str">
        <f aca="false">IF($A229="N/A"," ",IF(AL229&lt;=$AR$2,AC229,0))</f>
        <v> </v>
      </c>
      <c r="AV229" s="325" t="str">
        <f aca="false">IF($A229="N/A"," ",IF(AM229&lt;=$AR$2,AD229,0))</f>
        <v> </v>
      </c>
      <c r="AW229" s="325" t="str">
        <f aca="false">IF($A229="N/A"," ",IF(AN229&lt;=$AR$2,AE229,0))</f>
        <v> </v>
      </c>
      <c r="AX229" s="325" t="str">
        <f aca="false">IF($A229="N/A"," ",IF(AO229&lt;=$AR$2,AF229,0))</f>
        <v> </v>
      </c>
      <c r="AY229" s="325" t="str">
        <f aca="false">IF($A229="N/A"," ",IF(AP229&lt;=$AR$2,AG229,0))</f>
        <v> </v>
      </c>
      <c r="AZ229" s="325" t="str">
        <f aca="false">IF($A229="N/A"," ",IF(AQ229&lt;=$AR$2,AH229,0))</f>
        <v> </v>
      </c>
      <c r="BA229" s="325" t="str">
        <f aca="false">IF($A229="N/A"," ",IF(AR229&lt;=$AR$2,AI229,0))</f>
        <v> </v>
      </c>
      <c r="BB229" s="348" t="s">
        <v>1319</v>
      </c>
      <c r="BC229" s="326" t="str">
        <f aca="false">IF($A229="N/A"," ",IF(AND(AJ229=$AR$2+1,AS229=0),MIN($BB$231,AA229),0))</f>
        <v> </v>
      </c>
      <c r="BD229" s="346" t="str">
        <f aca="false">IF($A229="N/A"," ",IF(AND(AK229=$AR$2+1,AT229=0),MIN($BB$231,AB229),0))</f>
        <v> </v>
      </c>
      <c r="BE229" s="346" t="str">
        <f aca="false">IF($A229="N/A"," ",IF(AND(AL229=$AR$2+1,AU229=0),MIN($BB$231,AC229),0))</f>
        <v> </v>
      </c>
      <c r="BF229" s="346" t="str">
        <f aca="false">IF($A229="N/A"," ",IF(AND(AM229=$AR$2+1,AV229=0),MIN($BB$231,AD229),0))</f>
        <v> </v>
      </c>
      <c r="BG229" s="346" t="str">
        <f aca="false">IF($A229="N/A"," ",IF(AND(AN229=$AR$2+1,AW229=0),MIN($BB$231,AE229),0))</f>
        <v> </v>
      </c>
      <c r="BH229" s="346" t="str">
        <f aca="false">IF($A229="N/A"," ",IF(AND(AO229=$AR$2+1,AX229=0),MIN($BB$231,AF229),0))</f>
        <v> </v>
      </c>
      <c r="BI229" s="346" t="str">
        <f aca="false">IF($A229="N/A"," ",IF(AND(AP229=$AR$2+1,AY229=0),MIN($BB$231,AG229),0))</f>
        <v> </v>
      </c>
      <c r="BJ229" s="346" t="str">
        <f aca="false">IF($A229="N/A"," ",IF(AND(AQ229=$AR$2+1,AZ229=0),MIN($BB$231,AH229),0))</f>
        <v> </v>
      </c>
      <c r="BK229" s="346" t="str">
        <f aca="false">IF($A229="N/A"," ",IF(AND(AR229=$AR$2+1,BA229=0),MIN($BB$231,AI229),0))</f>
        <v> </v>
      </c>
      <c r="BL229" s="347" t="s">
        <v>1359</v>
      </c>
      <c r="BM229" s="329" t="str">
        <f aca="false">IF($A229="N/A"," ",(IF(MONTH(A229)&gt;=4,IF(MONTH(A229)&lt;=10,Inputs!$F$13-Inputs!$G$13,Inputs!$F$14-Inputs!$G$14),Inputs!$F$14-Inputs!$G$14))*$CK229*Availability)</f>
        <v> </v>
      </c>
      <c r="BN229" s="330" t="str">
        <f aca="false">IF($A229="N/A"," ",(IF(AS229&gt;0,($BM229*(8*($HD229))*R229),0)+IF(BC229&gt;0,($BM229*((BC229/AA229)*8*$HD229)*R229),0)))</f>
        <v> </v>
      </c>
      <c r="BO229" s="330" t="str">
        <f aca="false">IF($A229="N/A"," ",(IF(AT229&gt;0,($BM229*(8*($HD229))*S229),0)+IF(BD229&gt;0,($BM229*((BD229/AB229)*8*$HD229)*S229),0)))</f>
        <v> </v>
      </c>
      <c r="BP229" s="330" t="str">
        <f aca="false">IF($A229="N/A"," ",(IF(AU229&gt;0,($BM229*(8*($HD229))*T229),0)+IF(BE229&gt;0,($BM229*((BE229))*T229),0)))</f>
        <v> </v>
      </c>
      <c r="BQ229" s="330" t="str">
        <f aca="false">IF($A229="N/A"," ",(IF(AV229&gt;0,($BM229*(8*($HE229))*U229),0)+IF(BF229&gt;0,($BM229*((BF229/AD229)*8*$HE229)*U229),0)))</f>
        <v> </v>
      </c>
      <c r="BR229" s="330" t="str">
        <f aca="false">IF($A229="N/A"," ",(IF(AW229&gt;0,($BM229*(8*($HE229))*V229),0)+IF(BG229&gt;0,($BM229*((BG229/AE229)*8*$HE229)*V229),0)))</f>
        <v> </v>
      </c>
      <c r="BS229" s="330" t="str">
        <f aca="false">IF($A229="N/A"," ",(IF(AX229&gt;0,($BM229*(8*($HE229))*W229),0)+IF(BH229&gt;0,($BM229*((BH229))*W229),0)))</f>
        <v> </v>
      </c>
      <c r="BT229" s="330" t="str">
        <f aca="false">IF($A229="N/A"," ",(IF(AY229&gt;0,($BM229*(8*($HF229))*X229),0)+IF(BI229&gt;0,($BM229*((BI229/AG229)*8*$HF229)*X229),0)))</f>
        <v> </v>
      </c>
      <c r="BU229" s="330" t="str">
        <f aca="false">IF($A229="N/A"," ",(IF(AZ229&gt;0,($BM229*(8*($HF229))*Y229),0)+IF(BJ229&gt;0,($BM229*((BJ229/AH229)*8*$HF229)*Y229),0)))</f>
        <v> </v>
      </c>
      <c r="BV229" s="330" t="str">
        <f aca="false">IF($A229="N/A"," ",(IF(BA229&gt;0,($BM229*(8*($HF229))*Z229),0)+IF(BK229&gt;0,($BM229*((BK229))*Z229),0)))</f>
        <v> </v>
      </c>
      <c r="BW229" s="330" t="str">
        <f aca="false">IF($A229="N/A"," ",SUM(BN229:BV229))</f>
        <v> </v>
      </c>
      <c r="BX229" s="331" t="str">
        <f aca="false">IF($A229="N/A"," ",(H229*(SUM(AS229:BA229)+SUM(BC229:BK229))*BM229))</f>
        <v> </v>
      </c>
      <c r="BY229" s="332" t="str">
        <f aca="false">IF($A229="N/A"," ",((C229*D229)*(SUM($AS229:$BA229)+SUM($BC229:$BK229))*$BM229))</f>
        <v> </v>
      </c>
      <c r="BZ229" s="332" t="str">
        <f aca="false">IF($A229="N/A"," ",(F229*(SUM($AS229:$BA229)+SUM($BC229:$BK229))*$BM229))</f>
        <v> </v>
      </c>
      <c r="CA229" s="333" t="str">
        <f aca="false">IF($A229="N/A"," ",(G229*(SUM($AS229:$BA229)+SUM($BC229:$BK229))*$BM229))</f>
        <v> </v>
      </c>
      <c r="CB229" s="334" t="str">
        <f aca="false">IF(A229="N/A"," ",(VLOOKUP(A229,PowerVolTable,(IF(BMO=2,7,IF(BMO=1,6,8))),FALSE())))</f>
        <v> </v>
      </c>
      <c r="CC229" s="334" t="str">
        <f aca="false">IF(A229="N/A"," ",(VLOOKUP(A229,IntraPowerVol,(IF(BMO=2,3,IF(BMO=1,2,4))),FALSE())*VLOOKUP(MONTH($A229),Volscale,2)))</f>
        <v> </v>
      </c>
      <c r="CD229" s="335" t="str">
        <f aca="false">IF($A229="N/A"," ",(IF(DateToday&gt;$A229,$CC229,((($CB229^2)*((($A229-1)-DateToday)/((EOMONTH($A229,0)+1)-DateToday-15)))+((($CC229)^2)*((15)/((EOMONTH($A229,0)+1)-DateToday-15))))^0.5)))</f>
        <v> </v>
      </c>
      <c r="CE229" s="334" t="str">
        <f aca="false">IF($A229="N/A"," ",(VLOOKUP($A229,GasVolTable,(IF(BMO=2,6,IF(BMO=1,7,5))),FALSE())))</f>
        <v> </v>
      </c>
      <c r="CF229" s="334" t="str">
        <f aca="false">IF($A229="N/A"," ",(VLOOKUP($A229,OmicronVol,(IF(BMO=2,3,IF(BMO=1,4,2))),FALSE())))</f>
        <v> </v>
      </c>
      <c r="CG229" s="335" t="str">
        <f aca="false">IF($A229="N/A"," ",(IF(DateToday&gt;$A229,$CF229,((($CE229^2)*((($A229-1)-DateToday)/((EOMONTH($A229,0)+1)-DateToday-15)))+((($CF229)^2)*((15)/((EOMONTH($A229,0)+1)-DateToday-15))))^0.5)))</f>
        <v> </v>
      </c>
      <c r="CH229" s="334" t="str">
        <f aca="false">IF($A229="N/A"," ",VLOOKUP($A229,CorrelationTable,2,FALSE()))</f>
        <v> </v>
      </c>
      <c r="CI229" s="336" t="str">
        <f aca="false">IF($A229="N/A"," ",F229+G229+(D229*('Pricing Inputs'!T262)))</f>
        <v> </v>
      </c>
      <c r="CJ229" s="334" t="str">
        <f aca="false">IF($A229="N/A"," ",IF(PV=1,0,'Pricing Inputs'!U262))</f>
        <v> </v>
      </c>
      <c r="CK229" s="337" t="str">
        <f aca="false">IF($A229="N/A"," ",(1+CJ229/2)^(-2*((EOMONTH(A229,0)+20)-DateToday)/365.25))</f>
        <v> </v>
      </c>
      <c r="CL229" s="338" t="str">
        <f aca="false">IF(A229="N/A"," ",IF(CC=2,(VLOOKUP(MONTH($A229),Hrtable,3))/1000,0))</f>
        <v> </v>
      </c>
      <c r="CM229" s="339" t="str">
        <f aca="false">IF(A229="N/A"," ",IF(CC=2,(CL229*C229)+F229,0))</f>
        <v> </v>
      </c>
      <c r="CN229" s="340" t="str">
        <f aca="false">IF($A229="N/A"," ",IF(CC=2,(VLOOKUP(A229,ScaledPrice,(IF(AND(Dayrun&gt;=1,Dayrun&lt;=6),2,4)))-((IF(R229&lt;&gt;0,$D229,$CL229)*$C229)+$F229+$G229)),0))</f>
        <v> </v>
      </c>
      <c r="CO229" s="340" t="str">
        <f aca="false">IF($A229="N/A"," ",IF(CC=2,(IF(AND(Dayrun&gt;=1,Dayrun&lt;=6),I229,(VLOOKUP(A229,ScaledPrice,2))*(2-(VLOOKUP(A229,ScaledPrice,3))))-((IF(S229&lt;&gt;0,$D229,$CL229)*$C229)+$F229+$G229)),0))</f>
        <v> </v>
      </c>
      <c r="CP229" s="340" t="str">
        <f aca="false">IF(A229="N/A"," ",IF(CC=2,(VLOOKUP(A229,ScaledPrice,9)-((IF(T229&lt;&gt;0,$D229,$CL229)*$C229)+$F229+$G229)),0))</f>
        <v> </v>
      </c>
      <c r="CQ229" s="340" t="str">
        <f aca="false">IF(A229="N/A"," ",IF(CC=2,(IF(OR(Dayrun=2,Dayrun=3,Dayrun=5,Dayrun=6,Dayrun=8,Dayrun=9),VLOOKUP(A229,ScaledPrice,IF(AND(Dayrun&gt;=2,Dayrun&lt;=6),5,6)),0)-((IF(U229&lt;&gt;0,$D229,$CL229)*$C229)+$F229+$G229)),0))</f>
        <v> </v>
      </c>
      <c r="CR229" s="340" t="str">
        <f aca="false">IF(A229="N/A"," ",IF(CC=2,(IF(OR(Dayrun=2,Dayrun=3,Dayrun=5,Dayrun=6,Dayrun=8,Dayrun=9),IF(AND(Dayrun&gt;=2,Dayrun&lt;=6),L229,(VLOOKUP(A229,ScaledPrice,5))*(2-(VLOOKUP(A229,ScaledPrice,3)))),0)-((IF(V229&lt;&gt;0,$D229,$CL229)*$C229)+$F229+$G229)),0))</f>
        <v> </v>
      </c>
      <c r="CS229" s="340" t="str">
        <f aca="false">IF(A229="N/A"," ",IF(CC=2,(VLOOKUP(A229,ScaledPrice,9)-((IF(W229&lt;&gt;0,$D229,$CL229)*$C229)+$F229+$G229)),0))</f>
        <v> </v>
      </c>
      <c r="CT229" s="340" t="str">
        <f aca="false">IF(A229="N/A"," ",IF(CC=2,(IF(OR(Dayrun=3,Dayrun=6,Dayrun=9),(VLOOKUP(A229,ScaledPrice,IF(AND(Dayrun&gt;=3,Dayrun&lt;=6),7,8))),0)-((IF(X229&lt;&gt;0,$D229,$CL229)*$C229)+$F229+$G229)),0))</f>
        <v> </v>
      </c>
      <c r="CU229" s="340" t="str">
        <f aca="false">IF(A229="N/A"," ",IF(CC=2,(IF(OR(Dayrun=3,Dayrun=6,Dayrun=9),IF(AND(Dayrun&gt;=3,Dayrun&lt;=6),O229,(VLOOKUP(A229,ScaledPrice,7))*(2-(VLOOKUP(A229,ScaledPrice,3)))),0)-((IF(Y229&lt;&gt;0,$D229,$CL229)*$C229)+$F229+$G229)),0))</f>
        <v> </v>
      </c>
      <c r="CV229" s="340" t="str">
        <f aca="false">IF(A229="N/A"," ",IF(CC=2,(VLOOKUP(A229,ScaledPrice,9)-((IF(Z229&lt;&gt;0,$D229,$CL229)*$C229)+$F229+$G229)),0))</f>
        <v> </v>
      </c>
      <c r="CW229" s="318" t="str">
        <f aca="false">IF($A229="N/A"," ",IF(0&lt;&gt;CN229,IF(CC=2,8*$HD229,0),0))</f>
        <v> </v>
      </c>
      <c r="CX229" s="318" t="str">
        <f aca="false">IF($A229="N/A"," ",IF(0&lt;&gt;CO229,IF(CC=2,8*$HD229,0),0))</f>
        <v> </v>
      </c>
      <c r="CY229" s="318" t="str">
        <f aca="false">IF($A229="N/A"," ",IF(0&lt;&gt;CP229,IF(CC=2,8*$HD229,0),0))</f>
        <v> </v>
      </c>
      <c r="CZ229" s="318" t="str">
        <f aca="false">IF($A229="N/A"," ",IF(0&lt;&gt;CQ229,IF(CC=2,8*$HE229,0),0))</f>
        <v> </v>
      </c>
      <c r="DA229" s="318" t="str">
        <f aca="false">IF($A229="N/A"," ",IF(0&lt;&gt;CR229,IF(CC=2,8*$HE229,0),0))</f>
        <v> </v>
      </c>
      <c r="DB229" s="318" t="str">
        <f aca="false">IF($A229="N/A"," ",IF(0&lt;&gt;CS229,IF(CC=2,8*$HE229,0),0))</f>
        <v> </v>
      </c>
      <c r="DC229" s="318" t="str">
        <f aca="false">IF($A229="N/A"," ",IF(0&lt;&gt;CT229,IF(CC=2,8*$HF229,0),0))</f>
        <v> </v>
      </c>
      <c r="DD229" s="318" t="str">
        <f aca="false">IF($A229="N/A"," ",IF(0&lt;&gt;CU229,IF(CC=2,8*$HF229,0),0))</f>
        <v> </v>
      </c>
      <c r="DE229" s="318" t="str">
        <f aca="false">IF($A229="N/A"," ",IF(0&lt;&gt;CV229,IF(CC=2,8*$HF229,0),0))</f>
        <v> </v>
      </c>
      <c r="DF229" s="341" t="str">
        <f aca="false">IF($A229="N/A"," ",IF(CC=2,(IF(MONTH(A229)&gt;=4,IF(MONTH(A229)&lt;=10,Inputs!$G$13,Inputs!$G$14),Inputs!$G$14))*$CK229,0))</f>
        <v> </v>
      </c>
      <c r="DG229" s="342" t="str">
        <f aca="false">IF($A229="N/A"," ",IF(CC=2,$DF229*CW229*CN229,0))</f>
        <v> </v>
      </c>
      <c r="DH229" s="342" t="str">
        <f aca="false">IF($A229="N/A"," ",IF(CC=2,$DF229*CX229*CO229,0))</f>
        <v> </v>
      </c>
      <c r="DI229" s="342" t="str">
        <f aca="false">IF($A229="N/A"," ",IF(CC=2,$DF229*CY229*CP229,0))</f>
        <v> </v>
      </c>
      <c r="DJ229" s="342" t="str">
        <f aca="false">IF($A229="N/A"," ",IF(CC=2,$DF229*CZ229*CQ229,0))</f>
        <v> </v>
      </c>
      <c r="DK229" s="342" t="str">
        <f aca="false">IF($A229="N/A"," ",IF(CC=2,$DF229*DA229*CR229,0))</f>
        <v> </v>
      </c>
      <c r="DL229" s="342" t="str">
        <f aca="false">IF($A229="N/A"," ",IF(CC=2,$DF229*DB229*CS229,0))</f>
        <v> </v>
      </c>
      <c r="DM229" s="342" t="str">
        <f aca="false">IF($A229="N/A"," ",IF(CC=2,$DF229*DC229*CT229,0))</f>
        <v> </v>
      </c>
      <c r="DN229" s="342" t="str">
        <f aca="false">IF($A229="N/A"," ",IF(CC=2,$DF229*DD229*CU229,0))</f>
        <v> </v>
      </c>
      <c r="DO229" s="342" t="str">
        <f aca="false">IF($A229="N/A"," ",IF(CC=2,$DF229*DE229*CV229,0))</f>
        <v> </v>
      </c>
      <c r="DP229" s="343" t="str">
        <f aca="false">IF($A229="N/A"," ",IF(CC=2,SUM(DG229:DO229),0))</f>
        <v> </v>
      </c>
      <c r="DQ229" s="0" t="str">
        <f aca="false">IF(A229="N/A"," ",Perstart)</f>
        <v> </v>
      </c>
      <c r="HD229" s="0" t="str">
        <f aca="false">IF($A229="N/A"," ",VLOOKUP($A229,NumberofDaysTable,2))</f>
        <v> </v>
      </c>
      <c r="HE229" s="0" t="str">
        <f aca="false">IF($A229="N/A"," ",VLOOKUP($A229,NumberofDaysTable,3))</f>
        <v> </v>
      </c>
      <c r="HF229" s="0" t="str">
        <f aca="false">IF($A229="N/A"," ",VLOOKUP($A229,NumberofDaysTable,4))</f>
        <v> </v>
      </c>
    </row>
    <row r="230" customFormat="false" ht="12.75" hidden="false" customHeight="false" outlineLevel="0" collapsed="false">
      <c r="A230" s="308" t="str">
        <f aca="false">IF(A229="N/A","N/A",IF(EDATE(A229,1)&gt;Inputs!$K$3,"N/A",EDATE(A229,1)))</f>
        <v>N/A</v>
      </c>
      <c r="B230" s="309" t="str">
        <f aca="false">IF(A230="N/A"," ",YEAR(A230))</f>
        <v> </v>
      </c>
      <c r="C230" s="310" t="str">
        <f aca="false">IF(A230="N/A"," ",VLOOKUP(A230,ScaledPrice,10))</f>
        <v> </v>
      </c>
      <c r="D230" s="311" t="str">
        <f aca="false">IF(A230="N/A"," ",(VLOOKUP(MONTH($A230),Hrtable,2))/1000)</f>
        <v> </v>
      </c>
      <c r="E230" s="312" t="str">
        <f aca="false">IF($A230="N/A"," ",(C230-'Pricing Inputs'!T263)*D230)</f>
        <v> </v>
      </c>
      <c r="F230" s="313" t="str">
        <f aca="false">IF(A230="N/A"," ",$F218*(1+VOMesc))</f>
        <v> </v>
      </c>
      <c r="G230" s="313" t="str">
        <f aca="false">IF(A230="N/A"," ",Perstart/IF(AND(Dayrun&gt;=4,Dayrun&lt;=6),16,IF(AND(Dayrun&gt;=7,Dayrun&lt;=9),8,24))/(BM230/CK230))</f>
        <v> </v>
      </c>
      <c r="H230" s="314" t="str">
        <f aca="false">IF(A230="N/A"," ",(C230*D230)+F230+G230)</f>
        <v> </v>
      </c>
      <c r="I230" s="315" t="str">
        <f aca="false">VLOOKUP(A230,ScaledPrice,(IF(AND(Dayrun&gt;=1,Dayrun&lt;=6),2,4)))</f>
        <v> </v>
      </c>
      <c r="J230" s="315" t="str">
        <f aca="false">IF(A230="N/A"," ",IF(AND(Dayrun&gt;=1,Dayrun&lt;=6),I230,(VLOOKUP(A230,ScaledPrice,2))*(2-(VLOOKUP(A230,ScaledPrice,3)))))</f>
        <v> </v>
      </c>
      <c r="K230" s="315" t="str">
        <f aca="false">IF(A230="N/A"," ",IF(AND(Dayrun&gt;=1,Dayrun&lt;=3),VLOOKUP(A230,ScaledPrice,9),0))</f>
        <v> </v>
      </c>
      <c r="L230" s="315" t="str">
        <f aca="false">IF(A230="N/A"," ",IF(OR(Dayrun=2,Dayrun=3,Dayrun=5,Dayrun=6,Dayrun=8,Dayrun=9),VLOOKUP(A230,ScaledPrice,IF(AND(Dayrun&gt;=2,Dayrun&lt;=6),5,6)),0))</f>
        <v> </v>
      </c>
      <c r="M230" s="315" t="str">
        <f aca="false">IF(A230="N/A"," ",IF(OR(Dayrun=2,Dayrun=3,Dayrun=5,Dayrun=6,Dayrun=8,Dayrun=9),IF(AND(Dayrun&gt;=2,Dayrun&lt;=6),L230,(VLOOKUP(A230,ScaledPrice,5))*(2-(VLOOKUP(A230,ScaledPrice,3)))),0))</f>
        <v> </v>
      </c>
      <c r="N230" s="315" t="str">
        <f aca="false">IF(A230="N/A"," ",IF(AND(Dayrun&gt;1,Dayrun&lt;=3),VLOOKUP(A230,ScaledPrice,9),0))</f>
        <v> </v>
      </c>
      <c r="O230" s="315" t="str">
        <f aca="false">IF(A230="N/A"," ",IF(OR(Dayrun=3,Dayrun=6,Dayrun=9),(VLOOKUP(A230,ScaledPrice,IF(AND(Dayrun&gt;=3,Dayrun&lt;=6),7,8))),0))</f>
        <v> </v>
      </c>
      <c r="P230" s="315" t="str">
        <f aca="false">IF(A230="N/A"," ",IF(OR(Dayrun=3,Dayrun=6,Dayrun=9),IF(AND(Dayrun&gt;=3,Dayrun&lt;=6),O230,(VLOOKUP(A230,ScaledPrice,7))*(2-(VLOOKUP(A230,ScaledPrice,3)))),0))</f>
        <v> </v>
      </c>
      <c r="Q230" s="315" t="str">
        <f aca="false">IF(A230="N/A"," ",IF(AND(Dayrun&gt;2,Dayrun&lt;=3),VLOOKUP(A230,ScaledPrice,9),0))</f>
        <v> </v>
      </c>
      <c r="R230" s="316" t="str">
        <f aca="false">IF($A230="N/A"," ",IF(Pricetype=2,MAX(I230-$H230,0),IF(Pricetype=1,(xSPRDOPT(I230,$E230,$CI230,0,($CD230+IF(Smile=TRUE(),VLOOKUP(MAX(-5,$H230-I230),Volsmile,2),0)),$CG230,$CH230,($A230-DateToday)+15,1,0)),I230-$H230)))</f>
        <v> </v>
      </c>
      <c r="S230" s="316" t="str">
        <f aca="false">IF($A230="N/A"," ",IF(Pricetype=2,MAX(J230-$H230,0),IF(Pricetype=1,(xSPRDOPT(J230,$E230,$CI230,0,($CD230+IF(Smile=TRUE(),VLOOKUP(MAX(-5,$H230-J230),Volsmile,2),0)),$CG230,$CH230,($A230-DateToday)+15,1,0)),J230-$H230)))</f>
        <v> </v>
      </c>
      <c r="T230" s="317" t="str">
        <f aca="false">IF($A230="N/A"," ",(IF(Pricetype=2,IF((K230-$H230)&lt;=0,0,(K230-$H230)),IF(K230&lt;&gt;0,(K230-$H230),0))))</f>
        <v> </v>
      </c>
      <c r="U230" s="316" t="str">
        <f aca="false">IF($A230="N/A"," ",IF(Pricetype=2,MAX(L230-$H230,0),IF(L230&lt;&gt;0,IF(Pricetype=1,(xSPRDOPT(L230,$E230,$CI230,0,($CD230+IF(Smile=TRUE(),VLOOKUP(MAX(-5,$H230-L230),Volsmile,2),0)),$CG230,$CH230,($A230-DateToday)+15,1,0)),L230-$H230),0)))</f>
        <v> </v>
      </c>
      <c r="V230" s="316" t="str">
        <f aca="false">IF($A230="N/A"," ",IF(Pricetype=2,MAX(M230-$H230,0),IF(M230&lt;&gt;0,IF(Pricetype=1,(xSPRDOPT(M230,$E230,$CI230,0,($CD230+IF(Smile=TRUE(),VLOOKUP(MAX(-5,$H230-M230),Volsmile,2),0)),$CG230,$CH230,($A230-DateToday)+15,1,0)),M230-$H230),0)))</f>
        <v> </v>
      </c>
      <c r="W230" s="317" t="str">
        <f aca="false">IF($A230="N/A"," ",(IF(Pricetype=2,IF((N230-$H230)&lt;=0,0,(N230-$H230)),IF(N230&lt;&gt;0,(N230-$H230),0))))</f>
        <v> </v>
      </c>
      <c r="X230" s="316" t="str">
        <f aca="false">IF($A230="N/A"," ",IF(Pricetype=2,MAX(O230-$H230,0),IF(O230&lt;&gt;0,IF(Pricetype=1,(xSPRDOPT(O230,$E230,$CI230,0,($CD230+IF(Smile=TRUE(),VLOOKUP(MAX(-5,$H230-O230),Volsmile,2),0)),$CG230,$CH230,($A230-DateToday)+15,1,0)),O230-$H230),0)))</f>
        <v> </v>
      </c>
      <c r="Y230" s="316" t="str">
        <f aca="false">IF($A230="N/A"," ",IF(Pricetype=2,MAX(P230-$H230,0),IF(P230&lt;&gt;0,IF(Pricetype=1,(xSPRDOPT(P230,$E230,$CI230,0,($CD230+IF(Smile=TRUE(),VLOOKUP(MAX(-5,$H230-P230),Volsmile,2),0)),$CG230,$CH230,($A230-DateToday)+15,1,0)),P230-$H230),0)))</f>
        <v> </v>
      </c>
      <c r="Z230" s="317" t="str">
        <f aca="false">IF($A230="N/A"," ",(IF(Pricetype=2,IF((Q230-$H230)&lt;=0,0,(Q230-$H230)),IF(Q230&lt;&gt;0,(Q230-$H230),0))))</f>
        <v> </v>
      </c>
      <c r="AA230" s="318" t="str">
        <f aca="false">IF($A230="N/A"," ",IF(VLOOKUP(MONTH(A230),ManualTable,2)=1,(IF(0&lt;&gt;R230,IF(Pricetype=1,(xSPRDOPT(I230,$E230,$CI230,0,($CD230+IF(Smile=TRUE(),VLOOKUP(MAX(-5,$H230-I230),Volsmile,2),0)),$CG230,$CH230,($A230-DateToday)+15,1,1))*(8*$HD230),8*$HD230),0)),0))</f>
        <v> </v>
      </c>
      <c r="AB230" s="318" t="str">
        <f aca="false">IF($A230="N/A"," ",IF(VLOOKUP(MONTH(A230),ManualTable,3)=1,(IF(S230&lt;&gt;0,IF(Pricetype=1,(xSPRDOPT(J230,$E230,$CI230,0,($CD230+IF(Smile=TRUE(),VLOOKUP(MAX(-5,$H230-J230),Volsmile,2),0)),$CG230,$CH230,($A230-DateToday)+15,1,1))*(8*$HD230),8*$HD230),0)),0))</f>
        <v> </v>
      </c>
      <c r="AC230" s="318" t="str">
        <f aca="false">IF($A230="N/A"," ",IF(VLOOKUP(MONTH(A230),ManualTable,4)=1,(IF(T230&lt;&gt;0,(8*$HD230),0)),0))</f>
        <v> </v>
      </c>
      <c r="AD230" s="318" t="str">
        <f aca="false">IF($A230="N/A"," ",IF(VLOOKUP(MONTH(A230),ManualTable,5)=1,(IF(U230&lt;&gt;0,IF(Pricetype=1,(xSPRDOPT(L230,$E230,$CI230,0,($CD230+IF(Smile=TRUE(),VLOOKUP(MAX(-5,$H230-L230),Volsmile,2),0)),$CG230,$CH230,($A230-DateToday)+15,1,1))*(8*$HE230),8*$HE230),0)),0))</f>
        <v> </v>
      </c>
      <c r="AE230" s="318" t="str">
        <f aca="false">IF($A230="N/A"," ",IF(VLOOKUP(MONTH(A230),ManualTable,6)=1,(IF(V230&lt;&gt;0,IF(Pricetype=1,(xSPRDOPT(M230,$E230,$CI230,0,($CD230+IF(Smile=TRUE(),VLOOKUP(MAX(-5,$H230-M230),Volsmile,2),0)),$CG230,$CH230,($A230-DateToday)+15,1,1))*(8*$HE230),8*$HE230),0)),0))</f>
        <v> </v>
      </c>
      <c r="AF230" s="318" t="str">
        <f aca="false">IF($A230="N/A"," ",IF(VLOOKUP(MONTH(A230),ManualTable,7)=1,(IF(W230&lt;&gt;0,(8*$HE230),0)),0))</f>
        <v> </v>
      </c>
      <c r="AG230" s="318" t="str">
        <f aca="false">IF($A230="N/A"," ",IF(VLOOKUP(MONTH(A230),ManualTable,8)=1,(IF(X230&lt;&gt;0,IF(Pricetype=1,(xSPRDOPT(O230,$E230,$CI230,0,($CD230+IF(Smile=TRUE(),VLOOKUP(MAX(-5,$H230-O230),Volsmile,2),0)),$CG230,$CH230,($A230-DateToday)+15,1,1))*(8*$HF230),8*$HF230),0)),0))</f>
        <v> </v>
      </c>
      <c r="AH230" s="318" t="str">
        <f aca="false">IF($A230="N/A"," ",IF(VLOOKUP(MONTH(A230),ManualTable,9)=1,(IF(Y230&lt;&gt;0,IF(Pricetype=1,(xSPRDOPT(P230,$E230,$CI230,0,($CD230+IF(Smile=TRUE(),VLOOKUP(MAX(-5,$H230-P230),Volsmile,2),0)),$CG230,$CH230,($A230-DateToday)+15,1,1))*(8*$HF230),8*$HF230),0)),0))</f>
        <v> </v>
      </c>
      <c r="AI230" s="318" t="str">
        <f aca="false">IF($A230="N/A"," ",IF(VLOOKUP(MONTH(A230),ManualTable,10)=1,(IF(Z230&lt;&gt;0,(8*($HF230)),0)),0))</f>
        <v> </v>
      </c>
      <c r="AJ230" s="344" t="str">
        <f aca="false">IF($A230="N/A"," ",RANK(R230,$R$220:$Z$231))</f>
        <v> </v>
      </c>
      <c r="AK230" s="321" t="str">
        <f aca="false">IF($A230="N/A"," ",RANK(S230,$R$220:$Z$231))</f>
        <v> </v>
      </c>
      <c r="AL230" s="321" t="str">
        <f aca="false">IF($A230="N/A"," ",RANK(T230,$R$220:$Z$231))</f>
        <v> </v>
      </c>
      <c r="AM230" s="321" t="str">
        <f aca="false">IF($A230="N/A"," ",RANK(U230,$R$220:$Z$231))</f>
        <v> </v>
      </c>
      <c r="AN230" s="321" t="str">
        <f aca="false">IF($A230="N/A"," ",RANK(V230,$R$220:$Z$231))</f>
        <v> </v>
      </c>
      <c r="AO230" s="321" t="str">
        <f aca="false">IF($A230="N/A"," ",RANK(W230,$R$220:$Z$231))</f>
        <v> </v>
      </c>
      <c r="AP230" s="321" t="str">
        <f aca="false">IF($A230="N/A"," ",RANK(X230,$R$220:$Z$231))</f>
        <v> </v>
      </c>
      <c r="AQ230" s="321" t="str">
        <f aca="false">IF($A230="N/A"," ",RANK(Y230,$R$220:$Z$231))</f>
        <v> </v>
      </c>
      <c r="AR230" s="345" t="str">
        <f aca="false">IF($A230="N/A"," ",RANK(Z230,$R$220:$Z$231))</f>
        <v> </v>
      </c>
      <c r="AS230" s="323" t="str">
        <f aca="false">IF($A230="N/A"," ",IF(AJ230&lt;=$AR$2,AA230,0))</f>
        <v> </v>
      </c>
      <c r="AT230" s="325" t="str">
        <f aca="false">IF($A230="N/A"," ",IF(AK230&lt;=$AR$2,AB230,0))</f>
        <v> </v>
      </c>
      <c r="AU230" s="325" t="str">
        <f aca="false">IF($A230="N/A"," ",IF(AL230&lt;=$AR$2,AC230,0))</f>
        <v> </v>
      </c>
      <c r="AV230" s="325" t="str">
        <f aca="false">IF($A230="N/A"," ",IF(AM230&lt;=$AR$2,AD230,0))</f>
        <v> </v>
      </c>
      <c r="AW230" s="325" t="str">
        <f aca="false">IF($A230="N/A"," ",IF(AN230&lt;=$AR$2,AE230,0))</f>
        <v> </v>
      </c>
      <c r="AX230" s="325" t="str">
        <f aca="false">IF($A230="N/A"," ",IF(AO230&lt;=$AR$2,AF230,0))</f>
        <v> </v>
      </c>
      <c r="AY230" s="325" t="str">
        <f aca="false">IF($A230="N/A"," ",IF(AP230&lt;=$AR$2,AG230,0))</f>
        <v> </v>
      </c>
      <c r="AZ230" s="325" t="str">
        <f aca="false">IF($A230="N/A"," ",IF(AQ230&lt;=$AR$2,AH230,0))</f>
        <v> </v>
      </c>
      <c r="BA230" s="325" t="str">
        <f aca="false">IF($A230="N/A"," ",IF(AR230&lt;=$AR$2,AI230,0))</f>
        <v> </v>
      </c>
      <c r="BB230" s="345" t="n">
        <f aca="false">SUM(AS220:BA231)</f>
        <v>0</v>
      </c>
      <c r="BC230" s="326" t="str">
        <f aca="false">IF($A230="N/A"," ",IF(AND(AJ230=$AR$2+1,AS230=0),MIN($BB$231,AA230),0))</f>
        <v> </v>
      </c>
      <c r="BD230" s="346" t="str">
        <f aca="false">IF($A230="N/A"," ",IF(AND(AK230=$AR$2+1,AT230=0),MIN($BB$231,AB230),0))</f>
        <v> </v>
      </c>
      <c r="BE230" s="346" t="str">
        <f aca="false">IF($A230="N/A"," ",IF(AND(AL230=$AR$2+1,AU230=0),MIN($BB$231,AC230),0))</f>
        <v> </v>
      </c>
      <c r="BF230" s="346" t="str">
        <f aca="false">IF($A230="N/A"," ",IF(AND(AM230=$AR$2+1,AV230=0),MIN($BB$231,AD230),0))</f>
        <v> </v>
      </c>
      <c r="BG230" s="346" t="str">
        <f aca="false">IF($A230="N/A"," ",IF(AND(AN230=$AR$2+1,AW230=0),MIN($BB$231,AE230),0))</f>
        <v> </v>
      </c>
      <c r="BH230" s="346" t="str">
        <f aca="false">IF($A230="N/A"," ",IF(AND(AO230=$AR$2+1,AX230=0),MIN($BB$231,AF230),0))</f>
        <v> </v>
      </c>
      <c r="BI230" s="346" t="str">
        <f aca="false">IF($A230="N/A"," ",IF(AND(AP230=$AR$2+1,AY230=0),MIN($BB$231,AG230),0))</f>
        <v> </v>
      </c>
      <c r="BJ230" s="346" t="str">
        <f aca="false">IF($A230="N/A"," ",IF(AND(AQ230=$AR$2+1,AZ230=0),MIN($BB$231,AH230),0))</f>
        <v> </v>
      </c>
      <c r="BK230" s="346" t="str">
        <f aca="false">IF($A230="N/A"," ",IF(AND(AR230=$AR$2+1,BA230=0),MIN($BB$231,AI230),0))</f>
        <v> </v>
      </c>
      <c r="BL230" s="345" t="n">
        <f aca="false">SUM(BC220:BK231)</f>
        <v>0</v>
      </c>
      <c r="BM230" s="329" t="str">
        <f aca="false">IF($A230="N/A"," ",(IF(MONTH(A230)&gt;=4,IF(MONTH(A230)&lt;=10,Inputs!$F$13-Inputs!$G$13,Inputs!$F$14-Inputs!$G$14),Inputs!$F$14-Inputs!$G$14))*$CK230*Availability)</f>
        <v> </v>
      </c>
      <c r="BN230" s="330" t="str">
        <f aca="false">IF($A230="N/A"," ",(IF(AS230&gt;0,($BM230*(8*($HD230))*R230),0)+IF(BC230&gt;0,($BM230*((BC230/AA230)*8*$HD230)*R230),0)))</f>
        <v> </v>
      </c>
      <c r="BO230" s="330" t="str">
        <f aca="false">IF($A230="N/A"," ",(IF(AT230&gt;0,($BM230*(8*($HD230))*S230),0)+IF(BD230&gt;0,($BM230*((BD230/AB230)*8*$HD230)*S230),0)))</f>
        <v> </v>
      </c>
      <c r="BP230" s="330" t="str">
        <f aca="false">IF($A230="N/A"," ",(IF(AU230&gt;0,($BM230*(8*($HD230))*T230),0)+IF(BE230&gt;0,($BM230*((BE230))*T230),0)))</f>
        <v> </v>
      </c>
      <c r="BQ230" s="330" t="str">
        <f aca="false">IF($A230="N/A"," ",(IF(AV230&gt;0,($BM230*(8*($HE230))*U230),0)+IF(BF230&gt;0,($BM230*((BF230/AD230)*8*$HE230)*U230),0)))</f>
        <v> </v>
      </c>
      <c r="BR230" s="330" t="str">
        <f aca="false">IF($A230="N/A"," ",(IF(AW230&gt;0,($BM230*(8*($HE230))*V230),0)+IF(BG230&gt;0,($BM230*((BG230/AE230)*8*$HE230)*V230),0)))</f>
        <v> </v>
      </c>
      <c r="BS230" s="330" t="str">
        <f aca="false">IF($A230="N/A"," ",(IF(AX230&gt;0,($BM230*(8*($HE230))*W230),0)+IF(BH230&gt;0,($BM230*((BH230))*W230),0)))</f>
        <v> </v>
      </c>
      <c r="BT230" s="330" t="str">
        <f aca="false">IF($A230="N/A"," ",(IF(AY230&gt;0,($BM230*(8*($HF230))*X230),0)+IF(BI230&gt;0,($BM230*((BI230/AG230)*8*$HF230)*X230),0)))</f>
        <v> </v>
      </c>
      <c r="BU230" s="330" t="str">
        <f aca="false">IF($A230="N/A"," ",(IF(AZ230&gt;0,($BM230*(8*($HF230))*Y230),0)+IF(BJ230&gt;0,($BM230*((BJ230/AH230)*8*$HF230)*Y230),0)))</f>
        <v> </v>
      </c>
      <c r="BV230" s="330" t="str">
        <f aca="false">IF($A230="N/A"," ",(IF(BA230&gt;0,($BM230*(8*($HF230))*Z230),0)+IF(BK230&gt;0,($BM230*((BK230))*Z230),0)))</f>
        <v> </v>
      </c>
      <c r="BW230" s="330" t="str">
        <f aca="false">IF($A230="N/A"," ",SUM(BN230:BV230))</f>
        <v> </v>
      </c>
      <c r="BX230" s="331" t="str">
        <f aca="false">IF($A230="N/A"," ",(H230*(SUM(AS230:BA230)+SUM(BC230:BK230))*BM230))</f>
        <v> </v>
      </c>
      <c r="BY230" s="332" t="str">
        <f aca="false">IF($A230="N/A"," ",((C230*D230)*(SUM($AS230:$BA230)+SUM($BC230:$BK230))*$BM230))</f>
        <v> </v>
      </c>
      <c r="BZ230" s="332" t="str">
        <f aca="false">IF($A230="N/A"," ",(F230*(SUM($AS230:$BA230)+SUM($BC230:$BK230))*$BM230))</f>
        <v> </v>
      </c>
      <c r="CA230" s="333" t="str">
        <f aca="false">IF($A230="N/A"," ",(G230*(SUM($AS230:$BA230)+SUM($BC230:$BK230))*$BM230))</f>
        <v> </v>
      </c>
      <c r="CB230" s="334" t="str">
        <f aca="false">IF(A230="N/A"," ",(VLOOKUP(A230,PowerVolTable,(IF(BMO=2,7,IF(BMO=1,6,8))),FALSE())))</f>
        <v> </v>
      </c>
      <c r="CC230" s="334" t="str">
        <f aca="false">IF(A230="N/A"," ",(VLOOKUP(A230,IntraPowerVol,(IF(BMO=2,3,IF(BMO=1,2,4))),FALSE())*VLOOKUP(MONTH($A230),Volscale,2)))</f>
        <v> </v>
      </c>
      <c r="CD230" s="335" t="str">
        <f aca="false">IF($A230="N/A"," ",(IF(DateToday&gt;$A230,$CC230,((($CB230^2)*((($A230-1)-DateToday)/((EOMONTH($A230,0)+1)-DateToday-15)))+((($CC230)^2)*((15)/((EOMONTH($A230,0)+1)-DateToday-15))))^0.5)))</f>
        <v> </v>
      </c>
      <c r="CE230" s="334" t="str">
        <f aca="false">IF($A230="N/A"," ",(VLOOKUP($A230,GasVolTable,(IF(BMO=2,6,IF(BMO=1,7,5))),FALSE())))</f>
        <v> </v>
      </c>
      <c r="CF230" s="334" t="str">
        <f aca="false">IF($A230="N/A"," ",(VLOOKUP($A230,OmicronVol,(IF(BMO=2,3,IF(BMO=1,4,2))),FALSE())))</f>
        <v> </v>
      </c>
      <c r="CG230" s="335" t="str">
        <f aca="false">IF($A230="N/A"," ",(IF(DateToday&gt;$A230,$CF230,((($CE230^2)*((($A230-1)-DateToday)/((EOMONTH($A230,0)+1)-DateToday-15)))+((($CF230)^2)*((15)/((EOMONTH($A230,0)+1)-DateToday-15))))^0.5)))</f>
        <v> </v>
      </c>
      <c r="CH230" s="334" t="str">
        <f aca="false">IF($A230="N/A"," ",VLOOKUP($A230,CorrelationTable,2,FALSE()))</f>
        <v> </v>
      </c>
      <c r="CI230" s="336" t="str">
        <f aca="false">IF($A230="N/A"," ",F230+G230+(D230*('Pricing Inputs'!T263)))</f>
        <v> </v>
      </c>
      <c r="CJ230" s="334" t="str">
        <f aca="false">IF($A230="N/A"," ",IF(PV=1,0,'Pricing Inputs'!U263))</f>
        <v> </v>
      </c>
      <c r="CK230" s="337" t="str">
        <f aca="false">IF($A230="N/A"," ",(1+CJ230/2)^(-2*((EOMONTH(A230,0)+20)-DateToday)/365.25))</f>
        <v> </v>
      </c>
      <c r="CL230" s="338" t="str">
        <f aca="false">IF(A230="N/A"," ",IF(CC=2,(VLOOKUP(MONTH($A230),Hrtable,3))/1000,0))</f>
        <v> </v>
      </c>
      <c r="CM230" s="339" t="str">
        <f aca="false">IF(A230="N/A"," ",IF(CC=2,(CL230*C230)+F230,0))</f>
        <v> </v>
      </c>
      <c r="CN230" s="340" t="str">
        <f aca="false">IF($A230="N/A"," ",IF(CC=2,(VLOOKUP(A230,ScaledPrice,(IF(AND(Dayrun&gt;=1,Dayrun&lt;=6),2,4)))-((IF(R230&lt;&gt;0,$D230,$CL230)*$C230)+$F230+$G230)),0))</f>
        <v> </v>
      </c>
      <c r="CO230" s="340" t="str">
        <f aca="false">IF($A230="N/A"," ",IF(CC=2,(IF(AND(Dayrun&gt;=1,Dayrun&lt;=6),I230,(VLOOKUP(A230,ScaledPrice,2))*(2-(VLOOKUP(A230,ScaledPrice,3))))-((IF(S230&lt;&gt;0,$D230,$CL230)*$C230)+$F230+$G230)),0))</f>
        <v> </v>
      </c>
      <c r="CP230" s="340" t="str">
        <f aca="false">IF(A230="N/A"," ",IF(CC=2,(VLOOKUP(A230,ScaledPrice,9)-((IF(T230&lt;&gt;0,$D230,$CL230)*$C230)+$F230+$G230)),0))</f>
        <v> </v>
      </c>
      <c r="CQ230" s="340" t="str">
        <f aca="false">IF(A230="N/A"," ",IF(CC=2,(IF(OR(Dayrun=2,Dayrun=3,Dayrun=5,Dayrun=6,Dayrun=8,Dayrun=9),VLOOKUP(A230,ScaledPrice,IF(AND(Dayrun&gt;=2,Dayrun&lt;=6),5,6)),0)-((IF(U230&lt;&gt;0,$D230,$CL230)*$C230)+$F230+$G230)),0))</f>
        <v> </v>
      </c>
      <c r="CR230" s="340" t="str">
        <f aca="false">IF(A230="N/A"," ",IF(CC=2,(IF(OR(Dayrun=2,Dayrun=3,Dayrun=5,Dayrun=6,Dayrun=8,Dayrun=9),IF(AND(Dayrun&gt;=2,Dayrun&lt;=6),L230,(VLOOKUP(A230,ScaledPrice,5))*(2-(VLOOKUP(A230,ScaledPrice,3)))),0)-((IF(V230&lt;&gt;0,$D230,$CL230)*$C230)+$F230+$G230)),0))</f>
        <v> </v>
      </c>
      <c r="CS230" s="340" t="str">
        <f aca="false">IF(A230="N/A"," ",IF(CC=2,(VLOOKUP(A230,ScaledPrice,9)-((IF(W230&lt;&gt;0,$D230,$CL230)*$C230)+$F230+$G230)),0))</f>
        <v> </v>
      </c>
      <c r="CT230" s="340" t="str">
        <f aca="false">IF(A230="N/A"," ",IF(CC=2,(IF(OR(Dayrun=3,Dayrun=6,Dayrun=9),(VLOOKUP(A230,ScaledPrice,IF(AND(Dayrun&gt;=3,Dayrun&lt;=6),7,8))),0)-((IF(X230&lt;&gt;0,$D230,$CL230)*$C230)+$F230+$G230)),0))</f>
        <v> </v>
      </c>
      <c r="CU230" s="340" t="str">
        <f aca="false">IF(A230="N/A"," ",IF(CC=2,(IF(OR(Dayrun=3,Dayrun=6,Dayrun=9),IF(AND(Dayrun&gt;=3,Dayrun&lt;=6),O230,(VLOOKUP(A230,ScaledPrice,7))*(2-(VLOOKUP(A230,ScaledPrice,3)))),0)-((IF(Y230&lt;&gt;0,$D230,$CL230)*$C230)+$F230+$G230)),0))</f>
        <v> </v>
      </c>
      <c r="CV230" s="340" t="str">
        <f aca="false">IF(A230="N/A"," ",IF(CC=2,(VLOOKUP(A230,ScaledPrice,9)-((IF(Z230&lt;&gt;0,$D230,$CL230)*$C230)+$F230+$G230)),0))</f>
        <v> </v>
      </c>
      <c r="CW230" s="318" t="str">
        <f aca="false">IF($A230="N/A"," ",IF(0&lt;&gt;CN230,IF(CC=2,8*$HD230,0),0))</f>
        <v> </v>
      </c>
      <c r="CX230" s="318" t="str">
        <f aca="false">IF($A230="N/A"," ",IF(0&lt;&gt;CO230,IF(CC=2,8*$HD230,0),0))</f>
        <v> </v>
      </c>
      <c r="CY230" s="318" t="str">
        <f aca="false">IF($A230="N/A"," ",IF(0&lt;&gt;CP230,IF(CC=2,8*$HD230,0),0))</f>
        <v> </v>
      </c>
      <c r="CZ230" s="318" t="str">
        <f aca="false">IF($A230="N/A"," ",IF(0&lt;&gt;CQ230,IF(CC=2,8*$HE230,0),0))</f>
        <v> </v>
      </c>
      <c r="DA230" s="318" t="str">
        <f aca="false">IF($A230="N/A"," ",IF(0&lt;&gt;CR230,IF(CC=2,8*$HE230,0),0))</f>
        <v> </v>
      </c>
      <c r="DB230" s="318" t="str">
        <f aca="false">IF($A230="N/A"," ",IF(0&lt;&gt;CS230,IF(CC=2,8*$HE230,0),0))</f>
        <v> </v>
      </c>
      <c r="DC230" s="318" t="str">
        <f aca="false">IF($A230="N/A"," ",IF(0&lt;&gt;CT230,IF(CC=2,8*$HF230,0),0))</f>
        <v> </v>
      </c>
      <c r="DD230" s="318" t="str">
        <f aca="false">IF($A230="N/A"," ",IF(0&lt;&gt;CU230,IF(CC=2,8*$HF230,0),0))</f>
        <v> </v>
      </c>
      <c r="DE230" s="318" t="str">
        <f aca="false">IF($A230="N/A"," ",IF(0&lt;&gt;CV230,IF(CC=2,8*$HF230,0),0))</f>
        <v> </v>
      </c>
      <c r="DF230" s="341" t="str">
        <f aca="false">IF($A230="N/A"," ",IF(CC=2,(IF(MONTH(A230)&gt;=4,IF(MONTH(A230)&lt;=10,Inputs!$G$13,Inputs!$G$14),Inputs!$G$14))*$CK230,0))</f>
        <v> </v>
      </c>
      <c r="DG230" s="342" t="str">
        <f aca="false">IF($A230="N/A"," ",IF(CC=2,$DF230*CW230*CN230,0))</f>
        <v> </v>
      </c>
      <c r="DH230" s="342" t="str">
        <f aca="false">IF($A230="N/A"," ",IF(CC=2,$DF230*CX230*CO230,0))</f>
        <v> </v>
      </c>
      <c r="DI230" s="342" t="str">
        <f aca="false">IF($A230="N/A"," ",IF(CC=2,$DF230*CY230*CP230,0))</f>
        <v> </v>
      </c>
      <c r="DJ230" s="342" t="str">
        <f aca="false">IF($A230="N/A"," ",IF(CC=2,$DF230*CZ230*CQ230,0))</f>
        <v> </v>
      </c>
      <c r="DK230" s="342" t="str">
        <f aca="false">IF($A230="N/A"," ",IF(CC=2,$DF230*DA230*CR230,0))</f>
        <v> </v>
      </c>
      <c r="DL230" s="342" t="str">
        <f aca="false">IF($A230="N/A"," ",IF(CC=2,$DF230*DB230*CS230,0))</f>
        <v> </v>
      </c>
      <c r="DM230" s="342" t="str">
        <f aca="false">IF($A230="N/A"," ",IF(CC=2,$DF230*DC230*CT230,0))</f>
        <v> </v>
      </c>
      <c r="DN230" s="342" t="str">
        <f aca="false">IF($A230="N/A"," ",IF(CC=2,$DF230*DD230*CU230,0))</f>
        <v> </v>
      </c>
      <c r="DO230" s="342" t="str">
        <f aca="false">IF($A230="N/A"," ",IF(CC=2,$DF230*DE230*CV230,0))</f>
        <v> </v>
      </c>
      <c r="DP230" s="343" t="str">
        <f aca="false">IF($A230="N/A"," ",IF(CC=2,SUM(DG230:DO230),0))</f>
        <v> </v>
      </c>
      <c r="DQ230" s="0" t="str">
        <f aca="false">IF(A230="N/A"," ",Perstart)</f>
        <v> </v>
      </c>
      <c r="HD230" s="0" t="str">
        <f aca="false">IF($A230="N/A"," ",VLOOKUP($A230,NumberofDaysTable,2))</f>
        <v> </v>
      </c>
      <c r="HE230" s="0" t="str">
        <f aca="false">IF($A230="N/A"," ",VLOOKUP($A230,NumberofDaysTable,3))</f>
        <v> </v>
      </c>
      <c r="HF230" s="0" t="str">
        <f aca="false">IF($A230="N/A"," ",VLOOKUP($A230,NumberofDaysTable,4))</f>
        <v> </v>
      </c>
    </row>
    <row r="231" customFormat="false" ht="12.75" hidden="false" customHeight="false" outlineLevel="0" collapsed="false">
      <c r="A231" s="308" t="str">
        <f aca="false">IF(A230="N/A","N/A",IF(EDATE(A230,1)&gt;Inputs!$K$3,"N/A",EDATE(A230,1)))</f>
        <v>N/A</v>
      </c>
      <c r="B231" s="309" t="str">
        <f aca="false">IF(A231="N/A"," ",YEAR(A231))</f>
        <v> </v>
      </c>
      <c r="C231" s="310" t="str">
        <f aca="false">IF(A231="N/A"," ",VLOOKUP(A231,ScaledPrice,10))</f>
        <v> </v>
      </c>
      <c r="D231" s="311" t="str">
        <f aca="false">IF(A231="N/A"," ",(VLOOKUP(MONTH($A231),Hrtable,2))/1000)</f>
        <v> </v>
      </c>
      <c r="E231" s="312" t="str">
        <f aca="false">IF($A231="N/A"," ",(C231-'Pricing Inputs'!T264)*D231)</f>
        <v> </v>
      </c>
      <c r="F231" s="313" t="str">
        <f aca="false">IF(A231="N/A"," ",$F219*(1+VOMesc))</f>
        <v> </v>
      </c>
      <c r="G231" s="313" t="str">
        <f aca="false">IF(A231="N/A"," ",Perstart/IF(AND(Dayrun&gt;=4,Dayrun&lt;=6),16,IF(AND(Dayrun&gt;=7,Dayrun&lt;=9),8,24))/(BM231/CK231))</f>
        <v> </v>
      </c>
      <c r="H231" s="314" t="str">
        <f aca="false">IF(A231="N/A"," ",(C231*D231)+F231+G231)</f>
        <v> </v>
      </c>
      <c r="I231" s="315" t="str">
        <f aca="false">VLOOKUP(A231,ScaledPrice,(IF(AND(Dayrun&gt;=1,Dayrun&lt;=6),2,4)))</f>
        <v> </v>
      </c>
      <c r="J231" s="315" t="str">
        <f aca="false">IF(A231="N/A"," ",IF(AND(Dayrun&gt;=1,Dayrun&lt;=6),I231,(VLOOKUP(A231,ScaledPrice,2))*(2-(VLOOKUP(A231,ScaledPrice,3)))))</f>
        <v> </v>
      </c>
      <c r="K231" s="315" t="str">
        <f aca="false">IF(A231="N/A"," ",IF(AND(Dayrun&gt;=1,Dayrun&lt;=3),VLOOKUP(A231,ScaledPrice,9),0))</f>
        <v> </v>
      </c>
      <c r="L231" s="315" t="str">
        <f aca="false">IF(A231="N/A"," ",IF(OR(Dayrun=2,Dayrun=3,Dayrun=5,Dayrun=6,Dayrun=8,Dayrun=9),VLOOKUP(A231,ScaledPrice,IF(AND(Dayrun&gt;=2,Dayrun&lt;=6),5,6)),0))</f>
        <v> </v>
      </c>
      <c r="M231" s="315" t="str">
        <f aca="false">IF(A231="N/A"," ",IF(OR(Dayrun=2,Dayrun=3,Dayrun=5,Dayrun=6,Dayrun=8,Dayrun=9),IF(AND(Dayrun&gt;=2,Dayrun&lt;=6),L231,(VLOOKUP(A231,ScaledPrice,5))*(2-(VLOOKUP(A231,ScaledPrice,3)))),0))</f>
        <v> </v>
      </c>
      <c r="N231" s="315" t="str">
        <f aca="false">IF(A231="N/A"," ",IF(AND(Dayrun&gt;1,Dayrun&lt;=3),VLOOKUP(A231,ScaledPrice,9),0))</f>
        <v> </v>
      </c>
      <c r="O231" s="315" t="str">
        <f aca="false">IF(A231="N/A"," ",IF(OR(Dayrun=3,Dayrun=6,Dayrun=9),(VLOOKUP(A231,ScaledPrice,IF(AND(Dayrun&gt;=3,Dayrun&lt;=6),7,8))),0))</f>
        <v> </v>
      </c>
      <c r="P231" s="315" t="str">
        <f aca="false">IF(A231="N/A"," ",IF(OR(Dayrun=3,Dayrun=6,Dayrun=9),IF(AND(Dayrun&gt;=3,Dayrun&lt;=6),O231,(VLOOKUP(A231,ScaledPrice,7))*(2-(VLOOKUP(A231,ScaledPrice,3)))),0))</f>
        <v> </v>
      </c>
      <c r="Q231" s="315" t="str">
        <f aca="false">IF(A231="N/A"," ",IF(AND(Dayrun&gt;2,Dayrun&lt;=3),VLOOKUP(A231,ScaledPrice,9),0))</f>
        <v> </v>
      </c>
      <c r="R231" s="316" t="str">
        <f aca="false">IF($A231="N/A"," ",IF(Pricetype=2,MAX(I231-$H231,0),IF(Pricetype=1,(xSPRDOPT(I231,$E231,$CI231,0,($CD231+IF(Smile=TRUE(),VLOOKUP(MAX(-5,$H231-I231),Volsmile,2),0)),$CG231,$CH231,($A231-DateToday)+15,1,0)),I231-$H231)))</f>
        <v> </v>
      </c>
      <c r="S231" s="316" t="str">
        <f aca="false">IF($A231="N/A"," ",IF(Pricetype=2,MAX(J231-$H231,0),IF(Pricetype=1,(xSPRDOPT(J231,$E231,$CI231,0,($CD231+IF(Smile=TRUE(),VLOOKUP(MAX(-5,$H231-J231),Volsmile,2),0)),$CG231,$CH231,($A231-DateToday)+15,1,0)),J231-$H231)))</f>
        <v> </v>
      </c>
      <c r="T231" s="317" t="str">
        <f aca="false">IF($A231="N/A"," ",(IF(Pricetype=2,IF((K231-$H231)&lt;=0,0,(K231-$H231)),IF(K231&lt;&gt;0,(K231-$H231),0))))</f>
        <v> </v>
      </c>
      <c r="U231" s="316" t="str">
        <f aca="false">IF($A231="N/A"," ",IF(Pricetype=2,MAX(L231-$H231,0),IF(L231&lt;&gt;0,IF(Pricetype=1,(xSPRDOPT(L231,$E231,$CI231,0,($CD231+IF(Smile=TRUE(),VLOOKUP(MAX(-5,$H231-L231),Volsmile,2),0)),$CG231,$CH231,($A231-DateToday)+15,1,0)),L231-$H231),0)))</f>
        <v> </v>
      </c>
      <c r="V231" s="316" t="str">
        <f aca="false">IF($A231="N/A"," ",IF(Pricetype=2,MAX(M231-$H231,0),IF(M231&lt;&gt;0,IF(Pricetype=1,(xSPRDOPT(M231,$E231,$CI231,0,($CD231+IF(Smile=TRUE(),VLOOKUP(MAX(-5,$H231-M231),Volsmile,2),0)),$CG231,$CH231,($A231-DateToday)+15,1,0)),M231-$H231),0)))</f>
        <v> </v>
      </c>
      <c r="W231" s="317" t="str">
        <f aca="false">IF($A231="N/A"," ",(IF(Pricetype=2,IF((N231-$H231)&lt;=0,0,(N231-$H231)),IF(N231&lt;&gt;0,(N231-$H231),0))))</f>
        <v> </v>
      </c>
      <c r="X231" s="316" t="str">
        <f aca="false">IF($A231="N/A"," ",IF(Pricetype=2,MAX(O231-$H231,0),IF(O231&lt;&gt;0,IF(Pricetype=1,(xSPRDOPT(O231,$E231,$CI231,0,($CD231+IF(Smile=TRUE(),VLOOKUP(MAX(-5,$H231-O231),Volsmile,2),0)),$CG231,$CH231,($A231-DateToday)+15,1,0)),O231-$H231),0)))</f>
        <v> </v>
      </c>
      <c r="Y231" s="316" t="str">
        <f aca="false">IF($A231="N/A"," ",IF(Pricetype=2,MAX(P231-$H231,0),IF(P231&lt;&gt;0,IF(Pricetype=1,(xSPRDOPT(P231,$E231,$CI231,0,($CD231+IF(Smile=TRUE(),VLOOKUP(MAX(-5,$H231-P231),Volsmile,2),0)),$CG231,$CH231,($A231-DateToday)+15,1,0)),P231-$H231),0)))</f>
        <v> </v>
      </c>
      <c r="Z231" s="317" t="str">
        <f aca="false">IF($A231="N/A"," ",(IF(Pricetype=2,IF((Q231-$H231)&lt;=0,0,(Q231-$H231)),IF(Q231&lt;&gt;0,(Q231-$H231),0))))</f>
        <v> </v>
      </c>
      <c r="AA231" s="318" t="str">
        <f aca="false">IF($A231="N/A"," ",IF(VLOOKUP(MONTH(A231),ManualTable,2)=1,(IF(0&lt;&gt;R231,IF(Pricetype=1,(xSPRDOPT(I231,$E231,$CI231,0,($CD231+IF(Smile=TRUE(),VLOOKUP(MAX(-5,$H231-I231),Volsmile,2),0)),$CG231,$CH231,($A231-DateToday)+15,1,1))*(8*$HD231),8*$HD231),0)),0))</f>
        <v> </v>
      </c>
      <c r="AB231" s="318" t="str">
        <f aca="false">IF($A231="N/A"," ",IF(VLOOKUP(MONTH(A231),ManualTable,3)=1,(IF(S231&lt;&gt;0,IF(Pricetype=1,(xSPRDOPT(J231,$E231,$CI231,0,($CD231+IF(Smile=TRUE(),VLOOKUP(MAX(-5,$H231-J231),Volsmile,2),0)),$CG231,$CH231,($A231-DateToday)+15,1,1))*(8*$HD231),8*$HD231),0)),0))</f>
        <v> </v>
      </c>
      <c r="AC231" s="318" t="str">
        <f aca="false">IF($A231="N/A"," ",IF(VLOOKUP(MONTH(A231),ManualTable,4)=1,(IF(T231&lt;&gt;0,(8*$HD231),0)),0))</f>
        <v> </v>
      </c>
      <c r="AD231" s="318" t="str">
        <f aca="false">IF($A231="N/A"," ",IF(VLOOKUP(MONTH(A231),ManualTable,5)=1,(IF(U231&lt;&gt;0,IF(Pricetype=1,(xSPRDOPT(L231,$E231,$CI231,0,($CD231+IF(Smile=TRUE(),VLOOKUP(MAX(-5,$H231-L231),Volsmile,2),0)),$CG231,$CH231,($A231-DateToday)+15,1,1))*(8*$HE231),8*$HE231),0)),0))</f>
        <v> </v>
      </c>
      <c r="AE231" s="318" t="str">
        <f aca="false">IF($A231="N/A"," ",IF(VLOOKUP(MONTH(A231),ManualTable,6)=1,(IF(V231&lt;&gt;0,IF(Pricetype=1,(xSPRDOPT(M231,$E231,$CI231,0,($CD231+IF(Smile=TRUE(),VLOOKUP(MAX(-5,$H231-M231),Volsmile,2),0)),$CG231,$CH231,($A231-DateToday)+15,1,1))*(8*$HE231),8*$HE231),0)),0))</f>
        <v> </v>
      </c>
      <c r="AF231" s="318" t="str">
        <f aca="false">IF($A231="N/A"," ",IF(VLOOKUP(MONTH(A231),ManualTable,7)=1,(IF(W231&lt;&gt;0,(8*$HE231),0)),0))</f>
        <v> </v>
      </c>
      <c r="AG231" s="318" t="str">
        <f aca="false">IF($A231="N/A"," ",IF(VLOOKUP(MONTH(A231),ManualTable,8)=1,(IF(X231&lt;&gt;0,IF(Pricetype=1,(xSPRDOPT(O231,$E231,$CI231,0,($CD231+IF(Smile=TRUE(),VLOOKUP(MAX(-5,$H231-O231),Volsmile,2),0)),$CG231,$CH231,($A231-DateToday)+15,1,1))*(8*$HF231),8*$HF231),0)),0))</f>
        <v> </v>
      </c>
      <c r="AH231" s="318" t="str">
        <f aca="false">IF($A231="N/A"," ",IF(VLOOKUP(MONTH(A231),ManualTable,9)=1,(IF(Y231&lt;&gt;0,IF(Pricetype=1,(xSPRDOPT(P231,$E231,$CI231,0,($CD231+IF(Smile=TRUE(),VLOOKUP(MAX(-5,$H231-P231),Volsmile,2),0)),$CG231,$CH231,($A231-DateToday)+15,1,1))*(8*$HF231),8*$HF231),0)),0))</f>
        <v> </v>
      </c>
      <c r="AI231" s="318" t="str">
        <f aca="false">IF($A231="N/A"," ",IF(VLOOKUP(MONTH(A231),ManualTable,10)=1,(IF(Z231&lt;&gt;0,(8*($HF231)),0)),0))</f>
        <v> </v>
      </c>
      <c r="AJ231" s="349" t="str">
        <f aca="false">IF($A231="N/A"," ",RANK(R231,$R$220:$Z$231))</f>
        <v> </v>
      </c>
      <c r="AK231" s="350" t="str">
        <f aca="false">IF($A231="N/A"," ",RANK(S231,$R$220:$Z$231))</f>
        <v> </v>
      </c>
      <c r="AL231" s="350" t="str">
        <f aca="false">IF($A231="N/A"," ",RANK(T231,$R$220:$Z$231))</f>
        <v> </v>
      </c>
      <c r="AM231" s="350" t="str">
        <f aca="false">IF($A231="N/A"," ",RANK(U231,$R$220:$Z$231))</f>
        <v> </v>
      </c>
      <c r="AN231" s="350" t="str">
        <f aca="false">IF($A231="N/A"," ",RANK(V231,$R$220:$Z$231))</f>
        <v> </v>
      </c>
      <c r="AO231" s="350" t="str">
        <f aca="false">IF($A231="N/A"," ",RANK(W231,$R$220:$Z$231))</f>
        <v> </v>
      </c>
      <c r="AP231" s="350" t="str">
        <f aca="false">IF($A231="N/A"," ",RANK(X231,$R$220:$Z$231))</f>
        <v> </v>
      </c>
      <c r="AQ231" s="350" t="str">
        <f aca="false">IF($A231="N/A"," ",RANK(Y231,$R$220:$Z$231))</f>
        <v> </v>
      </c>
      <c r="AR231" s="351" t="str">
        <f aca="false">IF($A231="N/A"," ",RANK(Z231,$R$220:$Z$231))</f>
        <v> </v>
      </c>
      <c r="AS231" s="352" t="str">
        <f aca="false">IF($A231="N/A"," ",IF(AJ231&lt;=$AR$2,AA231,0))</f>
        <v> </v>
      </c>
      <c r="AT231" s="353" t="str">
        <f aca="false">IF($A231="N/A"," ",IF(AK231&lt;=$AR$2,AB231,0))</f>
        <v> </v>
      </c>
      <c r="AU231" s="353" t="str">
        <f aca="false">IF($A231="N/A"," ",IF(AL231&lt;=$AR$2,AC231,0))</f>
        <v> </v>
      </c>
      <c r="AV231" s="353" t="str">
        <f aca="false">IF($A231="N/A"," ",IF(AM231&lt;=$AR$2,AD231,0))</f>
        <v> </v>
      </c>
      <c r="AW231" s="353" t="str">
        <f aca="false">IF($A231="N/A"," ",IF(AN231&lt;=$AR$2,AE231,0))</f>
        <v> </v>
      </c>
      <c r="AX231" s="353" t="str">
        <f aca="false">IF($A231="N/A"," ",IF(AO231&lt;=$AR$2,AF231,0))</f>
        <v> </v>
      </c>
      <c r="AY231" s="353" t="str">
        <f aca="false">IF($A231="N/A"," ",IF(AP231&lt;=$AR$2,AG231,0))</f>
        <v> </v>
      </c>
      <c r="AZ231" s="353" t="str">
        <f aca="false">IF($A231="N/A"," ",IF(AQ231&lt;=$AR$2,AH231,0))</f>
        <v> </v>
      </c>
      <c r="BA231" s="353" t="str">
        <f aca="false">IF($A231="N/A"," ",IF(AR231&lt;=$AR$2,AI231,0))</f>
        <v> </v>
      </c>
      <c r="BB231" s="351" t="n">
        <f aca="false">IF(($AZ$2-BB230)&gt;=0,$AZ$2-BB230,0)</f>
        <v>980</v>
      </c>
      <c r="BC231" s="354" t="str">
        <f aca="false">IF($A231="N/A"," ",IF(AND(AJ231=$AR$2+1,AS231=0),MIN($BB$231,AA231),0))</f>
        <v> </v>
      </c>
      <c r="BD231" s="355" t="str">
        <f aca="false">IF($A231="N/A"," ",IF(AND(AK231=$AR$2+1,AT231=0),MIN($BB$231,AB231),0))</f>
        <v> </v>
      </c>
      <c r="BE231" s="346" t="str">
        <f aca="false">IF($A231="N/A"," ",IF(AND(AL231=$AR$2+1,AU231=0),MIN($BB$231,AC231),0))</f>
        <v> </v>
      </c>
      <c r="BF231" s="355" t="str">
        <f aca="false">IF($A231="N/A"," ",IF(AND(AM231=$AR$2+1,AV231=0),MIN($BB$231,AD231),0))</f>
        <v> </v>
      </c>
      <c r="BG231" s="355" t="str">
        <f aca="false">IF($A231="N/A"," ",IF(AND(AN231=$AR$2+1,AW231=0),MIN($BB$231,AE231),0))</f>
        <v> </v>
      </c>
      <c r="BH231" s="346" t="str">
        <f aca="false">IF($A231="N/A"," ",IF(AND(AO231=$AR$2+1,AX231=0),MIN($BB$231,AF231),0))</f>
        <v> </v>
      </c>
      <c r="BI231" s="355" t="str">
        <f aca="false">IF($A231="N/A"," ",IF(AND(AP231=$AR$2+1,AY231=0),MIN($BB$231,AG231),0))</f>
        <v> </v>
      </c>
      <c r="BJ231" s="355" t="str">
        <f aca="false">IF($A231="N/A"," ",IF(AND(AQ231=$AR$2+1,AZ231=0),MIN($BB$231,AH231),0))</f>
        <v> </v>
      </c>
      <c r="BK231" s="355" t="str">
        <f aca="false">IF($A231="N/A"," ",IF(AND(AR231=$AR$2+1,BA231=0),MIN($BB$231,AI231),0))</f>
        <v> </v>
      </c>
      <c r="BL231" s="356" t="n">
        <f aca="false">BB230+BL230</f>
        <v>0</v>
      </c>
      <c r="BM231" s="329" t="str">
        <f aca="false">IF($A231="N/A"," ",(IF(MONTH(A231)&gt;=4,IF(MONTH(A231)&lt;=10,Inputs!$F$13-Inputs!$G$13,Inputs!$F$14-Inputs!$G$14),Inputs!$F$14-Inputs!$G$14))*$CK231*Availability)</f>
        <v> </v>
      </c>
      <c r="BN231" s="330" t="str">
        <f aca="false">IF($A231="N/A"," ",(IF(AS231&gt;0,($BM231*(8*($HD231))*R231),0)+IF(BC231&gt;0,($BM231*((BC231/AA231)*8*$HD231)*R231),0)))</f>
        <v> </v>
      </c>
      <c r="BO231" s="330" t="str">
        <f aca="false">IF($A231="N/A"," ",(IF(AT231&gt;0,($BM231*(8*($HD231))*S231),0)+IF(BD231&gt;0,($BM231*((BD231/AB231)*8*$HD231)*S231),0)))</f>
        <v> </v>
      </c>
      <c r="BP231" s="330" t="str">
        <f aca="false">IF($A231="N/A"," ",(IF(AU231&gt;0,($BM231*(8*($HD231))*T231),0)+IF(BE231&gt;0,($BM231*((BE231))*T231),0)))</f>
        <v> </v>
      </c>
      <c r="BQ231" s="330" t="str">
        <f aca="false">IF($A231="N/A"," ",(IF(AV231&gt;0,($BM231*(8*($HE231))*U231),0)+IF(BF231&gt;0,($BM231*((BF231/AD231)*8*$HE231)*U231),0)))</f>
        <v> </v>
      </c>
      <c r="BR231" s="330" t="str">
        <f aca="false">IF($A231="N/A"," ",(IF(AW231&gt;0,($BM231*(8*($HE231))*V231),0)+IF(BG231&gt;0,($BM231*((BG231/AE231)*8*$HE231)*V231),0)))</f>
        <v> </v>
      </c>
      <c r="BS231" s="330" t="str">
        <f aca="false">IF($A231="N/A"," ",(IF(AX231&gt;0,($BM231*(8*($HE231))*W231),0)+IF(BH231&gt;0,($BM231*((BH231))*W231),0)))</f>
        <v> </v>
      </c>
      <c r="BT231" s="330" t="str">
        <f aca="false">IF($A231="N/A"," ",(IF(AY231&gt;0,($BM231*(8*($HF231))*X231),0)+IF(BI231&gt;0,($BM231*((BI231/AG231)*8*$HF231)*X231),0)))</f>
        <v> </v>
      </c>
      <c r="BU231" s="330" t="str">
        <f aca="false">IF($A231="N/A"," ",(IF(AZ231&gt;0,($BM231*(8*($HF231))*Y231),0)+IF(BJ231&gt;0,($BM231*((BJ231/AH231)*8*$HF231)*Y231),0)))</f>
        <v> </v>
      </c>
      <c r="BV231" s="330" t="str">
        <f aca="false">IF($A231="N/A"," ",(IF(BA231&gt;0,($BM231*(8*($HF231))*Z231),0)+IF(BK231&gt;0,($BM231*((BK231))*Z231),0)))</f>
        <v> </v>
      </c>
      <c r="BW231" s="330" t="str">
        <f aca="false">IF($A231="N/A"," ",SUM(BN231:BV231))</f>
        <v> </v>
      </c>
      <c r="BX231" s="331" t="str">
        <f aca="false">IF($A231="N/A"," ",(H231*(SUM(AS231:BA231)+SUM(BC231:BK231))*BM231))</f>
        <v> </v>
      </c>
      <c r="BY231" s="332" t="str">
        <f aca="false">IF($A231="N/A"," ",((C231*D231)*(SUM($AS231:$BA231)+SUM($BC231:$BK231))*$BM231))</f>
        <v> </v>
      </c>
      <c r="BZ231" s="332" t="str">
        <f aca="false">IF($A231="N/A"," ",(F231*(SUM($AS231:$BA231)+SUM($BC231:$BK231))*$BM231))</f>
        <v> </v>
      </c>
      <c r="CA231" s="333" t="str">
        <f aca="false">IF($A231="N/A"," ",(G231*(SUM($AS231:$BA231)+SUM($BC231:$BK231))*$BM231))</f>
        <v> </v>
      </c>
      <c r="CB231" s="334" t="str">
        <f aca="false">IF(A231="N/A"," ",(VLOOKUP(A231,PowerVolTable,(IF(BMO=2,7,IF(BMO=1,6,8))),FALSE())))</f>
        <v> </v>
      </c>
      <c r="CC231" s="334" t="str">
        <f aca="false">IF(A231="N/A"," ",(VLOOKUP(A231,IntraPowerVol,(IF(BMO=2,3,IF(BMO=1,2,4))),FALSE())*VLOOKUP(MONTH($A231),Volscale,2)))</f>
        <v> </v>
      </c>
      <c r="CD231" s="335" t="str">
        <f aca="false">IF($A231="N/A"," ",(IF(DateToday&gt;$A231,$CC231,((($CB231^2)*((($A231-1)-DateToday)/((EOMONTH($A231,0)+1)-DateToday-15)))+((($CC231)^2)*((15)/((EOMONTH($A231,0)+1)-DateToday-15))))^0.5)))</f>
        <v> </v>
      </c>
      <c r="CE231" s="334" t="str">
        <f aca="false">IF($A231="N/A"," ",(VLOOKUP($A231,GasVolTable,(IF(BMO=2,6,IF(BMO=1,7,5))),FALSE())))</f>
        <v> </v>
      </c>
      <c r="CF231" s="334" t="str">
        <f aca="false">IF($A231="N/A"," ",(VLOOKUP($A231,OmicronVol,(IF(BMO=2,3,IF(BMO=1,4,2))),FALSE())))</f>
        <v> </v>
      </c>
      <c r="CG231" s="335" t="str">
        <f aca="false">IF($A231="N/A"," ",(IF(DateToday&gt;$A231,$CF231,((($CE231^2)*((($A231-1)-DateToday)/((EOMONTH($A231,0)+1)-DateToday-15)))+((($CF231)^2)*((15)/((EOMONTH($A231,0)+1)-DateToday-15))))^0.5)))</f>
        <v> </v>
      </c>
      <c r="CH231" s="334" t="str">
        <f aca="false">IF($A231="N/A"," ",VLOOKUP($A231,CorrelationTable,2,FALSE()))</f>
        <v> </v>
      </c>
      <c r="CI231" s="336" t="str">
        <f aca="false">IF($A231="N/A"," ",F231+G231+(D231*('Pricing Inputs'!T264)))</f>
        <v> </v>
      </c>
      <c r="CJ231" s="334" t="str">
        <f aca="false">IF($A231="N/A"," ",IF(PV=1,0,'Pricing Inputs'!U264))</f>
        <v> </v>
      </c>
      <c r="CK231" s="337" t="str">
        <f aca="false">IF($A231="N/A"," ",(1+CJ231/2)^(-2*((EOMONTH(A231,0)+20)-DateToday)/365.25))</f>
        <v> </v>
      </c>
      <c r="CL231" s="338" t="str">
        <f aca="false">IF(A231="N/A"," ",IF(CC=2,(VLOOKUP(MONTH($A231),Hrtable,3))/1000,0))</f>
        <v> </v>
      </c>
      <c r="CM231" s="339" t="str">
        <f aca="false">IF(A231="N/A"," ",IF(CC=2,(CL231*C231)+F231,0))</f>
        <v> </v>
      </c>
      <c r="CN231" s="340" t="str">
        <f aca="false">IF($A231="N/A"," ",IF(CC=2,(VLOOKUP(A231,ScaledPrice,(IF(AND(Dayrun&gt;=1,Dayrun&lt;=6),2,4)))-((IF(R231&lt;&gt;0,$D231,$CL231)*$C231)+$F231+$G231)),0))</f>
        <v> </v>
      </c>
      <c r="CO231" s="340" t="str">
        <f aca="false">IF($A231="N/A"," ",IF(CC=2,(IF(AND(Dayrun&gt;=1,Dayrun&lt;=6),I231,(VLOOKUP(A231,ScaledPrice,2))*(2-(VLOOKUP(A231,ScaledPrice,3))))-((IF(S231&lt;&gt;0,$D231,$CL231)*$C231)+$F231+$G231)),0))</f>
        <v> </v>
      </c>
      <c r="CP231" s="340" t="str">
        <f aca="false">IF(A231="N/A"," ",IF(CC=2,(VLOOKUP(A231,ScaledPrice,9)-((IF(T231&lt;&gt;0,$D231,$CL231)*$C231)+$F231+$G231)),0))</f>
        <v> </v>
      </c>
      <c r="CQ231" s="340" t="str">
        <f aca="false">IF(A231="N/A"," ",IF(CC=2,(IF(OR(Dayrun=2,Dayrun=3,Dayrun=5,Dayrun=6,Dayrun=8,Dayrun=9),VLOOKUP(A231,ScaledPrice,IF(AND(Dayrun&gt;=2,Dayrun&lt;=6),5,6)),0)-((IF(U231&lt;&gt;0,$D231,$CL231)*$C231)+$F231+$G231)),0))</f>
        <v> </v>
      </c>
      <c r="CR231" s="340" t="str">
        <f aca="false">IF(A231="N/A"," ",IF(CC=2,(IF(OR(Dayrun=2,Dayrun=3,Dayrun=5,Dayrun=6,Dayrun=8,Dayrun=9),IF(AND(Dayrun&gt;=2,Dayrun&lt;=6),L231,(VLOOKUP(A231,ScaledPrice,5))*(2-(VLOOKUP(A231,ScaledPrice,3)))),0)-((IF(V231&lt;&gt;0,$D231,$CL231)*$C231)+$F231+$G231)),0))</f>
        <v> </v>
      </c>
      <c r="CS231" s="340" t="str">
        <f aca="false">IF(A231="N/A"," ",IF(CC=2,(VLOOKUP(A231,ScaledPrice,9)-((IF(W231&lt;&gt;0,$D231,$CL231)*$C231)+$F231+$G231)),0))</f>
        <v> </v>
      </c>
      <c r="CT231" s="340" t="str">
        <f aca="false">IF(A231="N/A"," ",IF(CC=2,(IF(OR(Dayrun=3,Dayrun=6,Dayrun=9),(VLOOKUP(A231,ScaledPrice,IF(AND(Dayrun&gt;=3,Dayrun&lt;=6),7,8))),0)-((IF(X231&lt;&gt;0,$D231,$CL231)*$C231)+$F231+$G231)),0))</f>
        <v> </v>
      </c>
      <c r="CU231" s="340" t="str">
        <f aca="false">IF(A231="N/A"," ",IF(CC=2,(IF(OR(Dayrun=3,Dayrun=6,Dayrun=9),IF(AND(Dayrun&gt;=3,Dayrun&lt;=6),O231,(VLOOKUP(A231,ScaledPrice,7))*(2-(VLOOKUP(A231,ScaledPrice,3)))),0)-((IF(Y231&lt;&gt;0,$D231,$CL231)*$C231)+$F231+$G231)),0))</f>
        <v> </v>
      </c>
      <c r="CV231" s="340" t="str">
        <f aca="false">IF(A231="N/A"," ",IF(CC=2,(VLOOKUP(A231,ScaledPrice,9)-((IF(Z231&lt;&gt;0,$D231,$CL231)*$C231)+$F231+$G231)),0))</f>
        <v> </v>
      </c>
      <c r="CW231" s="318" t="str">
        <f aca="false">IF($A231="N/A"," ",IF(0&lt;&gt;CN231,IF(CC=2,8*$HD231,0),0))</f>
        <v> </v>
      </c>
      <c r="CX231" s="318" t="str">
        <f aca="false">IF($A231="N/A"," ",IF(0&lt;&gt;CO231,IF(CC=2,8*$HD231,0),0))</f>
        <v> </v>
      </c>
      <c r="CY231" s="318" t="str">
        <f aca="false">IF($A231="N/A"," ",IF(0&lt;&gt;CP231,IF(CC=2,8*$HD231,0),0))</f>
        <v> </v>
      </c>
      <c r="CZ231" s="318" t="str">
        <f aca="false">IF($A231="N/A"," ",IF(0&lt;&gt;CQ231,IF(CC=2,8*$HE231,0),0))</f>
        <v> </v>
      </c>
      <c r="DA231" s="318" t="str">
        <f aca="false">IF($A231="N/A"," ",IF(0&lt;&gt;CR231,IF(CC=2,8*$HE231,0),0))</f>
        <v> </v>
      </c>
      <c r="DB231" s="318" t="str">
        <f aca="false">IF($A231="N/A"," ",IF(0&lt;&gt;CS231,IF(CC=2,8*$HE231,0),0))</f>
        <v> </v>
      </c>
      <c r="DC231" s="318" t="str">
        <f aca="false">IF($A231="N/A"," ",IF(0&lt;&gt;CT231,IF(CC=2,8*$HF231,0),0))</f>
        <v> </v>
      </c>
      <c r="DD231" s="318" t="str">
        <f aca="false">IF($A231="N/A"," ",IF(0&lt;&gt;CU231,IF(CC=2,8*$HF231,0),0))</f>
        <v> </v>
      </c>
      <c r="DE231" s="318" t="str">
        <f aca="false">IF($A231="N/A"," ",IF(0&lt;&gt;CV231,IF(CC=2,8*$HF231,0),0))</f>
        <v> </v>
      </c>
      <c r="DF231" s="341" t="str">
        <f aca="false">IF($A231="N/A"," ",IF(CC=2,(IF(MONTH(A231)&gt;=4,IF(MONTH(A231)&lt;=10,Inputs!$G$13,Inputs!$G$14),Inputs!$G$14))*$CK231,0))</f>
        <v> </v>
      </c>
      <c r="DG231" s="342" t="str">
        <f aca="false">IF($A231="N/A"," ",IF(CC=2,$DF231*CW231*CN231,0))</f>
        <v> </v>
      </c>
      <c r="DH231" s="342" t="str">
        <f aca="false">IF($A231="N/A"," ",IF(CC=2,$DF231*CX231*CO231,0))</f>
        <v> </v>
      </c>
      <c r="DI231" s="342" t="str">
        <f aca="false">IF($A231="N/A"," ",IF(CC=2,$DF231*CY231*CP231,0))</f>
        <v> </v>
      </c>
      <c r="DJ231" s="342" t="str">
        <f aca="false">IF($A231="N/A"," ",IF(CC=2,$DF231*CZ231*CQ231,0))</f>
        <v> </v>
      </c>
      <c r="DK231" s="342" t="str">
        <f aca="false">IF($A231="N/A"," ",IF(CC=2,$DF231*DA231*CR231,0))</f>
        <v> </v>
      </c>
      <c r="DL231" s="342" t="str">
        <f aca="false">IF($A231="N/A"," ",IF(CC=2,$DF231*DB231*CS231,0))</f>
        <v> </v>
      </c>
      <c r="DM231" s="342" t="str">
        <f aca="false">IF($A231="N/A"," ",IF(CC=2,$DF231*DC231*CT231,0))</f>
        <v> </v>
      </c>
      <c r="DN231" s="342" t="str">
        <f aca="false">IF($A231="N/A"," ",IF(CC=2,$DF231*DD231*CU231,0))</f>
        <v> </v>
      </c>
      <c r="DO231" s="342" t="str">
        <f aca="false">IF($A231="N/A"," ",IF(CC=2,$DF231*DE231*CV231,0))</f>
        <v> </v>
      </c>
      <c r="DP231" s="343" t="str">
        <f aca="false">IF($A231="N/A"," ",IF(CC=2,SUM(DG231:DO231),0))</f>
        <v> </v>
      </c>
      <c r="DQ231" s="0" t="str">
        <f aca="false">IF(A231="N/A"," ",Perstart)</f>
        <v> </v>
      </c>
      <c r="HD231" s="0" t="str">
        <f aca="false">IF($A231="N/A"," ",VLOOKUP($A231,NumberofDaysTable,2))</f>
        <v> </v>
      </c>
      <c r="HE231" s="0" t="str">
        <f aca="false">IF($A231="N/A"," ",VLOOKUP($A231,NumberofDaysTable,3))</f>
        <v> </v>
      </c>
      <c r="HF231" s="0" t="str">
        <f aca="false">IF($A231="N/A"," ",VLOOKUP($A231,NumberofDaysTable,4))</f>
        <v> </v>
      </c>
    </row>
    <row r="232" customFormat="false" ht="12.75" hidden="false" customHeight="false" outlineLevel="0" collapsed="false">
      <c r="A232" s="308" t="str">
        <f aca="false">IF(A231="N/A","N/A",IF(EDATE(A231,1)&gt;Inputs!$K$3,"N/A",EDATE(A231,1)))</f>
        <v>N/A</v>
      </c>
      <c r="B232" s="309" t="str">
        <f aca="false">IF(A232="N/A"," ",YEAR(A232))</f>
        <v> </v>
      </c>
      <c r="C232" s="310" t="str">
        <f aca="false">IF(A232="N/A"," ",VLOOKUP(A232,ScaledPrice,10))</f>
        <v> </v>
      </c>
      <c r="D232" s="311" t="str">
        <f aca="false">IF(A232="N/A"," ",(VLOOKUP(MONTH($A232),Hrtable,2))/1000)</f>
        <v> </v>
      </c>
      <c r="E232" s="312" t="str">
        <f aca="false">IF($A232="N/A"," ",(C232-'Pricing Inputs'!T265)*D232)</f>
        <v> </v>
      </c>
      <c r="F232" s="313" t="str">
        <f aca="false">IF(A232="N/A"," ",$F220*(1+VOMesc))</f>
        <v> </v>
      </c>
      <c r="G232" s="313" t="str">
        <f aca="false">IF(A232="N/A"," ",Perstart/IF(AND(Dayrun&gt;=4,Dayrun&lt;=6),16,IF(AND(Dayrun&gt;=7,Dayrun&lt;=9),8,24))/(BM232/CK232))</f>
        <v> </v>
      </c>
      <c r="H232" s="314" t="str">
        <f aca="false">IF(A232="N/A"," ",(C232*D232)+F232+G232)</f>
        <v> </v>
      </c>
      <c r="I232" s="315" t="str">
        <f aca="false">VLOOKUP(A232,ScaledPrice,(IF(AND(Dayrun&gt;=1,Dayrun&lt;=6),2,4)))</f>
        <v> </v>
      </c>
      <c r="J232" s="315" t="str">
        <f aca="false">IF(A232="N/A"," ",IF(AND(Dayrun&gt;=1,Dayrun&lt;=6),I232,(VLOOKUP(A232,ScaledPrice,2))*(2-(VLOOKUP(A232,ScaledPrice,3)))))</f>
        <v> </v>
      </c>
      <c r="K232" s="315" t="str">
        <f aca="false">IF(A232="N/A"," ",IF(AND(Dayrun&gt;=1,Dayrun&lt;=3),VLOOKUP(A232,ScaledPrice,9),0))</f>
        <v> </v>
      </c>
      <c r="L232" s="315" t="str">
        <f aca="false">IF(A232="N/A"," ",IF(OR(Dayrun=2,Dayrun=3,Dayrun=5,Dayrun=6,Dayrun=8,Dayrun=9),VLOOKUP(A232,ScaledPrice,IF(AND(Dayrun&gt;=2,Dayrun&lt;=6),5,6)),0))</f>
        <v> </v>
      </c>
      <c r="M232" s="315" t="str">
        <f aca="false">IF(A232="N/A"," ",IF(OR(Dayrun=2,Dayrun=3,Dayrun=5,Dayrun=6,Dayrun=8,Dayrun=9),IF(AND(Dayrun&gt;=2,Dayrun&lt;=6),L232,(VLOOKUP(A232,ScaledPrice,5))*(2-(VLOOKUP(A232,ScaledPrice,3)))),0))</f>
        <v> </v>
      </c>
      <c r="N232" s="315" t="str">
        <f aca="false">IF(A232="N/A"," ",IF(AND(Dayrun&gt;1,Dayrun&lt;=3),VLOOKUP(A232,ScaledPrice,9),0))</f>
        <v> </v>
      </c>
      <c r="O232" s="315" t="str">
        <f aca="false">IF(A232="N/A"," ",IF(OR(Dayrun=3,Dayrun=6,Dayrun=9),(VLOOKUP(A232,ScaledPrice,IF(AND(Dayrun&gt;=3,Dayrun&lt;=6),7,8))),0))</f>
        <v> </v>
      </c>
      <c r="P232" s="315" t="str">
        <f aca="false">IF(A232="N/A"," ",IF(OR(Dayrun=3,Dayrun=6,Dayrun=9),IF(AND(Dayrun&gt;=3,Dayrun&lt;=6),O232,(VLOOKUP(A232,ScaledPrice,7))*(2-(VLOOKUP(A232,ScaledPrice,3)))),0))</f>
        <v> </v>
      </c>
      <c r="Q232" s="315" t="str">
        <f aca="false">IF(A232="N/A"," ",IF(AND(Dayrun&gt;2,Dayrun&lt;=3),VLOOKUP(A232,ScaledPrice,9),0))</f>
        <v> </v>
      </c>
      <c r="R232" s="316" t="str">
        <f aca="false">IF($A232="N/A"," ",IF(Pricetype=2,MAX(I232-$H232,0),IF(Pricetype=1,(xSPRDOPT(I232,$E232,$CI232,0,($CD232+IF(Smile=TRUE(),VLOOKUP(MAX(-5,$H232-I232),Volsmile,2),0)),$CG232,$CH232,($A232-DateToday)+15,1,0)),I232-$H232)))</f>
        <v> </v>
      </c>
      <c r="S232" s="316" t="str">
        <f aca="false">IF($A232="N/A"," ",IF(Pricetype=2,MAX(J232-$H232,0),IF(Pricetype=1,(xSPRDOPT(J232,$E232,$CI232,0,($CD232+IF(Smile=TRUE(),VLOOKUP(MAX(-5,$H232-J232),Volsmile,2),0)),$CG232,$CH232,($A232-DateToday)+15,1,0)),J232-$H232)))</f>
        <v> </v>
      </c>
      <c r="T232" s="317" t="str">
        <f aca="false">IF($A232="N/A"," ",(IF(Pricetype=2,IF((K232-$H232)&lt;=0,0,(K232-$H232)),IF(K232&lt;&gt;0,(K232-$H232),0))))</f>
        <v> </v>
      </c>
      <c r="U232" s="316" t="str">
        <f aca="false">IF($A232="N/A"," ",IF(Pricetype=2,MAX(L232-$H232,0),IF(L232&lt;&gt;0,IF(Pricetype=1,(xSPRDOPT(L232,$E232,$CI232,0,($CD232+IF(Smile=TRUE(),VLOOKUP(MAX(-5,$H232-L232),Volsmile,2),0)),$CG232,$CH232,($A232-DateToday)+15,1,0)),L232-$H232),0)))</f>
        <v> </v>
      </c>
      <c r="V232" s="316" t="str">
        <f aca="false">IF($A232="N/A"," ",IF(Pricetype=2,MAX(M232-$H232,0),IF(M232&lt;&gt;0,IF(Pricetype=1,(xSPRDOPT(M232,$E232,$CI232,0,($CD232+IF(Smile=TRUE(),VLOOKUP(MAX(-5,$H232-M232),Volsmile,2),0)),$CG232,$CH232,($A232-DateToday)+15,1,0)),M232-$H232),0)))</f>
        <v> </v>
      </c>
      <c r="W232" s="317" t="str">
        <f aca="false">IF($A232="N/A"," ",(IF(Pricetype=2,IF((N232-$H232)&lt;=0,0,(N232-$H232)),IF(N232&lt;&gt;0,(N232-$H232),0))))</f>
        <v> </v>
      </c>
      <c r="X232" s="316" t="str">
        <f aca="false">IF($A232="N/A"," ",IF(Pricetype=2,MAX(O232-$H232,0),IF(O232&lt;&gt;0,IF(Pricetype=1,(xSPRDOPT(O232,$E232,$CI232,0,($CD232+IF(Smile=TRUE(),VLOOKUP(MAX(-5,$H232-O232),Volsmile,2),0)),$CG232,$CH232,($A232-DateToday)+15,1,0)),O232-$H232),0)))</f>
        <v> </v>
      </c>
      <c r="Y232" s="316" t="str">
        <f aca="false">IF($A232="N/A"," ",IF(Pricetype=2,MAX(P232-$H232,0),IF(P232&lt;&gt;0,IF(Pricetype=1,(xSPRDOPT(P232,$E232,$CI232,0,($CD232+IF(Smile=TRUE(),VLOOKUP(MAX(-5,$H232-P232),Volsmile,2),0)),$CG232,$CH232,($A232-DateToday)+15,1,0)),P232-$H232),0)))</f>
        <v> </v>
      </c>
      <c r="Z232" s="317" t="str">
        <f aca="false">IF($A232="N/A"," ",(IF(Pricetype=2,IF((Q232-$H232)&lt;=0,0,(Q232-$H232)),IF(Q232&lt;&gt;0,(Q232-$H232),0))))</f>
        <v> </v>
      </c>
      <c r="AA232" s="318" t="str">
        <f aca="false">IF($A232="N/A"," ",IF(VLOOKUP(MONTH(A232),ManualTable,2)=1,(IF(0&lt;&gt;R232,IF(Pricetype=1,(xSPRDOPT(I232,$E232,$CI232,0,($CD232+IF(Smile=TRUE(),VLOOKUP(MAX(-5,$H232-I232),Volsmile,2),0)),$CG232,$CH232,($A232-DateToday)+15,1,1))*(8*$HD232),8*$HD232),0)),0))</f>
        <v> </v>
      </c>
      <c r="AB232" s="318" t="str">
        <f aca="false">IF($A232="N/A"," ",IF(VLOOKUP(MONTH(A232),ManualTable,3)=1,(IF(S232&lt;&gt;0,IF(Pricetype=1,(xSPRDOPT(J232,$E232,$CI232,0,($CD232+IF(Smile=TRUE(),VLOOKUP(MAX(-5,$H232-J232),Volsmile,2),0)),$CG232,$CH232,($A232-DateToday)+15,1,1))*(8*$HD232),8*$HD232),0)),0))</f>
        <v> </v>
      </c>
      <c r="AC232" s="318" t="str">
        <f aca="false">IF($A232="N/A"," ",IF(VLOOKUP(MONTH(A232),ManualTable,4)=1,(IF(T232&lt;&gt;0,(8*$HD232),0)),0))</f>
        <v> </v>
      </c>
      <c r="AD232" s="318" t="str">
        <f aca="false">IF($A232="N/A"," ",IF(VLOOKUP(MONTH(A232),ManualTable,5)=1,(IF(U232&lt;&gt;0,IF(Pricetype=1,(xSPRDOPT(L232,$E232,$CI232,0,($CD232+IF(Smile=TRUE(),VLOOKUP(MAX(-5,$H232-L232),Volsmile,2),0)),$CG232,$CH232,($A232-DateToday)+15,1,1))*(8*$HE232),8*$HE232),0)),0))</f>
        <v> </v>
      </c>
      <c r="AE232" s="318" t="str">
        <f aca="false">IF($A232="N/A"," ",IF(VLOOKUP(MONTH(A232),ManualTable,6)=1,(IF(V232&lt;&gt;0,IF(Pricetype=1,(xSPRDOPT(M232,$E232,$CI232,0,($CD232+IF(Smile=TRUE(),VLOOKUP(MAX(-5,$H232-M232),Volsmile,2),0)),$CG232,$CH232,($A232-DateToday)+15,1,1))*(8*$HE232),8*$HE232),0)),0))</f>
        <v> </v>
      </c>
      <c r="AF232" s="318" t="str">
        <f aca="false">IF($A232="N/A"," ",IF(VLOOKUP(MONTH(A232),ManualTable,7)=1,(IF(W232&lt;&gt;0,(8*$HE232),0)),0))</f>
        <v> </v>
      </c>
      <c r="AG232" s="318" t="str">
        <f aca="false">IF($A232="N/A"," ",IF(VLOOKUP(MONTH(A232),ManualTable,8)=1,(IF(X232&lt;&gt;0,IF(Pricetype=1,(xSPRDOPT(O232,$E232,$CI232,0,($CD232+IF(Smile=TRUE(),VLOOKUP(MAX(-5,$H232-O232),Volsmile,2),0)),$CG232,$CH232,($A232-DateToday)+15,1,1))*(8*$HF232),8*$HF232),0)),0))</f>
        <v> </v>
      </c>
      <c r="AH232" s="318" t="str">
        <f aca="false">IF($A232="N/A"," ",IF(VLOOKUP(MONTH(A232),ManualTable,9)=1,(IF(Y232&lt;&gt;0,IF(Pricetype=1,(xSPRDOPT(P232,$E232,$CI232,0,($CD232+IF(Smile=TRUE(),VLOOKUP(MAX(-5,$H232-P232),Volsmile,2),0)),$CG232,$CH232,($A232-DateToday)+15,1,1))*(8*$HF232),8*$HF232),0)),0))</f>
        <v> </v>
      </c>
      <c r="AI232" s="318" t="str">
        <f aca="false">IF($A232="N/A"," ",IF(VLOOKUP(MONTH(A232),ManualTable,10)=1,(IF(Z232&lt;&gt;0,(8*($HF232)),0)),0))</f>
        <v> </v>
      </c>
      <c r="AJ232" s="319" t="str">
        <f aca="false">IF($A232="N/A"," ",RANK(R232,$R$232:$Z$243))</f>
        <v> </v>
      </c>
      <c r="AK232" s="320" t="str">
        <f aca="false">IF($A232="N/A"," ",RANK(S232,$R$232:$Z$243))</f>
        <v> </v>
      </c>
      <c r="AL232" s="320" t="str">
        <f aca="false">IF($A232="N/A"," ",RANK(T232,$R$232:$Z$243))</f>
        <v> </v>
      </c>
      <c r="AM232" s="320" t="str">
        <f aca="false">IF($A232="N/A"," ",RANK(U232,$R$232:$Z$243))</f>
        <v> </v>
      </c>
      <c r="AN232" s="320" t="str">
        <f aca="false">IF($A232="N/A"," ",RANK(V232,$R$232:$Z$243))</f>
        <v> </v>
      </c>
      <c r="AO232" s="320" t="str">
        <f aca="false">IF($A232="N/A"," ",RANK(W232,$R$232:$Z$243))</f>
        <v> </v>
      </c>
      <c r="AP232" s="320" t="str">
        <f aca="false">IF($A232="N/A"," ",RANK(X232,$R$232:$Z$243))</f>
        <v> </v>
      </c>
      <c r="AQ232" s="320" t="str">
        <f aca="false">IF($A232="N/A"," ",RANK(Y232,$R$232:$Z$243))</f>
        <v> </v>
      </c>
      <c r="AR232" s="322" t="str">
        <f aca="false">IF($A232="N/A"," ",RANK(Z232,$R$232:$Z$243))</f>
        <v> </v>
      </c>
      <c r="AS232" s="357" t="str">
        <f aca="false">IF($A232="N/A"," ",IF(AJ232&lt;=$AR$2,AA232,0))</f>
        <v> </v>
      </c>
      <c r="AT232" s="324" t="str">
        <f aca="false">IF($A232="N/A"," ",IF(AK232&lt;=$AR$2,AB232,0))</f>
        <v> </v>
      </c>
      <c r="AU232" s="325" t="str">
        <f aca="false">IF($A232="N/A"," ",IF(AL232&lt;=$AR$2,AC232,0))</f>
        <v> </v>
      </c>
      <c r="AV232" s="325" t="str">
        <f aca="false">IF($A232="N/A"," ",IF(AM232&lt;=$AR$2,AD232,0))</f>
        <v> </v>
      </c>
      <c r="AW232" s="325" t="str">
        <f aca="false">IF($A232="N/A"," ",IF(AN232&lt;=$AR$2,AE232,0))</f>
        <v> </v>
      </c>
      <c r="AX232" s="325" t="str">
        <f aca="false">IF($A232="N/A"," ",IF(AO232&lt;=$AR$2,AF232,0))</f>
        <v> </v>
      </c>
      <c r="AY232" s="324" t="str">
        <f aca="false">IF($A232="N/A"," ",IF(AP232&lt;=$AR$2,AG232,0))</f>
        <v> </v>
      </c>
      <c r="AZ232" s="324" t="str">
        <f aca="false">IF($A232="N/A"," ",IF(AQ232&lt;=$AR$2,AH232,0))</f>
        <v> </v>
      </c>
      <c r="BA232" s="324" t="str">
        <f aca="false">IF($A232="N/A"," ",IF(AR232&lt;=$AR$2,AI232,0))</f>
        <v> </v>
      </c>
      <c r="BB232" s="322"/>
      <c r="BC232" s="358" t="str">
        <f aca="false">IF($A232="N/A"," ",IF(AND(AJ232=$AR$2+1,AS232=0),MIN($BB$243,AA232),0))</f>
        <v> </v>
      </c>
      <c r="BD232" s="327" t="str">
        <f aca="false">IF($A232="N/A"," ",IF(AND(AK232=$AR$2+1,AT232=0),MIN($BB$243,AB232),0))</f>
        <v> </v>
      </c>
      <c r="BE232" s="327" t="str">
        <f aca="false">IF($A232="N/A"," ",IF(AND(AL232=$AR$2+1,AU232=0),MIN($BB$243,AC232),0))</f>
        <v> </v>
      </c>
      <c r="BF232" s="327" t="str">
        <f aca="false">IF($A232="N/A"," ",IF(AND(AM232=$AR$2+1,AV232=0),MIN($BB$243,AD232),0))</f>
        <v> </v>
      </c>
      <c r="BG232" s="327" t="str">
        <f aca="false">IF($A232="N/A"," ",IF(AND(AN232=$AR$2+1,AW232=0),MIN($BB$243,AE232),0))</f>
        <v> </v>
      </c>
      <c r="BH232" s="327" t="str">
        <f aca="false">IF($A232="N/A"," ",IF(AND(AO232=$AR$2+1,AX232=0),MIN($BB$243,AF232),0))</f>
        <v> </v>
      </c>
      <c r="BI232" s="327" t="str">
        <f aca="false">IF($A232="N/A"," ",IF(AND(AP232=$AR$2+1,AY232=0),MIN($BB$243,AG232),0))</f>
        <v> </v>
      </c>
      <c r="BJ232" s="327" t="str">
        <f aca="false">IF($A232="N/A"," ",IF(AND(AQ232=$AR$2+1,AZ232=0),MIN($BB$243,AH232),0))</f>
        <v> </v>
      </c>
      <c r="BK232" s="327" t="str">
        <f aca="false">IF($A232="N/A"," ",IF(AND(AR232=$AR$2+1,BA232=0),MIN($BB$243,AI232),0))</f>
        <v> </v>
      </c>
      <c r="BL232" s="322"/>
      <c r="BM232" s="329" t="str">
        <f aca="false">IF($A232="N/A"," ",(IF(MONTH(A232)&gt;=4,IF(MONTH(A232)&lt;=10,Inputs!$F$13-Inputs!$G$13,Inputs!$F$14-Inputs!$G$14),Inputs!$F$14-Inputs!$G$14))*$CK232*Availability)</f>
        <v> </v>
      </c>
      <c r="BN232" s="330" t="str">
        <f aca="false">IF($A232="N/A"," ",(IF(AS232&gt;0,($BM232*(8*($HD232))*R232),0)+IF(BC232&gt;0,($BM232*((BC232/AA232)*8*$HD232)*R232),0)))</f>
        <v> </v>
      </c>
      <c r="BO232" s="330" t="str">
        <f aca="false">IF($A232="N/A"," ",(IF(AT232&gt;0,($BM232*(8*($HD232))*S232),0)+IF(BD232&gt;0,($BM232*((BD232/AB232)*8*$HD232)*S232),0)))</f>
        <v> </v>
      </c>
      <c r="BP232" s="330" t="str">
        <f aca="false">IF($A232="N/A"," ",(IF(AU232&gt;0,($BM232*(8*($HD232))*T232),0)+IF(BE232&gt;0,($BM232*((BE232))*T232),0)))</f>
        <v> </v>
      </c>
      <c r="BQ232" s="330" t="str">
        <f aca="false">IF($A232="N/A"," ",(IF(AV232&gt;0,($BM232*(8*($HE232))*U232),0)+IF(BF232&gt;0,($BM232*((BF232/AD232)*8*$HE232)*U232),0)))</f>
        <v> </v>
      </c>
      <c r="BR232" s="330" t="str">
        <f aca="false">IF($A232="N/A"," ",(IF(AW232&gt;0,($BM232*(8*($HE232))*V232),0)+IF(BG232&gt;0,($BM232*((BG232/AE232)*8*$HE232)*V232),0)))</f>
        <v> </v>
      </c>
      <c r="BS232" s="330" t="str">
        <f aca="false">IF($A232="N/A"," ",(IF(AX232&gt;0,($BM232*(8*($HE232))*W232),0)+IF(BH232&gt;0,($BM232*((BH232))*W232),0)))</f>
        <v> </v>
      </c>
      <c r="BT232" s="330" t="str">
        <f aca="false">IF($A232="N/A"," ",(IF(AY232&gt;0,($BM232*(8*($HF232))*X232),0)+IF(BI232&gt;0,($BM232*((BI232/AG232)*8*$HF232)*X232),0)))</f>
        <v> </v>
      </c>
      <c r="BU232" s="330" t="str">
        <f aca="false">IF($A232="N/A"," ",(IF(AZ232&gt;0,($BM232*(8*($HF232))*Y232),0)+IF(BJ232&gt;0,($BM232*((BJ232/AH232)*8*$HF232)*Y232),0)))</f>
        <v> </v>
      </c>
      <c r="BV232" s="330" t="str">
        <f aca="false">IF($A232="N/A"," ",(IF(BA232&gt;0,($BM232*(8*($HF232))*Z232),0)+IF(BK232&gt;0,($BM232*((BK232))*Z232),0)))</f>
        <v> </v>
      </c>
      <c r="BW232" s="330" t="str">
        <f aca="false">IF($A232="N/A"," ",SUM(BN232:BV232))</f>
        <v> </v>
      </c>
      <c r="BX232" s="331" t="str">
        <f aca="false">IF($A232="N/A"," ",(H232*(SUM(AS232:BA232)+SUM(BC232:BK232))*BM232))</f>
        <v> </v>
      </c>
      <c r="BY232" s="332" t="str">
        <f aca="false">IF($A232="N/A"," ",((C232*D232)*(SUM($AS232:$BA232)+SUM($BC232:$BK232))*$BM232))</f>
        <v> </v>
      </c>
      <c r="BZ232" s="332" t="str">
        <f aca="false">IF($A232="N/A"," ",(F232*(SUM($AS232:$BA232)+SUM($BC232:$BK232))*$BM232))</f>
        <v> </v>
      </c>
      <c r="CA232" s="333" t="str">
        <f aca="false">IF($A232="N/A"," ",(G232*(SUM($AS232:$BA232)+SUM($BC232:$BK232))*$BM232))</f>
        <v> </v>
      </c>
      <c r="CB232" s="334" t="str">
        <f aca="false">IF(A232="N/A"," ",(VLOOKUP(A232,PowerVolTable,(IF(BMO=2,7,IF(BMO=1,6,8))),FALSE())))</f>
        <v> </v>
      </c>
      <c r="CC232" s="334" t="str">
        <f aca="false">IF(A232="N/A"," ",(VLOOKUP(A232,IntraPowerVol,(IF(BMO=2,3,IF(BMO=1,2,4))),FALSE())*VLOOKUP(MONTH($A232),Volscale,2)))</f>
        <v> </v>
      </c>
      <c r="CD232" s="335" t="str">
        <f aca="false">IF($A232="N/A"," ",(IF(DateToday&gt;$A232,$CC232,((($CB232^2)*((($A232-1)-DateToday)/((EOMONTH($A232,0)+1)-DateToday-15)))+((($CC232)^2)*((15)/((EOMONTH($A232,0)+1)-DateToday-15))))^0.5)))</f>
        <v> </v>
      </c>
      <c r="CE232" s="334" t="str">
        <f aca="false">IF($A232="N/A"," ",(VLOOKUP($A232,GasVolTable,(IF(BMO=2,6,IF(BMO=1,7,5))),FALSE())))</f>
        <v> </v>
      </c>
      <c r="CF232" s="334" t="str">
        <f aca="false">IF($A232="N/A"," ",(VLOOKUP($A232,OmicronVol,(IF(BMO=2,3,IF(BMO=1,4,2))),FALSE())))</f>
        <v> </v>
      </c>
      <c r="CG232" s="335" t="str">
        <f aca="false">IF($A232="N/A"," ",(IF(DateToday&gt;$A232,$CF232,((($CE232^2)*((($A232-1)-DateToday)/((EOMONTH($A232,0)+1)-DateToday-15)))+((($CF232)^2)*((15)/((EOMONTH($A232,0)+1)-DateToday-15))))^0.5)))</f>
        <v> </v>
      </c>
      <c r="CH232" s="334" t="str">
        <f aca="false">IF($A232="N/A"," ",VLOOKUP($A232,CorrelationTable,2,FALSE()))</f>
        <v> </v>
      </c>
      <c r="CI232" s="336" t="str">
        <f aca="false">IF($A232="N/A"," ",F232+G232+(D232*('Pricing Inputs'!T265)))</f>
        <v> </v>
      </c>
      <c r="CJ232" s="334" t="str">
        <f aca="false">IF($A232="N/A"," ",IF(PV=1,0,'Pricing Inputs'!U265))</f>
        <v> </v>
      </c>
      <c r="CK232" s="337" t="str">
        <f aca="false">IF($A232="N/A"," ",(1+CJ232/2)^(-2*((EOMONTH(A232,0)+20)-DateToday)/365.25))</f>
        <v> </v>
      </c>
      <c r="CL232" s="338" t="str">
        <f aca="false">IF(A232="N/A"," ",IF(CC=2,(VLOOKUP(MONTH($A232),Hrtable,3))/1000,0))</f>
        <v> </v>
      </c>
      <c r="CM232" s="339" t="str">
        <f aca="false">IF(A232="N/A"," ",IF(CC=2,(CL232*C232)+F232,0))</f>
        <v> </v>
      </c>
      <c r="CN232" s="340" t="str">
        <f aca="false">IF($A232="N/A"," ",IF(CC=2,(VLOOKUP(A232,ScaledPrice,(IF(AND(Dayrun&gt;=1,Dayrun&lt;=6),2,4)))-((IF(R232&lt;&gt;0,$D232,$CL232)*$C232)+$F232+$G232)),0))</f>
        <v> </v>
      </c>
      <c r="CO232" s="340" t="str">
        <f aca="false">IF($A232="N/A"," ",IF(CC=2,(IF(AND(Dayrun&gt;=1,Dayrun&lt;=6),I232,(VLOOKUP(A232,ScaledPrice,2))*(2-(VLOOKUP(A232,ScaledPrice,3))))-((IF(S232&lt;&gt;0,$D232,$CL232)*$C232)+$F232+$G232)),0))</f>
        <v> </v>
      </c>
      <c r="CP232" s="340" t="str">
        <f aca="false">IF(A232="N/A"," ",IF(CC=2,(VLOOKUP(A232,ScaledPrice,9)-((IF(T232&lt;&gt;0,$D232,$CL232)*$C232)+$F232+$G232)),0))</f>
        <v> </v>
      </c>
      <c r="CQ232" s="340" t="str">
        <f aca="false">IF(A232="N/A"," ",IF(CC=2,(IF(OR(Dayrun=2,Dayrun=3,Dayrun=5,Dayrun=6,Dayrun=8,Dayrun=9),VLOOKUP(A232,ScaledPrice,IF(AND(Dayrun&gt;=2,Dayrun&lt;=6),5,6)),0)-((IF(U232&lt;&gt;0,$D232,$CL232)*$C232)+$F232+$G232)),0))</f>
        <v> </v>
      </c>
      <c r="CR232" s="340" t="str">
        <f aca="false">IF(A232="N/A"," ",IF(CC=2,(IF(OR(Dayrun=2,Dayrun=3,Dayrun=5,Dayrun=6,Dayrun=8,Dayrun=9),IF(AND(Dayrun&gt;=2,Dayrun&lt;=6),L232,(VLOOKUP(A232,ScaledPrice,5))*(2-(VLOOKUP(A232,ScaledPrice,3)))),0)-((IF(V232&lt;&gt;0,$D232,$CL232)*$C232)+$F232+$G232)),0))</f>
        <v> </v>
      </c>
      <c r="CS232" s="340" t="str">
        <f aca="false">IF(A232="N/A"," ",IF(CC=2,(VLOOKUP(A232,ScaledPrice,9)-((IF(W232&lt;&gt;0,$D232,$CL232)*$C232)+$F232+$G232)),0))</f>
        <v> </v>
      </c>
      <c r="CT232" s="340" t="str">
        <f aca="false">IF(A232="N/A"," ",IF(CC=2,(IF(OR(Dayrun=3,Dayrun=6,Dayrun=9),(VLOOKUP(A232,ScaledPrice,IF(AND(Dayrun&gt;=3,Dayrun&lt;=6),7,8))),0)-((IF(X232&lt;&gt;0,$D232,$CL232)*$C232)+$F232+$G232)),0))</f>
        <v> </v>
      </c>
      <c r="CU232" s="340" t="str">
        <f aca="false">IF(A232="N/A"," ",IF(CC=2,(IF(OR(Dayrun=3,Dayrun=6,Dayrun=9),IF(AND(Dayrun&gt;=3,Dayrun&lt;=6),O232,(VLOOKUP(A232,ScaledPrice,7))*(2-(VLOOKUP(A232,ScaledPrice,3)))),0)-((IF(Y232&lt;&gt;0,$D232,$CL232)*$C232)+$F232+$G232)),0))</f>
        <v> </v>
      </c>
      <c r="CV232" s="340" t="str">
        <f aca="false">IF(A232="N/A"," ",IF(CC=2,(VLOOKUP(A232,ScaledPrice,9)-((IF(Z232&lt;&gt;0,$D232,$CL232)*$C232)+$F232+$G232)),0))</f>
        <v> </v>
      </c>
      <c r="CW232" s="318" t="str">
        <f aca="false">IF($A232="N/A"," ",IF(0&lt;&gt;CN232,IF(CC=2,8*$HD232,0),0))</f>
        <v> </v>
      </c>
      <c r="CX232" s="318" t="str">
        <f aca="false">IF($A232="N/A"," ",IF(0&lt;&gt;CO232,IF(CC=2,8*$HD232,0),0))</f>
        <v> </v>
      </c>
      <c r="CY232" s="318" t="str">
        <f aca="false">IF($A232="N/A"," ",IF(0&lt;&gt;CP232,IF(CC=2,8*$HD232,0),0))</f>
        <v> </v>
      </c>
      <c r="CZ232" s="318" t="str">
        <f aca="false">IF($A232="N/A"," ",IF(0&lt;&gt;CQ232,IF(CC=2,8*$HE232,0),0))</f>
        <v> </v>
      </c>
      <c r="DA232" s="318" t="str">
        <f aca="false">IF($A232="N/A"," ",IF(0&lt;&gt;CR232,IF(CC=2,8*$HE232,0),0))</f>
        <v> </v>
      </c>
      <c r="DB232" s="318" t="str">
        <f aca="false">IF($A232="N/A"," ",IF(0&lt;&gt;CS232,IF(CC=2,8*$HE232,0),0))</f>
        <v> </v>
      </c>
      <c r="DC232" s="318" t="str">
        <f aca="false">IF($A232="N/A"," ",IF(0&lt;&gt;CT232,IF(CC=2,8*$HF232,0),0))</f>
        <v> </v>
      </c>
      <c r="DD232" s="318" t="str">
        <f aca="false">IF($A232="N/A"," ",IF(0&lt;&gt;CU232,IF(CC=2,8*$HF232,0),0))</f>
        <v> </v>
      </c>
      <c r="DE232" s="318" t="str">
        <f aca="false">IF($A232="N/A"," ",IF(0&lt;&gt;CV232,IF(CC=2,8*$HF232,0),0))</f>
        <v> </v>
      </c>
      <c r="DF232" s="341" t="str">
        <f aca="false">IF($A232="N/A"," ",IF(CC=2,(IF(MONTH(A232)&gt;=4,IF(MONTH(A232)&lt;=10,Inputs!$G$13,Inputs!$G$14),Inputs!$G$14))*$CK232,0))</f>
        <v> </v>
      </c>
      <c r="DG232" s="342" t="str">
        <f aca="false">IF($A232="N/A"," ",IF(CC=2,$DF232*CW232*CN232,0))</f>
        <v> </v>
      </c>
      <c r="DH232" s="342" t="str">
        <f aca="false">IF($A232="N/A"," ",IF(CC=2,$DF232*CX232*CO232,0))</f>
        <v> </v>
      </c>
      <c r="DI232" s="342" t="str">
        <f aca="false">IF($A232="N/A"," ",IF(CC=2,$DF232*CY232*CP232,0))</f>
        <v> </v>
      </c>
      <c r="DJ232" s="342" t="str">
        <f aca="false">IF($A232="N/A"," ",IF(CC=2,$DF232*CZ232*CQ232,0))</f>
        <v> </v>
      </c>
      <c r="DK232" s="342" t="str">
        <f aca="false">IF($A232="N/A"," ",IF(CC=2,$DF232*DA232*CR232,0))</f>
        <v> </v>
      </c>
      <c r="DL232" s="342" t="str">
        <f aca="false">IF($A232="N/A"," ",IF(CC=2,$DF232*DB232*CS232,0))</f>
        <v> </v>
      </c>
      <c r="DM232" s="342" t="str">
        <f aca="false">IF($A232="N/A"," ",IF(CC=2,$DF232*DC232*CT232,0))</f>
        <v> </v>
      </c>
      <c r="DN232" s="342" t="str">
        <f aca="false">IF($A232="N/A"," ",IF(CC=2,$DF232*DD232*CU232,0))</f>
        <v> </v>
      </c>
      <c r="DO232" s="342" t="str">
        <f aca="false">IF($A232="N/A"," ",IF(CC=2,$DF232*DE232*CV232,0))</f>
        <v> </v>
      </c>
      <c r="DP232" s="343" t="str">
        <f aca="false">IF($A232="N/A"," ",IF(CC=2,SUM(DG232:DO232),0))</f>
        <v> </v>
      </c>
      <c r="DQ232" s="0" t="str">
        <f aca="false">IF(A232="N/A"," ",Perstart)</f>
        <v> </v>
      </c>
      <c r="HD232" s="0" t="str">
        <f aca="false">IF($A232="N/A"," ",VLOOKUP($A232,NumberofDaysTable,2))</f>
        <v> </v>
      </c>
      <c r="HE232" s="0" t="str">
        <f aca="false">IF($A232="N/A"," ",VLOOKUP($A232,NumberofDaysTable,3))</f>
        <v> </v>
      </c>
      <c r="HF232" s="0" t="str">
        <f aca="false">IF($A232="N/A"," ",VLOOKUP($A232,NumberofDaysTable,4))</f>
        <v> </v>
      </c>
    </row>
    <row r="233" customFormat="false" ht="12.75" hidden="false" customHeight="false" outlineLevel="0" collapsed="false">
      <c r="A233" s="308" t="str">
        <f aca="false">IF(A232="N/A","N/A",IF(EDATE(A232,1)&gt;Inputs!$K$3,"N/A",EDATE(A232,1)))</f>
        <v>N/A</v>
      </c>
      <c r="B233" s="309" t="str">
        <f aca="false">IF(A233="N/A"," ",YEAR(A233))</f>
        <v> </v>
      </c>
      <c r="C233" s="310" t="str">
        <f aca="false">IF(A233="N/A"," ",VLOOKUP(A233,ScaledPrice,10))</f>
        <v> </v>
      </c>
      <c r="D233" s="311" t="str">
        <f aca="false">IF(A233="N/A"," ",(VLOOKUP(MONTH($A233),Hrtable,2))/1000)</f>
        <v> </v>
      </c>
      <c r="E233" s="312" t="str">
        <f aca="false">IF($A233="N/A"," ",(C233-'Pricing Inputs'!T266)*D233)</f>
        <v> </v>
      </c>
      <c r="F233" s="313" t="str">
        <f aca="false">IF(A233="N/A"," ",$F221*(1+VOMesc))</f>
        <v> </v>
      </c>
      <c r="G233" s="313" t="str">
        <f aca="false">IF(A233="N/A"," ",Perstart/IF(AND(Dayrun&gt;=4,Dayrun&lt;=6),16,IF(AND(Dayrun&gt;=7,Dayrun&lt;=9),8,24))/(BM233/CK233))</f>
        <v> </v>
      </c>
      <c r="H233" s="314" t="str">
        <f aca="false">IF(A233="N/A"," ",(C233*D233)+F233+G233)</f>
        <v> </v>
      </c>
      <c r="I233" s="315" t="str">
        <f aca="false">VLOOKUP(A233,ScaledPrice,(IF(AND(Dayrun&gt;=1,Dayrun&lt;=6),2,4)))</f>
        <v> </v>
      </c>
      <c r="J233" s="315" t="str">
        <f aca="false">IF(A233="N/A"," ",IF(AND(Dayrun&gt;=1,Dayrun&lt;=6),I233,(VLOOKUP(A233,ScaledPrice,2))*(2-(VLOOKUP(A233,ScaledPrice,3)))))</f>
        <v> </v>
      </c>
      <c r="K233" s="315" t="str">
        <f aca="false">IF(A233="N/A"," ",IF(AND(Dayrun&gt;=1,Dayrun&lt;=3),VLOOKUP(A233,ScaledPrice,9),0))</f>
        <v> </v>
      </c>
      <c r="L233" s="315" t="str">
        <f aca="false">IF(A233="N/A"," ",IF(OR(Dayrun=2,Dayrun=3,Dayrun=5,Dayrun=6,Dayrun=8,Dayrun=9),VLOOKUP(A233,ScaledPrice,IF(AND(Dayrun&gt;=2,Dayrun&lt;=6),5,6)),0))</f>
        <v> </v>
      </c>
      <c r="M233" s="315" t="str">
        <f aca="false">IF(A233="N/A"," ",IF(OR(Dayrun=2,Dayrun=3,Dayrun=5,Dayrun=6,Dayrun=8,Dayrun=9),IF(AND(Dayrun&gt;=2,Dayrun&lt;=6),L233,(VLOOKUP(A233,ScaledPrice,5))*(2-(VLOOKUP(A233,ScaledPrice,3)))),0))</f>
        <v> </v>
      </c>
      <c r="N233" s="315" t="str">
        <f aca="false">IF(A233="N/A"," ",IF(AND(Dayrun&gt;1,Dayrun&lt;=3),VLOOKUP(A233,ScaledPrice,9),0))</f>
        <v> </v>
      </c>
      <c r="O233" s="315" t="str">
        <f aca="false">IF(A233="N/A"," ",IF(OR(Dayrun=3,Dayrun=6,Dayrun=9),(VLOOKUP(A233,ScaledPrice,IF(AND(Dayrun&gt;=3,Dayrun&lt;=6),7,8))),0))</f>
        <v> </v>
      </c>
      <c r="P233" s="315" t="str">
        <f aca="false">IF(A233="N/A"," ",IF(OR(Dayrun=3,Dayrun=6,Dayrun=9),IF(AND(Dayrun&gt;=3,Dayrun&lt;=6),O233,(VLOOKUP(A233,ScaledPrice,7))*(2-(VLOOKUP(A233,ScaledPrice,3)))),0))</f>
        <v> </v>
      </c>
      <c r="Q233" s="315" t="str">
        <f aca="false">IF(A233="N/A"," ",IF(AND(Dayrun&gt;2,Dayrun&lt;=3),VLOOKUP(A233,ScaledPrice,9),0))</f>
        <v> </v>
      </c>
      <c r="R233" s="316" t="str">
        <f aca="false">IF($A233="N/A"," ",IF(Pricetype=2,MAX(I233-$H233,0),IF(Pricetype=1,(xSPRDOPT(I233,$E233,$CI233,0,($CD233+IF(Smile=TRUE(),VLOOKUP(MAX(-5,$H233-I233),Volsmile,2),0)),$CG233,$CH233,($A233-DateToday)+15,1,0)),I233-$H233)))</f>
        <v> </v>
      </c>
      <c r="S233" s="316" t="str">
        <f aca="false">IF($A233="N/A"," ",IF(Pricetype=2,MAX(J233-$H233,0),IF(Pricetype=1,(xSPRDOPT(J233,$E233,$CI233,0,($CD233+IF(Smile=TRUE(),VLOOKUP(MAX(-5,$H233-J233),Volsmile,2),0)),$CG233,$CH233,($A233-DateToday)+15,1,0)),J233-$H233)))</f>
        <v> </v>
      </c>
      <c r="T233" s="317" t="str">
        <f aca="false">IF($A233="N/A"," ",(IF(Pricetype=2,IF((K233-$H233)&lt;=0,0,(K233-$H233)),IF(K233&lt;&gt;0,(K233-$H233),0))))</f>
        <v> </v>
      </c>
      <c r="U233" s="316" t="str">
        <f aca="false">IF($A233="N/A"," ",IF(Pricetype=2,MAX(L233-$H233,0),IF(L233&lt;&gt;0,IF(Pricetype=1,(xSPRDOPT(L233,$E233,$CI233,0,($CD233+IF(Smile=TRUE(),VLOOKUP(MAX(-5,$H233-L233),Volsmile,2),0)),$CG233,$CH233,($A233-DateToday)+15,1,0)),L233-$H233),0)))</f>
        <v> </v>
      </c>
      <c r="V233" s="316" t="str">
        <f aca="false">IF($A233="N/A"," ",IF(Pricetype=2,MAX(M233-$H233,0),IF(M233&lt;&gt;0,IF(Pricetype=1,(xSPRDOPT(M233,$E233,$CI233,0,($CD233+IF(Smile=TRUE(),VLOOKUP(MAX(-5,$H233-M233),Volsmile,2),0)),$CG233,$CH233,($A233-DateToday)+15,1,0)),M233-$H233),0)))</f>
        <v> </v>
      </c>
      <c r="W233" s="317" t="str">
        <f aca="false">IF($A233="N/A"," ",(IF(Pricetype=2,IF((N233-$H233)&lt;=0,0,(N233-$H233)),IF(N233&lt;&gt;0,(N233-$H233),0))))</f>
        <v> </v>
      </c>
      <c r="X233" s="316" t="str">
        <f aca="false">IF($A233="N/A"," ",IF(Pricetype=2,MAX(O233-$H233,0),IF(O233&lt;&gt;0,IF(Pricetype=1,(xSPRDOPT(O233,$E233,$CI233,0,($CD233+IF(Smile=TRUE(),VLOOKUP(MAX(-5,$H233-O233),Volsmile,2),0)),$CG233,$CH233,($A233-DateToday)+15,1,0)),O233-$H233),0)))</f>
        <v> </v>
      </c>
      <c r="Y233" s="316" t="str">
        <f aca="false">IF($A233="N/A"," ",IF(Pricetype=2,MAX(P233-$H233,0),IF(P233&lt;&gt;0,IF(Pricetype=1,(xSPRDOPT(P233,$E233,$CI233,0,($CD233+IF(Smile=TRUE(),VLOOKUP(MAX(-5,$H233-P233),Volsmile,2),0)),$CG233,$CH233,($A233-DateToday)+15,1,0)),P233-$H233),0)))</f>
        <v> </v>
      </c>
      <c r="Z233" s="317" t="str">
        <f aca="false">IF($A233="N/A"," ",(IF(Pricetype=2,IF((Q233-$H233)&lt;=0,0,(Q233-$H233)),IF(Q233&lt;&gt;0,(Q233-$H233),0))))</f>
        <v> </v>
      </c>
      <c r="AA233" s="318" t="str">
        <f aca="false">IF($A233="N/A"," ",IF(VLOOKUP(MONTH(A233),ManualTable,2)=1,(IF(0&lt;&gt;R233,IF(Pricetype=1,(xSPRDOPT(I233,$E233,$CI233,0,($CD233+IF(Smile=TRUE(),VLOOKUP(MAX(-5,$H233-I233),Volsmile,2),0)),$CG233,$CH233,($A233-DateToday)+15,1,1))*(8*$HD233),8*$HD233),0)),0))</f>
        <v> </v>
      </c>
      <c r="AB233" s="318" t="str">
        <f aca="false">IF($A233="N/A"," ",IF(VLOOKUP(MONTH(A233),ManualTable,3)=1,(IF(S233&lt;&gt;0,IF(Pricetype=1,(xSPRDOPT(J233,$E233,$CI233,0,($CD233+IF(Smile=TRUE(),VLOOKUP(MAX(-5,$H233-J233),Volsmile,2),0)),$CG233,$CH233,($A233-DateToday)+15,1,1))*(8*$HD233),8*$HD233),0)),0))</f>
        <v> </v>
      </c>
      <c r="AC233" s="318" t="str">
        <f aca="false">IF($A233="N/A"," ",IF(VLOOKUP(MONTH(A233),ManualTable,4)=1,(IF(T233&lt;&gt;0,(8*$HD233),0)),0))</f>
        <v> </v>
      </c>
      <c r="AD233" s="318" t="str">
        <f aca="false">IF($A233="N/A"," ",IF(VLOOKUP(MONTH(A233),ManualTable,5)=1,(IF(U233&lt;&gt;0,IF(Pricetype=1,(xSPRDOPT(L233,$E233,$CI233,0,($CD233+IF(Smile=TRUE(),VLOOKUP(MAX(-5,$H233-L233),Volsmile,2),0)),$CG233,$CH233,($A233-DateToday)+15,1,1))*(8*$HE233),8*$HE233),0)),0))</f>
        <v> </v>
      </c>
      <c r="AE233" s="318" t="str">
        <f aca="false">IF($A233="N/A"," ",IF(VLOOKUP(MONTH(A233),ManualTable,6)=1,(IF(V233&lt;&gt;0,IF(Pricetype=1,(xSPRDOPT(M233,$E233,$CI233,0,($CD233+IF(Smile=TRUE(),VLOOKUP(MAX(-5,$H233-M233),Volsmile,2),0)),$CG233,$CH233,($A233-DateToday)+15,1,1))*(8*$HE233),8*$HE233),0)),0))</f>
        <v> </v>
      </c>
      <c r="AF233" s="318" t="str">
        <f aca="false">IF($A233="N/A"," ",IF(VLOOKUP(MONTH(A233),ManualTable,7)=1,(IF(W233&lt;&gt;0,(8*$HE233),0)),0))</f>
        <v> </v>
      </c>
      <c r="AG233" s="318" t="str">
        <f aca="false">IF($A233="N/A"," ",IF(VLOOKUP(MONTH(A233),ManualTable,8)=1,(IF(X233&lt;&gt;0,IF(Pricetype=1,(xSPRDOPT(O233,$E233,$CI233,0,($CD233+IF(Smile=TRUE(),VLOOKUP(MAX(-5,$H233-O233),Volsmile,2),0)),$CG233,$CH233,($A233-DateToday)+15,1,1))*(8*$HF233),8*$HF233),0)),0))</f>
        <v> </v>
      </c>
      <c r="AH233" s="318" t="str">
        <f aca="false">IF($A233="N/A"," ",IF(VLOOKUP(MONTH(A233),ManualTable,9)=1,(IF(Y233&lt;&gt;0,IF(Pricetype=1,(xSPRDOPT(P233,$E233,$CI233,0,($CD233+IF(Smile=TRUE(),VLOOKUP(MAX(-5,$H233-P233),Volsmile,2),0)),$CG233,$CH233,($A233-DateToday)+15,1,1))*(8*$HF233),8*$HF233),0)),0))</f>
        <v> </v>
      </c>
      <c r="AI233" s="318" t="str">
        <f aca="false">IF($A233="N/A"," ",IF(VLOOKUP(MONTH(A233),ManualTable,10)=1,(IF(Z233&lt;&gt;0,(8*($HF233)),0)),0))</f>
        <v> </v>
      </c>
      <c r="AJ233" s="344" t="str">
        <f aca="false">IF($A233="N/A"," ",RANK(R233,$R$232:$Z$243))</f>
        <v> </v>
      </c>
      <c r="AK233" s="321" t="str">
        <f aca="false">IF($A233="N/A"," ",RANK(S233,$R$232:$Z$243))</f>
        <v> </v>
      </c>
      <c r="AL233" s="321" t="str">
        <f aca="false">IF($A233="N/A"," ",RANK(T233,$R$232:$Z$243))</f>
        <v> </v>
      </c>
      <c r="AM233" s="321" t="str">
        <f aca="false">IF($A233="N/A"," ",RANK(U233,$R$232:$Z$243))</f>
        <v> </v>
      </c>
      <c r="AN233" s="321" t="str">
        <f aca="false">IF($A233="N/A"," ",RANK(V233,$R$232:$Z$243))</f>
        <v> </v>
      </c>
      <c r="AO233" s="321" t="str">
        <f aca="false">IF($A233="N/A"," ",RANK(W233,$R$232:$Z$243))</f>
        <v> </v>
      </c>
      <c r="AP233" s="321" t="str">
        <f aca="false">IF($A233="N/A"," ",RANK(X233,$R$232:$Z$243))</f>
        <v> </v>
      </c>
      <c r="AQ233" s="321" t="str">
        <f aca="false">IF($A233="N/A"," ",RANK(Y233,$R$232:$Z$243))</f>
        <v> </v>
      </c>
      <c r="AR233" s="345" t="str">
        <f aca="false">IF($A233="N/A"," ",RANK(Z233,$R$232:$Z$243))</f>
        <v> </v>
      </c>
      <c r="AS233" s="323" t="str">
        <f aca="false">IF($A233="N/A"," ",IF(AJ233&lt;=$AR$2,AA233,0))</f>
        <v> </v>
      </c>
      <c r="AT233" s="325" t="str">
        <f aca="false">IF($A233="N/A"," ",IF(AK233&lt;=$AR$2,AB233,0))</f>
        <v> </v>
      </c>
      <c r="AU233" s="325" t="str">
        <f aca="false">IF($A233="N/A"," ",IF(AL233&lt;=$AR$2,AC233,0))</f>
        <v> </v>
      </c>
      <c r="AV233" s="325" t="str">
        <f aca="false">IF($A233="N/A"," ",IF(AM233&lt;=$AR$2,AD233,0))</f>
        <v> </v>
      </c>
      <c r="AW233" s="325" t="str">
        <f aca="false">IF($A233="N/A"," ",IF(AN233&lt;=$AR$2,AE233,0))</f>
        <v> </v>
      </c>
      <c r="AX233" s="325" t="str">
        <f aca="false">IF($A233="N/A"," ",IF(AO233&lt;=$AR$2,AF233,0))</f>
        <v> </v>
      </c>
      <c r="AY233" s="325" t="str">
        <f aca="false">IF($A233="N/A"," ",IF(AP233&lt;=$AR$2,AG233,0))</f>
        <v> </v>
      </c>
      <c r="AZ233" s="325" t="str">
        <f aca="false">IF($A233="N/A"," ",IF(AQ233&lt;=$AR$2,AH233,0))</f>
        <v> </v>
      </c>
      <c r="BA233" s="325" t="str">
        <f aca="false">IF($A233="N/A"," ",IF(AR233&lt;=$AR$2,AI233,0))</f>
        <v> </v>
      </c>
      <c r="BB233" s="345"/>
      <c r="BC233" s="326" t="str">
        <f aca="false">IF($A233="N/A"," ",IF(AND(AJ233=$AR$2+1,AS233=0),MIN($BB$243,AA233),0))</f>
        <v> </v>
      </c>
      <c r="BD233" s="346" t="str">
        <f aca="false">IF($A233="N/A"," ",IF(AND(AK233=$AR$2+1,AT233=0),MIN($BB$243,AB233),0))</f>
        <v> </v>
      </c>
      <c r="BE233" s="346" t="str">
        <f aca="false">IF($A233="N/A"," ",IF(AND(AL233=$AR$2+1,AU233=0),MIN($BB$243,AC233),0))</f>
        <v> </v>
      </c>
      <c r="BF233" s="346" t="str">
        <f aca="false">IF($A233="N/A"," ",IF(AND(AM233=$AR$2+1,AV233=0),MIN($BB$243,AD233),0))</f>
        <v> </v>
      </c>
      <c r="BG233" s="346" t="str">
        <f aca="false">IF($A233="N/A"," ",IF(AND(AN233=$AR$2+1,AW233=0),MIN($BB$243,AE233),0))</f>
        <v> </v>
      </c>
      <c r="BH233" s="346" t="str">
        <f aca="false">IF($A233="N/A"," ",IF(AND(AO233=$AR$2+1,AX233=0),MIN($BB$243,AF233),0))</f>
        <v> </v>
      </c>
      <c r="BI233" s="346" t="str">
        <f aca="false">IF($A233="N/A"," ",IF(AND(AP233=$AR$2+1,AY233=0),MIN($BB$243,AG233),0))</f>
        <v> </v>
      </c>
      <c r="BJ233" s="346" t="str">
        <f aca="false">IF($A233="N/A"," ",IF(AND(AQ233=$AR$2+1,AZ233=0),MIN($BB$243,AH233),0))</f>
        <v> </v>
      </c>
      <c r="BK233" s="346" t="str">
        <f aca="false">IF($A233="N/A"," ",IF(AND(AR233=$AR$2+1,BA233=0),MIN($BB$243,AI233),0))</f>
        <v> </v>
      </c>
      <c r="BL233" s="345"/>
      <c r="BM233" s="329" t="str">
        <f aca="false">IF($A233="N/A"," ",(IF(MONTH(A233)&gt;=4,IF(MONTH(A233)&lt;=10,Inputs!$F$13-Inputs!$G$13,Inputs!$F$14-Inputs!$G$14),Inputs!$F$14-Inputs!$G$14))*$CK233*Availability)</f>
        <v> </v>
      </c>
      <c r="BN233" s="330" t="str">
        <f aca="false">IF($A233="N/A"," ",(IF(AS233&gt;0,($BM233*(8*($HD233))*R233),0)+IF(BC233&gt;0,($BM233*((BC233/AA233)*8*$HD233)*R233),0)))</f>
        <v> </v>
      </c>
      <c r="BO233" s="330" t="str">
        <f aca="false">IF($A233="N/A"," ",(IF(AT233&gt;0,($BM233*(8*($HD233))*S233),0)+IF(BD233&gt;0,($BM233*((BD233/AB233)*8*$HD233)*S233),0)))</f>
        <v> </v>
      </c>
      <c r="BP233" s="330" t="str">
        <f aca="false">IF($A233="N/A"," ",(IF(AU233&gt;0,($BM233*(8*($HD233))*T233),0)+IF(BE233&gt;0,($BM233*((BE233))*T233),0)))</f>
        <v> </v>
      </c>
      <c r="BQ233" s="330" t="str">
        <f aca="false">IF($A233="N/A"," ",(IF(AV233&gt;0,($BM233*(8*($HE233))*U233),0)+IF(BF233&gt;0,($BM233*((BF233/AD233)*8*$HE233)*U233),0)))</f>
        <v> </v>
      </c>
      <c r="BR233" s="330" t="str">
        <f aca="false">IF($A233="N/A"," ",(IF(AW233&gt;0,($BM233*(8*($HE233))*V233),0)+IF(BG233&gt;0,($BM233*((BG233/AE233)*8*$HE233)*V233),0)))</f>
        <v> </v>
      </c>
      <c r="BS233" s="330" t="str">
        <f aca="false">IF($A233="N/A"," ",(IF(AX233&gt;0,($BM233*(8*($HE233))*W233),0)+IF(BH233&gt;0,($BM233*((BH233))*W233),0)))</f>
        <v> </v>
      </c>
      <c r="BT233" s="330" t="str">
        <f aca="false">IF($A233="N/A"," ",(IF(AY233&gt;0,($BM233*(8*($HF233))*X233),0)+IF(BI233&gt;0,($BM233*((BI233/AG233)*8*$HF233)*X233),0)))</f>
        <v> </v>
      </c>
      <c r="BU233" s="330" t="str">
        <f aca="false">IF($A233="N/A"," ",(IF(AZ233&gt;0,($BM233*(8*($HF233))*Y233),0)+IF(BJ233&gt;0,($BM233*((BJ233/AH233)*8*$HF233)*Y233),0)))</f>
        <v> </v>
      </c>
      <c r="BV233" s="330" t="str">
        <f aca="false">IF($A233="N/A"," ",(IF(BA233&gt;0,($BM233*(8*($HF233))*Z233),0)+IF(BK233&gt;0,($BM233*((BK233))*Z233),0)))</f>
        <v> </v>
      </c>
      <c r="BW233" s="330" t="str">
        <f aca="false">IF($A233="N/A"," ",SUM(BN233:BV233))</f>
        <v> </v>
      </c>
      <c r="BX233" s="331" t="str">
        <f aca="false">IF($A233="N/A"," ",(H233*(SUM(AS233:BA233)+SUM(BC233:BK233))*BM233))</f>
        <v> </v>
      </c>
      <c r="BY233" s="332" t="str">
        <f aca="false">IF($A233="N/A"," ",((C233*D233)*(SUM($AS233:$BA233)+SUM($BC233:$BK233))*$BM233))</f>
        <v> </v>
      </c>
      <c r="BZ233" s="332" t="str">
        <f aca="false">IF($A233="N/A"," ",(F233*(SUM($AS233:$BA233)+SUM($BC233:$BK233))*$BM233))</f>
        <v> </v>
      </c>
      <c r="CA233" s="333" t="str">
        <f aca="false">IF($A233="N/A"," ",(G233*(SUM($AS233:$BA233)+SUM($BC233:$BK233))*$BM233))</f>
        <v> </v>
      </c>
      <c r="CB233" s="334" t="str">
        <f aca="false">IF(A233="N/A"," ",(VLOOKUP(A233,PowerVolTable,(IF(BMO=2,7,IF(BMO=1,6,8))),FALSE())))</f>
        <v> </v>
      </c>
      <c r="CC233" s="334" t="str">
        <f aca="false">IF(A233="N/A"," ",(VLOOKUP(A233,IntraPowerVol,(IF(BMO=2,3,IF(BMO=1,2,4))),FALSE())*VLOOKUP(MONTH($A233),Volscale,2)))</f>
        <v> </v>
      </c>
      <c r="CD233" s="335" t="str">
        <f aca="false">IF($A233="N/A"," ",(IF(DateToday&gt;$A233,$CC233,((($CB233^2)*((($A233-1)-DateToday)/((EOMONTH($A233,0)+1)-DateToday-15)))+((($CC233)^2)*((15)/((EOMONTH($A233,0)+1)-DateToday-15))))^0.5)))</f>
        <v> </v>
      </c>
      <c r="CE233" s="334" t="str">
        <f aca="false">IF($A233="N/A"," ",(VLOOKUP($A233,GasVolTable,(IF(BMO=2,6,IF(BMO=1,7,5))),FALSE())))</f>
        <v> </v>
      </c>
      <c r="CF233" s="334" t="str">
        <f aca="false">IF($A233="N/A"," ",(VLOOKUP($A233,OmicronVol,(IF(BMO=2,3,IF(BMO=1,4,2))),FALSE())))</f>
        <v> </v>
      </c>
      <c r="CG233" s="335" t="str">
        <f aca="false">IF($A233="N/A"," ",(IF(DateToday&gt;$A233,$CF233,((($CE233^2)*((($A233-1)-DateToday)/((EOMONTH($A233,0)+1)-DateToday-15)))+((($CF233)^2)*((15)/((EOMONTH($A233,0)+1)-DateToday-15))))^0.5)))</f>
        <v> </v>
      </c>
      <c r="CH233" s="334" t="str">
        <f aca="false">IF($A233="N/A"," ",VLOOKUP($A233,CorrelationTable,2,FALSE()))</f>
        <v> </v>
      </c>
      <c r="CI233" s="336" t="str">
        <f aca="false">IF($A233="N/A"," ",F233+G233+(D233*('Pricing Inputs'!T266)))</f>
        <v> </v>
      </c>
      <c r="CJ233" s="334" t="str">
        <f aca="false">IF($A233="N/A"," ",IF(PV=1,0,'Pricing Inputs'!U266))</f>
        <v> </v>
      </c>
      <c r="CK233" s="337" t="str">
        <f aca="false">IF($A233="N/A"," ",(1+CJ233/2)^(-2*((EOMONTH(A233,0)+20)-DateToday)/365.25))</f>
        <v> </v>
      </c>
      <c r="CL233" s="338" t="str">
        <f aca="false">IF(A233="N/A"," ",IF(CC=2,(VLOOKUP(MONTH($A233),Hrtable,3))/1000,0))</f>
        <v> </v>
      </c>
      <c r="CM233" s="339" t="str">
        <f aca="false">IF(A233="N/A"," ",IF(CC=2,(CL233*C233)+F233,0))</f>
        <v> </v>
      </c>
      <c r="CN233" s="340" t="str">
        <f aca="false">IF($A233="N/A"," ",IF(CC=2,(VLOOKUP(A233,ScaledPrice,(IF(AND(Dayrun&gt;=1,Dayrun&lt;=6),2,4)))-((IF(R233&lt;&gt;0,$D233,$CL233)*$C233)+$F233+$G233)),0))</f>
        <v> </v>
      </c>
      <c r="CO233" s="340" t="str">
        <f aca="false">IF($A233="N/A"," ",IF(CC=2,(IF(AND(Dayrun&gt;=1,Dayrun&lt;=6),I233,(VLOOKUP(A233,ScaledPrice,2))*(2-(VLOOKUP(A233,ScaledPrice,3))))-((IF(S233&lt;&gt;0,$D233,$CL233)*$C233)+$F233+$G233)),0))</f>
        <v> </v>
      </c>
      <c r="CP233" s="340" t="str">
        <f aca="false">IF(A233="N/A"," ",IF(CC=2,(VLOOKUP(A233,ScaledPrice,9)-((IF(T233&lt;&gt;0,$D233,$CL233)*$C233)+$F233+$G233)),0))</f>
        <v> </v>
      </c>
      <c r="CQ233" s="340" t="str">
        <f aca="false">IF(A233="N/A"," ",IF(CC=2,(IF(OR(Dayrun=2,Dayrun=3,Dayrun=5,Dayrun=6,Dayrun=8,Dayrun=9),VLOOKUP(A233,ScaledPrice,IF(AND(Dayrun&gt;=2,Dayrun&lt;=6),5,6)),0)-((IF(U233&lt;&gt;0,$D233,$CL233)*$C233)+$F233+$G233)),0))</f>
        <v> </v>
      </c>
      <c r="CR233" s="340" t="str">
        <f aca="false">IF(A233="N/A"," ",IF(CC=2,(IF(OR(Dayrun=2,Dayrun=3,Dayrun=5,Dayrun=6,Dayrun=8,Dayrun=9),IF(AND(Dayrun&gt;=2,Dayrun&lt;=6),L233,(VLOOKUP(A233,ScaledPrice,5))*(2-(VLOOKUP(A233,ScaledPrice,3)))),0)-((IF(V233&lt;&gt;0,$D233,$CL233)*$C233)+$F233+$G233)),0))</f>
        <v> </v>
      </c>
      <c r="CS233" s="340" t="str">
        <f aca="false">IF(A233="N/A"," ",IF(CC=2,(VLOOKUP(A233,ScaledPrice,9)-((IF(W233&lt;&gt;0,$D233,$CL233)*$C233)+$F233+$G233)),0))</f>
        <v> </v>
      </c>
      <c r="CT233" s="340" t="str">
        <f aca="false">IF(A233="N/A"," ",IF(CC=2,(IF(OR(Dayrun=3,Dayrun=6,Dayrun=9),(VLOOKUP(A233,ScaledPrice,IF(AND(Dayrun&gt;=3,Dayrun&lt;=6),7,8))),0)-((IF(X233&lt;&gt;0,$D233,$CL233)*$C233)+$F233+$G233)),0))</f>
        <v> </v>
      </c>
      <c r="CU233" s="340" t="str">
        <f aca="false">IF(A233="N/A"," ",IF(CC=2,(IF(OR(Dayrun=3,Dayrun=6,Dayrun=9),IF(AND(Dayrun&gt;=3,Dayrun&lt;=6),O233,(VLOOKUP(A233,ScaledPrice,7))*(2-(VLOOKUP(A233,ScaledPrice,3)))),0)-((IF(Y233&lt;&gt;0,$D233,$CL233)*$C233)+$F233+$G233)),0))</f>
        <v> </v>
      </c>
      <c r="CV233" s="340" t="str">
        <f aca="false">IF(A233="N/A"," ",IF(CC=2,(VLOOKUP(A233,ScaledPrice,9)-((IF(Z233&lt;&gt;0,$D233,$CL233)*$C233)+$F233+$G233)),0))</f>
        <v> </v>
      </c>
      <c r="CW233" s="318" t="str">
        <f aca="false">IF($A233="N/A"," ",IF(0&lt;&gt;CN233,IF(CC=2,8*$HD233,0),0))</f>
        <v> </v>
      </c>
      <c r="CX233" s="318" t="str">
        <f aca="false">IF($A233="N/A"," ",IF(0&lt;&gt;CO233,IF(CC=2,8*$HD233,0),0))</f>
        <v> </v>
      </c>
      <c r="CY233" s="318" t="str">
        <f aca="false">IF($A233="N/A"," ",IF(0&lt;&gt;CP233,IF(CC=2,8*$HD233,0),0))</f>
        <v> </v>
      </c>
      <c r="CZ233" s="318" t="str">
        <f aca="false">IF($A233="N/A"," ",IF(0&lt;&gt;CQ233,IF(CC=2,8*$HE233,0),0))</f>
        <v> </v>
      </c>
      <c r="DA233" s="318" t="str">
        <f aca="false">IF($A233="N/A"," ",IF(0&lt;&gt;CR233,IF(CC=2,8*$HE233,0),0))</f>
        <v> </v>
      </c>
      <c r="DB233" s="318" t="str">
        <f aca="false">IF($A233="N/A"," ",IF(0&lt;&gt;CS233,IF(CC=2,8*$HE233,0),0))</f>
        <v> </v>
      </c>
      <c r="DC233" s="318" t="str">
        <f aca="false">IF($A233="N/A"," ",IF(0&lt;&gt;CT233,IF(CC=2,8*$HF233,0),0))</f>
        <v> </v>
      </c>
      <c r="DD233" s="318" t="str">
        <f aca="false">IF($A233="N/A"," ",IF(0&lt;&gt;CU233,IF(CC=2,8*$HF233,0),0))</f>
        <v> </v>
      </c>
      <c r="DE233" s="318" t="str">
        <f aca="false">IF($A233="N/A"," ",IF(0&lt;&gt;CV233,IF(CC=2,8*$HF233,0),0))</f>
        <v> </v>
      </c>
      <c r="DF233" s="341" t="str">
        <f aca="false">IF($A233="N/A"," ",IF(CC=2,(IF(MONTH(A233)&gt;=4,IF(MONTH(A233)&lt;=10,Inputs!$G$13,Inputs!$G$14),Inputs!$G$14))*$CK233,0))</f>
        <v> </v>
      </c>
      <c r="DG233" s="342" t="str">
        <f aca="false">IF($A233="N/A"," ",IF(CC=2,$DF233*CW233*CN233,0))</f>
        <v> </v>
      </c>
      <c r="DH233" s="342" t="str">
        <f aca="false">IF($A233="N/A"," ",IF(CC=2,$DF233*CX233*CO233,0))</f>
        <v> </v>
      </c>
      <c r="DI233" s="342" t="str">
        <f aca="false">IF($A233="N/A"," ",IF(CC=2,$DF233*CY233*CP233,0))</f>
        <v> </v>
      </c>
      <c r="DJ233" s="342" t="str">
        <f aca="false">IF($A233="N/A"," ",IF(CC=2,$DF233*CZ233*CQ233,0))</f>
        <v> </v>
      </c>
      <c r="DK233" s="342" t="str">
        <f aca="false">IF($A233="N/A"," ",IF(CC=2,$DF233*DA233*CR233,0))</f>
        <v> </v>
      </c>
      <c r="DL233" s="342" t="str">
        <f aca="false">IF($A233="N/A"," ",IF(CC=2,$DF233*DB233*CS233,0))</f>
        <v> </v>
      </c>
      <c r="DM233" s="342" t="str">
        <f aca="false">IF($A233="N/A"," ",IF(CC=2,$DF233*DC233*CT233,0))</f>
        <v> </v>
      </c>
      <c r="DN233" s="342" t="str">
        <f aca="false">IF($A233="N/A"," ",IF(CC=2,$DF233*DD233*CU233,0))</f>
        <v> </v>
      </c>
      <c r="DO233" s="342" t="str">
        <f aca="false">IF($A233="N/A"," ",IF(CC=2,$DF233*DE233*CV233,0))</f>
        <v> </v>
      </c>
      <c r="DP233" s="343" t="str">
        <f aca="false">IF($A233="N/A"," ",IF(CC=2,SUM(DG233:DO233),0))</f>
        <v> </v>
      </c>
      <c r="DQ233" s="0" t="str">
        <f aca="false">IF(A233="N/A"," ",Perstart)</f>
        <v> </v>
      </c>
      <c r="HD233" s="0" t="str">
        <f aca="false">IF($A233="N/A"," ",VLOOKUP($A233,NumberofDaysTable,2))</f>
        <v> </v>
      </c>
      <c r="HE233" s="0" t="str">
        <f aca="false">IF($A233="N/A"," ",VLOOKUP($A233,NumberofDaysTable,3))</f>
        <v> </v>
      </c>
      <c r="HF233" s="0" t="str">
        <f aca="false">IF($A233="N/A"," ",VLOOKUP($A233,NumberofDaysTable,4))</f>
        <v> </v>
      </c>
    </row>
    <row r="234" customFormat="false" ht="12.75" hidden="false" customHeight="false" outlineLevel="0" collapsed="false">
      <c r="A234" s="308" t="str">
        <f aca="false">IF(A233="N/A","N/A",IF(EDATE(A233,1)&gt;Inputs!$K$3,"N/A",EDATE(A233,1)))</f>
        <v>N/A</v>
      </c>
      <c r="B234" s="309" t="str">
        <f aca="false">IF(A234="N/A"," ",YEAR(A234))</f>
        <v> </v>
      </c>
      <c r="C234" s="310" t="str">
        <f aca="false">IF(A234="N/A"," ",VLOOKUP(A234,ScaledPrice,10))</f>
        <v> </v>
      </c>
      <c r="D234" s="311" t="str">
        <f aca="false">IF(A234="N/A"," ",(VLOOKUP(MONTH($A234),Hrtable,2))/1000)</f>
        <v> </v>
      </c>
      <c r="E234" s="312" t="str">
        <f aca="false">IF($A234="N/A"," ",(C234-'Pricing Inputs'!T267)*D234)</f>
        <v> </v>
      </c>
      <c r="F234" s="313" t="str">
        <f aca="false">IF(A234="N/A"," ",$F222*(1+VOMesc))</f>
        <v> </v>
      </c>
      <c r="G234" s="313" t="str">
        <f aca="false">IF(A234="N/A"," ",Perstart/IF(AND(Dayrun&gt;=4,Dayrun&lt;=6),16,IF(AND(Dayrun&gt;=7,Dayrun&lt;=9),8,24))/(BM234/CK234))</f>
        <v> </v>
      </c>
      <c r="H234" s="314" t="str">
        <f aca="false">IF(A234="N/A"," ",(C234*D234)+F234+G234)</f>
        <v> </v>
      </c>
      <c r="I234" s="315" t="str">
        <f aca="false">VLOOKUP(A234,ScaledPrice,(IF(AND(Dayrun&gt;=1,Dayrun&lt;=6),2,4)))</f>
        <v> </v>
      </c>
      <c r="J234" s="315" t="str">
        <f aca="false">IF(A234="N/A"," ",IF(AND(Dayrun&gt;=1,Dayrun&lt;=6),I234,(VLOOKUP(A234,ScaledPrice,2))*(2-(VLOOKUP(A234,ScaledPrice,3)))))</f>
        <v> </v>
      </c>
      <c r="K234" s="315" t="str">
        <f aca="false">IF(A234="N/A"," ",IF(AND(Dayrun&gt;=1,Dayrun&lt;=3),VLOOKUP(A234,ScaledPrice,9),0))</f>
        <v> </v>
      </c>
      <c r="L234" s="315" t="str">
        <f aca="false">IF(A234="N/A"," ",IF(OR(Dayrun=2,Dayrun=3,Dayrun=5,Dayrun=6,Dayrun=8,Dayrun=9),VLOOKUP(A234,ScaledPrice,IF(AND(Dayrun&gt;=2,Dayrun&lt;=6),5,6)),0))</f>
        <v> </v>
      </c>
      <c r="M234" s="315" t="str">
        <f aca="false">IF(A234="N/A"," ",IF(OR(Dayrun=2,Dayrun=3,Dayrun=5,Dayrun=6,Dayrun=8,Dayrun=9),IF(AND(Dayrun&gt;=2,Dayrun&lt;=6),L234,(VLOOKUP(A234,ScaledPrice,5))*(2-(VLOOKUP(A234,ScaledPrice,3)))),0))</f>
        <v> </v>
      </c>
      <c r="N234" s="315" t="str">
        <f aca="false">IF(A234="N/A"," ",IF(AND(Dayrun&gt;1,Dayrun&lt;=3),VLOOKUP(A234,ScaledPrice,9),0))</f>
        <v> </v>
      </c>
      <c r="O234" s="315" t="str">
        <f aca="false">IF(A234="N/A"," ",IF(OR(Dayrun=3,Dayrun=6,Dayrun=9),(VLOOKUP(A234,ScaledPrice,IF(AND(Dayrun&gt;=3,Dayrun&lt;=6),7,8))),0))</f>
        <v> </v>
      </c>
      <c r="P234" s="315" t="str">
        <f aca="false">IF(A234="N/A"," ",IF(OR(Dayrun=3,Dayrun=6,Dayrun=9),IF(AND(Dayrun&gt;=3,Dayrun&lt;=6),O234,(VLOOKUP(A234,ScaledPrice,7))*(2-(VLOOKUP(A234,ScaledPrice,3)))),0))</f>
        <v> </v>
      </c>
      <c r="Q234" s="315" t="str">
        <f aca="false">IF(A234="N/A"," ",IF(AND(Dayrun&gt;2,Dayrun&lt;=3),VLOOKUP(A234,ScaledPrice,9),0))</f>
        <v> </v>
      </c>
      <c r="R234" s="316" t="str">
        <f aca="false">IF($A234="N/A"," ",IF(Pricetype=2,MAX(I234-$H234,0),IF(Pricetype=1,(xSPRDOPT(I234,$E234,$CI234,0,($CD234+IF(Smile=TRUE(),VLOOKUP(MAX(-5,$H234-I234),Volsmile,2),0)),$CG234,$CH234,($A234-DateToday)+15,1,0)),I234-$H234)))</f>
        <v> </v>
      </c>
      <c r="S234" s="316" t="str">
        <f aca="false">IF($A234="N/A"," ",IF(Pricetype=2,MAX(J234-$H234,0),IF(Pricetype=1,(xSPRDOPT(J234,$E234,$CI234,0,($CD234+IF(Smile=TRUE(),VLOOKUP(MAX(-5,$H234-J234),Volsmile,2),0)),$CG234,$CH234,($A234-DateToday)+15,1,0)),J234-$H234)))</f>
        <v> </v>
      </c>
      <c r="T234" s="317" t="str">
        <f aca="false">IF($A234="N/A"," ",(IF(Pricetype=2,IF((K234-$H234)&lt;=0,0,(K234-$H234)),IF(K234&lt;&gt;0,(K234-$H234),0))))</f>
        <v> </v>
      </c>
      <c r="U234" s="316" t="str">
        <f aca="false">IF($A234="N/A"," ",IF(Pricetype=2,MAX(L234-$H234,0),IF(L234&lt;&gt;0,IF(Pricetype=1,(xSPRDOPT(L234,$E234,$CI234,0,($CD234+IF(Smile=TRUE(),VLOOKUP(MAX(-5,$H234-L234),Volsmile,2),0)),$CG234,$CH234,($A234-DateToday)+15,1,0)),L234-$H234),0)))</f>
        <v> </v>
      </c>
      <c r="V234" s="316" t="str">
        <f aca="false">IF($A234="N/A"," ",IF(Pricetype=2,MAX(M234-$H234,0),IF(M234&lt;&gt;0,IF(Pricetype=1,(xSPRDOPT(M234,$E234,$CI234,0,($CD234+IF(Smile=TRUE(),VLOOKUP(MAX(-5,$H234-M234),Volsmile,2),0)),$CG234,$CH234,($A234-DateToday)+15,1,0)),M234-$H234),0)))</f>
        <v> </v>
      </c>
      <c r="W234" s="317" t="str">
        <f aca="false">IF($A234="N/A"," ",(IF(Pricetype=2,IF((N234-$H234)&lt;=0,0,(N234-$H234)),IF(N234&lt;&gt;0,(N234-$H234),0))))</f>
        <v> </v>
      </c>
      <c r="X234" s="316" t="str">
        <f aca="false">IF($A234="N/A"," ",IF(Pricetype=2,MAX(O234-$H234,0),IF(O234&lt;&gt;0,IF(Pricetype=1,(xSPRDOPT(O234,$E234,$CI234,0,($CD234+IF(Smile=TRUE(),VLOOKUP(MAX(-5,$H234-O234),Volsmile,2),0)),$CG234,$CH234,($A234-DateToday)+15,1,0)),O234-$H234),0)))</f>
        <v> </v>
      </c>
      <c r="Y234" s="316" t="str">
        <f aca="false">IF($A234="N/A"," ",IF(Pricetype=2,MAX(P234-$H234,0),IF(P234&lt;&gt;0,IF(Pricetype=1,(xSPRDOPT(P234,$E234,$CI234,0,($CD234+IF(Smile=TRUE(),VLOOKUP(MAX(-5,$H234-P234),Volsmile,2),0)),$CG234,$CH234,($A234-DateToday)+15,1,0)),P234-$H234),0)))</f>
        <v> </v>
      </c>
      <c r="Z234" s="317" t="str">
        <f aca="false">IF($A234="N/A"," ",(IF(Pricetype=2,IF((Q234-$H234)&lt;=0,0,(Q234-$H234)),IF(Q234&lt;&gt;0,(Q234-$H234),0))))</f>
        <v> </v>
      </c>
      <c r="AA234" s="318" t="str">
        <f aca="false">IF($A234="N/A"," ",IF(VLOOKUP(MONTH(A234),ManualTable,2)=1,(IF(0&lt;&gt;R234,IF(Pricetype=1,(xSPRDOPT(I234,$E234,$CI234,0,($CD234+IF(Smile=TRUE(),VLOOKUP(MAX(-5,$H234-I234),Volsmile,2),0)),$CG234,$CH234,($A234-DateToday)+15,1,1))*(8*$HD234),8*$HD234),0)),0))</f>
        <v> </v>
      </c>
      <c r="AB234" s="318" t="str">
        <f aca="false">IF($A234="N/A"," ",IF(VLOOKUP(MONTH(A234),ManualTable,3)=1,(IF(S234&lt;&gt;0,IF(Pricetype=1,(xSPRDOPT(J234,$E234,$CI234,0,($CD234+IF(Smile=TRUE(),VLOOKUP(MAX(-5,$H234-J234),Volsmile,2),0)),$CG234,$CH234,($A234-DateToday)+15,1,1))*(8*$HD234),8*$HD234),0)),0))</f>
        <v> </v>
      </c>
      <c r="AC234" s="318" t="str">
        <f aca="false">IF($A234="N/A"," ",IF(VLOOKUP(MONTH(A234),ManualTable,4)=1,(IF(T234&lt;&gt;0,(8*$HD234),0)),0))</f>
        <v> </v>
      </c>
      <c r="AD234" s="318" t="str">
        <f aca="false">IF($A234="N/A"," ",IF(VLOOKUP(MONTH(A234),ManualTable,5)=1,(IF(U234&lt;&gt;0,IF(Pricetype=1,(xSPRDOPT(L234,$E234,$CI234,0,($CD234+IF(Smile=TRUE(),VLOOKUP(MAX(-5,$H234-L234),Volsmile,2),0)),$CG234,$CH234,($A234-DateToday)+15,1,1))*(8*$HE234),8*$HE234),0)),0))</f>
        <v> </v>
      </c>
      <c r="AE234" s="318" t="str">
        <f aca="false">IF($A234="N/A"," ",IF(VLOOKUP(MONTH(A234),ManualTable,6)=1,(IF(V234&lt;&gt;0,IF(Pricetype=1,(xSPRDOPT(M234,$E234,$CI234,0,($CD234+IF(Smile=TRUE(),VLOOKUP(MAX(-5,$H234-M234),Volsmile,2),0)),$CG234,$CH234,($A234-DateToday)+15,1,1))*(8*$HE234),8*$HE234),0)),0))</f>
        <v> </v>
      </c>
      <c r="AF234" s="318" t="str">
        <f aca="false">IF($A234="N/A"," ",IF(VLOOKUP(MONTH(A234),ManualTable,7)=1,(IF(W234&lt;&gt;0,(8*$HE234),0)),0))</f>
        <v> </v>
      </c>
      <c r="AG234" s="318" t="str">
        <f aca="false">IF($A234="N/A"," ",IF(VLOOKUP(MONTH(A234),ManualTable,8)=1,(IF(X234&lt;&gt;0,IF(Pricetype=1,(xSPRDOPT(O234,$E234,$CI234,0,($CD234+IF(Smile=TRUE(),VLOOKUP(MAX(-5,$H234-O234),Volsmile,2),0)),$CG234,$CH234,($A234-DateToday)+15,1,1))*(8*$HF234),8*$HF234),0)),0))</f>
        <v> </v>
      </c>
      <c r="AH234" s="318" t="str">
        <f aca="false">IF($A234="N/A"," ",IF(VLOOKUP(MONTH(A234),ManualTable,9)=1,(IF(Y234&lt;&gt;0,IF(Pricetype=1,(xSPRDOPT(P234,$E234,$CI234,0,($CD234+IF(Smile=TRUE(),VLOOKUP(MAX(-5,$H234-P234),Volsmile,2),0)),$CG234,$CH234,($A234-DateToday)+15,1,1))*(8*$HF234),8*$HF234),0)),0))</f>
        <v> </v>
      </c>
      <c r="AI234" s="318" t="str">
        <f aca="false">IF($A234="N/A"," ",IF(VLOOKUP(MONTH(A234),ManualTable,10)=1,(IF(Z234&lt;&gt;0,(8*($HF234)),0)),0))</f>
        <v> </v>
      </c>
      <c r="AJ234" s="344" t="str">
        <f aca="false">IF($A234="N/A"," ",RANK(R234,$R$232:$Z$243))</f>
        <v> </v>
      </c>
      <c r="AK234" s="321" t="str">
        <f aca="false">IF($A234="N/A"," ",RANK(S234,$R$232:$Z$243))</f>
        <v> </v>
      </c>
      <c r="AL234" s="321" t="str">
        <f aca="false">IF($A234="N/A"," ",RANK(T234,$R$232:$Z$243))</f>
        <v> </v>
      </c>
      <c r="AM234" s="321" t="str">
        <f aca="false">IF($A234="N/A"," ",RANK(U234,$R$232:$Z$243))</f>
        <v> </v>
      </c>
      <c r="AN234" s="321" t="str">
        <f aca="false">IF($A234="N/A"," ",RANK(V234,$R$232:$Z$243))</f>
        <v> </v>
      </c>
      <c r="AO234" s="321" t="str">
        <f aca="false">IF($A234="N/A"," ",RANK(W234,$R$232:$Z$243))</f>
        <v> </v>
      </c>
      <c r="AP234" s="321" t="str">
        <f aca="false">IF($A234="N/A"," ",RANK(X234,$R$232:$Z$243))</f>
        <v> </v>
      </c>
      <c r="AQ234" s="321" t="str">
        <f aca="false">IF($A234="N/A"," ",RANK(Y234,$R$232:$Z$243))</f>
        <v> </v>
      </c>
      <c r="AR234" s="345" t="str">
        <f aca="false">IF($A234="N/A"," ",RANK(Z234,$R$232:$Z$243))</f>
        <v> </v>
      </c>
      <c r="AS234" s="323" t="str">
        <f aca="false">IF($A234="N/A"," ",IF(AJ234&lt;=$AR$2,AA234,0))</f>
        <v> </v>
      </c>
      <c r="AT234" s="325" t="str">
        <f aca="false">IF($A234="N/A"," ",IF(AK234&lt;=$AR$2,AB234,0))</f>
        <v> </v>
      </c>
      <c r="AU234" s="325" t="str">
        <f aca="false">IF($A234="N/A"," ",IF(AL234&lt;=$AR$2,AC234,0))</f>
        <v> </v>
      </c>
      <c r="AV234" s="325" t="str">
        <f aca="false">IF($A234="N/A"," ",IF(AM234&lt;=$AR$2,AD234,0))</f>
        <v> </v>
      </c>
      <c r="AW234" s="325" t="str">
        <f aca="false">IF($A234="N/A"," ",IF(AN234&lt;=$AR$2,AE234,0))</f>
        <v> </v>
      </c>
      <c r="AX234" s="325" t="str">
        <f aca="false">IF($A234="N/A"," ",IF(AO234&lt;=$AR$2,AF234,0))</f>
        <v> </v>
      </c>
      <c r="AY234" s="325" t="str">
        <f aca="false">IF($A234="N/A"," ",IF(AP234&lt;=$AR$2,AG234,0))</f>
        <v> </v>
      </c>
      <c r="AZ234" s="325" t="str">
        <f aca="false">IF($A234="N/A"," ",IF(AQ234&lt;=$AR$2,AH234,0))</f>
        <v> </v>
      </c>
      <c r="BA234" s="325" t="str">
        <f aca="false">IF($A234="N/A"," ",IF(AR234&lt;=$AR$2,AI234,0))</f>
        <v> </v>
      </c>
      <c r="BB234" s="345"/>
      <c r="BC234" s="326" t="str">
        <f aca="false">IF($A234="N/A"," ",IF(AND(AJ234=$AR$2+1,AS234=0),MIN($BB$243,AA234),0))</f>
        <v> </v>
      </c>
      <c r="BD234" s="346" t="str">
        <f aca="false">IF($A234="N/A"," ",IF(AND(AK234=$AR$2+1,AT234=0),MIN($BB$243,AB234),0))</f>
        <v> </v>
      </c>
      <c r="BE234" s="346" t="str">
        <f aca="false">IF($A234="N/A"," ",IF(AND(AL234=$AR$2+1,AU234=0),MIN($BB$243,AC234),0))</f>
        <v> </v>
      </c>
      <c r="BF234" s="346" t="str">
        <f aca="false">IF($A234="N/A"," ",IF(AND(AM234=$AR$2+1,AV234=0),MIN($BB$243,AD234),0))</f>
        <v> </v>
      </c>
      <c r="BG234" s="346" t="str">
        <f aca="false">IF($A234="N/A"," ",IF(AND(AN234=$AR$2+1,AW234=0),MIN($BB$243,AE234),0))</f>
        <v> </v>
      </c>
      <c r="BH234" s="346" t="str">
        <f aca="false">IF($A234="N/A"," ",IF(AND(AO234=$AR$2+1,AX234=0),MIN($BB$243,AF234),0))</f>
        <v> </v>
      </c>
      <c r="BI234" s="346" t="str">
        <f aca="false">IF($A234="N/A"," ",IF(AND(AP234=$AR$2+1,AY234=0),MIN($BB$243,AG234),0))</f>
        <v> </v>
      </c>
      <c r="BJ234" s="346" t="str">
        <f aca="false">IF($A234="N/A"," ",IF(AND(AQ234=$AR$2+1,AZ234=0),MIN($BB$243,AH234),0))</f>
        <v> </v>
      </c>
      <c r="BK234" s="346" t="str">
        <f aca="false">IF($A234="N/A"," ",IF(AND(AR234=$AR$2+1,BA234=0),MIN($BB$243,AI234),0))</f>
        <v> </v>
      </c>
      <c r="BL234" s="345"/>
      <c r="BM234" s="329" t="str">
        <f aca="false">IF($A234="N/A"," ",(IF(MONTH(A234)&gt;=4,IF(MONTH(A234)&lt;=10,Inputs!$F$13-Inputs!$G$13,Inputs!$F$14-Inputs!$G$14),Inputs!$F$14-Inputs!$G$14))*$CK234*Availability)</f>
        <v> </v>
      </c>
      <c r="BN234" s="330" t="str">
        <f aca="false">IF($A234="N/A"," ",(IF(AS234&gt;0,($BM234*(8*($HD234))*R234),0)+IF(BC234&gt;0,($BM234*((BC234/AA234)*8*$HD234)*R234),0)))</f>
        <v> </v>
      </c>
      <c r="BO234" s="330" t="str">
        <f aca="false">IF($A234="N/A"," ",(IF(AT234&gt;0,($BM234*(8*($HD234))*S234),0)+IF(BD234&gt;0,($BM234*((BD234/AB234)*8*$HD234)*S234),0)))</f>
        <v> </v>
      </c>
      <c r="BP234" s="330" t="str">
        <f aca="false">IF($A234="N/A"," ",(IF(AU234&gt;0,($BM234*(8*($HD234))*T234),0)+IF(BE234&gt;0,($BM234*((BE234))*T234),0)))</f>
        <v> </v>
      </c>
      <c r="BQ234" s="330" t="str">
        <f aca="false">IF($A234="N/A"," ",(IF(AV234&gt;0,($BM234*(8*($HE234))*U234),0)+IF(BF234&gt;0,($BM234*((BF234/AD234)*8*$HE234)*U234),0)))</f>
        <v> </v>
      </c>
      <c r="BR234" s="330" t="str">
        <f aca="false">IF($A234="N/A"," ",(IF(AW234&gt;0,($BM234*(8*($HE234))*V234),0)+IF(BG234&gt;0,($BM234*((BG234/AE234)*8*$HE234)*V234),0)))</f>
        <v> </v>
      </c>
      <c r="BS234" s="330" t="str">
        <f aca="false">IF($A234="N/A"," ",(IF(AX234&gt;0,($BM234*(8*($HE234))*W234),0)+IF(BH234&gt;0,($BM234*((BH234))*W234),0)))</f>
        <v> </v>
      </c>
      <c r="BT234" s="330" t="str">
        <f aca="false">IF($A234="N/A"," ",(IF(AY234&gt;0,($BM234*(8*($HF234))*X234),0)+IF(BI234&gt;0,($BM234*((BI234/AG234)*8*$HF234)*X234),0)))</f>
        <v> </v>
      </c>
      <c r="BU234" s="330" t="str">
        <f aca="false">IF($A234="N/A"," ",(IF(AZ234&gt;0,($BM234*(8*($HF234))*Y234),0)+IF(BJ234&gt;0,($BM234*((BJ234/AH234)*8*$HF234)*Y234),0)))</f>
        <v> </v>
      </c>
      <c r="BV234" s="330" t="str">
        <f aca="false">IF($A234="N/A"," ",(IF(BA234&gt;0,($BM234*(8*($HF234))*Z234),0)+IF(BK234&gt;0,($BM234*((BK234))*Z234),0)))</f>
        <v> </v>
      </c>
      <c r="BW234" s="330" t="str">
        <f aca="false">IF($A234="N/A"," ",SUM(BN234:BV234))</f>
        <v> </v>
      </c>
      <c r="BX234" s="331" t="str">
        <f aca="false">IF($A234="N/A"," ",(H234*(SUM(AS234:BA234)+SUM(BC234:BK234))*BM234))</f>
        <v> </v>
      </c>
      <c r="BY234" s="332" t="str">
        <f aca="false">IF($A234="N/A"," ",((C234*D234)*(SUM($AS234:$BA234)+SUM($BC234:$BK234))*$BM234))</f>
        <v> </v>
      </c>
      <c r="BZ234" s="332" t="str">
        <f aca="false">IF($A234="N/A"," ",(F234*(SUM($AS234:$BA234)+SUM($BC234:$BK234))*$BM234))</f>
        <v> </v>
      </c>
      <c r="CA234" s="333" t="str">
        <f aca="false">IF($A234="N/A"," ",(G234*(SUM($AS234:$BA234)+SUM($BC234:$BK234))*$BM234))</f>
        <v> </v>
      </c>
      <c r="CB234" s="334" t="str">
        <f aca="false">IF(A234="N/A"," ",(VLOOKUP(A234,PowerVolTable,(IF(BMO=2,7,IF(BMO=1,6,8))),FALSE())))</f>
        <v> </v>
      </c>
      <c r="CC234" s="334" t="str">
        <f aca="false">IF(A234="N/A"," ",(VLOOKUP(A234,IntraPowerVol,(IF(BMO=2,3,IF(BMO=1,2,4))),FALSE())*VLOOKUP(MONTH($A234),Volscale,2)))</f>
        <v> </v>
      </c>
      <c r="CD234" s="335" t="str">
        <f aca="false">IF($A234="N/A"," ",(IF(DateToday&gt;$A234,$CC234,((($CB234^2)*((($A234-1)-DateToday)/((EOMONTH($A234,0)+1)-DateToday-15)))+((($CC234)^2)*((15)/((EOMONTH($A234,0)+1)-DateToday-15))))^0.5)))</f>
        <v> </v>
      </c>
      <c r="CE234" s="334" t="str">
        <f aca="false">IF($A234="N/A"," ",(VLOOKUP($A234,GasVolTable,(IF(BMO=2,6,IF(BMO=1,7,5))),FALSE())))</f>
        <v> </v>
      </c>
      <c r="CF234" s="334" t="str">
        <f aca="false">IF($A234="N/A"," ",(VLOOKUP($A234,OmicronVol,(IF(BMO=2,3,IF(BMO=1,4,2))),FALSE())))</f>
        <v> </v>
      </c>
      <c r="CG234" s="335" t="str">
        <f aca="false">IF($A234="N/A"," ",(IF(DateToday&gt;$A234,$CF234,((($CE234^2)*((($A234-1)-DateToday)/((EOMONTH($A234,0)+1)-DateToday-15)))+((($CF234)^2)*((15)/((EOMONTH($A234,0)+1)-DateToday-15))))^0.5)))</f>
        <v> </v>
      </c>
      <c r="CH234" s="334" t="str">
        <f aca="false">IF($A234="N/A"," ",VLOOKUP($A234,CorrelationTable,2,FALSE()))</f>
        <v> </v>
      </c>
      <c r="CI234" s="336" t="str">
        <f aca="false">IF($A234="N/A"," ",F234+G234+(D234*('Pricing Inputs'!T267)))</f>
        <v> </v>
      </c>
      <c r="CJ234" s="334" t="str">
        <f aca="false">IF($A234="N/A"," ",IF(PV=1,0,'Pricing Inputs'!U267))</f>
        <v> </v>
      </c>
      <c r="CK234" s="337" t="str">
        <f aca="false">IF($A234="N/A"," ",(1+CJ234/2)^(-2*((EOMONTH(A234,0)+20)-DateToday)/365.25))</f>
        <v> </v>
      </c>
      <c r="CL234" s="338" t="str">
        <f aca="false">IF(A234="N/A"," ",IF(CC=2,(VLOOKUP(MONTH($A234),Hrtable,3))/1000,0))</f>
        <v> </v>
      </c>
      <c r="CM234" s="339" t="str">
        <f aca="false">IF(A234="N/A"," ",IF(CC=2,(CL234*C234)+F234,0))</f>
        <v> </v>
      </c>
      <c r="CN234" s="340" t="str">
        <f aca="false">IF($A234="N/A"," ",IF(CC=2,(VLOOKUP(A234,ScaledPrice,(IF(AND(Dayrun&gt;=1,Dayrun&lt;=6),2,4)))-((IF(R234&lt;&gt;0,$D234,$CL234)*$C234)+$F234+$G234)),0))</f>
        <v> </v>
      </c>
      <c r="CO234" s="340" t="str">
        <f aca="false">IF($A234="N/A"," ",IF(CC=2,(IF(AND(Dayrun&gt;=1,Dayrun&lt;=6),I234,(VLOOKUP(A234,ScaledPrice,2))*(2-(VLOOKUP(A234,ScaledPrice,3))))-((IF(S234&lt;&gt;0,$D234,$CL234)*$C234)+$F234+$G234)),0))</f>
        <v> </v>
      </c>
      <c r="CP234" s="340" t="str">
        <f aca="false">IF(A234="N/A"," ",IF(CC=2,(VLOOKUP(A234,ScaledPrice,9)-((IF(T234&lt;&gt;0,$D234,$CL234)*$C234)+$F234+$G234)),0))</f>
        <v> </v>
      </c>
      <c r="CQ234" s="340" t="str">
        <f aca="false">IF(A234="N/A"," ",IF(CC=2,(IF(OR(Dayrun=2,Dayrun=3,Dayrun=5,Dayrun=6,Dayrun=8,Dayrun=9),VLOOKUP(A234,ScaledPrice,IF(AND(Dayrun&gt;=2,Dayrun&lt;=6),5,6)),0)-((IF(U234&lt;&gt;0,$D234,$CL234)*$C234)+$F234+$G234)),0))</f>
        <v> </v>
      </c>
      <c r="CR234" s="340" t="str">
        <f aca="false">IF(A234="N/A"," ",IF(CC=2,(IF(OR(Dayrun=2,Dayrun=3,Dayrun=5,Dayrun=6,Dayrun=8,Dayrun=9),IF(AND(Dayrun&gt;=2,Dayrun&lt;=6),L234,(VLOOKUP(A234,ScaledPrice,5))*(2-(VLOOKUP(A234,ScaledPrice,3)))),0)-((IF(V234&lt;&gt;0,$D234,$CL234)*$C234)+$F234+$G234)),0))</f>
        <v> </v>
      </c>
      <c r="CS234" s="340" t="str">
        <f aca="false">IF(A234="N/A"," ",IF(CC=2,(VLOOKUP(A234,ScaledPrice,9)-((IF(W234&lt;&gt;0,$D234,$CL234)*$C234)+$F234+$G234)),0))</f>
        <v> </v>
      </c>
      <c r="CT234" s="340" t="str">
        <f aca="false">IF(A234="N/A"," ",IF(CC=2,(IF(OR(Dayrun=3,Dayrun=6,Dayrun=9),(VLOOKUP(A234,ScaledPrice,IF(AND(Dayrun&gt;=3,Dayrun&lt;=6),7,8))),0)-((IF(X234&lt;&gt;0,$D234,$CL234)*$C234)+$F234+$G234)),0))</f>
        <v> </v>
      </c>
      <c r="CU234" s="340" t="str">
        <f aca="false">IF(A234="N/A"," ",IF(CC=2,(IF(OR(Dayrun=3,Dayrun=6,Dayrun=9),IF(AND(Dayrun&gt;=3,Dayrun&lt;=6),O234,(VLOOKUP(A234,ScaledPrice,7))*(2-(VLOOKUP(A234,ScaledPrice,3)))),0)-((IF(Y234&lt;&gt;0,$D234,$CL234)*$C234)+$F234+$G234)),0))</f>
        <v> </v>
      </c>
      <c r="CV234" s="340" t="str">
        <f aca="false">IF(A234="N/A"," ",IF(CC=2,(VLOOKUP(A234,ScaledPrice,9)-((IF(Z234&lt;&gt;0,$D234,$CL234)*$C234)+$F234+$G234)),0))</f>
        <v> </v>
      </c>
      <c r="CW234" s="318" t="str">
        <f aca="false">IF($A234="N/A"," ",IF(0&lt;&gt;CN234,IF(CC=2,8*$HD234,0),0))</f>
        <v> </v>
      </c>
      <c r="CX234" s="318" t="str">
        <f aca="false">IF($A234="N/A"," ",IF(0&lt;&gt;CO234,IF(CC=2,8*$HD234,0),0))</f>
        <v> </v>
      </c>
      <c r="CY234" s="318" t="str">
        <f aca="false">IF($A234="N/A"," ",IF(0&lt;&gt;CP234,IF(CC=2,8*$HD234,0),0))</f>
        <v> </v>
      </c>
      <c r="CZ234" s="318" t="str">
        <f aca="false">IF($A234="N/A"," ",IF(0&lt;&gt;CQ234,IF(CC=2,8*$HE234,0),0))</f>
        <v> </v>
      </c>
      <c r="DA234" s="318" t="str">
        <f aca="false">IF($A234="N/A"," ",IF(0&lt;&gt;CR234,IF(CC=2,8*$HE234,0),0))</f>
        <v> </v>
      </c>
      <c r="DB234" s="318" t="str">
        <f aca="false">IF($A234="N/A"," ",IF(0&lt;&gt;CS234,IF(CC=2,8*$HE234,0),0))</f>
        <v> </v>
      </c>
      <c r="DC234" s="318" t="str">
        <f aca="false">IF($A234="N/A"," ",IF(0&lt;&gt;CT234,IF(CC=2,8*$HF234,0),0))</f>
        <v> </v>
      </c>
      <c r="DD234" s="318" t="str">
        <f aca="false">IF($A234="N/A"," ",IF(0&lt;&gt;CU234,IF(CC=2,8*$HF234,0),0))</f>
        <v> </v>
      </c>
      <c r="DE234" s="318" t="str">
        <f aca="false">IF($A234="N/A"," ",IF(0&lt;&gt;CV234,IF(CC=2,8*$HF234,0),0))</f>
        <v> </v>
      </c>
      <c r="DF234" s="341" t="str">
        <f aca="false">IF($A234="N/A"," ",IF(CC=2,(IF(MONTH(A234)&gt;=4,IF(MONTH(A234)&lt;=10,Inputs!$G$13,Inputs!$G$14),Inputs!$G$14))*$CK234,0))</f>
        <v> </v>
      </c>
      <c r="DG234" s="342" t="str">
        <f aca="false">IF($A234="N/A"," ",IF(CC=2,$DF234*CW234*CN234,0))</f>
        <v> </v>
      </c>
      <c r="DH234" s="342" t="str">
        <f aca="false">IF($A234="N/A"," ",IF(CC=2,$DF234*CX234*CO234,0))</f>
        <v> </v>
      </c>
      <c r="DI234" s="342" t="str">
        <f aca="false">IF($A234="N/A"," ",IF(CC=2,$DF234*CY234*CP234,0))</f>
        <v> </v>
      </c>
      <c r="DJ234" s="342" t="str">
        <f aca="false">IF($A234="N/A"," ",IF(CC=2,$DF234*CZ234*CQ234,0))</f>
        <v> </v>
      </c>
      <c r="DK234" s="342" t="str">
        <f aca="false">IF($A234="N/A"," ",IF(CC=2,$DF234*DA234*CR234,0))</f>
        <v> </v>
      </c>
      <c r="DL234" s="342" t="str">
        <f aca="false">IF($A234="N/A"," ",IF(CC=2,$DF234*DB234*CS234,0))</f>
        <v> </v>
      </c>
      <c r="DM234" s="342" t="str">
        <f aca="false">IF($A234="N/A"," ",IF(CC=2,$DF234*DC234*CT234,0))</f>
        <v> </v>
      </c>
      <c r="DN234" s="342" t="str">
        <f aca="false">IF($A234="N/A"," ",IF(CC=2,$DF234*DD234*CU234,0))</f>
        <v> </v>
      </c>
      <c r="DO234" s="342" t="str">
        <f aca="false">IF($A234="N/A"," ",IF(CC=2,$DF234*DE234*CV234,0))</f>
        <v> </v>
      </c>
      <c r="DP234" s="343" t="str">
        <f aca="false">IF($A234="N/A"," ",IF(CC=2,SUM(DG234:DO234),0))</f>
        <v> </v>
      </c>
      <c r="DQ234" s="0" t="str">
        <f aca="false">IF(A234="N/A"," ",Perstart)</f>
        <v> </v>
      </c>
      <c r="HD234" s="0" t="str">
        <f aca="false">IF($A234="N/A"," ",VLOOKUP($A234,NumberofDaysTable,2))</f>
        <v> </v>
      </c>
      <c r="HE234" s="0" t="str">
        <f aca="false">IF($A234="N/A"," ",VLOOKUP($A234,NumberofDaysTable,3))</f>
        <v> </v>
      </c>
      <c r="HF234" s="0" t="str">
        <f aca="false">IF($A234="N/A"," ",VLOOKUP($A234,NumberofDaysTable,4))</f>
        <v> </v>
      </c>
    </row>
    <row r="235" customFormat="false" ht="12.75" hidden="false" customHeight="false" outlineLevel="0" collapsed="false">
      <c r="A235" s="308" t="str">
        <f aca="false">IF(A234="N/A","N/A",IF(EDATE(A234,1)&gt;Inputs!$K$3,"N/A",EDATE(A234,1)))</f>
        <v>N/A</v>
      </c>
      <c r="B235" s="309" t="str">
        <f aca="false">IF(A235="N/A"," ",YEAR(A235))</f>
        <v> </v>
      </c>
      <c r="C235" s="310" t="str">
        <f aca="false">IF(A235="N/A"," ",VLOOKUP(A235,ScaledPrice,10))</f>
        <v> </v>
      </c>
      <c r="D235" s="311" t="str">
        <f aca="false">IF(A235="N/A"," ",(VLOOKUP(MONTH($A235),Hrtable,2))/1000)</f>
        <v> </v>
      </c>
      <c r="E235" s="312" t="str">
        <f aca="false">IF($A235="N/A"," ",(C235-'Pricing Inputs'!T268)*D235)</f>
        <v> </v>
      </c>
      <c r="F235" s="313" t="str">
        <f aca="false">IF(A235="N/A"," ",$F223*(1+VOMesc))</f>
        <v> </v>
      </c>
      <c r="G235" s="313" t="str">
        <f aca="false">IF(A235="N/A"," ",Perstart/IF(AND(Dayrun&gt;=4,Dayrun&lt;=6),16,IF(AND(Dayrun&gt;=7,Dayrun&lt;=9),8,24))/(BM235/CK235))</f>
        <v> </v>
      </c>
      <c r="H235" s="314" t="str">
        <f aca="false">IF(A235="N/A"," ",(C235*D235)+F235+G235)</f>
        <v> </v>
      </c>
      <c r="I235" s="315" t="str">
        <f aca="false">VLOOKUP(A235,ScaledPrice,(IF(AND(Dayrun&gt;=1,Dayrun&lt;=6),2,4)))</f>
        <v> </v>
      </c>
      <c r="J235" s="315" t="str">
        <f aca="false">IF(A235="N/A"," ",IF(AND(Dayrun&gt;=1,Dayrun&lt;=6),I235,(VLOOKUP(A235,ScaledPrice,2))*(2-(VLOOKUP(A235,ScaledPrice,3)))))</f>
        <v> </v>
      </c>
      <c r="K235" s="315" t="str">
        <f aca="false">IF(A235="N/A"," ",IF(AND(Dayrun&gt;=1,Dayrun&lt;=3),VLOOKUP(A235,ScaledPrice,9),0))</f>
        <v> </v>
      </c>
      <c r="L235" s="315" t="str">
        <f aca="false">IF(A235="N/A"," ",IF(OR(Dayrun=2,Dayrun=3,Dayrun=5,Dayrun=6,Dayrun=8,Dayrun=9),VLOOKUP(A235,ScaledPrice,IF(AND(Dayrun&gt;=2,Dayrun&lt;=6),5,6)),0))</f>
        <v> </v>
      </c>
      <c r="M235" s="315" t="str">
        <f aca="false">IF(A235="N/A"," ",IF(OR(Dayrun=2,Dayrun=3,Dayrun=5,Dayrun=6,Dayrun=8,Dayrun=9),IF(AND(Dayrun&gt;=2,Dayrun&lt;=6),L235,(VLOOKUP(A235,ScaledPrice,5))*(2-(VLOOKUP(A235,ScaledPrice,3)))),0))</f>
        <v> </v>
      </c>
      <c r="N235" s="315" t="str">
        <f aca="false">IF(A235="N/A"," ",IF(AND(Dayrun&gt;1,Dayrun&lt;=3),VLOOKUP(A235,ScaledPrice,9),0))</f>
        <v> </v>
      </c>
      <c r="O235" s="315" t="str">
        <f aca="false">IF(A235="N/A"," ",IF(OR(Dayrun=3,Dayrun=6,Dayrun=9),(VLOOKUP(A235,ScaledPrice,IF(AND(Dayrun&gt;=3,Dayrun&lt;=6),7,8))),0))</f>
        <v> </v>
      </c>
      <c r="P235" s="315" t="str">
        <f aca="false">IF(A235="N/A"," ",IF(OR(Dayrun=3,Dayrun=6,Dayrun=9),IF(AND(Dayrun&gt;=3,Dayrun&lt;=6),O235,(VLOOKUP(A235,ScaledPrice,7))*(2-(VLOOKUP(A235,ScaledPrice,3)))),0))</f>
        <v> </v>
      </c>
      <c r="Q235" s="315" t="str">
        <f aca="false">IF(A235="N/A"," ",IF(AND(Dayrun&gt;2,Dayrun&lt;=3),VLOOKUP(A235,ScaledPrice,9),0))</f>
        <v> </v>
      </c>
      <c r="R235" s="316" t="str">
        <f aca="false">IF($A235="N/A"," ",IF(Pricetype=2,MAX(I235-$H235,0),IF(Pricetype=1,(xSPRDOPT(I235,$E235,$CI235,0,($CD235+IF(Smile=TRUE(),VLOOKUP(MAX(-5,$H235-I235),Volsmile,2),0)),$CG235,$CH235,($A235-DateToday)+15,1,0)),I235-$H235)))</f>
        <v> </v>
      </c>
      <c r="S235" s="316" t="str">
        <f aca="false">IF($A235="N/A"," ",IF(Pricetype=2,MAX(J235-$H235,0),IF(Pricetype=1,(xSPRDOPT(J235,$E235,$CI235,0,($CD235+IF(Smile=TRUE(),VLOOKUP(MAX(-5,$H235-J235),Volsmile,2),0)),$CG235,$CH235,($A235-DateToday)+15,1,0)),J235-$H235)))</f>
        <v> </v>
      </c>
      <c r="T235" s="317" t="str">
        <f aca="false">IF($A235="N/A"," ",(IF(Pricetype=2,IF((K235-$H235)&lt;=0,0,(K235-$H235)),IF(K235&lt;&gt;0,(K235-$H235),0))))</f>
        <v> </v>
      </c>
      <c r="U235" s="316" t="str">
        <f aca="false">IF($A235="N/A"," ",IF(Pricetype=2,MAX(L235-$H235,0),IF(L235&lt;&gt;0,IF(Pricetype=1,(xSPRDOPT(L235,$E235,$CI235,0,($CD235+IF(Smile=TRUE(),VLOOKUP(MAX(-5,$H235-L235),Volsmile,2),0)),$CG235,$CH235,($A235-DateToday)+15,1,0)),L235-$H235),0)))</f>
        <v> </v>
      </c>
      <c r="V235" s="316" t="str">
        <f aca="false">IF($A235="N/A"," ",IF(Pricetype=2,MAX(M235-$H235,0),IF(M235&lt;&gt;0,IF(Pricetype=1,(xSPRDOPT(M235,$E235,$CI235,0,($CD235+IF(Smile=TRUE(),VLOOKUP(MAX(-5,$H235-M235),Volsmile,2),0)),$CG235,$CH235,($A235-DateToday)+15,1,0)),M235-$H235),0)))</f>
        <v> </v>
      </c>
      <c r="W235" s="317" t="str">
        <f aca="false">IF($A235="N/A"," ",(IF(Pricetype=2,IF((N235-$H235)&lt;=0,0,(N235-$H235)),IF(N235&lt;&gt;0,(N235-$H235),0))))</f>
        <v> </v>
      </c>
      <c r="X235" s="316" t="str">
        <f aca="false">IF($A235="N/A"," ",IF(Pricetype=2,MAX(O235-$H235,0),IF(O235&lt;&gt;0,IF(Pricetype=1,(xSPRDOPT(O235,$E235,$CI235,0,($CD235+IF(Smile=TRUE(),VLOOKUP(MAX(-5,$H235-O235),Volsmile,2),0)),$CG235,$CH235,($A235-DateToday)+15,1,0)),O235-$H235),0)))</f>
        <v> </v>
      </c>
      <c r="Y235" s="316" t="str">
        <f aca="false">IF($A235="N/A"," ",IF(Pricetype=2,MAX(P235-$H235,0),IF(P235&lt;&gt;0,IF(Pricetype=1,(xSPRDOPT(P235,$E235,$CI235,0,($CD235+IF(Smile=TRUE(),VLOOKUP(MAX(-5,$H235-P235),Volsmile,2),0)),$CG235,$CH235,($A235-DateToday)+15,1,0)),P235-$H235),0)))</f>
        <v> </v>
      </c>
      <c r="Z235" s="317" t="str">
        <f aca="false">IF($A235="N/A"," ",(IF(Pricetype=2,IF((Q235-$H235)&lt;=0,0,(Q235-$H235)),IF(Q235&lt;&gt;0,(Q235-$H235),0))))</f>
        <v> </v>
      </c>
      <c r="AA235" s="318" t="str">
        <f aca="false">IF($A235="N/A"," ",IF(VLOOKUP(MONTH(A235),ManualTable,2)=1,(IF(0&lt;&gt;R235,IF(Pricetype=1,(xSPRDOPT(I235,$E235,$CI235,0,($CD235+IF(Smile=TRUE(),VLOOKUP(MAX(-5,$H235-I235),Volsmile,2),0)),$CG235,$CH235,($A235-DateToday)+15,1,1))*(8*$HD235),8*$HD235),0)),0))</f>
        <v> </v>
      </c>
      <c r="AB235" s="318" t="str">
        <f aca="false">IF($A235="N/A"," ",IF(VLOOKUP(MONTH(A235),ManualTable,3)=1,(IF(S235&lt;&gt;0,IF(Pricetype=1,(xSPRDOPT(J235,$E235,$CI235,0,($CD235+IF(Smile=TRUE(),VLOOKUP(MAX(-5,$H235-J235),Volsmile,2),0)),$CG235,$CH235,($A235-DateToday)+15,1,1))*(8*$HD235),8*$HD235),0)),0))</f>
        <v> </v>
      </c>
      <c r="AC235" s="318" t="str">
        <f aca="false">IF($A235="N/A"," ",IF(VLOOKUP(MONTH(A235),ManualTable,4)=1,(IF(T235&lt;&gt;0,(8*$HD235),0)),0))</f>
        <v> </v>
      </c>
      <c r="AD235" s="318" t="str">
        <f aca="false">IF($A235="N/A"," ",IF(VLOOKUP(MONTH(A235),ManualTable,5)=1,(IF(U235&lt;&gt;0,IF(Pricetype=1,(xSPRDOPT(L235,$E235,$CI235,0,($CD235+IF(Smile=TRUE(),VLOOKUP(MAX(-5,$H235-L235),Volsmile,2),0)),$CG235,$CH235,($A235-DateToday)+15,1,1))*(8*$HE235),8*$HE235),0)),0))</f>
        <v> </v>
      </c>
      <c r="AE235" s="318" t="str">
        <f aca="false">IF($A235="N/A"," ",IF(VLOOKUP(MONTH(A235),ManualTable,6)=1,(IF(V235&lt;&gt;0,IF(Pricetype=1,(xSPRDOPT(M235,$E235,$CI235,0,($CD235+IF(Smile=TRUE(),VLOOKUP(MAX(-5,$H235-M235),Volsmile,2),0)),$CG235,$CH235,($A235-DateToday)+15,1,1))*(8*$HE235),8*$HE235),0)),0))</f>
        <v> </v>
      </c>
      <c r="AF235" s="318" t="str">
        <f aca="false">IF($A235="N/A"," ",IF(VLOOKUP(MONTH(A235),ManualTable,7)=1,(IF(W235&lt;&gt;0,(8*$HE235),0)),0))</f>
        <v> </v>
      </c>
      <c r="AG235" s="318" t="str">
        <f aca="false">IF($A235="N/A"," ",IF(VLOOKUP(MONTH(A235),ManualTable,8)=1,(IF(X235&lt;&gt;0,IF(Pricetype=1,(xSPRDOPT(O235,$E235,$CI235,0,($CD235+IF(Smile=TRUE(),VLOOKUP(MAX(-5,$H235-O235),Volsmile,2),0)),$CG235,$CH235,($A235-DateToday)+15,1,1))*(8*$HF235),8*$HF235),0)),0))</f>
        <v> </v>
      </c>
      <c r="AH235" s="318" t="str">
        <f aca="false">IF($A235="N/A"," ",IF(VLOOKUP(MONTH(A235),ManualTable,9)=1,(IF(Y235&lt;&gt;0,IF(Pricetype=1,(xSPRDOPT(P235,$E235,$CI235,0,($CD235+IF(Smile=TRUE(),VLOOKUP(MAX(-5,$H235-P235),Volsmile,2),0)),$CG235,$CH235,($A235-DateToday)+15,1,1))*(8*$HF235),8*$HF235),0)),0))</f>
        <v> </v>
      </c>
      <c r="AI235" s="318" t="str">
        <f aca="false">IF($A235="N/A"," ",IF(VLOOKUP(MONTH(A235),ManualTable,10)=1,(IF(Z235&lt;&gt;0,(8*($HF235)),0)),0))</f>
        <v> </v>
      </c>
      <c r="AJ235" s="344" t="str">
        <f aca="false">IF($A235="N/A"," ",RANK(R235,$R$232:$Z$243))</f>
        <v> </v>
      </c>
      <c r="AK235" s="321" t="str">
        <f aca="false">IF($A235="N/A"," ",RANK(S235,$R$232:$Z$243))</f>
        <v> </v>
      </c>
      <c r="AL235" s="321" t="str">
        <f aca="false">IF($A235="N/A"," ",RANK(T235,$R$232:$Z$243))</f>
        <v> </v>
      </c>
      <c r="AM235" s="321" t="str">
        <f aca="false">IF($A235="N/A"," ",RANK(U235,$R$232:$Z$243))</f>
        <v> </v>
      </c>
      <c r="AN235" s="321" t="str">
        <f aca="false">IF($A235="N/A"," ",RANK(V235,$R$232:$Z$243))</f>
        <v> </v>
      </c>
      <c r="AO235" s="321" t="str">
        <f aca="false">IF($A235="N/A"," ",RANK(W235,$R$232:$Z$243))</f>
        <v> </v>
      </c>
      <c r="AP235" s="321" t="str">
        <f aca="false">IF($A235="N/A"," ",RANK(X235,$R$232:$Z$243))</f>
        <v> </v>
      </c>
      <c r="AQ235" s="321" t="str">
        <f aca="false">IF($A235="N/A"," ",RANK(Y235,$R$232:$Z$243))</f>
        <v> </v>
      </c>
      <c r="AR235" s="345" t="str">
        <f aca="false">IF($A235="N/A"," ",RANK(Z235,$R$232:$Z$243))</f>
        <v> </v>
      </c>
      <c r="AS235" s="323" t="str">
        <f aca="false">IF($A235="N/A"," ",IF(AJ235&lt;=$AR$2,AA235,0))</f>
        <v> </v>
      </c>
      <c r="AT235" s="325" t="str">
        <f aca="false">IF($A235="N/A"," ",IF(AK235&lt;=$AR$2,AB235,0))</f>
        <v> </v>
      </c>
      <c r="AU235" s="325" t="str">
        <f aca="false">IF($A235="N/A"," ",IF(AL235&lt;=$AR$2,AC235,0))</f>
        <v> </v>
      </c>
      <c r="AV235" s="325" t="str">
        <f aca="false">IF($A235="N/A"," ",IF(AM235&lt;=$AR$2,AD235,0))</f>
        <v> </v>
      </c>
      <c r="AW235" s="325" t="str">
        <f aca="false">IF($A235="N/A"," ",IF(AN235&lt;=$AR$2,AE235,0))</f>
        <v> </v>
      </c>
      <c r="AX235" s="325" t="str">
        <f aca="false">IF($A235="N/A"," ",IF(AO235&lt;=$AR$2,AF235,0))</f>
        <v> </v>
      </c>
      <c r="AY235" s="325" t="str">
        <f aca="false">IF($A235="N/A"," ",IF(AP235&lt;=$AR$2,AG235,0))</f>
        <v> </v>
      </c>
      <c r="AZ235" s="325" t="str">
        <f aca="false">IF($A235="N/A"," ",IF(AQ235&lt;=$AR$2,AH235,0))</f>
        <v> </v>
      </c>
      <c r="BA235" s="325" t="str">
        <f aca="false">IF($A235="N/A"," ",IF(AR235&lt;=$AR$2,AI235,0))</f>
        <v> </v>
      </c>
      <c r="BB235" s="345"/>
      <c r="BC235" s="326" t="str">
        <f aca="false">IF($A235="N/A"," ",IF(AND(AJ235=$AR$2+1,AS235=0),MIN($BB$243,AA235),0))</f>
        <v> </v>
      </c>
      <c r="BD235" s="346" t="str">
        <f aca="false">IF($A235="N/A"," ",IF(AND(AK235=$AR$2+1,AT235=0),MIN($BB$243,AB235),0))</f>
        <v> </v>
      </c>
      <c r="BE235" s="346" t="str">
        <f aca="false">IF($A235="N/A"," ",IF(AND(AL235=$AR$2+1,AU235=0),MIN($BB$243,AC235),0))</f>
        <v> </v>
      </c>
      <c r="BF235" s="346" t="str">
        <f aca="false">IF($A235="N/A"," ",IF(AND(AM235=$AR$2+1,AV235=0),MIN($BB$243,AD235),0))</f>
        <v> </v>
      </c>
      <c r="BG235" s="346" t="str">
        <f aca="false">IF($A235="N/A"," ",IF(AND(AN235=$AR$2+1,AW235=0),MIN($BB$243,AE235),0))</f>
        <v> </v>
      </c>
      <c r="BH235" s="346" t="str">
        <f aca="false">IF($A235="N/A"," ",IF(AND(AO235=$AR$2+1,AX235=0),MIN($BB$243,AF235),0))</f>
        <v> </v>
      </c>
      <c r="BI235" s="346" t="str">
        <f aca="false">IF($A235="N/A"," ",IF(AND(AP235=$AR$2+1,AY235=0),MIN($BB$243,AG235),0))</f>
        <v> </v>
      </c>
      <c r="BJ235" s="346" t="str">
        <f aca="false">IF($A235="N/A"," ",IF(AND(AQ235=$AR$2+1,AZ235=0),MIN($BB$243,AH235),0))</f>
        <v> </v>
      </c>
      <c r="BK235" s="346" t="str">
        <f aca="false">IF($A235="N/A"," ",IF(AND(AR235=$AR$2+1,BA235=0),MIN($BB$243,AI235),0))</f>
        <v> </v>
      </c>
      <c r="BL235" s="345"/>
      <c r="BM235" s="329" t="str">
        <f aca="false">IF($A235="N/A"," ",(IF(MONTH(A235)&gt;=4,IF(MONTH(A235)&lt;=10,Inputs!$F$13-Inputs!$G$13,Inputs!$F$14-Inputs!$G$14),Inputs!$F$14-Inputs!$G$14))*$CK235*Availability)</f>
        <v> </v>
      </c>
      <c r="BN235" s="330" t="str">
        <f aca="false">IF($A235="N/A"," ",(IF(AS235&gt;0,($BM235*(8*($HD235))*R235),0)+IF(BC235&gt;0,($BM235*((BC235/AA235)*8*$HD235)*R235),0)))</f>
        <v> </v>
      </c>
      <c r="BO235" s="330" t="str">
        <f aca="false">IF($A235="N/A"," ",(IF(AT235&gt;0,($BM235*(8*($HD235))*S235),0)+IF(BD235&gt;0,($BM235*((BD235/AB235)*8*$HD235)*S235),0)))</f>
        <v> </v>
      </c>
      <c r="BP235" s="330" t="str">
        <f aca="false">IF($A235="N/A"," ",(IF(AU235&gt;0,($BM235*(8*($HD235))*T235),0)+IF(BE235&gt;0,($BM235*((BE235))*T235),0)))</f>
        <v> </v>
      </c>
      <c r="BQ235" s="330" t="str">
        <f aca="false">IF($A235="N/A"," ",(IF(AV235&gt;0,($BM235*(8*($HE235))*U235),0)+IF(BF235&gt;0,($BM235*((BF235/AD235)*8*$HE235)*U235),0)))</f>
        <v> </v>
      </c>
      <c r="BR235" s="330" t="str">
        <f aca="false">IF($A235="N/A"," ",(IF(AW235&gt;0,($BM235*(8*($HE235))*V235),0)+IF(BG235&gt;0,($BM235*((BG235/AE235)*8*$HE235)*V235),0)))</f>
        <v> </v>
      </c>
      <c r="BS235" s="330" t="str">
        <f aca="false">IF($A235="N/A"," ",(IF(AX235&gt;0,($BM235*(8*($HE235))*W235),0)+IF(BH235&gt;0,($BM235*((BH235))*W235),0)))</f>
        <v> </v>
      </c>
      <c r="BT235" s="330" t="str">
        <f aca="false">IF($A235="N/A"," ",(IF(AY235&gt;0,($BM235*(8*($HF235))*X235),0)+IF(BI235&gt;0,($BM235*((BI235/AG235)*8*$HF235)*X235),0)))</f>
        <v> </v>
      </c>
      <c r="BU235" s="330" t="str">
        <f aca="false">IF($A235="N/A"," ",(IF(AZ235&gt;0,($BM235*(8*($HF235))*Y235),0)+IF(BJ235&gt;0,($BM235*((BJ235/AH235)*8*$HF235)*Y235),0)))</f>
        <v> </v>
      </c>
      <c r="BV235" s="330" t="str">
        <f aca="false">IF($A235="N/A"," ",(IF(BA235&gt;0,($BM235*(8*($HF235))*Z235),0)+IF(BK235&gt;0,($BM235*((BK235))*Z235),0)))</f>
        <v> </v>
      </c>
      <c r="BW235" s="330" t="str">
        <f aca="false">IF($A235="N/A"," ",SUM(BN235:BV235))</f>
        <v> </v>
      </c>
      <c r="BX235" s="331" t="str">
        <f aca="false">IF($A235="N/A"," ",(H235*(SUM(AS235:BA235)+SUM(BC235:BK235))*BM235))</f>
        <v> </v>
      </c>
      <c r="BY235" s="332" t="str">
        <f aca="false">IF($A235="N/A"," ",((C235*D235)*(SUM($AS235:$BA235)+SUM($BC235:$BK235))*$BM235))</f>
        <v> </v>
      </c>
      <c r="BZ235" s="332" t="str">
        <f aca="false">IF($A235="N/A"," ",(F235*(SUM($AS235:$BA235)+SUM($BC235:$BK235))*$BM235))</f>
        <v> </v>
      </c>
      <c r="CA235" s="333" t="str">
        <f aca="false">IF($A235="N/A"," ",(G235*(SUM($AS235:$BA235)+SUM($BC235:$BK235))*$BM235))</f>
        <v> </v>
      </c>
      <c r="CB235" s="334" t="str">
        <f aca="false">IF(A235="N/A"," ",(VLOOKUP(A235,PowerVolTable,(IF(BMO=2,7,IF(BMO=1,6,8))),FALSE())))</f>
        <v> </v>
      </c>
      <c r="CC235" s="334" t="str">
        <f aca="false">IF(A235="N/A"," ",(VLOOKUP(A235,IntraPowerVol,(IF(BMO=2,3,IF(BMO=1,2,4))),FALSE())*VLOOKUP(MONTH($A235),Volscale,2)))</f>
        <v> </v>
      </c>
      <c r="CD235" s="335" t="str">
        <f aca="false">IF($A235="N/A"," ",(IF(DateToday&gt;$A235,$CC235,((($CB235^2)*((($A235-1)-DateToday)/((EOMONTH($A235,0)+1)-DateToday-15)))+((($CC235)^2)*((15)/((EOMONTH($A235,0)+1)-DateToday-15))))^0.5)))</f>
        <v> </v>
      </c>
      <c r="CE235" s="334" t="str">
        <f aca="false">IF($A235="N/A"," ",(VLOOKUP($A235,GasVolTable,(IF(BMO=2,6,IF(BMO=1,7,5))),FALSE())))</f>
        <v> </v>
      </c>
      <c r="CF235" s="334" t="str">
        <f aca="false">IF($A235="N/A"," ",(VLOOKUP($A235,OmicronVol,(IF(BMO=2,3,IF(BMO=1,4,2))),FALSE())))</f>
        <v> </v>
      </c>
      <c r="CG235" s="335" t="str">
        <f aca="false">IF($A235="N/A"," ",(IF(DateToday&gt;$A235,$CF235,((($CE235^2)*((($A235-1)-DateToday)/((EOMONTH($A235,0)+1)-DateToday-15)))+((($CF235)^2)*((15)/((EOMONTH($A235,0)+1)-DateToday-15))))^0.5)))</f>
        <v> </v>
      </c>
      <c r="CH235" s="334" t="str">
        <f aca="false">IF($A235="N/A"," ",VLOOKUP($A235,CorrelationTable,2,FALSE()))</f>
        <v> </v>
      </c>
      <c r="CI235" s="336" t="str">
        <f aca="false">IF($A235="N/A"," ",F235+G235+(D235*('Pricing Inputs'!T268)))</f>
        <v> </v>
      </c>
      <c r="CJ235" s="334" t="str">
        <f aca="false">IF($A235="N/A"," ",IF(PV=1,0,'Pricing Inputs'!U268))</f>
        <v> </v>
      </c>
      <c r="CK235" s="337" t="str">
        <f aca="false">IF($A235="N/A"," ",(1+CJ235/2)^(-2*((EOMONTH(A235,0)+20)-DateToday)/365.25))</f>
        <v> </v>
      </c>
      <c r="CL235" s="338" t="str">
        <f aca="false">IF(A235="N/A"," ",IF(CC=2,(VLOOKUP(MONTH($A235),Hrtable,3))/1000,0))</f>
        <v> </v>
      </c>
      <c r="CM235" s="339" t="str">
        <f aca="false">IF(A235="N/A"," ",IF(CC=2,(CL235*C235)+F235,0))</f>
        <v> </v>
      </c>
      <c r="CN235" s="340" t="str">
        <f aca="false">IF($A235="N/A"," ",IF(CC=2,(VLOOKUP(A235,ScaledPrice,(IF(AND(Dayrun&gt;=1,Dayrun&lt;=6),2,4)))-((IF(R235&lt;&gt;0,$D235,$CL235)*$C235)+$F235+$G235)),0))</f>
        <v> </v>
      </c>
      <c r="CO235" s="340" t="str">
        <f aca="false">IF($A235="N/A"," ",IF(CC=2,(IF(AND(Dayrun&gt;=1,Dayrun&lt;=6),I235,(VLOOKUP(A235,ScaledPrice,2))*(2-(VLOOKUP(A235,ScaledPrice,3))))-((IF(S235&lt;&gt;0,$D235,$CL235)*$C235)+$F235+$G235)),0))</f>
        <v> </v>
      </c>
      <c r="CP235" s="340" t="str">
        <f aca="false">IF(A235="N/A"," ",IF(CC=2,(VLOOKUP(A235,ScaledPrice,9)-((IF(T235&lt;&gt;0,$D235,$CL235)*$C235)+$F235+$G235)),0))</f>
        <v> </v>
      </c>
      <c r="CQ235" s="340" t="str">
        <f aca="false">IF(A235="N/A"," ",IF(CC=2,(IF(OR(Dayrun=2,Dayrun=3,Dayrun=5,Dayrun=6,Dayrun=8,Dayrun=9),VLOOKUP(A235,ScaledPrice,IF(AND(Dayrun&gt;=2,Dayrun&lt;=6),5,6)),0)-((IF(U235&lt;&gt;0,$D235,$CL235)*$C235)+$F235+$G235)),0))</f>
        <v> </v>
      </c>
      <c r="CR235" s="340" t="str">
        <f aca="false">IF(A235="N/A"," ",IF(CC=2,(IF(OR(Dayrun=2,Dayrun=3,Dayrun=5,Dayrun=6,Dayrun=8,Dayrun=9),IF(AND(Dayrun&gt;=2,Dayrun&lt;=6),L235,(VLOOKUP(A235,ScaledPrice,5))*(2-(VLOOKUP(A235,ScaledPrice,3)))),0)-((IF(V235&lt;&gt;0,$D235,$CL235)*$C235)+$F235+$G235)),0))</f>
        <v> </v>
      </c>
      <c r="CS235" s="340" t="str">
        <f aca="false">IF(A235="N/A"," ",IF(CC=2,(VLOOKUP(A235,ScaledPrice,9)-((IF(W235&lt;&gt;0,$D235,$CL235)*$C235)+$F235+$G235)),0))</f>
        <v> </v>
      </c>
      <c r="CT235" s="340" t="str">
        <f aca="false">IF(A235="N/A"," ",IF(CC=2,(IF(OR(Dayrun=3,Dayrun=6,Dayrun=9),(VLOOKUP(A235,ScaledPrice,IF(AND(Dayrun&gt;=3,Dayrun&lt;=6),7,8))),0)-((IF(X235&lt;&gt;0,$D235,$CL235)*$C235)+$F235+$G235)),0))</f>
        <v> </v>
      </c>
      <c r="CU235" s="340" t="str">
        <f aca="false">IF(A235="N/A"," ",IF(CC=2,(IF(OR(Dayrun=3,Dayrun=6,Dayrun=9),IF(AND(Dayrun&gt;=3,Dayrun&lt;=6),O235,(VLOOKUP(A235,ScaledPrice,7))*(2-(VLOOKUP(A235,ScaledPrice,3)))),0)-((IF(Y235&lt;&gt;0,$D235,$CL235)*$C235)+$F235+$G235)),0))</f>
        <v> </v>
      </c>
      <c r="CV235" s="340" t="str">
        <f aca="false">IF(A235="N/A"," ",IF(CC=2,(VLOOKUP(A235,ScaledPrice,9)-((IF(Z235&lt;&gt;0,$D235,$CL235)*$C235)+$F235+$G235)),0))</f>
        <v> </v>
      </c>
      <c r="CW235" s="318" t="str">
        <f aca="false">IF($A235="N/A"," ",IF(0&lt;&gt;CN235,IF(CC=2,8*$HD235,0),0))</f>
        <v> </v>
      </c>
      <c r="CX235" s="318" t="str">
        <f aca="false">IF($A235="N/A"," ",IF(0&lt;&gt;CO235,IF(CC=2,8*$HD235,0),0))</f>
        <v> </v>
      </c>
      <c r="CY235" s="318" t="str">
        <f aca="false">IF($A235="N/A"," ",IF(0&lt;&gt;CP235,IF(CC=2,8*$HD235,0),0))</f>
        <v> </v>
      </c>
      <c r="CZ235" s="318" t="str">
        <f aca="false">IF($A235="N/A"," ",IF(0&lt;&gt;CQ235,IF(CC=2,8*$HE235,0),0))</f>
        <v> </v>
      </c>
      <c r="DA235" s="318" t="str">
        <f aca="false">IF($A235="N/A"," ",IF(0&lt;&gt;CR235,IF(CC=2,8*$HE235,0),0))</f>
        <v> </v>
      </c>
      <c r="DB235" s="318" t="str">
        <f aca="false">IF($A235="N/A"," ",IF(0&lt;&gt;CS235,IF(CC=2,8*$HE235,0),0))</f>
        <v> </v>
      </c>
      <c r="DC235" s="318" t="str">
        <f aca="false">IF($A235="N/A"," ",IF(0&lt;&gt;CT235,IF(CC=2,8*$HF235,0),0))</f>
        <v> </v>
      </c>
      <c r="DD235" s="318" t="str">
        <f aca="false">IF($A235="N/A"," ",IF(0&lt;&gt;CU235,IF(CC=2,8*$HF235,0),0))</f>
        <v> </v>
      </c>
      <c r="DE235" s="318" t="str">
        <f aca="false">IF($A235="N/A"," ",IF(0&lt;&gt;CV235,IF(CC=2,8*$HF235,0),0))</f>
        <v> </v>
      </c>
      <c r="DF235" s="341" t="str">
        <f aca="false">IF($A235="N/A"," ",IF(CC=2,(IF(MONTH(A235)&gt;=4,IF(MONTH(A235)&lt;=10,Inputs!$G$13,Inputs!$G$14),Inputs!$G$14))*$CK235,0))</f>
        <v> </v>
      </c>
      <c r="DG235" s="342" t="str">
        <f aca="false">IF($A235="N/A"," ",IF(CC=2,$DF235*CW235*CN235,0))</f>
        <v> </v>
      </c>
      <c r="DH235" s="342" t="str">
        <f aca="false">IF($A235="N/A"," ",IF(CC=2,$DF235*CX235*CO235,0))</f>
        <v> </v>
      </c>
      <c r="DI235" s="342" t="str">
        <f aca="false">IF($A235="N/A"," ",IF(CC=2,$DF235*CY235*CP235,0))</f>
        <v> </v>
      </c>
      <c r="DJ235" s="342" t="str">
        <f aca="false">IF($A235="N/A"," ",IF(CC=2,$DF235*CZ235*CQ235,0))</f>
        <v> </v>
      </c>
      <c r="DK235" s="342" t="str">
        <f aca="false">IF($A235="N/A"," ",IF(CC=2,$DF235*DA235*CR235,0))</f>
        <v> </v>
      </c>
      <c r="DL235" s="342" t="str">
        <f aca="false">IF($A235="N/A"," ",IF(CC=2,$DF235*DB235*CS235,0))</f>
        <v> </v>
      </c>
      <c r="DM235" s="342" t="str">
        <f aca="false">IF($A235="N/A"," ",IF(CC=2,$DF235*DC235*CT235,0))</f>
        <v> </v>
      </c>
      <c r="DN235" s="342" t="str">
        <f aca="false">IF($A235="N/A"," ",IF(CC=2,$DF235*DD235*CU235,0))</f>
        <v> </v>
      </c>
      <c r="DO235" s="342" t="str">
        <f aca="false">IF($A235="N/A"," ",IF(CC=2,$DF235*DE235*CV235,0))</f>
        <v> </v>
      </c>
      <c r="DP235" s="343" t="str">
        <f aca="false">IF($A235="N/A"," ",IF(CC=2,SUM(DG235:DO235),0))</f>
        <v> </v>
      </c>
      <c r="DQ235" s="0" t="str">
        <f aca="false">IF(A235="N/A"," ",Perstart)</f>
        <v> </v>
      </c>
      <c r="HD235" s="0" t="str">
        <f aca="false">IF($A235="N/A"," ",VLOOKUP($A235,NumberofDaysTable,2))</f>
        <v> </v>
      </c>
      <c r="HE235" s="0" t="str">
        <f aca="false">IF($A235="N/A"," ",VLOOKUP($A235,NumberofDaysTable,3))</f>
        <v> </v>
      </c>
      <c r="HF235" s="0" t="str">
        <f aca="false">IF($A235="N/A"," ",VLOOKUP($A235,NumberofDaysTable,4))</f>
        <v> </v>
      </c>
    </row>
    <row r="236" customFormat="false" ht="12.75" hidden="false" customHeight="false" outlineLevel="0" collapsed="false">
      <c r="A236" s="308" t="str">
        <f aca="false">IF(A235="N/A","N/A",IF(EDATE(A235,1)&gt;Inputs!$K$3,"N/A",EDATE(A235,1)))</f>
        <v>N/A</v>
      </c>
      <c r="B236" s="309" t="str">
        <f aca="false">IF(A236="N/A"," ",YEAR(A236))</f>
        <v> </v>
      </c>
      <c r="C236" s="310" t="str">
        <f aca="false">IF(A236="N/A"," ",VLOOKUP(A236,ScaledPrice,10))</f>
        <v> </v>
      </c>
      <c r="D236" s="311" t="str">
        <f aca="false">IF(A236="N/A"," ",(VLOOKUP(MONTH($A236),Hrtable,2))/1000)</f>
        <v> </v>
      </c>
      <c r="E236" s="312" t="str">
        <f aca="false">IF($A236="N/A"," ",(C236-'Pricing Inputs'!T269)*D236)</f>
        <v> </v>
      </c>
      <c r="F236" s="313" t="str">
        <f aca="false">IF(A236="N/A"," ",$F224*(1+VOMesc))</f>
        <v> </v>
      </c>
      <c r="G236" s="313" t="str">
        <f aca="false">IF(A236="N/A"," ",Perstart/IF(AND(Dayrun&gt;=4,Dayrun&lt;=6),16,IF(AND(Dayrun&gt;=7,Dayrun&lt;=9),8,24))/(BM236/CK236))</f>
        <v> </v>
      </c>
      <c r="H236" s="314" t="str">
        <f aca="false">IF(A236="N/A"," ",(C236*D236)+F236+G236)</f>
        <v> </v>
      </c>
      <c r="I236" s="315" t="str">
        <f aca="false">VLOOKUP(A236,ScaledPrice,(IF(AND(Dayrun&gt;=1,Dayrun&lt;=6),2,4)))</f>
        <v> </v>
      </c>
      <c r="J236" s="315" t="str">
        <f aca="false">IF(A236="N/A"," ",IF(AND(Dayrun&gt;=1,Dayrun&lt;=6),I236,(VLOOKUP(A236,ScaledPrice,2))*(2-(VLOOKUP(A236,ScaledPrice,3)))))</f>
        <v> </v>
      </c>
      <c r="K236" s="315" t="str">
        <f aca="false">IF(A236="N/A"," ",IF(AND(Dayrun&gt;=1,Dayrun&lt;=3),VLOOKUP(A236,ScaledPrice,9),0))</f>
        <v> </v>
      </c>
      <c r="L236" s="315" t="str">
        <f aca="false">IF(A236="N/A"," ",IF(OR(Dayrun=2,Dayrun=3,Dayrun=5,Dayrun=6,Dayrun=8,Dayrun=9),VLOOKUP(A236,ScaledPrice,IF(AND(Dayrun&gt;=2,Dayrun&lt;=6),5,6)),0))</f>
        <v> </v>
      </c>
      <c r="M236" s="315" t="str">
        <f aca="false">IF(A236="N/A"," ",IF(OR(Dayrun=2,Dayrun=3,Dayrun=5,Dayrun=6,Dayrun=8,Dayrun=9),IF(AND(Dayrun&gt;=2,Dayrun&lt;=6),L236,(VLOOKUP(A236,ScaledPrice,5))*(2-(VLOOKUP(A236,ScaledPrice,3)))),0))</f>
        <v> </v>
      </c>
      <c r="N236" s="315" t="str">
        <f aca="false">IF(A236="N/A"," ",IF(AND(Dayrun&gt;1,Dayrun&lt;=3),VLOOKUP(A236,ScaledPrice,9),0))</f>
        <v> </v>
      </c>
      <c r="O236" s="315" t="str">
        <f aca="false">IF(A236="N/A"," ",IF(OR(Dayrun=3,Dayrun=6,Dayrun=9),(VLOOKUP(A236,ScaledPrice,IF(AND(Dayrun&gt;=3,Dayrun&lt;=6),7,8))),0))</f>
        <v> </v>
      </c>
      <c r="P236" s="315" t="str">
        <f aca="false">IF(A236="N/A"," ",IF(OR(Dayrun=3,Dayrun=6,Dayrun=9),IF(AND(Dayrun&gt;=3,Dayrun&lt;=6),O236,(VLOOKUP(A236,ScaledPrice,7))*(2-(VLOOKUP(A236,ScaledPrice,3)))),0))</f>
        <v> </v>
      </c>
      <c r="Q236" s="315" t="str">
        <f aca="false">IF(A236="N/A"," ",IF(AND(Dayrun&gt;2,Dayrun&lt;=3),VLOOKUP(A236,ScaledPrice,9),0))</f>
        <v> </v>
      </c>
      <c r="R236" s="316" t="str">
        <f aca="false">IF($A236="N/A"," ",IF(Pricetype=2,MAX(I236-$H236,0),IF(Pricetype=1,(xSPRDOPT(I236,$E236,$CI236,0,($CD236+IF(Smile=TRUE(),VLOOKUP(MAX(-5,$H236-I236),Volsmile,2),0)),$CG236,$CH236,($A236-DateToday)+15,1,0)),I236-$H236)))</f>
        <v> </v>
      </c>
      <c r="S236" s="316" t="str">
        <f aca="false">IF($A236="N/A"," ",IF(Pricetype=2,MAX(J236-$H236,0),IF(Pricetype=1,(xSPRDOPT(J236,$E236,$CI236,0,($CD236+IF(Smile=TRUE(),VLOOKUP(MAX(-5,$H236-J236),Volsmile,2),0)),$CG236,$CH236,($A236-DateToday)+15,1,0)),J236-$H236)))</f>
        <v> </v>
      </c>
      <c r="T236" s="317" t="str">
        <f aca="false">IF($A236="N/A"," ",(IF(Pricetype=2,IF((K236-$H236)&lt;=0,0,(K236-$H236)),IF(K236&lt;&gt;0,(K236-$H236),0))))</f>
        <v> </v>
      </c>
      <c r="U236" s="316" t="str">
        <f aca="false">IF($A236="N/A"," ",IF(Pricetype=2,MAX(L236-$H236,0),IF(L236&lt;&gt;0,IF(Pricetype=1,(xSPRDOPT(L236,$E236,$CI236,0,($CD236+IF(Smile=TRUE(),VLOOKUP(MAX(-5,$H236-L236),Volsmile,2),0)),$CG236,$CH236,($A236-DateToday)+15,1,0)),L236-$H236),0)))</f>
        <v> </v>
      </c>
      <c r="V236" s="316" t="str">
        <f aca="false">IF($A236="N/A"," ",IF(Pricetype=2,MAX(M236-$H236,0),IF(M236&lt;&gt;0,IF(Pricetype=1,(xSPRDOPT(M236,$E236,$CI236,0,($CD236+IF(Smile=TRUE(),VLOOKUP(MAX(-5,$H236-M236),Volsmile,2),0)),$CG236,$CH236,($A236-DateToday)+15,1,0)),M236-$H236),0)))</f>
        <v> </v>
      </c>
      <c r="W236" s="317" t="str">
        <f aca="false">IF($A236="N/A"," ",(IF(Pricetype=2,IF((N236-$H236)&lt;=0,0,(N236-$H236)),IF(N236&lt;&gt;0,(N236-$H236),0))))</f>
        <v> </v>
      </c>
      <c r="X236" s="316" t="str">
        <f aca="false">IF($A236="N/A"," ",IF(Pricetype=2,MAX(O236-$H236,0),IF(O236&lt;&gt;0,IF(Pricetype=1,(xSPRDOPT(O236,$E236,$CI236,0,($CD236+IF(Smile=TRUE(),VLOOKUP(MAX(-5,$H236-O236),Volsmile,2),0)),$CG236,$CH236,($A236-DateToday)+15,1,0)),O236-$H236),0)))</f>
        <v> </v>
      </c>
      <c r="Y236" s="316" t="str">
        <f aca="false">IF($A236="N/A"," ",IF(Pricetype=2,MAX(P236-$H236,0),IF(P236&lt;&gt;0,IF(Pricetype=1,(xSPRDOPT(P236,$E236,$CI236,0,($CD236+IF(Smile=TRUE(),VLOOKUP(MAX(-5,$H236-P236),Volsmile,2),0)),$CG236,$CH236,($A236-DateToday)+15,1,0)),P236-$H236),0)))</f>
        <v> </v>
      </c>
      <c r="Z236" s="317" t="str">
        <f aca="false">IF($A236="N/A"," ",(IF(Pricetype=2,IF((Q236-$H236)&lt;=0,0,(Q236-$H236)),IF(Q236&lt;&gt;0,(Q236-$H236),0))))</f>
        <v> </v>
      </c>
      <c r="AA236" s="318" t="str">
        <f aca="false">IF($A236="N/A"," ",IF(VLOOKUP(MONTH(A236),ManualTable,2)=1,(IF(0&lt;&gt;R236,IF(Pricetype=1,(xSPRDOPT(I236,$E236,$CI236,0,($CD236+IF(Smile=TRUE(),VLOOKUP(MAX(-5,$H236-I236),Volsmile,2),0)),$CG236,$CH236,($A236-DateToday)+15,1,1))*(8*$HD236),8*$HD236),0)),0))</f>
        <v> </v>
      </c>
      <c r="AB236" s="318" t="str">
        <f aca="false">IF($A236="N/A"," ",IF(VLOOKUP(MONTH(A236),ManualTable,3)=1,(IF(S236&lt;&gt;0,IF(Pricetype=1,(xSPRDOPT(J236,$E236,$CI236,0,($CD236+IF(Smile=TRUE(),VLOOKUP(MAX(-5,$H236-J236),Volsmile,2),0)),$CG236,$CH236,($A236-DateToday)+15,1,1))*(8*$HD236),8*$HD236),0)),0))</f>
        <v> </v>
      </c>
      <c r="AC236" s="318" t="str">
        <f aca="false">IF($A236="N/A"," ",IF(VLOOKUP(MONTH(A236),ManualTable,4)=1,(IF(T236&lt;&gt;0,(8*$HD236),0)),0))</f>
        <v> </v>
      </c>
      <c r="AD236" s="318" t="str">
        <f aca="false">IF($A236="N/A"," ",IF(VLOOKUP(MONTH(A236),ManualTable,5)=1,(IF(U236&lt;&gt;0,IF(Pricetype=1,(xSPRDOPT(L236,$E236,$CI236,0,($CD236+IF(Smile=TRUE(),VLOOKUP(MAX(-5,$H236-L236),Volsmile,2),0)),$CG236,$CH236,($A236-DateToday)+15,1,1))*(8*$HE236),8*$HE236),0)),0))</f>
        <v> </v>
      </c>
      <c r="AE236" s="318" t="str">
        <f aca="false">IF($A236="N/A"," ",IF(VLOOKUP(MONTH(A236),ManualTable,6)=1,(IF(V236&lt;&gt;0,IF(Pricetype=1,(xSPRDOPT(M236,$E236,$CI236,0,($CD236+IF(Smile=TRUE(),VLOOKUP(MAX(-5,$H236-M236),Volsmile,2),0)),$CG236,$CH236,($A236-DateToday)+15,1,1))*(8*$HE236),8*$HE236),0)),0))</f>
        <v> </v>
      </c>
      <c r="AF236" s="318" t="str">
        <f aca="false">IF($A236="N/A"," ",IF(VLOOKUP(MONTH(A236),ManualTable,7)=1,(IF(W236&lt;&gt;0,(8*$HE236),0)),0))</f>
        <v> </v>
      </c>
      <c r="AG236" s="318" t="str">
        <f aca="false">IF($A236="N/A"," ",IF(VLOOKUP(MONTH(A236),ManualTable,8)=1,(IF(X236&lt;&gt;0,IF(Pricetype=1,(xSPRDOPT(O236,$E236,$CI236,0,($CD236+IF(Smile=TRUE(),VLOOKUP(MAX(-5,$H236-O236),Volsmile,2),0)),$CG236,$CH236,($A236-DateToday)+15,1,1))*(8*$HF236),8*$HF236),0)),0))</f>
        <v> </v>
      </c>
      <c r="AH236" s="318" t="str">
        <f aca="false">IF($A236="N/A"," ",IF(VLOOKUP(MONTH(A236),ManualTable,9)=1,(IF(Y236&lt;&gt;0,IF(Pricetype=1,(xSPRDOPT(P236,$E236,$CI236,0,($CD236+IF(Smile=TRUE(),VLOOKUP(MAX(-5,$H236-P236),Volsmile,2),0)),$CG236,$CH236,($A236-DateToday)+15,1,1))*(8*$HF236),8*$HF236),0)),0))</f>
        <v> </v>
      </c>
      <c r="AI236" s="318" t="str">
        <f aca="false">IF($A236="N/A"," ",IF(VLOOKUP(MONTH(A236),ManualTable,10)=1,(IF(Z236&lt;&gt;0,(8*($HF236)),0)),0))</f>
        <v> </v>
      </c>
      <c r="AJ236" s="344" t="str">
        <f aca="false">IF($A236="N/A"," ",RANK(R236,$R$232:$Z$243))</f>
        <v> </v>
      </c>
      <c r="AK236" s="321" t="str">
        <f aca="false">IF($A236="N/A"," ",RANK(S236,$R$232:$Z$243))</f>
        <v> </v>
      </c>
      <c r="AL236" s="321" t="str">
        <f aca="false">IF($A236="N/A"," ",RANK(T236,$R$232:$Z$243))</f>
        <v> </v>
      </c>
      <c r="AM236" s="321" t="str">
        <f aca="false">IF($A236="N/A"," ",RANK(U236,$R$232:$Z$243))</f>
        <v> </v>
      </c>
      <c r="AN236" s="321" t="str">
        <f aca="false">IF($A236="N/A"," ",RANK(V236,$R$232:$Z$243))</f>
        <v> </v>
      </c>
      <c r="AO236" s="321" t="str">
        <f aca="false">IF($A236="N/A"," ",RANK(W236,$R$232:$Z$243))</f>
        <v> </v>
      </c>
      <c r="AP236" s="321" t="str">
        <f aca="false">IF($A236="N/A"," ",RANK(X236,$R$232:$Z$243))</f>
        <v> </v>
      </c>
      <c r="AQ236" s="321" t="str">
        <f aca="false">IF($A236="N/A"," ",RANK(Y236,$R$232:$Z$243))</f>
        <v> </v>
      </c>
      <c r="AR236" s="345" t="str">
        <f aca="false">IF($A236="N/A"," ",RANK(Z236,$R$232:$Z$243))</f>
        <v> </v>
      </c>
      <c r="AS236" s="323" t="str">
        <f aca="false">IF($A236="N/A"," ",IF(AJ236&lt;=$AR$2,AA236,0))</f>
        <v> </v>
      </c>
      <c r="AT236" s="325" t="str">
        <f aca="false">IF($A236="N/A"," ",IF(AK236&lt;=$AR$2,AB236,0))</f>
        <v> </v>
      </c>
      <c r="AU236" s="325" t="str">
        <f aca="false">IF($A236="N/A"," ",IF(AL236&lt;=$AR$2,AC236,0))</f>
        <v> </v>
      </c>
      <c r="AV236" s="325" t="str">
        <f aca="false">IF($A236="N/A"," ",IF(AM236&lt;=$AR$2,AD236,0))</f>
        <v> </v>
      </c>
      <c r="AW236" s="325" t="str">
        <f aca="false">IF($A236="N/A"," ",IF(AN236&lt;=$AR$2,AE236,0))</f>
        <v> </v>
      </c>
      <c r="AX236" s="325" t="str">
        <f aca="false">IF($A236="N/A"," ",IF(AO236&lt;=$AR$2,AF236,0))</f>
        <v> </v>
      </c>
      <c r="AY236" s="325" t="str">
        <f aca="false">IF($A236="N/A"," ",IF(AP236&lt;=$AR$2,AG236,0))</f>
        <v> </v>
      </c>
      <c r="AZ236" s="325" t="str">
        <f aca="false">IF($A236="N/A"," ",IF(AQ236&lt;=$AR$2,AH236,0))</f>
        <v> </v>
      </c>
      <c r="BA236" s="325" t="str">
        <f aca="false">IF($A236="N/A"," ",IF(AR236&lt;=$AR$2,AI236,0))</f>
        <v> </v>
      </c>
      <c r="BB236" s="345"/>
      <c r="BC236" s="326" t="str">
        <f aca="false">IF($A236="N/A"," ",IF(AND(AJ236=$AR$2+1,AS236=0),MIN($BB$243,AA236),0))</f>
        <v> </v>
      </c>
      <c r="BD236" s="346" t="str">
        <f aca="false">IF($A236="N/A"," ",IF(AND(AK236=$AR$2+1,AT236=0),MIN($BB$243,AB236),0))</f>
        <v> </v>
      </c>
      <c r="BE236" s="346" t="str">
        <f aca="false">IF($A236="N/A"," ",IF(AND(AL236=$AR$2+1,AU236=0),MIN($BB$243,AC236),0))</f>
        <v> </v>
      </c>
      <c r="BF236" s="346" t="str">
        <f aca="false">IF($A236="N/A"," ",IF(AND(AM236=$AR$2+1,AV236=0),MIN($BB$243,AD236),0))</f>
        <v> </v>
      </c>
      <c r="BG236" s="346" t="str">
        <f aca="false">IF($A236="N/A"," ",IF(AND(AN236=$AR$2+1,AW236=0),MIN($BB$243,AE236),0))</f>
        <v> </v>
      </c>
      <c r="BH236" s="346" t="str">
        <f aca="false">IF($A236="N/A"," ",IF(AND(AO236=$AR$2+1,AX236=0),MIN($BB$243,AF236),0))</f>
        <v> </v>
      </c>
      <c r="BI236" s="346" t="str">
        <f aca="false">IF($A236="N/A"," ",IF(AND(AP236=$AR$2+1,AY236=0),MIN($BB$243,AG236),0))</f>
        <v> </v>
      </c>
      <c r="BJ236" s="346" t="str">
        <f aca="false">IF($A236="N/A"," ",IF(AND(AQ236=$AR$2+1,AZ236=0),MIN($BB$243,AH236),0))</f>
        <v> </v>
      </c>
      <c r="BK236" s="346" t="str">
        <f aca="false">IF($A236="N/A"," ",IF(AND(AR236=$AR$2+1,BA236=0),MIN($BB$243,AI236),0))</f>
        <v> </v>
      </c>
      <c r="BL236" s="345"/>
      <c r="BM236" s="329" t="str">
        <f aca="false">IF($A236="N/A"," ",(IF(MONTH(A236)&gt;=4,IF(MONTH(A236)&lt;=10,Inputs!$F$13-Inputs!$G$13,Inputs!$F$14-Inputs!$G$14),Inputs!$F$14-Inputs!$G$14))*$CK236*Availability)</f>
        <v> </v>
      </c>
      <c r="BN236" s="330" t="str">
        <f aca="false">IF($A236="N/A"," ",(IF(AS236&gt;0,($BM236*(8*($HD236))*R236),0)+IF(BC236&gt;0,($BM236*((BC236/AA236)*8*$HD236)*R236),0)))</f>
        <v> </v>
      </c>
      <c r="BO236" s="330" t="str">
        <f aca="false">IF($A236="N/A"," ",(IF(AT236&gt;0,($BM236*(8*($HD236))*S236),0)+IF(BD236&gt;0,($BM236*((BD236/AB236)*8*$HD236)*S236),0)))</f>
        <v> </v>
      </c>
      <c r="BP236" s="330" t="str">
        <f aca="false">IF($A236="N/A"," ",(IF(AU236&gt;0,($BM236*(8*($HD236))*T236),0)+IF(BE236&gt;0,($BM236*((BE236))*T236),0)))</f>
        <v> </v>
      </c>
      <c r="BQ236" s="330" t="str">
        <f aca="false">IF($A236="N/A"," ",(IF(AV236&gt;0,($BM236*(8*($HE236))*U236),0)+IF(BF236&gt;0,($BM236*((BF236/AD236)*8*$HE236)*U236),0)))</f>
        <v> </v>
      </c>
      <c r="BR236" s="330" t="str">
        <f aca="false">IF($A236="N/A"," ",(IF(AW236&gt;0,($BM236*(8*($HE236))*V236),0)+IF(BG236&gt;0,($BM236*((BG236/AE236)*8*$HE236)*V236),0)))</f>
        <v> </v>
      </c>
      <c r="BS236" s="330" t="str">
        <f aca="false">IF($A236="N/A"," ",(IF(AX236&gt;0,($BM236*(8*($HE236))*W236),0)+IF(BH236&gt;0,($BM236*((BH236))*W236),0)))</f>
        <v> </v>
      </c>
      <c r="BT236" s="330" t="str">
        <f aca="false">IF($A236="N/A"," ",(IF(AY236&gt;0,($BM236*(8*($HF236))*X236),0)+IF(BI236&gt;0,($BM236*((BI236/AG236)*8*$HF236)*X236),0)))</f>
        <v> </v>
      </c>
      <c r="BU236" s="330" t="str">
        <f aca="false">IF($A236="N/A"," ",(IF(AZ236&gt;0,($BM236*(8*($HF236))*Y236),0)+IF(BJ236&gt;0,($BM236*((BJ236/AH236)*8*$HF236)*Y236),0)))</f>
        <v> </v>
      </c>
      <c r="BV236" s="330" t="str">
        <f aca="false">IF($A236="N/A"," ",(IF(BA236&gt;0,($BM236*(8*($HF236))*Z236),0)+IF(BK236&gt;0,($BM236*((BK236))*Z236),0)))</f>
        <v> </v>
      </c>
      <c r="BW236" s="330" t="str">
        <f aca="false">IF($A236="N/A"," ",SUM(BN236:BV236))</f>
        <v> </v>
      </c>
      <c r="BX236" s="331" t="str">
        <f aca="false">IF($A236="N/A"," ",(H236*(SUM(AS236:BA236)+SUM(BC236:BK236))*BM236))</f>
        <v> </v>
      </c>
      <c r="BY236" s="332" t="str">
        <f aca="false">IF($A236="N/A"," ",((C236*D236)*(SUM($AS236:$BA236)+SUM($BC236:$BK236))*$BM236))</f>
        <v> </v>
      </c>
      <c r="BZ236" s="332" t="str">
        <f aca="false">IF($A236="N/A"," ",(F236*(SUM($AS236:$BA236)+SUM($BC236:$BK236))*$BM236))</f>
        <v> </v>
      </c>
      <c r="CA236" s="333" t="str">
        <f aca="false">IF($A236="N/A"," ",(G236*(SUM($AS236:$BA236)+SUM($BC236:$BK236))*$BM236))</f>
        <v> </v>
      </c>
      <c r="CB236" s="334" t="str">
        <f aca="false">IF(A236="N/A"," ",(VLOOKUP(A236,PowerVolTable,(IF(BMO=2,7,IF(BMO=1,6,8))),FALSE())))</f>
        <v> </v>
      </c>
      <c r="CC236" s="334" t="str">
        <f aca="false">IF(A236="N/A"," ",(VLOOKUP(A236,IntraPowerVol,(IF(BMO=2,3,IF(BMO=1,2,4))),FALSE())*VLOOKUP(MONTH($A236),Volscale,2)))</f>
        <v> </v>
      </c>
      <c r="CD236" s="335" t="str">
        <f aca="false">IF($A236="N/A"," ",(IF(DateToday&gt;$A236,$CC236,((($CB236^2)*((($A236-1)-DateToday)/((EOMONTH($A236,0)+1)-DateToday-15)))+((($CC236)^2)*((15)/((EOMONTH($A236,0)+1)-DateToday-15))))^0.5)))</f>
        <v> </v>
      </c>
      <c r="CE236" s="334" t="str">
        <f aca="false">IF($A236="N/A"," ",(VLOOKUP($A236,GasVolTable,(IF(BMO=2,6,IF(BMO=1,7,5))),FALSE())))</f>
        <v> </v>
      </c>
      <c r="CF236" s="334" t="str">
        <f aca="false">IF($A236="N/A"," ",(VLOOKUP($A236,OmicronVol,(IF(BMO=2,3,IF(BMO=1,4,2))),FALSE())))</f>
        <v> </v>
      </c>
      <c r="CG236" s="335" t="str">
        <f aca="false">IF($A236="N/A"," ",(IF(DateToday&gt;$A236,$CF236,((($CE236^2)*((($A236-1)-DateToday)/((EOMONTH($A236,0)+1)-DateToday-15)))+((($CF236)^2)*((15)/((EOMONTH($A236,0)+1)-DateToday-15))))^0.5)))</f>
        <v> </v>
      </c>
      <c r="CH236" s="334" t="str">
        <f aca="false">IF($A236="N/A"," ",VLOOKUP($A236,CorrelationTable,2,FALSE()))</f>
        <v> </v>
      </c>
      <c r="CI236" s="336" t="str">
        <f aca="false">IF($A236="N/A"," ",F236+G236+(D236*('Pricing Inputs'!T269)))</f>
        <v> </v>
      </c>
      <c r="CJ236" s="334" t="str">
        <f aca="false">IF($A236="N/A"," ",IF(PV=1,0,'Pricing Inputs'!U269))</f>
        <v> </v>
      </c>
      <c r="CK236" s="337" t="str">
        <f aca="false">IF($A236="N/A"," ",(1+CJ236/2)^(-2*((EOMONTH(A236,0)+20)-DateToday)/365.25))</f>
        <v> </v>
      </c>
      <c r="CL236" s="338" t="str">
        <f aca="false">IF(A236="N/A"," ",IF(CC=2,(VLOOKUP(MONTH($A236),Hrtable,3))/1000,0))</f>
        <v> </v>
      </c>
      <c r="CM236" s="339" t="str">
        <f aca="false">IF(A236="N/A"," ",IF(CC=2,(CL236*C236)+F236,0))</f>
        <v> </v>
      </c>
      <c r="CN236" s="340" t="str">
        <f aca="false">IF($A236="N/A"," ",IF(CC=2,(VLOOKUP(A236,ScaledPrice,(IF(AND(Dayrun&gt;=1,Dayrun&lt;=6),2,4)))-((IF(R236&lt;&gt;0,$D236,$CL236)*$C236)+$F236+$G236)),0))</f>
        <v> </v>
      </c>
      <c r="CO236" s="340" t="str">
        <f aca="false">IF($A236="N/A"," ",IF(CC=2,(IF(AND(Dayrun&gt;=1,Dayrun&lt;=6),I236,(VLOOKUP(A236,ScaledPrice,2))*(2-(VLOOKUP(A236,ScaledPrice,3))))-((IF(S236&lt;&gt;0,$D236,$CL236)*$C236)+$F236+$G236)),0))</f>
        <v> </v>
      </c>
      <c r="CP236" s="340" t="str">
        <f aca="false">IF(A236="N/A"," ",IF(CC=2,(VLOOKUP(A236,ScaledPrice,9)-((IF(T236&lt;&gt;0,$D236,$CL236)*$C236)+$F236+$G236)),0))</f>
        <v> </v>
      </c>
      <c r="CQ236" s="340" t="str">
        <f aca="false">IF(A236="N/A"," ",IF(CC=2,(IF(OR(Dayrun=2,Dayrun=3,Dayrun=5,Dayrun=6,Dayrun=8,Dayrun=9),VLOOKUP(A236,ScaledPrice,IF(AND(Dayrun&gt;=2,Dayrun&lt;=6),5,6)),0)-((IF(U236&lt;&gt;0,$D236,$CL236)*$C236)+$F236+$G236)),0))</f>
        <v> </v>
      </c>
      <c r="CR236" s="340" t="str">
        <f aca="false">IF(A236="N/A"," ",IF(CC=2,(IF(OR(Dayrun=2,Dayrun=3,Dayrun=5,Dayrun=6,Dayrun=8,Dayrun=9),IF(AND(Dayrun&gt;=2,Dayrun&lt;=6),L236,(VLOOKUP(A236,ScaledPrice,5))*(2-(VLOOKUP(A236,ScaledPrice,3)))),0)-((IF(V236&lt;&gt;0,$D236,$CL236)*$C236)+$F236+$G236)),0))</f>
        <v> </v>
      </c>
      <c r="CS236" s="340" t="str">
        <f aca="false">IF(A236="N/A"," ",IF(CC=2,(VLOOKUP(A236,ScaledPrice,9)-((IF(W236&lt;&gt;0,$D236,$CL236)*$C236)+$F236+$G236)),0))</f>
        <v> </v>
      </c>
      <c r="CT236" s="340" t="str">
        <f aca="false">IF(A236="N/A"," ",IF(CC=2,(IF(OR(Dayrun=3,Dayrun=6,Dayrun=9),(VLOOKUP(A236,ScaledPrice,IF(AND(Dayrun&gt;=3,Dayrun&lt;=6),7,8))),0)-((IF(X236&lt;&gt;0,$D236,$CL236)*$C236)+$F236+$G236)),0))</f>
        <v> </v>
      </c>
      <c r="CU236" s="340" t="str">
        <f aca="false">IF(A236="N/A"," ",IF(CC=2,(IF(OR(Dayrun=3,Dayrun=6,Dayrun=9),IF(AND(Dayrun&gt;=3,Dayrun&lt;=6),O236,(VLOOKUP(A236,ScaledPrice,7))*(2-(VLOOKUP(A236,ScaledPrice,3)))),0)-((IF(Y236&lt;&gt;0,$D236,$CL236)*$C236)+$F236+$G236)),0))</f>
        <v> </v>
      </c>
      <c r="CV236" s="340" t="str">
        <f aca="false">IF(A236="N/A"," ",IF(CC=2,(VLOOKUP(A236,ScaledPrice,9)-((IF(Z236&lt;&gt;0,$D236,$CL236)*$C236)+$F236+$G236)),0))</f>
        <v> </v>
      </c>
      <c r="CW236" s="318" t="str">
        <f aca="false">IF($A236="N/A"," ",IF(0&lt;&gt;CN236,IF(CC=2,8*$HD236,0),0))</f>
        <v> </v>
      </c>
      <c r="CX236" s="318" t="str">
        <f aca="false">IF($A236="N/A"," ",IF(0&lt;&gt;CO236,IF(CC=2,8*$HD236,0),0))</f>
        <v> </v>
      </c>
      <c r="CY236" s="318" t="str">
        <f aca="false">IF($A236="N/A"," ",IF(0&lt;&gt;CP236,IF(CC=2,8*$HD236,0),0))</f>
        <v> </v>
      </c>
      <c r="CZ236" s="318" t="str">
        <f aca="false">IF($A236="N/A"," ",IF(0&lt;&gt;CQ236,IF(CC=2,8*$HE236,0),0))</f>
        <v> </v>
      </c>
      <c r="DA236" s="318" t="str">
        <f aca="false">IF($A236="N/A"," ",IF(0&lt;&gt;CR236,IF(CC=2,8*$HE236,0),0))</f>
        <v> </v>
      </c>
      <c r="DB236" s="318" t="str">
        <f aca="false">IF($A236="N/A"," ",IF(0&lt;&gt;CS236,IF(CC=2,8*$HE236,0),0))</f>
        <v> </v>
      </c>
      <c r="DC236" s="318" t="str">
        <f aca="false">IF($A236="N/A"," ",IF(0&lt;&gt;CT236,IF(CC=2,8*$HF236,0),0))</f>
        <v> </v>
      </c>
      <c r="DD236" s="318" t="str">
        <f aca="false">IF($A236="N/A"," ",IF(0&lt;&gt;CU236,IF(CC=2,8*$HF236,0),0))</f>
        <v> </v>
      </c>
      <c r="DE236" s="318" t="str">
        <f aca="false">IF($A236="N/A"," ",IF(0&lt;&gt;CV236,IF(CC=2,8*$HF236,0),0))</f>
        <v> </v>
      </c>
      <c r="DF236" s="341" t="str">
        <f aca="false">IF($A236="N/A"," ",IF(CC=2,(IF(MONTH(A236)&gt;=4,IF(MONTH(A236)&lt;=10,Inputs!$G$13,Inputs!$G$14),Inputs!$G$14))*$CK236,0))</f>
        <v> </v>
      </c>
      <c r="DG236" s="342" t="str">
        <f aca="false">IF($A236="N/A"," ",IF(CC=2,$DF236*CW236*CN236,0))</f>
        <v> </v>
      </c>
      <c r="DH236" s="342" t="str">
        <f aca="false">IF($A236="N/A"," ",IF(CC=2,$DF236*CX236*CO236,0))</f>
        <v> </v>
      </c>
      <c r="DI236" s="342" t="str">
        <f aca="false">IF($A236="N/A"," ",IF(CC=2,$DF236*CY236*CP236,0))</f>
        <v> </v>
      </c>
      <c r="DJ236" s="342" t="str">
        <f aca="false">IF($A236="N/A"," ",IF(CC=2,$DF236*CZ236*CQ236,0))</f>
        <v> </v>
      </c>
      <c r="DK236" s="342" t="str">
        <f aca="false">IF($A236="N/A"," ",IF(CC=2,$DF236*DA236*CR236,0))</f>
        <v> </v>
      </c>
      <c r="DL236" s="342" t="str">
        <f aca="false">IF($A236="N/A"," ",IF(CC=2,$DF236*DB236*CS236,0))</f>
        <v> </v>
      </c>
      <c r="DM236" s="342" t="str">
        <f aca="false">IF($A236="N/A"," ",IF(CC=2,$DF236*DC236*CT236,0))</f>
        <v> </v>
      </c>
      <c r="DN236" s="342" t="str">
        <f aca="false">IF($A236="N/A"," ",IF(CC=2,$DF236*DD236*CU236,0))</f>
        <v> </v>
      </c>
      <c r="DO236" s="342" t="str">
        <f aca="false">IF($A236="N/A"," ",IF(CC=2,$DF236*DE236*CV236,0))</f>
        <v> </v>
      </c>
      <c r="DP236" s="343" t="str">
        <f aca="false">IF($A236="N/A"," ",IF(CC=2,SUM(DG236:DO236),0))</f>
        <v> </v>
      </c>
      <c r="DQ236" s="0" t="str">
        <f aca="false">IF(A236="N/A"," ",Perstart)</f>
        <v> </v>
      </c>
      <c r="HD236" s="0" t="str">
        <f aca="false">IF($A236="N/A"," ",VLOOKUP($A236,NumberofDaysTable,2))</f>
        <v> </v>
      </c>
      <c r="HE236" s="0" t="str">
        <f aca="false">IF($A236="N/A"," ",VLOOKUP($A236,NumberofDaysTable,3))</f>
        <v> </v>
      </c>
      <c r="HF236" s="0" t="str">
        <f aca="false">IF($A236="N/A"," ",VLOOKUP($A236,NumberofDaysTable,4))</f>
        <v> </v>
      </c>
    </row>
    <row r="237" customFormat="false" ht="12.75" hidden="false" customHeight="false" outlineLevel="0" collapsed="false">
      <c r="A237" s="308" t="str">
        <f aca="false">IF(A236="N/A","N/A",IF(EDATE(A236,1)&gt;Inputs!$K$3,"N/A",EDATE(A236,1)))</f>
        <v>N/A</v>
      </c>
      <c r="B237" s="309" t="str">
        <f aca="false">IF(A237="N/A"," ",YEAR(A237))</f>
        <v> </v>
      </c>
      <c r="C237" s="310" t="str">
        <f aca="false">IF(A237="N/A"," ",VLOOKUP(A237,ScaledPrice,10))</f>
        <v> </v>
      </c>
      <c r="D237" s="311" t="str">
        <f aca="false">IF(A237="N/A"," ",(VLOOKUP(MONTH($A237),Hrtable,2))/1000)</f>
        <v> </v>
      </c>
      <c r="E237" s="312" t="str">
        <f aca="false">IF($A237="N/A"," ",(C237-'Pricing Inputs'!T270)*D237)</f>
        <v> </v>
      </c>
      <c r="F237" s="313" t="str">
        <f aca="false">IF(A237="N/A"," ",$F225*(1+VOMesc))</f>
        <v> </v>
      </c>
      <c r="G237" s="313" t="str">
        <f aca="false">IF(A237="N/A"," ",Perstart/IF(AND(Dayrun&gt;=4,Dayrun&lt;=6),16,IF(AND(Dayrun&gt;=7,Dayrun&lt;=9),8,24))/(BM237/CK237))</f>
        <v> </v>
      </c>
      <c r="H237" s="314" t="str">
        <f aca="false">IF(A237="N/A"," ",(C237*D237)+F237+G237)</f>
        <v> </v>
      </c>
      <c r="I237" s="315" t="str">
        <f aca="false">VLOOKUP(A237,ScaledPrice,(IF(AND(Dayrun&gt;=1,Dayrun&lt;=6),2,4)))</f>
        <v> </v>
      </c>
      <c r="J237" s="315" t="str">
        <f aca="false">IF(A237="N/A"," ",IF(AND(Dayrun&gt;=1,Dayrun&lt;=6),I237,(VLOOKUP(A237,ScaledPrice,2))*(2-(VLOOKUP(A237,ScaledPrice,3)))))</f>
        <v> </v>
      </c>
      <c r="K237" s="315" t="str">
        <f aca="false">IF(A237="N/A"," ",IF(AND(Dayrun&gt;=1,Dayrun&lt;=3),VLOOKUP(A237,ScaledPrice,9),0))</f>
        <v> </v>
      </c>
      <c r="L237" s="315" t="str">
        <f aca="false">IF(A237="N/A"," ",IF(OR(Dayrun=2,Dayrun=3,Dayrun=5,Dayrun=6,Dayrun=8,Dayrun=9),VLOOKUP(A237,ScaledPrice,IF(AND(Dayrun&gt;=2,Dayrun&lt;=6),5,6)),0))</f>
        <v> </v>
      </c>
      <c r="M237" s="315" t="str">
        <f aca="false">IF(A237="N/A"," ",IF(OR(Dayrun=2,Dayrun=3,Dayrun=5,Dayrun=6,Dayrun=8,Dayrun=9),IF(AND(Dayrun&gt;=2,Dayrun&lt;=6),L237,(VLOOKUP(A237,ScaledPrice,5))*(2-(VLOOKUP(A237,ScaledPrice,3)))),0))</f>
        <v> </v>
      </c>
      <c r="N237" s="315" t="str">
        <f aca="false">IF(A237="N/A"," ",IF(AND(Dayrun&gt;1,Dayrun&lt;=3),VLOOKUP(A237,ScaledPrice,9),0))</f>
        <v> </v>
      </c>
      <c r="O237" s="315" t="str">
        <f aca="false">IF(A237="N/A"," ",IF(OR(Dayrun=3,Dayrun=6,Dayrun=9),(VLOOKUP(A237,ScaledPrice,IF(AND(Dayrun&gt;=3,Dayrun&lt;=6),7,8))),0))</f>
        <v> </v>
      </c>
      <c r="P237" s="315" t="str">
        <f aca="false">IF(A237="N/A"," ",IF(OR(Dayrun=3,Dayrun=6,Dayrun=9),IF(AND(Dayrun&gt;=3,Dayrun&lt;=6),O237,(VLOOKUP(A237,ScaledPrice,7))*(2-(VLOOKUP(A237,ScaledPrice,3)))),0))</f>
        <v> </v>
      </c>
      <c r="Q237" s="315" t="str">
        <f aca="false">IF(A237="N/A"," ",IF(AND(Dayrun&gt;2,Dayrun&lt;=3),VLOOKUP(A237,ScaledPrice,9),0))</f>
        <v> </v>
      </c>
      <c r="R237" s="316" t="str">
        <f aca="false">IF($A237="N/A"," ",IF(Pricetype=2,MAX(I237-$H237,0),IF(Pricetype=1,(xSPRDOPT(I237,$E237,$CI237,0,($CD237+IF(Smile=TRUE(),VLOOKUP(MAX(-5,$H237-I237),Volsmile,2),0)),$CG237,$CH237,($A237-DateToday)+15,1,0)),I237-$H237)))</f>
        <v> </v>
      </c>
      <c r="S237" s="316" t="str">
        <f aca="false">IF($A237="N/A"," ",IF(Pricetype=2,MAX(J237-$H237,0),IF(Pricetype=1,(xSPRDOPT(J237,$E237,$CI237,0,($CD237+IF(Smile=TRUE(),VLOOKUP(MAX(-5,$H237-J237),Volsmile,2),0)),$CG237,$CH237,($A237-DateToday)+15,1,0)),J237-$H237)))</f>
        <v> </v>
      </c>
      <c r="T237" s="317" t="str">
        <f aca="false">IF($A237="N/A"," ",(IF(Pricetype=2,IF((K237-$H237)&lt;=0,0,(K237-$H237)),IF(K237&lt;&gt;0,(K237-$H237),0))))</f>
        <v> </v>
      </c>
      <c r="U237" s="316" t="str">
        <f aca="false">IF($A237="N/A"," ",IF(Pricetype=2,MAX(L237-$H237,0),IF(L237&lt;&gt;0,IF(Pricetype=1,(xSPRDOPT(L237,$E237,$CI237,0,($CD237+IF(Smile=TRUE(),VLOOKUP(MAX(-5,$H237-L237),Volsmile,2),0)),$CG237,$CH237,($A237-DateToday)+15,1,0)),L237-$H237),0)))</f>
        <v> </v>
      </c>
      <c r="V237" s="316" t="str">
        <f aca="false">IF($A237="N/A"," ",IF(Pricetype=2,MAX(M237-$H237,0),IF(M237&lt;&gt;0,IF(Pricetype=1,(xSPRDOPT(M237,$E237,$CI237,0,($CD237+IF(Smile=TRUE(),VLOOKUP(MAX(-5,$H237-M237),Volsmile,2),0)),$CG237,$CH237,($A237-DateToday)+15,1,0)),M237-$H237),0)))</f>
        <v> </v>
      </c>
      <c r="W237" s="317" t="str">
        <f aca="false">IF($A237="N/A"," ",(IF(Pricetype=2,IF((N237-$H237)&lt;=0,0,(N237-$H237)),IF(N237&lt;&gt;0,(N237-$H237),0))))</f>
        <v> </v>
      </c>
      <c r="X237" s="316" t="str">
        <f aca="false">IF($A237="N/A"," ",IF(Pricetype=2,MAX(O237-$H237,0),IF(O237&lt;&gt;0,IF(Pricetype=1,(xSPRDOPT(O237,$E237,$CI237,0,($CD237+IF(Smile=TRUE(),VLOOKUP(MAX(-5,$H237-O237),Volsmile,2),0)),$CG237,$CH237,($A237-DateToday)+15,1,0)),O237-$H237),0)))</f>
        <v> </v>
      </c>
      <c r="Y237" s="316" t="str">
        <f aca="false">IF($A237="N/A"," ",IF(Pricetype=2,MAX(P237-$H237,0),IF(P237&lt;&gt;0,IF(Pricetype=1,(xSPRDOPT(P237,$E237,$CI237,0,($CD237+IF(Smile=TRUE(),VLOOKUP(MAX(-5,$H237-P237),Volsmile,2),0)),$CG237,$CH237,($A237-DateToday)+15,1,0)),P237-$H237),0)))</f>
        <v> </v>
      </c>
      <c r="Z237" s="317" t="str">
        <f aca="false">IF($A237="N/A"," ",(IF(Pricetype=2,IF((Q237-$H237)&lt;=0,0,(Q237-$H237)),IF(Q237&lt;&gt;0,(Q237-$H237),0))))</f>
        <v> </v>
      </c>
      <c r="AA237" s="318" t="str">
        <f aca="false">IF($A237="N/A"," ",IF(VLOOKUP(MONTH(A237),ManualTable,2)=1,(IF(0&lt;&gt;R237,IF(Pricetype=1,(xSPRDOPT(I237,$E237,$CI237,0,($CD237+IF(Smile=TRUE(),VLOOKUP(MAX(-5,$H237-I237),Volsmile,2),0)),$CG237,$CH237,($A237-DateToday)+15,1,1))*(8*$HD237),8*$HD237),0)),0))</f>
        <v> </v>
      </c>
      <c r="AB237" s="318" t="str">
        <f aca="false">IF($A237="N/A"," ",IF(VLOOKUP(MONTH(A237),ManualTable,3)=1,(IF(S237&lt;&gt;0,IF(Pricetype=1,(xSPRDOPT(J237,$E237,$CI237,0,($CD237+IF(Smile=TRUE(),VLOOKUP(MAX(-5,$H237-J237),Volsmile,2),0)),$CG237,$CH237,($A237-DateToday)+15,1,1))*(8*$HD237),8*$HD237),0)),0))</f>
        <v> </v>
      </c>
      <c r="AC237" s="318" t="str">
        <f aca="false">IF($A237="N/A"," ",IF(VLOOKUP(MONTH(A237),ManualTable,4)=1,(IF(T237&lt;&gt;0,(8*$HD237),0)),0))</f>
        <v> </v>
      </c>
      <c r="AD237" s="318" t="str">
        <f aca="false">IF($A237="N/A"," ",IF(VLOOKUP(MONTH(A237),ManualTable,5)=1,(IF(U237&lt;&gt;0,IF(Pricetype=1,(xSPRDOPT(L237,$E237,$CI237,0,($CD237+IF(Smile=TRUE(),VLOOKUP(MAX(-5,$H237-L237),Volsmile,2),0)),$CG237,$CH237,($A237-DateToday)+15,1,1))*(8*$HE237),8*$HE237),0)),0))</f>
        <v> </v>
      </c>
      <c r="AE237" s="318" t="str">
        <f aca="false">IF($A237="N/A"," ",IF(VLOOKUP(MONTH(A237),ManualTable,6)=1,(IF(V237&lt;&gt;0,IF(Pricetype=1,(xSPRDOPT(M237,$E237,$CI237,0,($CD237+IF(Smile=TRUE(),VLOOKUP(MAX(-5,$H237-M237),Volsmile,2),0)),$CG237,$CH237,($A237-DateToday)+15,1,1))*(8*$HE237),8*$HE237),0)),0))</f>
        <v> </v>
      </c>
      <c r="AF237" s="318" t="str">
        <f aca="false">IF($A237="N/A"," ",IF(VLOOKUP(MONTH(A237),ManualTable,7)=1,(IF(W237&lt;&gt;0,(8*$HE237),0)),0))</f>
        <v> </v>
      </c>
      <c r="AG237" s="318" t="str">
        <f aca="false">IF($A237="N/A"," ",IF(VLOOKUP(MONTH(A237),ManualTable,8)=1,(IF(X237&lt;&gt;0,IF(Pricetype=1,(xSPRDOPT(O237,$E237,$CI237,0,($CD237+IF(Smile=TRUE(),VLOOKUP(MAX(-5,$H237-O237),Volsmile,2),0)),$CG237,$CH237,($A237-DateToday)+15,1,1))*(8*$HF237),8*$HF237),0)),0))</f>
        <v> </v>
      </c>
      <c r="AH237" s="318" t="str">
        <f aca="false">IF($A237="N/A"," ",IF(VLOOKUP(MONTH(A237),ManualTable,9)=1,(IF(Y237&lt;&gt;0,IF(Pricetype=1,(xSPRDOPT(P237,$E237,$CI237,0,($CD237+IF(Smile=TRUE(),VLOOKUP(MAX(-5,$H237-P237),Volsmile,2),0)),$CG237,$CH237,($A237-DateToday)+15,1,1))*(8*$HF237),8*$HF237),0)),0))</f>
        <v> </v>
      </c>
      <c r="AI237" s="318" t="str">
        <f aca="false">IF($A237="N/A"," ",IF(VLOOKUP(MONTH(A237),ManualTable,10)=1,(IF(Z237&lt;&gt;0,(8*($HF237)),0)),0))</f>
        <v> </v>
      </c>
      <c r="AJ237" s="344" t="str">
        <f aca="false">IF($A237="N/A"," ",RANK(R237,$R$232:$Z$243))</f>
        <v> </v>
      </c>
      <c r="AK237" s="321" t="str">
        <f aca="false">IF($A237="N/A"," ",RANK(S237,$R$232:$Z$243))</f>
        <v> </v>
      </c>
      <c r="AL237" s="321" t="str">
        <f aca="false">IF($A237="N/A"," ",RANK(T237,$R$232:$Z$243))</f>
        <v> </v>
      </c>
      <c r="AM237" s="321" t="str">
        <f aca="false">IF($A237="N/A"," ",RANK(U237,$R$232:$Z$243))</f>
        <v> </v>
      </c>
      <c r="AN237" s="321" t="str">
        <f aca="false">IF($A237="N/A"," ",RANK(V237,$R$232:$Z$243))</f>
        <v> </v>
      </c>
      <c r="AO237" s="321" t="str">
        <f aca="false">IF($A237="N/A"," ",RANK(W237,$R$232:$Z$243))</f>
        <v> </v>
      </c>
      <c r="AP237" s="321" t="str">
        <f aca="false">IF($A237="N/A"," ",RANK(X237,$R$232:$Z$243))</f>
        <v> </v>
      </c>
      <c r="AQ237" s="321" t="str">
        <f aca="false">IF($A237="N/A"," ",RANK(Y237,$R$232:$Z$243))</f>
        <v> </v>
      </c>
      <c r="AR237" s="345" t="str">
        <f aca="false">IF($A237="N/A"," ",RANK(Z237,$R$232:$Z$243))</f>
        <v> </v>
      </c>
      <c r="AS237" s="323" t="str">
        <f aca="false">IF($A237="N/A"," ",IF(AJ237&lt;=$AR$2,AA237,0))</f>
        <v> </v>
      </c>
      <c r="AT237" s="325" t="str">
        <f aca="false">IF($A237="N/A"," ",IF(AK237&lt;=$AR$2,AB237,0))</f>
        <v> </v>
      </c>
      <c r="AU237" s="325" t="str">
        <f aca="false">IF($A237="N/A"," ",IF(AL237&lt;=$AR$2,AC237,0))</f>
        <v> </v>
      </c>
      <c r="AV237" s="325" t="str">
        <f aca="false">IF($A237="N/A"," ",IF(AM237&lt;=$AR$2,AD237,0))</f>
        <v> </v>
      </c>
      <c r="AW237" s="325" t="str">
        <f aca="false">IF($A237="N/A"," ",IF(AN237&lt;=$AR$2,AE237,0))</f>
        <v> </v>
      </c>
      <c r="AX237" s="325" t="str">
        <f aca="false">IF($A237="N/A"," ",IF(AO237&lt;=$AR$2,AF237,0))</f>
        <v> </v>
      </c>
      <c r="AY237" s="325" t="str">
        <f aca="false">IF($A237="N/A"," ",IF(AP237&lt;=$AR$2,AG237,0))</f>
        <v> </v>
      </c>
      <c r="AZ237" s="325" t="str">
        <f aca="false">IF($A237="N/A"," ",IF(AQ237&lt;=$AR$2,AH237,0))</f>
        <v> </v>
      </c>
      <c r="BA237" s="325" t="str">
        <f aca="false">IF($A237="N/A"," ",IF(AR237&lt;=$AR$2,AI237,0))</f>
        <v> </v>
      </c>
      <c r="BB237" s="345"/>
      <c r="BC237" s="326" t="str">
        <f aca="false">IF($A237="N/A"," ",IF(AND(AJ237=$AR$2+1,AS237=0),MIN($BB$243,AA237),0))</f>
        <v> </v>
      </c>
      <c r="BD237" s="346" t="str">
        <f aca="false">IF($A237="N/A"," ",IF(AND(AK237=$AR$2+1,AT237=0),MIN($BB$243,AB237),0))</f>
        <v> </v>
      </c>
      <c r="BE237" s="346" t="str">
        <f aca="false">IF($A237="N/A"," ",IF(AND(AL237=$AR$2+1,AU237=0),MIN($BB$243,AC237),0))</f>
        <v> </v>
      </c>
      <c r="BF237" s="346" t="str">
        <f aca="false">IF($A237="N/A"," ",IF(AND(AM237=$AR$2+1,AV237=0),MIN($BB$243,AD237),0))</f>
        <v> </v>
      </c>
      <c r="BG237" s="346" t="str">
        <f aca="false">IF($A237="N/A"," ",IF(AND(AN237=$AR$2+1,AW237=0),MIN($BB$243,AE237),0))</f>
        <v> </v>
      </c>
      <c r="BH237" s="346" t="str">
        <f aca="false">IF($A237="N/A"," ",IF(AND(AO237=$AR$2+1,AX237=0),MIN($BB$243,AF237),0))</f>
        <v> </v>
      </c>
      <c r="BI237" s="346" t="str">
        <f aca="false">IF($A237="N/A"," ",IF(AND(AP237=$AR$2+1,AY237=0),MIN($BB$243,AG237),0))</f>
        <v> </v>
      </c>
      <c r="BJ237" s="346" t="str">
        <f aca="false">IF($A237="N/A"," ",IF(AND(AQ237=$AR$2+1,AZ237=0),MIN($BB$243,AH237),0))</f>
        <v> </v>
      </c>
      <c r="BK237" s="346" t="str">
        <f aca="false">IF($A237="N/A"," ",IF(AND(AR237=$AR$2+1,BA237=0),MIN($BB$243,AI237),0))</f>
        <v> </v>
      </c>
      <c r="BL237" s="345"/>
      <c r="BM237" s="329" t="str">
        <f aca="false">IF($A237="N/A"," ",(IF(MONTH(A237)&gt;=4,IF(MONTH(A237)&lt;=10,Inputs!$F$13-Inputs!$G$13,Inputs!$F$14-Inputs!$G$14),Inputs!$F$14-Inputs!$G$14))*$CK237*Availability)</f>
        <v> </v>
      </c>
      <c r="BN237" s="330" t="str">
        <f aca="false">IF($A237="N/A"," ",(IF(AS237&gt;0,($BM237*(8*($HD237))*R237),0)+IF(BC237&gt;0,($BM237*((BC237/AA237)*8*$HD237)*R237),0)))</f>
        <v> </v>
      </c>
      <c r="BO237" s="330" t="str">
        <f aca="false">IF($A237="N/A"," ",(IF(AT237&gt;0,($BM237*(8*($HD237))*S237),0)+IF(BD237&gt;0,($BM237*((BD237/AB237)*8*$HD237)*S237),0)))</f>
        <v> </v>
      </c>
      <c r="BP237" s="330" t="str">
        <f aca="false">IF($A237="N/A"," ",(IF(AU237&gt;0,($BM237*(8*($HD237))*T237),0)+IF(BE237&gt;0,($BM237*((BE237))*T237),0)))</f>
        <v> </v>
      </c>
      <c r="BQ237" s="330" t="str">
        <f aca="false">IF($A237="N/A"," ",(IF(AV237&gt;0,($BM237*(8*($HE237))*U237),0)+IF(BF237&gt;0,($BM237*((BF237/AD237)*8*$HE237)*U237),0)))</f>
        <v> </v>
      </c>
      <c r="BR237" s="330" t="str">
        <f aca="false">IF($A237="N/A"," ",(IF(AW237&gt;0,($BM237*(8*($HE237))*V237),0)+IF(BG237&gt;0,($BM237*((BG237/AE237)*8*$HE237)*V237),0)))</f>
        <v> </v>
      </c>
      <c r="BS237" s="330" t="str">
        <f aca="false">IF($A237="N/A"," ",(IF(AX237&gt;0,($BM237*(8*($HE237))*W237),0)+IF(BH237&gt;0,($BM237*((BH237))*W237),0)))</f>
        <v> </v>
      </c>
      <c r="BT237" s="330" t="str">
        <f aca="false">IF($A237="N/A"," ",(IF(AY237&gt;0,($BM237*(8*($HF237))*X237),0)+IF(BI237&gt;0,($BM237*((BI237/AG237)*8*$HF237)*X237),0)))</f>
        <v> </v>
      </c>
      <c r="BU237" s="330" t="str">
        <f aca="false">IF($A237="N/A"," ",(IF(AZ237&gt;0,($BM237*(8*($HF237))*Y237),0)+IF(BJ237&gt;0,($BM237*((BJ237/AH237)*8*$HF237)*Y237),0)))</f>
        <v> </v>
      </c>
      <c r="BV237" s="330" t="str">
        <f aca="false">IF($A237="N/A"," ",(IF(BA237&gt;0,($BM237*(8*($HF237))*Z237),0)+IF(BK237&gt;0,($BM237*((BK237))*Z237),0)))</f>
        <v> </v>
      </c>
      <c r="BW237" s="330" t="str">
        <f aca="false">IF($A237="N/A"," ",SUM(BN237:BV237))</f>
        <v> </v>
      </c>
      <c r="BX237" s="331" t="str">
        <f aca="false">IF($A237="N/A"," ",(H237*(SUM(AS237:BA237)+SUM(BC237:BK237))*BM237))</f>
        <v> </v>
      </c>
      <c r="BY237" s="332" t="str">
        <f aca="false">IF($A237="N/A"," ",((C237*D237)*(SUM($AS237:$BA237)+SUM($BC237:$BK237))*$BM237))</f>
        <v> </v>
      </c>
      <c r="BZ237" s="332" t="str">
        <f aca="false">IF($A237="N/A"," ",(F237*(SUM($AS237:$BA237)+SUM($BC237:$BK237))*$BM237))</f>
        <v> </v>
      </c>
      <c r="CA237" s="333" t="str">
        <f aca="false">IF($A237="N/A"," ",(G237*(SUM($AS237:$BA237)+SUM($BC237:$BK237))*$BM237))</f>
        <v> </v>
      </c>
      <c r="CB237" s="334" t="str">
        <f aca="false">IF(A237="N/A"," ",(VLOOKUP(A237,PowerVolTable,(IF(BMO=2,7,IF(BMO=1,6,8))),FALSE())))</f>
        <v> </v>
      </c>
      <c r="CC237" s="334" t="str">
        <f aca="false">IF(A237="N/A"," ",(VLOOKUP(A237,IntraPowerVol,(IF(BMO=2,3,IF(BMO=1,2,4))),FALSE())*VLOOKUP(MONTH($A237),Volscale,2)))</f>
        <v> </v>
      </c>
      <c r="CD237" s="335" t="str">
        <f aca="false">IF($A237="N/A"," ",(IF(DateToday&gt;$A237,$CC237,((($CB237^2)*((($A237-1)-DateToday)/((EOMONTH($A237,0)+1)-DateToday-15)))+((($CC237)^2)*((15)/((EOMONTH($A237,0)+1)-DateToday-15))))^0.5)))</f>
        <v> </v>
      </c>
      <c r="CE237" s="334" t="str">
        <f aca="false">IF($A237="N/A"," ",(VLOOKUP($A237,GasVolTable,(IF(BMO=2,6,IF(BMO=1,7,5))),FALSE())))</f>
        <v> </v>
      </c>
      <c r="CF237" s="334" t="str">
        <f aca="false">IF($A237="N/A"," ",(VLOOKUP($A237,OmicronVol,(IF(BMO=2,3,IF(BMO=1,4,2))),FALSE())))</f>
        <v> </v>
      </c>
      <c r="CG237" s="335" t="str">
        <f aca="false">IF($A237="N/A"," ",(IF(DateToday&gt;$A237,$CF237,((($CE237^2)*((($A237-1)-DateToday)/((EOMONTH($A237,0)+1)-DateToday-15)))+((($CF237)^2)*((15)/((EOMONTH($A237,0)+1)-DateToday-15))))^0.5)))</f>
        <v> </v>
      </c>
      <c r="CH237" s="334" t="str">
        <f aca="false">IF($A237="N/A"," ",VLOOKUP($A237,CorrelationTable,2,FALSE()))</f>
        <v> </v>
      </c>
      <c r="CI237" s="336" t="str">
        <f aca="false">IF($A237="N/A"," ",F237+G237+(D237*('Pricing Inputs'!T270)))</f>
        <v> </v>
      </c>
      <c r="CJ237" s="334" t="str">
        <f aca="false">IF($A237="N/A"," ",IF(PV=1,0,'Pricing Inputs'!U270))</f>
        <v> </v>
      </c>
      <c r="CK237" s="337" t="str">
        <f aca="false">IF($A237="N/A"," ",(1+CJ237/2)^(-2*((EOMONTH(A237,0)+20)-DateToday)/365.25))</f>
        <v> </v>
      </c>
      <c r="CL237" s="338" t="str">
        <f aca="false">IF(A237="N/A"," ",IF(CC=2,(VLOOKUP(MONTH($A237),Hrtable,3))/1000,0))</f>
        <v> </v>
      </c>
      <c r="CM237" s="339" t="str">
        <f aca="false">IF(A237="N/A"," ",IF(CC=2,(CL237*C237)+F237,0))</f>
        <v> </v>
      </c>
      <c r="CN237" s="340" t="str">
        <f aca="false">IF($A237="N/A"," ",IF(CC=2,(VLOOKUP(A237,ScaledPrice,(IF(AND(Dayrun&gt;=1,Dayrun&lt;=6),2,4)))-((IF(R237&lt;&gt;0,$D237,$CL237)*$C237)+$F237+$G237)),0))</f>
        <v> </v>
      </c>
      <c r="CO237" s="340" t="str">
        <f aca="false">IF($A237="N/A"," ",IF(CC=2,(IF(AND(Dayrun&gt;=1,Dayrun&lt;=6),I237,(VLOOKUP(A237,ScaledPrice,2))*(2-(VLOOKUP(A237,ScaledPrice,3))))-((IF(S237&lt;&gt;0,$D237,$CL237)*$C237)+$F237+$G237)),0))</f>
        <v> </v>
      </c>
      <c r="CP237" s="340" t="str">
        <f aca="false">IF(A237="N/A"," ",IF(CC=2,(VLOOKUP(A237,ScaledPrice,9)-((IF(T237&lt;&gt;0,$D237,$CL237)*$C237)+$F237+$G237)),0))</f>
        <v> </v>
      </c>
      <c r="CQ237" s="340" t="str">
        <f aca="false">IF(A237="N/A"," ",IF(CC=2,(IF(OR(Dayrun=2,Dayrun=3,Dayrun=5,Dayrun=6,Dayrun=8,Dayrun=9),VLOOKUP(A237,ScaledPrice,IF(AND(Dayrun&gt;=2,Dayrun&lt;=6),5,6)),0)-((IF(U237&lt;&gt;0,$D237,$CL237)*$C237)+$F237+$G237)),0))</f>
        <v> </v>
      </c>
      <c r="CR237" s="340" t="str">
        <f aca="false">IF(A237="N/A"," ",IF(CC=2,(IF(OR(Dayrun=2,Dayrun=3,Dayrun=5,Dayrun=6,Dayrun=8,Dayrun=9),IF(AND(Dayrun&gt;=2,Dayrun&lt;=6),L237,(VLOOKUP(A237,ScaledPrice,5))*(2-(VLOOKUP(A237,ScaledPrice,3)))),0)-((IF(V237&lt;&gt;0,$D237,$CL237)*$C237)+$F237+$G237)),0))</f>
        <v> </v>
      </c>
      <c r="CS237" s="340" t="str">
        <f aca="false">IF(A237="N/A"," ",IF(CC=2,(VLOOKUP(A237,ScaledPrice,9)-((IF(W237&lt;&gt;0,$D237,$CL237)*$C237)+$F237+$G237)),0))</f>
        <v> </v>
      </c>
      <c r="CT237" s="340" t="str">
        <f aca="false">IF(A237="N/A"," ",IF(CC=2,(IF(OR(Dayrun=3,Dayrun=6,Dayrun=9),(VLOOKUP(A237,ScaledPrice,IF(AND(Dayrun&gt;=3,Dayrun&lt;=6),7,8))),0)-((IF(X237&lt;&gt;0,$D237,$CL237)*$C237)+$F237+$G237)),0))</f>
        <v> </v>
      </c>
      <c r="CU237" s="340" t="str">
        <f aca="false">IF(A237="N/A"," ",IF(CC=2,(IF(OR(Dayrun=3,Dayrun=6,Dayrun=9),IF(AND(Dayrun&gt;=3,Dayrun&lt;=6),O237,(VLOOKUP(A237,ScaledPrice,7))*(2-(VLOOKUP(A237,ScaledPrice,3)))),0)-((IF(Y237&lt;&gt;0,$D237,$CL237)*$C237)+$F237+$G237)),0))</f>
        <v> </v>
      </c>
      <c r="CV237" s="340" t="str">
        <f aca="false">IF(A237="N/A"," ",IF(CC=2,(VLOOKUP(A237,ScaledPrice,9)-((IF(Z237&lt;&gt;0,$D237,$CL237)*$C237)+$F237+$G237)),0))</f>
        <v> </v>
      </c>
      <c r="CW237" s="318" t="str">
        <f aca="false">IF($A237="N/A"," ",IF(0&lt;&gt;CN237,IF(CC=2,8*$HD237,0),0))</f>
        <v> </v>
      </c>
      <c r="CX237" s="318" t="str">
        <f aca="false">IF($A237="N/A"," ",IF(0&lt;&gt;CO237,IF(CC=2,8*$HD237,0),0))</f>
        <v> </v>
      </c>
      <c r="CY237" s="318" t="str">
        <f aca="false">IF($A237="N/A"," ",IF(0&lt;&gt;CP237,IF(CC=2,8*$HD237,0),0))</f>
        <v> </v>
      </c>
      <c r="CZ237" s="318" t="str">
        <f aca="false">IF($A237="N/A"," ",IF(0&lt;&gt;CQ237,IF(CC=2,8*$HE237,0),0))</f>
        <v> </v>
      </c>
      <c r="DA237" s="318" t="str">
        <f aca="false">IF($A237="N/A"," ",IF(0&lt;&gt;CR237,IF(CC=2,8*$HE237,0),0))</f>
        <v> </v>
      </c>
      <c r="DB237" s="318" t="str">
        <f aca="false">IF($A237="N/A"," ",IF(0&lt;&gt;CS237,IF(CC=2,8*$HE237,0),0))</f>
        <v> </v>
      </c>
      <c r="DC237" s="318" t="str">
        <f aca="false">IF($A237="N/A"," ",IF(0&lt;&gt;CT237,IF(CC=2,8*$HF237,0),0))</f>
        <v> </v>
      </c>
      <c r="DD237" s="318" t="str">
        <f aca="false">IF($A237="N/A"," ",IF(0&lt;&gt;CU237,IF(CC=2,8*$HF237,0),0))</f>
        <v> </v>
      </c>
      <c r="DE237" s="318" t="str">
        <f aca="false">IF($A237="N/A"," ",IF(0&lt;&gt;CV237,IF(CC=2,8*$HF237,0),0))</f>
        <v> </v>
      </c>
      <c r="DF237" s="341" t="str">
        <f aca="false">IF($A237="N/A"," ",IF(CC=2,(IF(MONTH(A237)&gt;=4,IF(MONTH(A237)&lt;=10,Inputs!$G$13,Inputs!$G$14),Inputs!$G$14))*$CK237,0))</f>
        <v> </v>
      </c>
      <c r="DG237" s="342" t="str">
        <f aca="false">IF($A237="N/A"," ",IF(CC=2,$DF237*CW237*CN237,0))</f>
        <v> </v>
      </c>
      <c r="DH237" s="342" t="str">
        <f aca="false">IF($A237="N/A"," ",IF(CC=2,$DF237*CX237*CO237,0))</f>
        <v> </v>
      </c>
      <c r="DI237" s="342" t="str">
        <f aca="false">IF($A237="N/A"," ",IF(CC=2,$DF237*CY237*CP237,0))</f>
        <v> </v>
      </c>
      <c r="DJ237" s="342" t="str">
        <f aca="false">IF($A237="N/A"," ",IF(CC=2,$DF237*CZ237*CQ237,0))</f>
        <v> </v>
      </c>
      <c r="DK237" s="342" t="str">
        <f aca="false">IF($A237="N/A"," ",IF(CC=2,$DF237*DA237*CR237,0))</f>
        <v> </v>
      </c>
      <c r="DL237" s="342" t="str">
        <f aca="false">IF($A237="N/A"," ",IF(CC=2,$DF237*DB237*CS237,0))</f>
        <v> </v>
      </c>
      <c r="DM237" s="342" t="str">
        <f aca="false">IF($A237="N/A"," ",IF(CC=2,$DF237*DC237*CT237,0))</f>
        <v> </v>
      </c>
      <c r="DN237" s="342" t="str">
        <f aca="false">IF($A237="N/A"," ",IF(CC=2,$DF237*DD237*CU237,0))</f>
        <v> </v>
      </c>
      <c r="DO237" s="342" t="str">
        <f aca="false">IF($A237="N/A"," ",IF(CC=2,$DF237*DE237*CV237,0))</f>
        <v> </v>
      </c>
      <c r="DP237" s="343" t="str">
        <f aca="false">IF($A237="N/A"," ",IF(CC=2,SUM(DG237:DO237),0))</f>
        <v> </v>
      </c>
      <c r="DQ237" s="0" t="str">
        <f aca="false">IF(A237="N/A"," ",Perstart)</f>
        <v> </v>
      </c>
      <c r="HD237" s="0" t="str">
        <f aca="false">IF($A237="N/A"," ",VLOOKUP($A237,NumberofDaysTable,2))</f>
        <v> </v>
      </c>
      <c r="HE237" s="0" t="str">
        <f aca="false">IF($A237="N/A"," ",VLOOKUP($A237,NumberofDaysTable,3))</f>
        <v> </v>
      </c>
      <c r="HF237" s="0" t="str">
        <f aca="false">IF($A237="N/A"," ",VLOOKUP($A237,NumberofDaysTable,4))</f>
        <v> </v>
      </c>
    </row>
    <row r="238" customFormat="false" ht="12.75" hidden="false" customHeight="false" outlineLevel="0" collapsed="false">
      <c r="A238" s="308" t="str">
        <f aca="false">IF(A237="N/A","N/A",IF(EDATE(A237,1)&gt;Inputs!$K$3,"N/A",EDATE(A237,1)))</f>
        <v>N/A</v>
      </c>
      <c r="B238" s="309" t="str">
        <f aca="false">IF(A238="N/A"," ",YEAR(A238))</f>
        <v> </v>
      </c>
      <c r="C238" s="310" t="str">
        <f aca="false">IF(A238="N/A"," ",VLOOKUP(A238,ScaledPrice,10))</f>
        <v> </v>
      </c>
      <c r="D238" s="311" t="str">
        <f aca="false">IF(A238="N/A"," ",(VLOOKUP(MONTH($A238),Hrtable,2))/1000)</f>
        <v> </v>
      </c>
      <c r="E238" s="312" t="str">
        <f aca="false">IF($A238="N/A"," ",(C238-'Pricing Inputs'!T271)*D238)</f>
        <v> </v>
      </c>
      <c r="F238" s="313" t="str">
        <f aca="false">IF(A238="N/A"," ",$F226*(1+VOMesc))</f>
        <v> </v>
      </c>
      <c r="G238" s="313" t="str">
        <f aca="false">IF(A238="N/A"," ",Perstart/IF(AND(Dayrun&gt;=4,Dayrun&lt;=6),16,IF(AND(Dayrun&gt;=7,Dayrun&lt;=9),8,24))/(BM238/CK238))</f>
        <v> </v>
      </c>
      <c r="H238" s="314" t="str">
        <f aca="false">IF(A238="N/A"," ",(C238*D238)+F238+G238)</f>
        <v> </v>
      </c>
      <c r="I238" s="315" t="str">
        <f aca="false">VLOOKUP(A238,ScaledPrice,(IF(AND(Dayrun&gt;=1,Dayrun&lt;=6),2,4)))</f>
        <v> </v>
      </c>
      <c r="J238" s="315" t="str">
        <f aca="false">IF(A238="N/A"," ",IF(AND(Dayrun&gt;=1,Dayrun&lt;=6),I238,(VLOOKUP(A238,ScaledPrice,2))*(2-(VLOOKUP(A238,ScaledPrice,3)))))</f>
        <v> </v>
      </c>
      <c r="K238" s="315" t="str">
        <f aca="false">IF(A238="N/A"," ",IF(AND(Dayrun&gt;=1,Dayrun&lt;=3),VLOOKUP(A238,ScaledPrice,9),0))</f>
        <v> </v>
      </c>
      <c r="L238" s="315" t="str">
        <f aca="false">IF(A238="N/A"," ",IF(OR(Dayrun=2,Dayrun=3,Dayrun=5,Dayrun=6,Dayrun=8,Dayrun=9),VLOOKUP(A238,ScaledPrice,IF(AND(Dayrun&gt;=2,Dayrun&lt;=6),5,6)),0))</f>
        <v> </v>
      </c>
      <c r="M238" s="315" t="str">
        <f aca="false">IF(A238="N/A"," ",IF(OR(Dayrun=2,Dayrun=3,Dayrun=5,Dayrun=6,Dayrun=8,Dayrun=9),IF(AND(Dayrun&gt;=2,Dayrun&lt;=6),L238,(VLOOKUP(A238,ScaledPrice,5))*(2-(VLOOKUP(A238,ScaledPrice,3)))),0))</f>
        <v> </v>
      </c>
      <c r="N238" s="315" t="str">
        <f aca="false">IF(A238="N/A"," ",IF(AND(Dayrun&gt;1,Dayrun&lt;=3),VLOOKUP(A238,ScaledPrice,9),0))</f>
        <v> </v>
      </c>
      <c r="O238" s="315" t="str">
        <f aca="false">IF(A238="N/A"," ",IF(OR(Dayrun=3,Dayrun=6,Dayrun=9),(VLOOKUP(A238,ScaledPrice,IF(AND(Dayrun&gt;=3,Dayrun&lt;=6),7,8))),0))</f>
        <v> </v>
      </c>
      <c r="P238" s="315" t="str">
        <f aca="false">IF(A238="N/A"," ",IF(OR(Dayrun=3,Dayrun=6,Dayrun=9),IF(AND(Dayrun&gt;=3,Dayrun&lt;=6),O238,(VLOOKUP(A238,ScaledPrice,7))*(2-(VLOOKUP(A238,ScaledPrice,3)))),0))</f>
        <v> </v>
      </c>
      <c r="Q238" s="315" t="str">
        <f aca="false">IF(A238="N/A"," ",IF(AND(Dayrun&gt;2,Dayrun&lt;=3),VLOOKUP(A238,ScaledPrice,9),0))</f>
        <v> </v>
      </c>
      <c r="R238" s="316" t="str">
        <f aca="false">IF($A238="N/A"," ",IF(Pricetype=2,MAX(I238-$H238,0),IF(Pricetype=1,(xSPRDOPT(I238,$E238,$CI238,0,($CD238+IF(Smile=TRUE(),VLOOKUP(MAX(-5,$H238-I238),Volsmile,2),0)),$CG238,$CH238,($A238-DateToday)+15,1,0)),I238-$H238)))</f>
        <v> </v>
      </c>
      <c r="S238" s="316" t="str">
        <f aca="false">IF($A238="N/A"," ",IF(Pricetype=2,MAX(J238-$H238,0),IF(Pricetype=1,(xSPRDOPT(J238,$E238,$CI238,0,($CD238+IF(Smile=TRUE(),VLOOKUP(MAX(-5,$H238-J238),Volsmile,2),0)),$CG238,$CH238,($A238-DateToday)+15,1,0)),J238-$H238)))</f>
        <v> </v>
      </c>
      <c r="T238" s="317" t="str">
        <f aca="false">IF($A238="N/A"," ",(IF(Pricetype=2,IF((K238-$H238)&lt;=0,0,(K238-$H238)),IF(K238&lt;&gt;0,(K238-$H238),0))))</f>
        <v> </v>
      </c>
      <c r="U238" s="316" t="str">
        <f aca="false">IF($A238="N/A"," ",IF(Pricetype=2,MAX(L238-$H238,0),IF(L238&lt;&gt;0,IF(Pricetype=1,(xSPRDOPT(L238,$E238,$CI238,0,($CD238+IF(Smile=TRUE(),VLOOKUP(MAX(-5,$H238-L238),Volsmile,2),0)),$CG238,$CH238,($A238-DateToday)+15,1,0)),L238-$H238),0)))</f>
        <v> </v>
      </c>
      <c r="V238" s="316" t="str">
        <f aca="false">IF($A238="N/A"," ",IF(Pricetype=2,MAX(M238-$H238,0),IF(M238&lt;&gt;0,IF(Pricetype=1,(xSPRDOPT(M238,$E238,$CI238,0,($CD238+IF(Smile=TRUE(),VLOOKUP(MAX(-5,$H238-M238),Volsmile,2),0)),$CG238,$CH238,($A238-DateToday)+15,1,0)),M238-$H238),0)))</f>
        <v> </v>
      </c>
      <c r="W238" s="317" t="str">
        <f aca="false">IF($A238="N/A"," ",(IF(Pricetype=2,IF((N238-$H238)&lt;=0,0,(N238-$H238)),IF(N238&lt;&gt;0,(N238-$H238),0))))</f>
        <v> </v>
      </c>
      <c r="X238" s="316" t="str">
        <f aca="false">IF($A238="N/A"," ",IF(Pricetype=2,MAX(O238-$H238,0),IF(O238&lt;&gt;0,IF(Pricetype=1,(xSPRDOPT(O238,$E238,$CI238,0,($CD238+IF(Smile=TRUE(),VLOOKUP(MAX(-5,$H238-O238),Volsmile,2),0)),$CG238,$CH238,($A238-DateToday)+15,1,0)),O238-$H238),0)))</f>
        <v> </v>
      </c>
      <c r="Y238" s="316" t="str">
        <f aca="false">IF($A238="N/A"," ",IF(Pricetype=2,MAX(P238-$H238,0),IF(P238&lt;&gt;0,IF(Pricetype=1,(xSPRDOPT(P238,$E238,$CI238,0,($CD238+IF(Smile=TRUE(),VLOOKUP(MAX(-5,$H238-P238),Volsmile,2),0)),$CG238,$CH238,($A238-DateToday)+15,1,0)),P238-$H238),0)))</f>
        <v> </v>
      </c>
      <c r="Z238" s="317" t="str">
        <f aca="false">IF($A238="N/A"," ",(IF(Pricetype=2,IF((Q238-$H238)&lt;=0,0,(Q238-$H238)),IF(Q238&lt;&gt;0,(Q238-$H238),0))))</f>
        <v> </v>
      </c>
      <c r="AA238" s="318" t="str">
        <f aca="false">IF($A238="N/A"," ",IF(VLOOKUP(MONTH(A238),ManualTable,2)=1,(IF(0&lt;&gt;R238,IF(Pricetype=1,(xSPRDOPT(I238,$E238,$CI238,0,($CD238+IF(Smile=TRUE(),VLOOKUP(MAX(-5,$H238-I238),Volsmile,2),0)),$CG238,$CH238,($A238-DateToday)+15,1,1))*(8*$HD238),8*$HD238),0)),0))</f>
        <v> </v>
      </c>
      <c r="AB238" s="318" t="str">
        <f aca="false">IF($A238="N/A"," ",IF(VLOOKUP(MONTH(A238),ManualTable,3)=1,(IF(S238&lt;&gt;0,IF(Pricetype=1,(xSPRDOPT(J238,$E238,$CI238,0,($CD238+IF(Smile=TRUE(),VLOOKUP(MAX(-5,$H238-J238),Volsmile,2),0)),$CG238,$CH238,($A238-DateToday)+15,1,1))*(8*$HD238),8*$HD238),0)),0))</f>
        <v> </v>
      </c>
      <c r="AC238" s="318" t="str">
        <f aca="false">IF($A238="N/A"," ",IF(VLOOKUP(MONTH(A238),ManualTable,4)=1,(IF(T238&lt;&gt;0,(8*$HD238),0)),0))</f>
        <v> </v>
      </c>
      <c r="AD238" s="318" t="str">
        <f aca="false">IF($A238="N/A"," ",IF(VLOOKUP(MONTH(A238),ManualTable,5)=1,(IF(U238&lt;&gt;0,IF(Pricetype=1,(xSPRDOPT(L238,$E238,$CI238,0,($CD238+IF(Smile=TRUE(),VLOOKUP(MAX(-5,$H238-L238),Volsmile,2),0)),$CG238,$CH238,($A238-DateToday)+15,1,1))*(8*$HE238),8*$HE238),0)),0))</f>
        <v> </v>
      </c>
      <c r="AE238" s="318" t="str">
        <f aca="false">IF($A238="N/A"," ",IF(VLOOKUP(MONTH(A238),ManualTable,6)=1,(IF(V238&lt;&gt;0,IF(Pricetype=1,(xSPRDOPT(M238,$E238,$CI238,0,($CD238+IF(Smile=TRUE(),VLOOKUP(MAX(-5,$H238-M238),Volsmile,2),0)),$CG238,$CH238,($A238-DateToday)+15,1,1))*(8*$HE238),8*$HE238),0)),0))</f>
        <v> </v>
      </c>
      <c r="AF238" s="318" t="str">
        <f aca="false">IF($A238="N/A"," ",IF(VLOOKUP(MONTH(A238),ManualTable,7)=1,(IF(W238&lt;&gt;0,(8*$HE238),0)),0))</f>
        <v> </v>
      </c>
      <c r="AG238" s="318" t="str">
        <f aca="false">IF($A238="N/A"," ",IF(VLOOKUP(MONTH(A238),ManualTable,8)=1,(IF(X238&lt;&gt;0,IF(Pricetype=1,(xSPRDOPT(O238,$E238,$CI238,0,($CD238+IF(Smile=TRUE(),VLOOKUP(MAX(-5,$H238-O238),Volsmile,2),0)),$CG238,$CH238,($A238-DateToday)+15,1,1))*(8*$HF238),8*$HF238),0)),0))</f>
        <v> </v>
      </c>
      <c r="AH238" s="318" t="str">
        <f aca="false">IF($A238="N/A"," ",IF(VLOOKUP(MONTH(A238),ManualTable,9)=1,(IF(Y238&lt;&gt;0,IF(Pricetype=1,(xSPRDOPT(P238,$E238,$CI238,0,($CD238+IF(Smile=TRUE(),VLOOKUP(MAX(-5,$H238-P238),Volsmile,2),0)),$CG238,$CH238,($A238-DateToday)+15,1,1))*(8*$HF238),8*$HF238),0)),0))</f>
        <v> </v>
      </c>
      <c r="AI238" s="318" t="str">
        <f aca="false">IF($A238="N/A"," ",IF(VLOOKUP(MONTH(A238),ManualTable,10)=1,(IF(Z238&lt;&gt;0,(8*($HF238)),0)),0))</f>
        <v> </v>
      </c>
      <c r="AJ238" s="344" t="str">
        <f aca="false">IF($A238="N/A"," ",RANK(R238,$R$232:$Z$243))</f>
        <v> </v>
      </c>
      <c r="AK238" s="321" t="str">
        <f aca="false">IF($A238="N/A"," ",RANK(S238,$R$232:$Z$243))</f>
        <v> </v>
      </c>
      <c r="AL238" s="321" t="str">
        <f aca="false">IF($A238="N/A"," ",RANK(T238,$R$232:$Z$243))</f>
        <v> </v>
      </c>
      <c r="AM238" s="321" t="str">
        <f aca="false">IF($A238="N/A"," ",RANK(U238,$R$232:$Z$243))</f>
        <v> </v>
      </c>
      <c r="AN238" s="321" t="str">
        <f aca="false">IF($A238="N/A"," ",RANK(V238,$R$232:$Z$243))</f>
        <v> </v>
      </c>
      <c r="AO238" s="321" t="str">
        <f aca="false">IF($A238="N/A"," ",RANK(W238,$R$232:$Z$243))</f>
        <v> </v>
      </c>
      <c r="AP238" s="321" t="str">
        <f aca="false">IF($A238="N/A"," ",RANK(X238,$R$232:$Z$243))</f>
        <v> </v>
      </c>
      <c r="AQ238" s="321" t="str">
        <f aca="false">IF($A238="N/A"," ",RANK(Y238,$R$232:$Z$243))</f>
        <v> </v>
      </c>
      <c r="AR238" s="345" t="str">
        <f aca="false">IF($A238="N/A"," ",RANK(Z238,$R$232:$Z$243))</f>
        <v> </v>
      </c>
      <c r="AS238" s="323" t="str">
        <f aca="false">IF($A238="N/A"," ",IF(AJ238&lt;=$AR$2,AA238,0))</f>
        <v> </v>
      </c>
      <c r="AT238" s="325" t="str">
        <f aca="false">IF($A238="N/A"," ",IF(AK238&lt;=$AR$2,AB238,0))</f>
        <v> </v>
      </c>
      <c r="AU238" s="325" t="str">
        <f aca="false">IF($A238="N/A"," ",IF(AL238&lt;=$AR$2,AC238,0))</f>
        <v> </v>
      </c>
      <c r="AV238" s="325" t="str">
        <f aca="false">IF($A238="N/A"," ",IF(AM238&lt;=$AR$2,AD238,0))</f>
        <v> </v>
      </c>
      <c r="AW238" s="325" t="str">
        <f aca="false">IF($A238="N/A"," ",IF(AN238&lt;=$AR$2,AE238,0))</f>
        <v> </v>
      </c>
      <c r="AX238" s="325" t="str">
        <f aca="false">IF($A238="N/A"," ",IF(AO238&lt;=$AR$2,AF238,0))</f>
        <v> </v>
      </c>
      <c r="AY238" s="325" t="str">
        <f aca="false">IF($A238="N/A"," ",IF(AP238&lt;=$AR$2,AG238,0))</f>
        <v> </v>
      </c>
      <c r="AZ238" s="325" t="str">
        <f aca="false">IF($A238="N/A"," ",IF(AQ238&lt;=$AR$2,AH238,0))</f>
        <v> </v>
      </c>
      <c r="BA238" s="325" t="str">
        <f aca="false">IF($A238="N/A"," ",IF(AR238&lt;=$AR$2,AI238,0))</f>
        <v> </v>
      </c>
      <c r="BB238" s="345"/>
      <c r="BC238" s="326" t="str">
        <f aca="false">IF($A238="N/A"," ",IF(AND(AJ238=$AR$2+1,AS238=0),MIN($BB$243,AA238),0))</f>
        <v> </v>
      </c>
      <c r="BD238" s="346" t="str">
        <f aca="false">IF($A238="N/A"," ",IF(AND(AK238=$AR$2+1,AT238=0),MIN($BB$243,AB238),0))</f>
        <v> </v>
      </c>
      <c r="BE238" s="346" t="str">
        <f aca="false">IF($A238="N/A"," ",IF(AND(AL238=$AR$2+1,AU238=0),MIN($BB$243,AC238),0))</f>
        <v> </v>
      </c>
      <c r="BF238" s="346" t="str">
        <f aca="false">IF($A238="N/A"," ",IF(AND(AM238=$AR$2+1,AV238=0),MIN($BB$243,AD238),0))</f>
        <v> </v>
      </c>
      <c r="BG238" s="346" t="str">
        <f aca="false">IF($A238="N/A"," ",IF(AND(AN238=$AR$2+1,AW238=0),MIN($BB$243,AE238),0))</f>
        <v> </v>
      </c>
      <c r="BH238" s="346" t="str">
        <f aca="false">IF($A238="N/A"," ",IF(AND(AO238=$AR$2+1,AX238=0),MIN($BB$243,AF238),0))</f>
        <v> </v>
      </c>
      <c r="BI238" s="346" t="str">
        <f aca="false">IF($A238="N/A"," ",IF(AND(AP238=$AR$2+1,AY238=0),MIN($BB$243,AG238),0))</f>
        <v> </v>
      </c>
      <c r="BJ238" s="346" t="str">
        <f aca="false">IF($A238="N/A"," ",IF(AND(AQ238=$AR$2+1,AZ238=0),MIN($BB$243,AH238),0))</f>
        <v> </v>
      </c>
      <c r="BK238" s="346" t="str">
        <f aca="false">IF($A238="N/A"," ",IF(AND(AR238=$AR$2+1,BA238=0),MIN($BB$243,AI238),0))</f>
        <v> </v>
      </c>
      <c r="BL238" s="345"/>
      <c r="BM238" s="329" t="str">
        <f aca="false">IF($A238="N/A"," ",(IF(MONTH(A238)&gt;=4,IF(MONTH(A238)&lt;=10,Inputs!$F$13-Inputs!$G$13,Inputs!$F$14-Inputs!$G$14),Inputs!$F$14-Inputs!$G$14))*$CK238*Availability)</f>
        <v> </v>
      </c>
      <c r="BN238" s="330" t="str">
        <f aca="false">IF($A238="N/A"," ",(IF(AS238&gt;0,($BM238*(8*($HD238))*R238),0)+IF(BC238&gt;0,($BM238*((BC238/AA238)*8*$HD238)*R238),0)))</f>
        <v> </v>
      </c>
      <c r="BO238" s="330" t="str">
        <f aca="false">IF($A238="N/A"," ",(IF(AT238&gt;0,($BM238*(8*($HD238))*S238),0)+IF(BD238&gt;0,($BM238*((BD238/AB238)*8*$HD238)*S238),0)))</f>
        <v> </v>
      </c>
      <c r="BP238" s="330" t="str">
        <f aca="false">IF($A238="N/A"," ",(IF(AU238&gt;0,($BM238*(8*($HD238))*T238),0)+IF(BE238&gt;0,($BM238*((BE238))*T238),0)))</f>
        <v> </v>
      </c>
      <c r="BQ238" s="330" t="str">
        <f aca="false">IF($A238="N/A"," ",(IF(AV238&gt;0,($BM238*(8*($HE238))*U238),0)+IF(BF238&gt;0,($BM238*((BF238/AD238)*8*$HE238)*U238),0)))</f>
        <v> </v>
      </c>
      <c r="BR238" s="330" t="str">
        <f aca="false">IF($A238="N/A"," ",(IF(AW238&gt;0,($BM238*(8*($HE238))*V238),0)+IF(BG238&gt;0,($BM238*((BG238/AE238)*8*$HE238)*V238),0)))</f>
        <v> </v>
      </c>
      <c r="BS238" s="330" t="str">
        <f aca="false">IF($A238="N/A"," ",(IF(AX238&gt;0,($BM238*(8*($HE238))*W238),0)+IF(BH238&gt;0,($BM238*((BH238))*W238),0)))</f>
        <v> </v>
      </c>
      <c r="BT238" s="330" t="str">
        <f aca="false">IF($A238="N/A"," ",(IF(AY238&gt;0,($BM238*(8*($HF238))*X238),0)+IF(BI238&gt;0,($BM238*((BI238/AG238)*8*$HF238)*X238),0)))</f>
        <v> </v>
      </c>
      <c r="BU238" s="330" t="str">
        <f aca="false">IF($A238="N/A"," ",(IF(AZ238&gt;0,($BM238*(8*($HF238))*Y238),0)+IF(BJ238&gt;0,($BM238*((BJ238/AH238)*8*$HF238)*Y238),0)))</f>
        <v> </v>
      </c>
      <c r="BV238" s="330" t="str">
        <f aca="false">IF($A238="N/A"," ",(IF(BA238&gt;0,($BM238*(8*($HF238))*Z238),0)+IF(BK238&gt;0,($BM238*((BK238))*Z238),0)))</f>
        <v> </v>
      </c>
      <c r="BW238" s="330" t="str">
        <f aca="false">IF($A238="N/A"," ",SUM(BN238:BV238))</f>
        <v> </v>
      </c>
      <c r="BX238" s="331" t="str">
        <f aca="false">IF($A238="N/A"," ",(H238*(SUM(AS238:BA238)+SUM(BC238:BK238))*BM238))</f>
        <v> </v>
      </c>
      <c r="BY238" s="332" t="str">
        <f aca="false">IF($A238="N/A"," ",((C238*D238)*(SUM($AS238:$BA238)+SUM($BC238:$BK238))*$BM238))</f>
        <v> </v>
      </c>
      <c r="BZ238" s="332" t="str">
        <f aca="false">IF($A238="N/A"," ",(F238*(SUM($AS238:$BA238)+SUM($BC238:$BK238))*$BM238))</f>
        <v> </v>
      </c>
      <c r="CA238" s="333" t="str">
        <f aca="false">IF($A238="N/A"," ",(G238*(SUM($AS238:$BA238)+SUM($BC238:$BK238))*$BM238))</f>
        <v> </v>
      </c>
      <c r="CB238" s="334" t="str">
        <f aca="false">IF(A238="N/A"," ",(VLOOKUP(A238,PowerVolTable,(IF(BMO=2,7,IF(BMO=1,6,8))),FALSE())))</f>
        <v> </v>
      </c>
      <c r="CC238" s="334" t="str">
        <f aca="false">IF(A238="N/A"," ",(VLOOKUP(A238,IntraPowerVol,(IF(BMO=2,3,IF(BMO=1,2,4))),FALSE())*VLOOKUP(MONTH($A238),Volscale,2)))</f>
        <v> </v>
      </c>
      <c r="CD238" s="335" t="str">
        <f aca="false">IF($A238="N/A"," ",(IF(DateToday&gt;$A238,$CC238,((($CB238^2)*((($A238-1)-DateToday)/((EOMONTH($A238,0)+1)-DateToday-15)))+((($CC238)^2)*((15)/((EOMONTH($A238,0)+1)-DateToday-15))))^0.5)))</f>
        <v> </v>
      </c>
      <c r="CE238" s="334" t="str">
        <f aca="false">IF($A238="N/A"," ",(VLOOKUP($A238,GasVolTable,(IF(BMO=2,6,IF(BMO=1,7,5))),FALSE())))</f>
        <v> </v>
      </c>
      <c r="CF238" s="334" t="str">
        <f aca="false">IF($A238="N/A"," ",(VLOOKUP($A238,OmicronVol,(IF(BMO=2,3,IF(BMO=1,4,2))),FALSE())))</f>
        <v> </v>
      </c>
      <c r="CG238" s="335" t="str">
        <f aca="false">IF($A238="N/A"," ",(IF(DateToday&gt;$A238,$CF238,((($CE238^2)*((($A238-1)-DateToday)/((EOMONTH($A238,0)+1)-DateToday-15)))+((($CF238)^2)*((15)/((EOMONTH($A238,0)+1)-DateToday-15))))^0.5)))</f>
        <v> </v>
      </c>
      <c r="CH238" s="334" t="str">
        <f aca="false">IF($A238="N/A"," ",VLOOKUP($A238,CorrelationTable,2,FALSE()))</f>
        <v> </v>
      </c>
      <c r="CI238" s="336" t="str">
        <f aca="false">IF($A238="N/A"," ",F238+G238+(D238*('Pricing Inputs'!T271)))</f>
        <v> </v>
      </c>
      <c r="CJ238" s="334" t="str">
        <f aca="false">IF($A238="N/A"," ",IF(PV=1,0,'Pricing Inputs'!U271))</f>
        <v> </v>
      </c>
      <c r="CK238" s="337" t="str">
        <f aca="false">IF($A238="N/A"," ",(1+CJ238/2)^(-2*((EOMONTH(A238,0)+20)-DateToday)/365.25))</f>
        <v> </v>
      </c>
      <c r="CL238" s="338" t="str">
        <f aca="false">IF(A238="N/A"," ",IF(CC=2,(VLOOKUP(MONTH($A238),Hrtable,3))/1000,0))</f>
        <v> </v>
      </c>
      <c r="CM238" s="339" t="str">
        <f aca="false">IF(A238="N/A"," ",IF(CC=2,(CL238*C238)+F238,0))</f>
        <v> </v>
      </c>
      <c r="CN238" s="340" t="str">
        <f aca="false">IF($A238="N/A"," ",IF(CC=2,(VLOOKUP(A238,ScaledPrice,(IF(AND(Dayrun&gt;=1,Dayrun&lt;=6),2,4)))-((IF(R238&lt;&gt;0,$D238,$CL238)*$C238)+$F238+$G238)),0))</f>
        <v> </v>
      </c>
      <c r="CO238" s="340" t="str">
        <f aca="false">IF($A238="N/A"," ",IF(CC=2,(IF(AND(Dayrun&gt;=1,Dayrun&lt;=6),I238,(VLOOKUP(A238,ScaledPrice,2))*(2-(VLOOKUP(A238,ScaledPrice,3))))-((IF(S238&lt;&gt;0,$D238,$CL238)*$C238)+$F238+$G238)),0))</f>
        <v> </v>
      </c>
      <c r="CP238" s="340" t="str">
        <f aca="false">IF(A238="N/A"," ",IF(CC=2,(VLOOKUP(A238,ScaledPrice,9)-((IF(T238&lt;&gt;0,$D238,$CL238)*$C238)+$F238+$G238)),0))</f>
        <v> </v>
      </c>
      <c r="CQ238" s="340" t="str">
        <f aca="false">IF(A238="N/A"," ",IF(CC=2,(IF(OR(Dayrun=2,Dayrun=3,Dayrun=5,Dayrun=6,Dayrun=8,Dayrun=9),VLOOKUP(A238,ScaledPrice,IF(AND(Dayrun&gt;=2,Dayrun&lt;=6),5,6)),0)-((IF(U238&lt;&gt;0,$D238,$CL238)*$C238)+$F238+$G238)),0))</f>
        <v> </v>
      </c>
      <c r="CR238" s="340" t="str">
        <f aca="false">IF(A238="N/A"," ",IF(CC=2,(IF(OR(Dayrun=2,Dayrun=3,Dayrun=5,Dayrun=6,Dayrun=8,Dayrun=9),IF(AND(Dayrun&gt;=2,Dayrun&lt;=6),L238,(VLOOKUP(A238,ScaledPrice,5))*(2-(VLOOKUP(A238,ScaledPrice,3)))),0)-((IF(V238&lt;&gt;0,$D238,$CL238)*$C238)+$F238+$G238)),0))</f>
        <v> </v>
      </c>
      <c r="CS238" s="340" t="str">
        <f aca="false">IF(A238="N/A"," ",IF(CC=2,(VLOOKUP(A238,ScaledPrice,9)-((IF(W238&lt;&gt;0,$D238,$CL238)*$C238)+$F238+$G238)),0))</f>
        <v> </v>
      </c>
      <c r="CT238" s="340" t="str">
        <f aca="false">IF(A238="N/A"," ",IF(CC=2,(IF(OR(Dayrun=3,Dayrun=6,Dayrun=9),(VLOOKUP(A238,ScaledPrice,IF(AND(Dayrun&gt;=3,Dayrun&lt;=6),7,8))),0)-((IF(X238&lt;&gt;0,$D238,$CL238)*$C238)+$F238+$G238)),0))</f>
        <v> </v>
      </c>
      <c r="CU238" s="340" t="str">
        <f aca="false">IF(A238="N/A"," ",IF(CC=2,(IF(OR(Dayrun=3,Dayrun=6,Dayrun=9),IF(AND(Dayrun&gt;=3,Dayrun&lt;=6),O238,(VLOOKUP(A238,ScaledPrice,7))*(2-(VLOOKUP(A238,ScaledPrice,3)))),0)-((IF(Y238&lt;&gt;0,$D238,$CL238)*$C238)+$F238+$G238)),0))</f>
        <v> </v>
      </c>
      <c r="CV238" s="340" t="str">
        <f aca="false">IF(A238="N/A"," ",IF(CC=2,(VLOOKUP(A238,ScaledPrice,9)-((IF(Z238&lt;&gt;0,$D238,$CL238)*$C238)+$F238+$G238)),0))</f>
        <v> </v>
      </c>
      <c r="CW238" s="318" t="str">
        <f aca="false">IF($A238="N/A"," ",IF(0&lt;&gt;CN238,IF(CC=2,8*$HD238,0),0))</f>
        <v> </v>
      </c>
      <c r="CX238" s="318" t="str">
        <f aca="false">IF($A238="N/A"," ",IF(0&lt;&gt;CO238,IF(CC=2,8*$HD238,0),0))</f>
        <v> </v>
      </c>
      <c r="CY238" s="318" t="str">
        <f aca="false">IF($A238="N/A"," ",IF(0&lt;&gt;CP238,IF(CC=2,8*$HD238,0),0))</f>
        <v> </v>
      </c>
      <c r="CZ238" s="318" t="str">
        <f aca="false">IF($A238="N/A"," ",IF(0&lt;&gt;CQ238,IF(CC=2,8*$HE238,0),0))</f>
        <v> </v>
      </c>
      <c r="DA238" s="318" t="str">
        <f aca="false">IF($A238="N/A"," ",IF(0&lt;&gt;CR238,IF(CC=2,8*$HE238,0),0))</f>
        <v> </v>
      </c>
      <c r="DB238" s="318" t="str">
        <f aca="false">IF($A238="N/A"," ",IF(0&lt;&gt;CS238,IF(CC=2,8*$HE238,0),0))</f>
        <v> </v>
      </c>
      <c r="DC238" s="318" t="str">
        <f aca="false">IF($A238="N/A"," ",IF(0&lt;&gt;CT238,IF(CC=2,8*$HF238,0),0))</f>
        <v> </v>
      </c>
      <c r="DD238" s="318" t="str">
        <f aca="false">IF($A238="N/A"," ",IF(0&lt;&gt;CU238,IF(CC=2,8*$HF238,0),0))</f>
        <v> </v>
      </c>
      <c r="DE238" s="318" t="str">
        <f aca="false">IF($A238="N/A"," ",IF(0&lt;&gt;CV238,IF(CC=2,8*$HF238,0),0))</f>
        <v> </v>
      </c>
      <c r="DF238" s="341" t="str">
        <f aca="false">IF($A238="N/A"," ",IF(CC=2,(IF(MONTH(A238)&gt;=4,IF(MONTH(A238)&lt;=10,Inputs!$G$13,Inputs!$G$14),Inputs!$G$14))*$CK238,0))</f>
        <v> </v>
      </c>
      <c r="DG238" s="342" t="str">
        <f aca="false">IF($A238="N/A"," ",IF(CC=2,$DF238*CW238*CN238,0))</f>
        <v> </v>
      </c>
      <c r="DH238" s="342" t="str">
        <f aca="false">IF($A238="N/A"," ",IF(CC=2,$DF238*CX238*CO238,0))</f>
        <v> </v>
      </c>
      <c r="DI238" s="342" t="str">
        <f aca="false">IF($A238="N/A"," ",IF(CC=2,$DF238*CY238*CP238,0))</f>
        <v> </v>
      </c>
      <c r="DJ238" s="342" t="str">
        <f aca="false">IF($A238="N/A"," ",IF(CC=2,$DF238*CZ238*CQ238,0))</f>
        <v> </v>
      </c>
      <c r="DK238" s="342" t="str">
        <f aca="false">IF($A238="N/A"," ",IF(CC=2,$DF238*DA238*CR238,0))</f>
        <v> </v>
      </c>
      <c r="DL238" s="342" t="str">
        <f aca="false">IF($A238="N/A"," ",IF(CC=2,$DF238*DB238*CS238,0))</f>
        <v> </v>
      </c>
      <c r="DM238" s="342" t="str">
        <f aca="false">IF($A238="N/A"," ",IF(CC=2,$DF238*DC238*CT238,0))</f>
        <v> </v>
      </c>
      <c r="DN238" s="342" t="str">
        <f aca="false">IF($A238="N/A"," ",IF(CC=2,$DF238*DD238*CU238,0))</f>
        <v> </v>
      </c>
      <c r="DO238" s="342" t="str">
        <f aca="false">IF($A238="N/A"," ",IF(CC=2,$DF238*DE238*CV238,0))</f>
        <v> </v>
      </c>
      <c r="DP238" s="343" t="str">
        <f aca="false">IF($A238="N/A"," ",IF(CC=2,SUM(DG238:DO238),0))</f>
        <v> </v>
      </c>
      <c r="DQ238" s="0" t="str">
        <f aca="false">IF(A238="N/A"," ",Perstart)</f>
        <v> </v>
      </c>
      <c r="HD238" s="0" t="str">
        <f aca="false">IF($A238="N/A"," ",VLOOKUP($A238,NumberofDaysTable,2))</f>
        <v> </v>
      </c>
      <c r="HE238" s="0" t="str">
        <f aca="false">IF($A238="N/A"," ",VLOOKUP($A238,NumberofDaysTable,3))</f>
        <v> </v>
      </c>
      <c r="HF238" s="0" t="str">
        <f aca="false">IF($A238="N/A"," ",VLOOKUP($A238,NumberofDaysTable,4))</f>
        <v> </v>
      </c>
    </row>
    <row r="239" customFormat="false" ht="12.75" hidden="false" customHeight="false" outlineLevel="0" collapsed="false">
      <c r="A239" s="308" t="str">
        <f aca="false">IF(A238="N/A","N/A",IF(EDATE(A238,1)&gt;Inputs!$K$3,"N/A",EDATE(A238,1)))</f>
        <v>N/A</v>
      </c>
      <c r="B239" s="309" t="str">
        <f aca="false">IF(A239="N/A"," ",YEAR(A239))</f>
        <v> </v>
      </c>
      <c r="C239" s="310" t="str">
        <f aca="false">IF(A239="N/A"," ",VLOOKUP(A239,ScaledPrice,10))</f>
        <v> </v>
      </c>
      <c r="D239" s="311" t="str">
        <f aca="false">IF(A239="N/A"," ",(VLOOKUP(MONTH($A239),Hrtable,2))/1000)</f>
        <v> </v>
      </c>
      <c r="E239" s="312" t="str">
        <f aca="false">IF($A239="N/A"," ",(C239-'Pricing Inputs'!T272)*D239)</f>
        <v> </v>
      </c>
      <c r="F239" s="313" t="str">
        <f aca="false">IF(A239="N/A"," ",$F227*(1+VOMesc))</f>
        <v> </v>
      </c>
      <c r="G239" s="313" t="str">
        <f aca="false">IF(A239="N/A"," ",Perstart/IF(AND(Dayrun&gt;=4,Dayrun&lt;=6),16,IF(AND(Dayrun&gt;=7,Dayrun&lt;=9),8,24))/(BM239/CK239))</f>
        <v> </v>
      </c>
      <c r="H239" s="314" t="str">
        <f aca="false">IF(A239="N/A"," ",(C239*D239)+F239+G239)</f>
        <v> </v>
      </c>
      <c r="I239" s="315" t="str">
        <f aca="false">VLOOKUP(A239,ScaledPrice,(IF(AND(Dayrun&gt;=1,Dayrun&lt;=6),2,4)))</f>
        <v> </v>
      </c>
      <c r="J239" s="315" t="str">
        <f aca="false">IF(A239="N/A"," ",IF(AND(Dayrun&gt;=1,Dayrun&lt;=6),I239,(VLOOKUP(A239,ScaledPrice,2))*(2-(VLOOKUP(A239,ScaledPrice,3)))))</f>
        <v> </v>
      </c>
      <c r="K239" s="315" t="str">
        <f aca="false">IF(A239="N/A"," ",IF(AND(Dayrun&gt;=1,Dayrun&lt;=3),VLOOKUP(A239,ScaledPrice,9),0))</f>
        <v> </v>
      </c>
      <c r="L239" s="315" t="str">
        <f aca="false">IF(A239="N/A"," ",IF(OR(Dayrun=2,Dayrun=3,Dayrun=5,Dayrun=6,Dayrun=8,Dayrun=9),VLOOKUP(A239,ScaledPrice,IF(AND(Dayrun&gt;=2,Dayrun&lt;=6),5,6)),0))</f>
        <v> </v>
      </c>
      <c r="M239" s="315" t="str">
        <f aca="false">IF(A239="N/A"," ",IF(OR(Dayrun=2,Dayrun=3,Dayrun=5,Dayrun=6,Dayrun=8,Dayrun=9),IF(AND(Dayrun&gt;=2,Dayrun&lt;=6),L239,(VLOOKUP(A239,ScaledPrice,5))*(2-(VLOOKUP(A239,ScaledPrice,3)))),0))</f>
        <v> </v>
      </c>
      <c r="N239" s="315" t="str">
        <f aca="false">IF(A239="N/A"," ",IF(AND(Dayrun&gt;1,Dayrun&lt;=3),VLOOKUP(A239,ScaledPrice,9),0))</f>
        <v> </v>
      </c>
      <c r="O239" s="315" t="str">
        <f aca="false">IF(A239="N/A"," ",IF(OR(Dayrun=3,Dayrun=6,Dayrun=9),(VLOOKUP(A239,ScaledPrice,IF(AND(Dayrun&gt;=3,Dayrun&lt;=6),7,8))),0))</f>
        <v> </v>
      </c>
      <c r="P239" s="315" t="str">
        <f aca="false">IF(A239="N/A"," ",IF(OR(Dayrun=3,Dayrun=6,Dayrun=9),IF(AND(Dayrun&gt;=3,Dayrun&lt;=6),O239,(VLOOKUP(A239,ScaledPrice,7))*(2-(VLOOKUP(A239,ScaledPrice,3)))),0))</f>
        <v> </v>
      </c>
      <c r="Q239" s="315" t="str">
        <f aca="false">IF(A239="N/A"," ",IF(AND(Dayrun&gt;2,Dayrun&lt;=3),VLOOKUP(A239,ScaledPrice,9),0))</f>
        <v> </v>
      </c>
      <c r="R239" s="316" t="str">
        <f aca="false">IF($A239="N/A"," ",IF(Pricetype=2,MAX(I239-$H239,0),IF(Pricetype=1,(xSPRDOPT(I239,$E239,$CI239,0,($CD239+IF(Smile=TRUE(),VLOOKUP(MAX(-5,$H239-I239),Volsmile,2),0)),$CG239,$CH239,($A239-DateToday)+15,1,0)),I239-$H239)))</f>
        <v> </v>
      </c>
      <c r="S239" s="316" t="str">
        <f aca="false">IF($A239="N/A"," ",IF(Pricetype=2,MAX(J239-$H239,0),IF(Pricetype=1,(xSPRDOPT(J239,$E239,$CI239,0,($CD239+IF(Smile=TRUE(),VLOOKUP(MAX(-5,$H239-J239),Volsmile,2),0)),$CG239,$CH239,($A239-DateToday)+15,1,0)),J239-$H239)))</f>
        <v> </v>
      </c>
      <c r="T239" s="317" t="str">
        <f aca="false">IF($A239="N/A"," ",(IF(Pricetype=2,IF((K239-$H239)&lt;=0,0,(K239-$H239)),IF(K239&lt;&gt;0,(K239-$H239),0))))</f>
        <v> </v>
      </c>
      <c r="U239" s="316" t="str">
        <f aca="false">IF($A239="N/A"," ",IF(Pricetype=2,MAX(L239-$H239,0),IF(L239&lt;&gt;0,IF(Pricetype=1,(xSPRDOPT(L239,$E239,$CI239,0,($CD239+IF(Smile=TRUE(),VLOOKUP(MAX(-5,$H239-L239),Volsmile,2),0)),$CG239,$CH239,($A239-DateToday)+15,1,0)),L239-$H239),0)))</f>
        <v> </v>
      </c>
      <c r="V239" s="316" t="str">
        <f aca="false">IF($A239="N/A"," ",IF(Pricetype=2,MAX(M239-$H239,0),IF(M239&lt;&gt;0,IF(Pricetype=1,(xSPRDOPT(M239,$E239,$CI239,0,($CD239+IF(Smile=TRUE(),VLOOKUP(MAX(-5,$H239-M239),Volsmile,2),0)),$CG239,$CH239,($A239-DateToday)+15,1,0)),M239-$H239),0)))</f>
        <v> </v>
      </c>
      <c r="W239" s="317" t="str">
        <f aca="false">IF($A239="N/A"," ",(IF(Pricetype=2,IF((N239-$H239)&lt;=0,0,(N239-$H239)),IF(N239&lt;&gt;0,(N239-$H239),0))))</f>
        <v> </v>
      </c>
      <c r="X239" s="316" t="str">
        <f aca="false">IF($A239="N/A"," ",IF(Pricetype=2,MAX(O239-$H239,0),IF(O239&lt;&gt;0,IF(Pricetype=1,(xSPRDOPT(O239,$E239,$CI239,0,($CD239+IF(Smile=TRUE(),VLOOKUP(MAX(-5,$H239-O239),Volsmile,2),0)),$CG239,$CH239,($A239-DateToday)+15,1,0)),O239-$H239),0)))</f>
        <v> </v>
      </c>
      <c r="Y239" s="316" t="str">
        <f aca="false">IF($A239="N/A"," ",IF(Pricetype=2,MAX(P239-$H239,0),IF(P239&lt;&gt;0,IF(Pricetype=1,(xSPRDOPT(P239,$E239,$CI239,0,($CD239+IF(Smile=TRUE(),VLOOKUP(MAX(-5,$H239-P239),Volsmile,2),0)),$CG239,$CH239,($A239-DateToday)+15,1,0)),P239-$H239),0)))</f>
        <v> </v>
      </c>
      <c r="Z239" s="317" t="str">
        <f aca="false">IF($A239="N/A"," ",(IF(Pricetype=2,IF((Q239-$H239)&lt;=0,0,(Q239-$H239)),IF(Q239&lt;&gt;0,(Q239-$H239),0))))</f>
        <v> </v>
      </c>
      <c r="AA239" s="318" t="str">
        <f aca="false">IF($A239="N/A"," ",IF(VLOOKUP(MONTH(A239),ManualTable,2)=1,(IF(0&lt;&gt;R239,IF(Pricetype=1,(xSPRDOPT(I239,$E239,$CI239,0,($CD239+IF(Smile=TRUE(),VLOOKUP(MAX(-5,$H239-I239),Volsmile,2),0)),$CG239,$CH239,($A239-DateToday)+15,1,1))*(8*$HD239),8*$HD239),0)),0))</f>
        <v> </v>
      </c>
      <c r="AB239" s="318" t="str">
        <f aca="false">IF($A239="N/A"," ",IF(VLOOKUP(MONTH(A239),ManualTable,3)=1,(IF(S239&lt;&gt;0,IF(Pricetype=1,(xSPRDOPT(J239,$E239,$CI239,0,($CD239+IF(Smile=TRUE(),VLOOKUP(MAX(-5,$H239-J239),Volsmile,2),0)),$CG239,$CH239,($A239-DateToday)+15,1,1))*(8*$HD239),8*$HD239),0)),0))</f>
        <v> </v>
      </c>
      <c r="AC239" s="318" t="str">
        <f aca="false">IF($A239="N/A"," ",IF(VLOOKUP(MONTH(A239),ManualTable,4)=1,(IF(T239&lt;&gt;0,(8*$HD239),0)),0))</f>
        <v> </v>
      </c>
      <c r="AD239" s="318" t="str">
        <f aca="false">IF($A239="N/A"," ",IF(VLOOKUP(MONTH(A239),ManualTable,5)=1,(IF(U239&lt;&gt;0,IF(Pricetype=1,(xSPRDOPT(L239,$E239,$CI239,0,($CD239+IF(Smile=TRUE(),VLOOKUP(MAX(-5,$H239-L239),Volsmile,2),0)),$CG239,$CH239,($A239-DateToday)+15,1,1))*(8*$HE239),8*$HE239),0)),0))</f>
        <v> </v>
      </c>
      <c r="AE239" s="318" t="str">
        <f aca="false">IF($A239="N/A"," ",IF(VLOOKUP(MONTH(A239),ManualTable,6)=1,(IF(V239&lt;&gt;0,IF(Pricetype=1,(xSPRDOPT(M239,$E239,$CI239,0,($CD239+IF(Smile=TRUE(),VLOOKUP(MAX(-5,$H239-M239),Volsmile,2),0)),$CG239,$CH239,($A239-DateToday)+15,1,1))*(8*$HE239),8*$HE239),0)),0))</f>
        <v> </v>
      </c>
      <c r="AF239" s="318" t="str">
        <f aca="false">IF($A239="N/A"," ",IF(VLOOKUP(MONTH(A239),ManualTable,7)=1,(IF(W239&lt;&gt;0,(8*$HE239),0)),0))</f>
        <v> </v>
      </c>
      <c r="AG239" s="318" t="str">
        <f aca="false">IF($A239="N/A"," ",IF(VLOOKUP(MONTH(A239),ManualTable,8)=1,(IF(X239&lt;&gt;0,IF(Pricetype=1,(xSPRDOPT(O239,$E239,$CI239,0,($CD239+IF(Smile=TRUE(),VLOOKUP(MAX(-5,$H239-O239),Volsmile,2),0)),$CG239,$CH239,($A239-DateToday)+15,1,1))*(8*$HF239),8*$HF239),0)),0))</f>
        <v> </v>
      </c>
      <c r="AH239" s="318" t="str">
        <f aca="false">IF($A239="N/A"," ",IF(VLOOKUP(MONTH(A239),ManualTable,9)=1,(IF(Y239&lt;&gt;0,IF(Pricetype=1,(xSPRDOPT(P239,$E239,$CI239,0,($CD239+IF(Smile=TRUE(),VLOOKUP(MAX(-5,$H239-P239),Volsmile,2),0)),$CG239,$CH239,($A239-DateToday)+15,1,1))*(8*$HF239),8*$HF239),0)),0))</f>
        <v> </v>
      </c>
      <c r="AI239" s="318" t="str">
        <f aca="false">IF($A239="N/A"," ",IF(VLOOKUP(MONTH(A239),ManualTable,10)=1,(IF(Z239&lt;&gt;0,(8*($HF239)),0)),0))</f>
        <v> </v>
      </c>
      <c r="AJ239" s="344" t="str">
        <f aca="false">IF($A239="N/A"," ",RANK(R239,$R$232:$Z$243))</f>
        <v> </v>
      </c>
      <c r="AK239" s="321" t="str">
        <f aca="false">IF($A239="N/A"," ",RANK(S239,$R$232:$Z$243))</f>
        <v> </v>
      </c>
      <c r="AL239" s="321" t="str">
        <f aca="false">IF($A239="N/A"," ",RANK(T239,$R$232:$Z$243))</f>
        <v> </v>
      </c>
      <c r="AM239" s="321" t="str">
        <f aca="false">IF($A239="N/A"," ",RANK(U239,$R$232:$Z$243))</f>
        <v> </v>
      </c>
      <c r="AN239" s="321" t="str">
        <f aca="false">IF($A239="N/A"," ",RANK(V239,$R$232:$Z$243))</f>
        <v> </v>
      </c>
      <c r="AO239" s="321" t="str">
        <f aca="false">IF($A239="N/A"," ",RANK(W239,$R$232:$Z$243))</f>
        <v> </v>
      </c>
      <c r="AP239" s="321" t="str">
        <f aca="false">IF($A239="N/A"," ",RANK(X239,$R$232:$Z$243))</f>
        <v> </v>
      </c>
      <c r="AQ239" s="321" t="str">
        <f aca="false">IF($A239="N/A"," ",RANK(Y239,$R$232:$Z$243))</f>
        <v> </v>
      </c>
      <c r="AR239" s="345" t="str">
        <f aca="false">IF($A239="N/A"," ",RANK(Z239,$R$232:$Z$243))</f>
        <v> </v>
      </c>
      <c r="AS239" s="323" t="str">
        <f aca="false">IF($A239="N/A"," ",IF(AJ239&lt;=$AR$2,AA239,0))</f>
        <v> </v>
      </c>
      <c r="AT239" s="325" t="str">
        <f aca="false">IF($A239="N/A"," ",IF(AK239&lt;=$AR$2,AB239,0))</f>
        <v> </v>
      </c>
      <c r="AU239" s="325" t="str">
        <f aca="false">IF($A239="N/A"," ",IF(AL239&lt;=$AR$2,AC239,0))</f>
        <v> </v>
      </c>
      <c r="AV239" s="325" t="str">
        <f aca="false">IF($A239="N/A"," ",IF(AM239&lt;=$AR$2,AD239,0))</f>
        <v> </v>
      </c>
      <c r="AW239" s="325" t="str">
        <f aca="false">IF($A239="N/A"," ",IF(AN239&lt;=$AR$2,AE239,0))</f>
        <v> </v>
      </c>
      <c r="AX239" s="325" t="str">
        <f aca="false">IF($A239="N/A"," ",IF(AO239&lt;=$AR$2,AF239,0))</f>
        <v> </v>
      </c>
      <c r="AY239" s="325" t="str">
        <f aca="false">IF($A239="N/A"," ",IF(AP239&lt;=$AR$2,AG239,0))</f>
        <v> </v>
      </c>
      <c r="AZ239" s="325" t="str">
        <f aca="false">IF($A239="N/A"," ",IF(AQ239&lt;=$AR$2,AH239,0))</f>
        <v> </v>
      </c>
      <c r="BA239" s="325" t="str">
        <f aca="false">IF($A239="N/A"," ",IF(AR239&lt;=$AR$2,AI239,0))</f>
        <v> </v>
      </c>
      <c r="BB239" s="345"/>
      <c r="BC239" s="326" t="str">
        <f aca="false">IF($A239="N/A"," ",IF(AND(AJ239=$AR$2+1,AS239=0),MIN($BB$243,AA239),0))</f>
        <v> </v>
      </c>
      <c r="BD239" s="346" t="str">
        <f aca="false">IF($A239="N/A"," ",IF(AND(AK239=$AR$2+1,AT239=0),MIN($BB$243,AB239),0))</f>
        <v> </v>
      </c>
      <c r="BE239" s="346" t="str">
        <f aca="false">IF($A239="N/A"," ",IF(AND(AL239=$AR$2+1,AU239=0),MIN($BB$243,AC239),0))</f>
        <v> </v>
      </c>
      <c r="BF239" s="346" t="str">
        <f aca="false">IF($A239="N/A"," ",IF(AND(AM239=$AR$2+1,AV239=0),MIN($BB$243,AD239),0))</f>
        <v> </v>
      </c>
      <c r="BG239" s="346" t="str">
        <f aca="false">IF($A239="N/A"," ",IF(AND(AN239=$AR$2+1,AW239=0),MIN($BB$243,AE239),0))</f>
        <v> </v>
      </c>
      <c r="BH239" s="346" t="str">
        <f aca="false">IF($A239="N/A"," ",IF(AND(AO239=$AR$2+1,AX239=0),MIN($BB$243,AF239),0))</f>
        <v> </v>
      </c>
      <c r="BI239" s="346" t="str">
        <f aca="false">IF($A239="N/A"," ",IF(AND(AP239=$AR$2+1,AY239=0),MIN($BB$243,AG239),0))</f>
        <v> </v>
      </c>
      <c r="BJ239" s="346" t="str">
        <f aca="false">IF($A239="N/A"," ",IF(AND(AQ239=$AR$2+1,AZ239=0),MIN($BB$243,AH239),0))</f>
        <v> </v>
      </c>
      <c r="BK239" s="346" t="str">
        <f aca="false">IF($A239="N/A"," ",IF(AND(AR239=$AR$2+1,BA239=0),MIN($BB$243,AI239),0))</f>
        <v> </v>
      </c>
      <c r="BL239" s="345"/>
      <c r="BM239" s="329" t="str">
        <f aca="false">IF($A239="N/A"," ",(IF(MONTH(A239)&gt;=4,IF(MONTH(A239)&lt;=10,Inputs!$F$13-Inputs!$G$13,Inputs!$F$14-Inputs!$G$14),Inputs!$F$14-Inputs!$G$14))*$CK239*Availability)</f>
        <v> </v>
      </c>
      <c r="BN239" s="330" t="str">
        <f aca="false">IF($A239="N/A"," ",(IF(AS239&gt;0,($BM239*(8*($HD239))*R239),0)+IF(BC239&gt;0,($BM239*((BC239/AA239)*8*$HD239)*R239),0)))</f>
        <v> </v>
      </c>
      <c r="BO239" s="330" t="str">
        <f aca="false">IF($A239="N/A"," ",(IF(AT239&gt;0,($BM239*(8*($HD239))*S239),0)+IF(BD239&gt;0,($BM239*((BD239/AB239)*8*$HD239)*S239),0)))</f>
        <v> </v>
      </c>
      <c r="BP239" s="330" t="str">
        <f aca="false">IF($A239="N/A"," ",(IF(AU239&gt;0,($BM239*(8*($HD239))*T239),0)+IF(BE239&gt;0,($BM239*((BE239))*T239),0)))</f>
        <v> </v>
      </c>
      <c r="BQ239" s="330" t="str">
        <f aca="false">IF($A239="N/A"," ",(IF(AV239&gt;0,($BM239*(8*($HE239))*U239),0)+IF(BF239&gt;0,($BM239*((BF239/AD239)*8*$HE239)*U239),0)))</f>
        <v> </v>
      </c>
      <c r="BR239" s="330" t="str">
        <f aca="false">IF($A239="N/A"," ",(IF(AW239&gt;0,($BM239*(8*($HE239))*V239),0)+IF(BG239&gt;0,($BM239*((BG239/AE239)*8*$HE239)*V239),0)))</f>
        <v> </v>
      </c>
      <c r="BS239" s="330" t="str">
        <f aca="false">IF($A239="N/A"," ",(IF(AX239&gt;0,($BM239*(8*($HE239))*W239),0)+IF(BH239&gt;0,($BM239*((BH239))*W239),0)))</f>
        <v> </v>
      </c>
      <c r="BT239" s="330" t="str">
        <f aca="false">IF($A239="N/A"," ",(IF(AY239&gt;0,($BM239*(8*($HF239))*X239),0)+IF(BI239&gt;0,($BM239*((BI239/AG239)*8*$HF239)*X239),0)))</f>
        <v> </v>
      </c>
      <c r="BU239" s="330" t="str">
        <f aca="false">IF($A239="N/A"," ",(IF(AZ239&gt;0,($BM239*(8*($HF239))*Y239),0)+IF(BJ239&gt;0,($BM239*((BJ239/AH239)*8*$HF239)*Y239),0)))</f>
        <v> </v>
      </c>
      <c r="BV239" s="330" t="str">
        <f aca="false">IF($A239="N/A"," ",(IF(BA239&gt;0,($BM239*(8*($HF239))*Z239),0)+IF(BK239&gt;0,($BM239*((BK239))*Z239),0)))</f>
        <v> </v>
      </c>
      <c r="BW239" s="330" t="str">
        <f aca="false">IF($A239="N/A"," ",SUM(BN239:BV239))</f>
        <v> </v>
      </c>
      <c r="BX239" s="331" t="str">
        <f aca="false">IF($A239="N/A"," ",(H239*(SUM(AS239:BA239)+SUM(BC239:BK239))*BM239))</f>
        <v> </v>
      </c>
      <c r="BY239" s="332" t="str">
        <f aca="false">IF($A239="N/A"," ",((C239*D239)*(SUM($AS239:$BA239)+SUM($BC239:$BK239))*$BM239))</f>
        <v> </v>
      </c>
      <c r="BZ239" s="332" t="str">
        <f aca="false">IF($A239="N/A"," ",(F239*(SUM($AS239:$BA239)+SUM($BC239:$BK239))*$BM239))</f>
        <v> </v>
      </c>
      <c r="CA239" s="333" t="str">
        <f aca="false">IF($A239="N/A"," ",(G239*(SUM($AS239:$BA239)+SUM($BC239:$BK239))*$BM239))</f>
        <v> </v>
      </c>
      <c r="CB239" s="334" t="str">
        <f aca="false">IF(A239="N/A"," ",(VLOOKUP(A239,PowerVolTable,(IF(BMO=2,7,IF(BMO=1,6,8))),FALSE())))</f>
        <v> </v>
      </c>
      <c r="CC239" s="334" t="str">
        <f aca="false">IF(A239="N/A"," ",(VLOOKUP(A239,IntraPowerVol,(IF(BMO=2,3,IF(BMO=1,2,4))),FALSE())*VLOOKUP(MONTH($A239),Volscale,2)))</f>
        <v> </v>
      </c>
      <c r="CD239" s="335" t="str">
        <f aca="false">IF($A239="N/A"," ",(IF(DateToday&gt;$A239,$CC239,((($CB239^2)*((($A239-1)-DateToday)/((EOMONTH($A239,0)+1)-DateToday-15)))+((($CC239)^2)*((15)/((EOMONTH($A239,0)+1)-DateToday-15))))^0.5)))</f>
        <v> </v>
      </c>
      <c r="CE239" s="334" t="str">
        <f aca="false">IF($A239="N/A"," ",(VLOOKUP($A239,GasVolTable,(IF(BMO=2,6,IF(BMO=1,7,5))),FALSE())))</f>
        <v> </v>
      </c>
      <c r="CF239" s="334" t="str">
        <f aca="false">IF($A239="N/A"," ",(VLOOKUP($A239,OmicronVol,(IF(BMO=2,3,IF(BMO=1,4,2))),FALSE())))</f>
        <v> </v>
      </c>
      <c r="CG239" s="335" t="str">
        <f aca="false">IF($A239="N/A"," ",(IF(DateToday&gt;$A239,$CF239,((($CE239^2)*((($A239-1)-DateToday)/((EOMONTH($A239,0)+1)-DateToday-15)))+((($CF239)^2)*((15)/((EOMONTH($A239,0)+1)-DateToday-15))))^0.5)))</f>
        <v> </v>
      </c>
      <c r="CH239" s="334" t="str">
        <f aca="false">IF($A239="N/A"," ",VLOOKUP($A239,CorrelationTable,2,FALSE()))</f>
        <v> </v>
      </c>
      <c r="CI239" s="336" t="str">
        <f aca="false">IF($A239="N/A"," ",F239+G239+(D239*('Pricing Inputs'!T272)))</f>
        <v> </v>
      </c>
      <c r="CJ239" s="334" t="str">
        <f aca="false">IF($A239="N/A"," ",IF(PV=1,0,'Pricing Inputs'!U272))</f>
        <v> </v>
      </c>
      <c r="CK239" s="337" t="str">
        <f aca="false">IF($A239="N/A"," ",(1+CJ239/2)^(-2*((EOMONTH(A239,0)+20)-DateToday)/365.25))</f>
        <v> </v>
      </c>
      <c r="CL239" s="338" t="str">
        <f aca="false">IF(A239="N/A"," ",IF(CC=2,(VLOOKUP(MONTH($A239),Hrtable,3))/1000,0))</f>
        <v> </v>
      </c>
      <c r="CM239" s="339" t="str">
        <f aca="false">IF(A239="N/A"," ",IF(CC=2,(CL239*C239)+F239,0))</f>
        <v> </v>
      </c>
      <c r="CN239" s="340" t="str">
        <f aca="false">IF($A239="N/A"," ",IF(CC=2,(VLOOKUP(A239,ScaledPrice,(IF(AND(Dayrun&gt;=1,Dayrun&lt;=6),2,4)))-((IF(R239&lt;&gt;0,$D239,$CL239)*$C239)+$F239+$G239)),0))</f>
        <v> </v>
      </c>
      <c r="CO239" s="340" t="str">
        <f aca="false">IF($A239="N/A"," ",IF(CC=2,(IF(AND(Dayrun&gt;=1,Dayrun&lt;=6),I239,(VLOOKUP(A239,ScaledPrice,2))*(2-(VLOOKUP(A239,ScaledPrice,3))))-((IF(S239&lt;&gt;0,$D239,$CL239)*$C239)+$F239+$G239)),0))</f>
        <v> </v>
      </c>
      <c r="CP239" s="340" t="str">
        <f aca="false">IF(A239="N/A"," ",IF(CC=2,(VLOOKUP(A239,ScaledPrice,9)-((IF(T239&lt;&gt;0,$D239,$CL239)*$C239)+$F239+$G239)),0))</f>
        <v> </v>
      </c>
      <c r="CQ239" s="340" t="str">
        <f aca="false">IF(A239="N/A"," ",IF(CC=2,(IF(OR(Dayrun=2,Dayrun=3,Dayrun=5,Dayrun=6,Dayrun=8,Dayrun=9),VLOOKUP(A239,ScaledPrice,IF(AND(Dayrun&gt;=2,Dayrun&lt;=6),5,6)),0)-((IF(U239&lt;&gt;0,$D239,$CL239)*$C239)+$F239+$G239)),0))</f>
        <v> </v>
      </c>
      <c r="CR239" s="340" t="str">
        <f aca="false">IF(A239="N/A"," ",IF(CC=2,(IF(OR(Dayrun=2,Dayrun=3,Dayrun=5,Dayrun=6,Dayrun=8,Dayrun=9),IF(AND(Dayrun&gt;=2,Dayrun&lt;=6),L239,(VLOOKUP(A239,ScaledPrice,5))*(2-(VLOOKUP(A239,ScaledPrice,3)))),0)-((IF(V239&lt;&gt;0,$D239,$CL239)*$C239)+$F239+$G239)),0))</f>
        <v> </v>
      </c>
      <c r="CS239" s="340" t="str">
        <f aca="false">IF(A239="N/A"," ",IF(CC=2,(VLOOKUP(A239,ScaledPrice,9)-((IF(W239&lt;&gt;0,$D239,$CL239)*$C239)+$F239+$G239)),0))</f>
        <v> </v>
      </c>
      <c r="CT239" s="340" t="str">
        <f aca="false">IF(A239="N/A"," ",IF(CC=2,(IF(OR(Dayrun=3,Dayrun=6,Dayrun=9),(VLOOKUP(A239,ScaledPrice,IF(AND(Dayrun&gt;=3,Dayrun&lt;=6),7,8))),0)-((IF(X239&lt;&gt;0,$D239,$CL239)*$C239)+$F239+$G239)),0))</f>
        <v> </v>
      </c>
      <c r="CU239" s="340" t="str">
        <f aca="false">IF(A239="N/A"," ",IF(CC=2,(IF(OR(Dayrun=3,Dayrun=6,Dayrun=9),IF(AND(Dayrun&gt;=3,Dayrun&lt;=6),O239,(VLOOKUP(A239,ScaledPrice,7))*(2-(VLOOKUP(A239,ScaledPrice,3)))),0)-((IF(Y239&lt;&gt;0,$D239,$CL239)*$C239)+$F239+$G239)),0))</f>
        <v> </v>
      </c>
      <c r="CV239" s="340" t="str">
        <f aca="false">IF(A239="N/A"," ",IF(CC=2,(VLOOKUP(A239,ScaledPrice,9)-((IF(Z239&lt;&gt;0,$D239,$CL239)*$C239)+$F239+$G239)),0))</f>
        <v> </v>
      </c>
      <c r="CW239" s="318" t="str">
        <f aca="false">IF($A239="N/A"," ",IF(0&lt;&gt;CN239,IF(CC=2,8*$HD239,0),0))</f>
        <v> </v>
      </c>
      <c r="CX239" s="318" t="str">
        <f aca="false">IF($A239="N/A"," ",IF(0&lt;&gt;CO239,IF(CC=2,8*$HD239,0),0))</f>
        <v> </v>
      </c>
      <c r="CY239" s="318" t="str">
        <f aca="false">IF($A239="N/A"," ",IF(0&lt;&gt;CP239,IF(CC=2,8*$HD239,0),0))</f>
        <v> </v>
      </c>
      <c r="CZ239" s="318" t="str">
        <f aca="false">IF($A239="N/A"," ",IF(0&lt;&gt;CQ239,IF(CC=2,8*$HE239,0),0))</f>
        <v> </v>
      </c>
      <c r="DA239" s="318" t="str">
        <f aca="false">IF($A239="N/A"," ",IF(0&lt;&gt;CR239,IF(CC=2,8*$HE239,0),0))</f>
        <v> </v>
      </c>
      <c r="DB239" s="318" t="str">
        <f aca="false">IF($A239="N/A"," ",IF(0&lt;&gt;CS239,IF(CC=2,8*$HE239,0),0))</f>
        <v> </v>
      </c>
      <c r="DC239" s="318" t="str">
        <f aca="false">IF($A239="N/A"," ",IF(0&lt;&gt;CT239,IF(CC=2,8*$HF239,0),0))</f>
        <v> </v>
      </c>
      <c r="DD239" s="318" t="str">
        <f aca="false">IF($A239="N/A"," ",IF(0&lt;&gt;CU239,IF(CC=2,8*$HF239,0),0))</f>
        <v> </v>
      </c>
      <c r="DE239" s="318" t="str">
        <f aca="false">IF($A239="N/A"," ",IF(0&lt;&gt;CV239,IF(CC=2,8*$HF239,0),0))</f>
        <v> </v>
      </c>
      <c r="DF239" s="341" t="str">
        <f aca="false">IF($A239="N/A"," ",IF(CC=2,(IF(MONTH(A239)&gt;=4,IF(MONTH(A239)&lt;=10,Inputs!$G$13,Inputs!$G$14),Inputs!$G$14))*$CK239,0))</f>
        <v> </v>
      </c>
      <c r="DG239" s="342" t="str">
        <f aca="false">IF($A239="N/A"," ",IF(CC=2,$DF239*CW239*CN239,0))</f>
        <v> </v>
      </c>
      <c r="DH239" s="342" t="str">
        <f aca="false">IF($A239="N/A"," ",IF(CC=2,$DF239*CX239*CO239,0))</f>
        <v> </v>
      </c>
      <c r="DI239" s="342" t="str">
        <f aca="false">IF($A239="N/A"," ",IF(CC=2,$DF239*CY239*CP239,0))</f>
        <v> </v>
      </c>
      <c r="DJ239" s="342" t="str">
        <f aca="false">IF($A239="N/A"," ",IF(CC=2,$DF239*CZ239*CQ239,0))</f>
        <v> </v>
      </c>
      <c r="DK239" s="342" t="str">
        <f aca="false">IF($A239="N/A"," ",IF(CC=2,$DF239*DA239*CR239,0))</f>
        <v> </v>
      </c>
      <c r="DL239" s="342" t="str">
        <f aca="false">IF($A239="N/A"," ",IF(CC=2,$DF239*DB239*CS239,0))</f>
        <v> </v>
      </c>
      <c r="DM239" s="342" t="str">
        <f aca="false">IF($A239="N/A"," ",IF(CC=2,$DF239*DC239*CT239,0))</f>
        <v> </v>
      </c>
      <c r="DN239" s="342" t="str">
        <f aca="false">IF($A239="N/A"," ",IF(CC=2,$DF239*DD239*CU239,0))</f>
        <v> </v>
      </c>
      <c r="DO239" s="342" t="str">
        <f aca="false">IF($A239="N/A"," ",IF(CC=2,$DF239*DE239*CV239,0))</f>
        <v> </v>
      </c>
      <c r="DP239" s="343" t="str">
        <f aca="false">IF($A239="N/A"," ",IF(CC=2,SUM(DG239:DO239),0))</f>
        <v> </v>
      </c>
      <c r="DQ239" s="0" t="str">
        <f aca="false">IF(A239="N/A"," ",Perstart)</f>
        <v> </v>
      </c>
      <c r="HD239" s="0" t="str">
        <f aca="false">IF($A239="N/A"," ",VLOOKUP($A239,NumberofDaysTable,2))</f>
        <v> </v>
      </c>
      <c r="HE239" s="0" t="str">
        <f aca="false">IF($A239="N/A"," ",VLOOKUP($A239,NumberofDaysTable,3))</f>
        <v> </v>
      </c>
      <c r="HF239" s="0" t="str">
        <f aca="false">IF($A239="N/A"," ",VLOOKUP($A239,NumberofDaysTable,4))</f>
        <v> </v>
      </c>
    </row>
    <row r="240" customFormat="false" ht="12.75" hidden="false" customHeight="false" outlineLevel="0" collapsed="false">
      <c r="A240" s="308" t="str">
        <f aca="false">IF(A239="N/A","N/A",IF(EDATE(A239,1)&gt;Inputs!$K$3,"N/A",EDATE(A239,1)))</f>
        <v>N/A</v>
      </c>
      <c r="B240" s="309" t="str">
        <f aca="false">IF(A240="N/A"," ",YEAR(A240))</f>
        <v> </v>
      </c>
      <c r="C240" s="310" t="str">
        <f aca="false">IF(A240="N/A"," ",VLOOKUP(A240,ScaledPrice,10))</f>
        <v> </v>
      </c>
      <c r="D240" s="311" t="str">
        <f aca="false">IF(A240="N/A"," ",(VLOOKUP(MONTH($A240),Hrtable,2))/1000)</f>
        <v> </v>
      </c>
      <c r="E240" s="312" t="str">
        <f aca="false">IF($A240="N/A"," ",(C240-'Pricing Inputs'!T273)*D240)</f>
        <v> </v>
      </c>
      <c r="F240" s="313" t="str">
        <f aca="false">IF(A240="N/A"," ",$F228*(1+VOMesc))</f>
        <v> </v>
      </c>
      <c r="G240" s="313" t="str">
        <f aca="false">IF(A240="N/A"," ",Perstart/IF(AND(Dayrun&gt;=4,Dayrun&lt;=6),16,IF(AND(Dayrun&gt;=7,Dayrun&lt;=9),8,24))/(BM240/CK240))</f>
        <v> </v>
      </c>
      <c r="H240" s="314" t="str">
        <f aca="false">IF(A240="N/A"," ",(C240*D240)+F240+G240)</f>
        <v> </v>
      </c>
      <c r="I240" s="315" t="str">
        <f aca="false">VLOOKUP(A240,ScaledPrice,(IF(AND(Dayrun&gt;=1,Dayrun&lt;=6),2,4)))</f>
        <v> </v>
      </c>
      <c r="J240" s="315" t="str">
        <f aca="false">IF(A240="N/A"," ",IF(AND(Dayrun&gt;=1,Dayrun&lt;=6),I240,(VLOOKUP(A240,ScaledPrice,2))*(2-(VLOOKUP(A240,ScaledPrice,3)))))</f>
        <v> </v>
      </c>
      <c r="K240" s="315" t="str">
        <f aca="false">IF(A240="N/A"," ",IF(AND(Dayrun&gt;=1,Dayrun&lt;=3),VLOOKUP(A240,ScaledPrice,9),0))</f>
        <v> </v>
      </c>
      <c r="L240" s="315" t="str">
        <f aca="false">IF(A240="N/A"," ",IF(OR(Dayrun=2,Dayrun=3,Dayrun=5,Dayrun=6,Dayrun=8,Dayrun=9),VLOOKUP(A240,ScaledPrice,IF(AND(Dayrun&gt;=2,Dayrun&lt;=6),5,6)),0))</f>
        <v> </v>
      </c>
      <c r="M240" s="315" t="str">
        <f aca="false">IF(A240="N/A"," ",IF(OR(Dayrun=2,Dayrun=3,Dayrun=5,Dayrun=6,Dayrun=8,Dayrun=9),IF(AND(Dayrun&gt;=2,Dayrun&lt;=6),L240,(VLOOKUP(A240,ScaledPrice,5))*(2-(VLOOKUP(A240,ScaledPrice,3)))),0))</f>
        <v> </v>
      </c>
      <c r="N240" s="315" t="str">
        <f aca="false">IF(A240="N/A"," ",IF(AND(Dayrun&gt;1,Dayrun&lt;=3),VLOOKUP(A240,ScaledPrice,9),0))</f>
        <v> </v>
      </c>
      <c r="O240" s="315" t="str">
        <f aca="false">IF(A240="N/A"," ",IF(OR(Dayrun=3,Dayrun=6,Dayrun=9),(VLOOKUP(A240,ScaledPrice,IF(AND(Dayrun&gt;=3,Dayrun&lt;=6),7,8))),0))</f>
        <v> </v>
      </c>
      <c r="P240" s="315" t="str">
        <f aca="false">IF(A240="N/A"," ",IF(OR(Dayrun=3,Dayrun=6,Dayrun=9),IF(AND(Dayrun&gt;=3,Dayrun&lt;=6),O240,(VLOOKUP(A240,ScaledPrice,7))*(2-(VLOOKUP(A240,ScaledPrice,3)))),0))</f>
        <v> </v>
      </c>
      <c r="Q240" s="315" t="str">
        <f aca="false">IF(A240="N/A"," ",IF(AND(Dayrun&gt;2,Dayrun&lt;=3),VLOOKUP(A240,ScaledPrice,9),0))</f>
        <v> </v>
      </c>
      <c r="R240" s="316" t="str">
        <f aca="false">IF($A240="N/A"," ",IF(Pricetype=2,MAX(I240-$H240,0),IF(Pricetype=1,(xSPRDOPT(I240,$E240,$CI240,0,($CD240+IF(Smile=TRUE(),VLOOKUP(MAX(-5,$H240-I240),Volsmile,2),0)),$CG240,$CH240,($A240-DateToday)+15,1,0)),I240-$H240)))</f>
        <v> </v>
      </c>
      <c r="S240" s="316" t="str">
        <f aca="false">IF($A240="N/A"," ",IF(Pricetype=2,MAX(J240-$H240,0),IF(Pricetype=1,(xSPRDOPT(J240,$E240,$CI240,0,($CD240+IF(Smile=TRUE(),VLOOKUP(MAX(-5,$H240-J240),Volsmile,2),0)),$CG240,$CH240,($A240-DateToday)+15,1,0)),J240-$H240)))</f>
        <v> </v>
      </c>
      <c r="T240" s="317" t="str">
        <f aca="false">IF($A240="N/A"," ",(IF(Pricetype=2,IF((K240-$H240)&lt;=0,0,(K240-$H240)),IF(K240&lt;&gt;0,(K240-$H240),0))))</f>
        <v> </v>
      </c>
      <c r="U240" s="316" t="str">
        <f aca="false">IF($A240="N/A"," ",IF(Pricetype=2,MAX(L240-$H240,0),IF(L240&lt;&gt;0,IF(Pricetype=1,(xSPRDOPT(L240,$E240,$CI240,0,($CD240+IF(Smile=TRUE(),VLOOKUP(MAX(-5,$H240-L240),Volsmile,2),0)),$CG240,$CH240,($A240-DateToday)+15,1,0)),L240-$H240),0)))</f>
        <v> </v>
      </c>
      <c r="V240" s="316" t="str">
        <f aca="false">IF($A240="N/A"," ",IF(Pricetype=2,MAX(M240-$H240,0),IF(M240&lt;&gt;0,IF(Pricetype=1,(xSPRDOPT(M240,$E240,$CI240,0,($CD240+IF(Smile=TRUE(),VLOOKUP(MAX(-5,$H240-M240),Volsmile,2),0)),$CG240,$CH240,($A240-DateToday)+15,1,0)),M240-$H240),0)))</f>
        <v> </v>
      </c>
      <c r="W240" s="317" t="str">
        <f aca="false">IF($A240="N/A"," ",(IF(Pricetype=2,IF((N240-$H240)&lt;=0,0,(N240-$H240)),IF(N240&lt;&gt;0,(N240-$H240),0))))</f>
        <v> </v>
      </c>
      <c r="X240" s="316" t="str">
        <f aca="false">IF($A240="N/A"," ",IF(Pricetype=2,MAX(O240-$H240,0),IF(O240&lt;&gt;0,IF(Pricetype=1,(xSPRDOPT(O240,$E240,$CI240,0,($CD240+IF(Smile=TRUE(),VLOOKUP(MAX(-5,$H240-O240),Volsmile,2),0)),$CG240,$CH240,($A240-DateToday)+15,1,0)),O240-$H240),0)))</f>
        <v> </v>
      </c>
      <c r="Y240" s="316" t="str">
        <f aca="false">IF($A240="N/A"," ",IF(Pricetype=2,MAX(P240-$H240,0),IF(P240&lt;&gt;0,IF(Pricetype=1,(xSPRDOPT(P240,$E240,$CI240,0,($CD240+IF(Smile=TRUE(),VLOOKUP(MAX(-5,$H240-P240),Volsmile,2),0)),$CG240,$CH240,($A240-DateToday)+15,1,0)),P240-$H240),0)))</f>
        <v> </v>
      </c>
      <c r="Z240" s="317" t="str">
        <f aca="false">IF($A240="N/A"," ",(IF(Pricetype=2,IF((Q240-$H240)&lt;=0,0,(Q240-$H240)),IF(Q240&lt;&gt;0,(Q240-$H240),0))))</f>
        <v> </v>
      </c>
      <c r="AA240" s="318" t="str">
        <f aca="false">IF($A240="N/A"," ",IF(VLOOKUP(MONTH(A240),ManualTable,2)=1,(IF(0&lt;&gt;R240,IF(Pricetype=1,(xSPRDOPT(I240,$E240,$CI240,0,($CD240+IF(Smile=TRUE(),VLOOKUP(MAX(-5,$H240-I240),Volsmile,2),0)),$CG240,$CH240,($A240-DateToday)+15,1,1))*(8*$HD240),8*$HD240),0)),0))</f>
        <v> </v>
      </c>
      <c r="AB240" s="318" t="str">
        <f aca="false">IF($A240="N/A"," ",IF(VLOOKUP(MONTH(A240),ManualTable,3)=1,(IF(S240&lt;&gt;0,IF(Pricetype=1,(xSPRDOPT(J240,$E240,$CI240,0,($CD240+IF(Smile=TRUE(),VLOOKUP(MAX(-5,$H240-J240),Volsmile,2),0)),$CG240,$CH240,($A240-DateToday)+15,1,1))*(8*$HD240),8*$HD240),0)),0))</f>
        <v> </v>
      </c>
      <c r="AC240" s="318" t="str">
        <f aca="false">IF($A240="N/A"," ",IF(VLOOKUP(MONTH(A240),ManualTable,4)=1,(IF(T240&lt;&gt;0,(8*$HD240),0)),0))</f>
        <v> </v>
      </c>
      <c r="AD240" s="318" t="str">
        <f aca="false">IF($A240="N/A"," ",IF(VLOOKUP(MONTH(A240),ManualTable,5)=1,(IF(U240&lt;&gt;0,IF(Pricetype=1,(xSPRDOPT(L240,$E240,$CI240,0,($CD240+IF(Smile=TRUE(),VLOOKUP(MAX(-5,$H240-L240),Volsmile,2),0)),$CG240,$CH240,($A240-DateToday)+15,1,1))*(8*$HE240),8*$HE240),0)),0))</f>
        <v> </v>
      </c>
      <c r="AE240" s="318" t="str">
        <f aca="false">IF($A240="N/A"," ",IF(VLOOKUP(MONTH(A240),ManualTable,6)=1,(IF(V240&lt;&gt;0,IF(Pricetype=1,(xSPRDOPT(M240,$E240,$CI240,0,($CD240+IF(Smile=TRUE(),VLOOKUP(MAX(-5,$H240-M240),Volsmile,2),0)),$CG240,$CH240,($A240-DateToday)+15,1,1))*(8*$HE240),8*$HE240),0)),0))</f>
        <v> </v>
      </c>
      <c r="AF240" s="318" t="str">
        <f aca="false">IF($A240="N/A"," ",IF(VLOOKUP(MONTH(A240),ManualTable,7)=1,(IF(W240&lt;&gt;0,(8*$HE240),0)),0))</f>
        <v> </v>
      </c>
      <c r="AG240" s="318" t="str">
        <f aca="false">IF($A240="N/A"," ",IF(VLOOKUP(MONTH(A240),ManualTable,8)=1,(IF(X240&lt;&gt;0,IF(Pricetype=1,(xSPRDOPT(O240,$E240,$CI240,0,($CD240+IF(Smile=TRUE(),VLOOKUP(MAX(-5,$H240-O240),Volsmile,2),0)),$CG240,$CH240,($A240-DateToday)+15,1,1))*(8*$HF240),8*$HF240),0)),0))</f>
        <v> </v>
      </c>
      <c r="AH240" s="318" t="str">
        <f aca="false">IF($A240="N/A"," ",IF(VLOOKUP(MONTH(A240),ManualTable,9)=1,(IF(Y240&lt;&gt;0,IF(Pricetype=1,(xSPRDOPT(P240,$E240,$CI240,0,($CD240+IF(Smile=TRUE(),VLOOKUP(MAX(-5,$H240-P240),Volsmile,2),0)),$CG240,$CH240,($A240-DateToday)+15,1,1))*(8*$HF240),8*$HF240),0)),0))</f>
        <v> </v>
      </c>
      <c r="AI240" s="318" t="str">
        <f aca="false">IF($A240="N/A"," ",IF(VLOOKUP(MONTH(A240),ManualTable,10)=1,(IF(Z240&lt;&gt;0,(8*($HF240)),0)),0))</f>
        <v> </v>
      </c>
      <c r="AJ240" s="344" t="str">
        <f aca="false">IF($A240="N/A"," ",RANK(R240,$R$232:$Z$243))</f>
        <v> </v>
      </c>
      <c r="AK240" s="321" t="str">
        <f aca="false">IF($A240="N/A"," ",RANK(S240,$R$232:$Z$243))</f>
        <v> </v>
      </c>
      <c r="AL240" s="321" t="str">
        <f aca="false">IF($A240="N/A"," ",RANK(T240,$R$232:$Z$243))</f>
        <v> </v>
      </c>
      <c r="AM240" s="321" t="str">
        <f aca="false">IF($A240="N/A"," ",RANK(U240,$R$232:$Z$243))</f>
        <v> </v>
      </c>
      <c r="AN240" s="321" t="str">
        <f aca="false">IF($A240="N/A"," ",RANK(V240,$R$232:$Z$243))</f>
        <v> </v>
      </c>
      <c r="AO240" s="321" t="str">
        <f aca="false">IF($A240="N/A"," ",RANK(W240,$R$232:$Z$243))</f>
        <v> </v>
      </c>
      <c r="AP240" s="321" t="str">
        <f aca="false">IF($A240="N/A"," ",RANK(X240,$R$232:$Z$243))</f>
        <v> </v>
      </c>
      <c r="AQ240" s="321" t="str">
        <f aca="false">IF($A240="N/A"," ",RANK(Y240,$R$232:$Z$243))</f>
        <v> </v>
      </c>
      <c r="AR240" s="345" t="str">
        <f aca="false">IF($A240="N/A"," ",RANK(Z240,$R$232:$Z$243))</f>
        <v> </v>
      </c>
      <c r="AS240" s="323" t="str">
        <f aca="false">IF($A240="N/A"," ",IF(AJ240&lt;=$AR$2,AA240,0))</f>
        <v> </v>
      </c>
      <c r="AT240" s="325" t="str">
        <f aca="false">IF($A240="N/A"," ",IF(AK240&lt;=$AR$2,AB240,0))</f>
        <v> </v>
      </c>
      <c r="AU240" s="325" t="str">
        <f aca="false">IF($A240="N/A"," ",IF(AL240&lt;=$AR$2,AC240,0))</f>
        <v> </v>
      </c>
      <c r="AV240" s="325" t="str">
        <f aca="false">IF($A240="N/A"," ",IF(AM240&lt;=$AR$2,AD240,0))</f>
        <v> </v>
      </c>
      <c r="AW240" s="325" t="str">
        <f aca="false">IF($A240="N/A"," ",IF(AN240&lt;=$AR$2,AE240,0))</f>
        <v> </v>
      </c>
      <c r="AX240" s="325" t="str">
        <f aca="false">IF($A240="N/A"," ",IF(AO240&lt;=$AR$2,AF240,0))</f>
        <v> </v>
      </c>
      <c r="AY240" s="325" t="str">
        <f aca="false">IF($A240="N/A"," ",IF(AP240&lt;=$AR$2,AG240,0))</f>
        <v> </v>
      </c>
      <c r="AZ240" s="325" t="str">
        <f aca="false">IF($A240="N/A"," ",IF(AQ240&lt;=$AR$2,AH240,0))</f>
        <v> </v>
      </c>
      <c r="BA240" s="325" t="str">
        <f aca="false">IF($A240="N/A"," ",IF(AR240&lt;=$AR$2,AI240,0))</f>
        <v> </v>
      </c>
      <c r="BB240" s="345"/>
      <c r="BC240" s="326" t="str">
        <f aca="false">IF($A240="N/A"," ",IF(AND(AJ240=$AR$2+1,AS240=0),MIN($BB$243,AA240),0))</f>
        <v> </v>
      </c>
      <c r="BD240" s="346" t="str">
        <f aca="false">IF($A240="N/A"," ",IF(AND(AK240=$AR$2+1,AT240=0),MIN($BB$243,AB240),0))</f>
        <v> </v>
      </c>
      <c r="BE240" s="346" t="str">
        <f aca="false">IF($A240="N/A"," ",IF(AND(AL240=$AR$2+1,AU240=0),MIN($BB$243,AC240),0))</f>
        <v> </v>
      </c>
      <c r="BF240" s="346" t="str">
        <f aca="false">IF($A240="N/A"," ",IF(AND(AM240=$AR$2+1,AV240=0),MIN($BB$243,AD240),0))</f>
        <v> </v>
      </c>
      <c r="BG240" s="346" t="str">
        <f aca="false">IF($A240="N/A"," ",IF(AND(AN240=$AR$2+1,AW240=0),MIN($BB$243,AE240),0))</f>
        <v> </v>
      </c>
      <c r="BH240" s="346" t="str">
        <f aca="false">IF($A240="N/A"," ",IF(AND(AO240=$AR$2+1,AX240=0),MIN($BB$243,AF240),0))</f>
        <v> </v>
      </c>
      <c r="BI240" s="346" t="str">
        <f aca="false">IF($A240="N/A"," ",IF(AND(AP240=$AR$2+1,AY240=0),MIN($BB$243,AG240),0))</f>
        <v> </v>
      </c>
      <c r="BJ240" s="346" t="str">
        <f aca="false">IF($A240="N/A"," ",IF(AND(AQ240=$AR$2+1,AZ240=0),MIN($BB$243,AH240),0))</f>
        <v> </v>
      </c>
      <c r="BK240" s="346" t="str">
        <f aca="false">IF($A240="N/A"," ",IF(AND(AR240=$AR$2+1,BA240=0),MIN($BB$243,AI240),0))</f>
        <v> </v>
      </c>
      <c r="BL240" s="345"/>
      <c r="BM240" s="329" t="str">
        <f aca="false">IF($A240="N/A"," ",(IF(MONTH(A240)&gt;=4,IF(MONTH(A240)&lt;=10,Inputs!$F$13-Inputs!$G$13,Inputs!$F$14-Inputs!$G$14),Inputs!$F$14-Inputs!$G$14))*$CK240*Availability)</f>
        <v> </v>
      </c>
      <c r="BN240" s="330" t="str">
        <f aca="false">IF($A240="N/A"," ",(IF(AS240&gt;0,($BM240*(8*($HD240))*R240),0)+IF(BC240&gt;0,($BM240*((BC240/AA240)*8*$HD240)*R240),0)))</f>
        <v> </v>
      </c>
      <c r="BO240" s="330" t="str">
        <f aca="false">IF($A240="N/A"," ",(IF(AT240&gt;0,($BM240*(8*($HD240))*S240),0)+IF(BD240&gt;0,($BM240*((BD240/AB240)*8*$HD240)*S240),0)))</f>
        <v> </v>
      </c>
      <c r="BP240" s="330" t="str">
        <f aca="false">IF($A240="N/A"," ",(IF(AU240&gt;0,($BM240*(8*($HD240))*T240),0)+IF(BE240&gt;0,($BM240*((BE240))*T240),0)))</f>
        <v> </v>
      </c>
      <c r="BQ240" s="330" t="str">
        <f aca="false">IF($A240="N/A"," ",(IF(AV240&gt;0,($BM240*(8*($HE240))*U240),0)+IF(BF240&gt;0,($BM240*((BF240/AD240)*8*$HE240)*U240),0)))</f>
        <v> </v>
      </c>
      <c r="BR240" s="330" t="str">
        <f aca="false">IF($A240="N/A"," ",(IF(AW240&gt;0,($BM240*(8*($HE240))*V240),0)+IF(BG240&gt;0,($BM240*((BG240/AE240)*8*$HE240)*V240),0)))</f>
        <v> </v>
      </c>
      <c r="BS240" s="330" t="str">
        <f aca="false">IF($A240="N/A"," ",(IF(AX240&gt;0,($BM240*(8*($HE240))*W240),0)+IF(BH240&gt;0,($BM240*((BH240))*W240),0)))</f>
        <v> </v>
      </c>
      <c r="BT240" s="330" t="str">
        <f aca="false">IF($A240="N/A"," ",(IF(AY240&gt;0,($BM240*(8*($HF240))*X240),0)+IF(BI240&gt;0,($BM240*((BI240/AG240)*8*$HF240)*X240),0)))</f>
        <v> </v>
      </c>
      <c r="BU240" s="330" t="str">
        <f aca="false">IF($A240="N/A"," ",(IF(AZ240&gt;0,($BM240*(8*($HF240))*Y240),0)+IF(BJ240&gt;0,($BM240*((BJ240/AH240)*8*$HF240)*Y240),0)))</f>
        <v> </v>
      </c>
      <c r="BV240" s="330" t="str">
        <f aca="false">IF($A240="N/A"," ",(IF(BA240&gt;0,($BM240*(8*($HF240))*Z240),0)+IF(BK240&gt;0,($BM240*((BK240))*Z240),0)))</f>
        <v> </v>
      </c>
      <c r="BW240" s="330" t="str">
        <f aca="false">IF($A240="N/A"," ",SUM(BN240:BV240))</f>
        <v> </v>
      </c>
      <c r="BX240" s="331" t="str">
        <f aca="false">IF($A240="N/A"," ",(H240*(SUM(AS240:BA240)+SUM(BC240:BK240))*BM240))</f>
        <v> </v>
      </c>
      <c r="BY240" s="332" t="str">
        <f aca="false">IF($A240="N/A"," ",((C240*D240)*(SUM($AS240:$BA240)+SUM($BC240:$BK240))*$BM240))</f>
        <v> </v>
      </c>
      <c r="BZ240" s="332" t="str">
        <f aca="false">IF($A240="N/A"," ",(F240*(SUM($AS240:$BA240)+SUM($BC240:$BK240))*$BM240))</f>
        <v> </v>
      </c>
      <c r="CA240" s="333" t="str">
        <f aca="false">IF($A240="N/A"," ",(G240*(SUM($AS240:$BA240)+SUM($BC240:$BK240))*$BM240))</f>
        <v> </v>
      </c>
      <c r="CB240" s="334" t="str">
        <f aca="false">IF(A240="N/A"," ",(VLOOKUP(A240,PowerVolTable,(IF(BMO=2,7,IF(BMO=1,6,8))),FALSE())))</f>
        <v> </v>
      </c>
      <c r="CC240" s="334" t="str">
        <f aca="false">IF(A240="N/A"," ",(VLOOKUP(A240,IntraPowerVol,(IF(BMO=2,3,IF(BMO=1,2,4))),FALSE())*VLOOKUP(MONTH($A240),Volscale,2)))</f>
        <v> </v>
      </c>
      <c r="CD240" s="335" t="str">
        <f aca="false">IF($A240="N/A"," ",(IF(DateToday&gt;$A240,$CC240,((($CB240^2)*((($A240-1)-DateToday)/((EOMONTH($A240,0)+1)-DateToday-15)))+((($CC240)^2)*((15)/((EOMONTH($A240,0)+1)-DateToday-15))))^0.5)))</f>
        <v> </v>
      </c>
      <c r="CE240" s="334" t="str">
        <f aca="false">IF($A240="N/A"," ",(VLOOKUP($A240,GasVolTable,(IF(BMO=2,6,IF(BMO=1,7,5))),FALSE())))</f>
        <v> </v>
      </c>
      <c r="CF240" s="334" t="str">
        <f aca="false">IF($A240="N/A"," ",(VLOOKUP($A240,OmicronVol,(IF(BMO=2,3,IF(BMO=1,4,2))),FALSE())))</f>
        <v> </v>
      </c>
      <c r="CG240" s="335" t="str">
        <f aca="false">IF($A240="N/A"," ",(IF(DateToday&gt;$A240,$CF240,((($CE240^2)*((($A240-1)-DateToday)/((EOMONTH($A240,0)+1)-DateToday-15)))+((($CF240)^2)*((15)/((EOMONTH($A240,0)+1)-DateToday-15))))^0.5)))</f>
        <v> </v>
      </c>
      <c r="CH240" s="334" t="str">
        <f aca="false">IF($A240="N/A"," ",VLOOKUP($A240,CorrelationTable,2,FALSE()))</f>
        <v> </v>
      </c>
      <c r="CI240" s="336" t="str">
        <f aca="false">IF($A240="N/A"," ",F240+G240+(D240*('Pricing Inputs'!T273)))</f>
        <v> </v>
      </c>
      <c r="CJ240" s="334" t="str">
        <f aca="false">IF($A240="N/A"," ",IF(PV=1,0,'Pricing Inputs'!U273))</f>
        <v> </v>
      </c>
      <c r="CK240" s="337" t="str">
        <f aca="false">IF($A240="N/A"," ",(1+CJ240/2)^(-2*((EOMONTH(A240,0)+20)-DateToday)/365.25))</f>
        <v> </v>
      </c>
      <c r="CL240" s="338" t="str">
        <f aca="false">IF(A240="N/A"," ",IF(CC=2,(VLOOKUP(MONTH($A240),Hrtable,3))/1000,0))</f>
        <v> </v>
      </c>
      <c r="CM240" s="339" t="str">
        <f aca="false">IF(A240="N/A"," ",IF(CC=2,(CL240*C240)+F240,0))</f>
        <v> </v>
      </c>
      <c r="CN240" s="340" t="str">
        <f aca="false">IF($A240="N/A"," ",IF(CC=2,(VLOOKUP(A240,ScaledPrice,(IF(AND(Dayrun&gt;=1,Dayrun&lt;=6),2,4)))-((IF(R240&lt;&gt;0,$D240,$CL240)*$C240)+$F240+$G240)),0))</f>
        <v> </v>
      </c>
      <c r="CO240" s="340" t="str">
        <f aca="false">IF($A240="N/A"," ",IF(CC=2,(IF(AND(Dayrun&gt;=1,Dayrun&lt;=6),I240,(VLOOKUP(A240,ScaledPrice,2))*(2-(VLOOKUP(A240,ScaledPrice,3))))-((IF(S240&lt;&gt;0,$D240,$CL240)*$C240)+$F240+$G240)),0))</f>
        <v> </v>
      </c>
      <c r="CP240" s="340" t="str">
        <f aca="false">IF(A240="N/A"," ",IF(CC=2,(VLOOKUP(A240,ScaledPrice,9)-((IF(T240&lt;&gt;0,$D240,$CL240)*$C240)+$F240+$G240)),0))</f>
        <v> </v>
      </c>
      <c r="CQ240" s="340" t="str">
        <f aca="false">IF(A240="N/A"," ",IF(CC=2,(IF(OR(Dayrun=2,Dayrun=3,Dayrun=5,Dayrun=6,Dayrun=8,Dayrun=9),VLOOKUP(A240,ScaledPrice,IF(AND(Dayrun&gt;=2,Dayrun&lt;=6),5,6)),0)-((IF(U240&lt;&gt;0,$D240,$CL240)*$C240)+$F240+$G240)),0))</f>
        <v> </v>
      </c>
      <c r="CR240" s="340" t="str">
        <f aca="false">IF(A240="N/A"," ",IF(CC=2,(IF(OR(Dayrun=2,Dayrun=3,Dayrun=5,Dayrun=6,Dayrun=8,Dayrun=9),IF(AND(Dayrun&gt;=2,Dayrun&lt;=6),L240,(VLOOKUP(A240,ScaledPrice,5))*(2-(VLOOKUP(A240,ScaledPrice,3)))),0)-((IF(V240&lt;&gt;0,$D240,$CL240)*$C240)+$F240+$G240)),0))</f>
        <v> </v>
      </c>
      <c r="CS240" s="340" t="str">
        <f aca="false">IF(A240="N/A"," ",IF(CC=2,(VLOOKUP(A240,ScaledPrice,9)-((IF(W240&lt;&gt;0,$D240,$CL240)*$C240)+$F240+$G240)),0))</f>
        <v> </v>
      </c>
      <c r="CT240" s="340" t="str">
        <f aca="false">IF(A240="N/A"," ",IF(CC=2,(IF(OR(Dayrun=3,Dayrun=6,Dayrun=9),(VLOOKUP(A240,ScaledPrice,IF(AND(Dayrun&gt;=3,Dayrun&lt;=6),7,8))),0)-((IF(X240&lt;&gt;0,$D240,$CL240)*$C240)+$F240+$G240)),0))</f>
        <v> </v>
      </c>
      <c r="CU240" s="340" t="str">
        <f aca="false">IF(A240="N/A"," ",IF(CC=2,(IF(OR(Dayrun=3,Dayrun=6,Dayrun=9),IF(AND(Dayrun&gt;=3,Dayrun&lt;=6),O240,(VLOOKUP(A240,ScaledPrice,7))*(2-(VLOOKUP(A240,ScaledPrice,3)))),0)-((IF(Y240&lt;&gt;0,$D240,$CL240)*$C240)+$F240+$G240)),0))</f>
        <v> </v>
      </c>
      <c r="CV240" s="340" t="str">
        <f aca="false">IF(A240="N/A"," ",IF(CC=2,(VLOOKUP(A240,ScaledPrice,9)-((IF(Z240&lt;&gt;0,$D240,$CL240)*$C240)+$F240+$G240)),0))</f>
        <v> </v>
      </c>
      <c r="CW240" s="318" t="str">
        <f aca="false">IF($A240="N/A"," ",IF(0&lt;&gt;CN240,IF(CC=2,8*$HD240,0),0))</f>
        <v> </v>
      </c>
      <c r="CX240" s="318" t="str">
        <f aca="false">IF($A240="N/A"," ",IF(0&lt;&gt;CO240,IF(CC=2,8*$HD240,0),0))</f>
        <v> </v>
      </c>
      <c r="CY240" s="318" t="str">
        <f aca="false">IF($A240="N/A"," ",IF(0&lt;&gt;CP240,IF(CC=2,8*$HD240,0),0))</f>
        <v> </v>
      </c>
      <c r="CZ240" s="318" t="str">
        <f aca="false">IF($A240="N/A"," ",IF(0&lt;&gt;CQ240,IF(CC=2,8*$HE240,0),0))</f>
        <v> </v>
      </c>
      <c r="DA240" s="318" t="str">
        <f aca="false">IF($A240="N/A"," ",IF(0&lt;&gt;CR240,IF(CC=2,8*$HE240,0),0))</f>
        <v> </v>
      </c>
      <c r="DB240" s="318" t="str">
        <f aca="false">IF($A240="N/A"," ",IF(0&lt;&gt;CS240,IF(CC=2,8*$HE240,0),0))</f>
        <v> </v>
      </c>
      <c r="DC240" s="318" t="str">
        <f aca="false">IF($A240="N/A"," ",IF(0&lt;&gt;CT240,IF(CC=2,8*$HF240,0),0))</f>
        <v> </v>
      </c>
      <c r="DD240" s="318" t="str">
        <f aca="false">IF($A240="N/A"," ",IF(0&lt;&gt;CU240,IF(CC=2,8*$HF240,0),0))</f>
        <v> </v>
      </c>
      <c r="DE240" s="318" t="str">
        <f aca="false">IF($A240="N/A"," ",IF(0&lt;&gt;CV240,IF(CC=2,8*$HF240,0),0))</f>
        <v> </v>
      </c>
      <c r="DF240" s="341" t="str">
        <f aca="false">IF($A240="N/A"," ",IF(CC=2,(IF(MONTH(A240)&gt;=4,IF(MONTH(A240)&lt;=10,Inputs!$G$13,Inputs!$G$14),Inputs!$G$14))*$CK240,0))</f>
        <v> </v>
      </c>
      <c r="DG240" s="342" t="str">
        <f aca="false">IF($A240="N/A"," ",IF(CC=2,$DF240*CW240*CN240,0))</f>
        <v> </v>
      </c>
      <c r="DH240" s="342" t="str">
        <f aca="false">IF($A240="N/A"," ",IF(CC=2,$DF240*CX240*CO240,0))</f>
        <v> </v>
      </c>
      <c r="DI240" s="342" t="str">
        <f aca="false">IF($A240="N/A"," ",IF(CC=2,$DF240*CY240*CP240,0))</f>
        <v> </v>
      </c>
      <c r="DJ240" s="342" t="str">
        <f aca="false">IF($A240="N/A"," ",IF(CC=2,$DF240*CZ240*CQ240,0))</f>
        <v> </v>
      </c>
      <c r="DK240" s="342" t="str">
        <f aca="false">IF($A240="N/A"," ",IF(CC=2,$DF240*DA240*CR240,0))</f>
        <v> </v>
      </c>
      <c r="DL240" s="342" t="str">
        <f aca="false">IF($A240="N/A"," ",IF(CC=2,$DF240*DB240*CS240,0))</f>
        <v> </v>
      </c>
      <c r="DM240" s="342" t="str">
        <f aca="false">IF($A240="N/A"," ",IF(CC=2,$DF240*DC240*CT240,0))</f>
        <v> </v>
      </c>
      <c r="DN240" s="342" t="str">
        <f aca="false">IF($A240="N/A"," ",IF(CC=2,$DF240*DD240*CU240,0))</f>
        <v> </v>
      </c>
      <c r="DO240" s="342" t="str">
        <f aca="false">IF($A240="N/A"," ",IF(CC=2,$DF240*DE240*CV240,0))</f>
        <v> </v>
      </c>
      <c r="DP240" s="343" t="str">
        <f aca="false">IF($A240="N/A"," ",IF(CC=2,SUM(DG240:DO240),0))</f>
        <v> </v>
      </c>
      <c r="DQ240" s="0" t="str">
        <f aca="false">IF(A240="N/A"," ",Perstart)</f>
        <v> </v>
      </c>
      <c r="HD240" s="0" t="str">
        <f aca="false">IF($A240="N/A"," ",VLOOKUP($A240,NumberofDaysTable,2))</f>
        <v> </v>
      </c>
      <c r="HE240" s="0" t="str">
        <f aca="false">IF($A240="N/A"," ",VLOOKUP($A240,NumberofDaysTable,3))</f>
        <v> </v>
      </c>
      <c r="HF240" s="0" t="str">
        <f aca="false">IF($A240="N/A"," ",VLOOKUP($A240,NumberofDaysTable,4))</f>
        <v> </v>
      </c>
    </row>
    <row r="241" customFormat="false" ht="12.75" hidden="false" customHeight="false" outlineLevel="0" collapsed="false">
      <c r="A241" s="308" t="str">
        <f aca="false">IF(A240="N/A","N/A",IF(EDATE(A240,1)&gt;Inputs!$K$3,"N/A",EDATE(A240,1)))</f>
        <v>N/A</v>
      </c>
      <c r="B241" s="309" t="str">
        <f aca="false">IF(A241="N/A"," ",YEAR(A241))</f>
        <v> </v>
      </c>
      <c r="C241" s="310" t="str">
        <f aca="false">IF(A241="N/A"," ",VLOOKUP(A241,ScaledPrice,10))</f>
        <v> </v>
      </c>
      <c r="D241" s="311" t="str">
        <f aca="false">IF(A241="N/A"," ",(VLOOKUP(MONTH($A241),Hrtable,2))/1000)</f>
        <v> </v>
      </c>
      <c r="E241" s="312" t="str">
        <f aca="false">IF($A241="N/A"," ",(C241-'Pricing Inputs'!T274)*D241)</f>
        <v> </v>
      </c>
      <c r="F241" s="313" t="str">
        <f aca="false">IF(A241="N/A"," ",$F229*(1+VOMesc))</f>
        <v> </v>
      </c>
      <c r="G241" s="313" t="str">
        <f aca="false">IF(A241="N/A"," ",Perstart/IF(AND(Dayrun&gt;=4,Dayrun&lt;=6),16,IF(AND(Dayrun&gt;=7,Dayrun&lt;=9),8,24))/(BM241/CK241))</f>
        <v> </v>
      </c>
      <c r="H241" s="314" t="str">
        <f aca="false">IF(A241="N/A"," ",(C241*D241)+F241+G241)</f>
        <v> </v>
      </c>
      <c r="I241" s="315" t="str">
        <f aca="false">VLOOKUP(A241,ScaledPrice,(IF(AND(Dayrun&gt;=1,Dayrun&lt;=6),2,4)))</f>
        <v> </v>
      </c>
      <c r="J241" s="315" t="str">
        <f aca="false">IF(A241="N/A"," ",IF(AND(Dayrun&gt;=1,Dayrun&lt;=6),I241,(VLOOKUP(A241,ScaledPrice,2))*(2-(VLOOKUP(A241,ScaledPrice,3)))))</f>
        <v> </v>
      </c>
      <c r="K241" s="315" t="str">
        <f aca="false">IF(A241="N/A"," ",IF(AND(Dayrun&gt;=1,Dayrun&lt;=3),VLOOKUP(A241,ScaledPrice,9),0))</f>
        <v> </v>
      </c>
      <c r="L241" s="315" t="str">
        <f aca="false">IF(A241="N/A"," ",IF(OR(Dayrun=2,Dayrun=3,Dayrun=5,Dayrun=6,Dayrun=8,Dayrun=9),VLOOKUP(A241,ScaledPrice,IF(AND(Dayrun&gt;=2,Dayrun&lt;=6),5,6)),0))</f>
        <v> </v>
      </c>
      <c r="M241" s="315" t="str">
        <f aca="false">IF(A241="N/A"," ",IF(OR(Dayrun=2,Dayrun=3,Dayrun=5,Dayrun=6,Dayrun=8,Dayrun=9),IF(AND(Dayrun&gt;=2,Dayrun&lt;=6),L241,(VLOOKUP(A241,ScaledPrice,5))*(2-(VLOOKUP(A241,ScaledPrice,3)))),0))</f>
        <v> </v>
      </c>
      <c r="N241" s="315" t="str">
        <f aca="false">IF(A241="N/A"," ",IF(AND(Dayrun&gt;1,Dayrun&lt;=3),VLOOKUP(A241,ScaledPrice,9),0))</f>
        <v> </v>
      </c>
      <c r="O241" s="315" t="str">
        <f aca="false">IF(A241="N/A"," ",IF(OR(Dayrun=3,Dayrun=6,Dayrun=9),(VLOOKUP(A241,ScaledPrice,IF(AND(Dayrun&gt;=3,Dayrun&lt;=6),7,8))),0))</f>
        <v> </v>
      </c>
      <c r="P241" s="315" t="str">
        <f aca="false">IF(A241="N/A"," ",IF(OR(Dayrun=3,Dayrun=6,Dayrun=9),IF(AND(Dayrun&gt;=3,Dayrun&lt;=6),O241,(VLOOKUP(A241,ScaledPrice,7))*(2-(VLOOKUP(A241,ScaledPrice,3)))),0))</f>
        <v> </v>
      </c>
      <c r="Q241" s="315" t="str">
        <f aca="false">IF(A241="N/A"," ",IF(AND(Dayrun&gt;2,Dayrun&lt;=3),VLOOKUP(A241,ScaledPrice,9),0))</f>
        <v> </v>
      </c>
      <c r="R241" s="316" t="str">
        <f aca="false">IF($A241="N/A"," ",IF(Pricetype=2,MAX(I241-$H241,0),IF(Pricetype=1,(xSPRDOPT(I241,$E241,$CI241,0,($CD241+IF(Smile=TRUE(),VLOOKUP(MAX(-5,$H241-I241),Volsmile,2),0)),$CG241,$CH241,($A241-DateToday)+15,1,0)),I241-$H241)))</f>
        <v> </v>
      </c>
      <c r="S241" s="316" t="str">
        <f aca="false">IF($A241="N/A"," ",IF(Pricetype=2,MAX(J241-$H241,0),IF(Pricetype=1,(xSPRDOPT(J241,$E241,$CI241,0,($CD241+IF(Smile=TRUE(),VLOOKUP(MAX(-5,$H241-J241),Volsmile,2),0)),$CG241,$CH241,($A241-DateToday)+15,1,0)),J241-$H241)))</f>
        <v> </v>
      </c>
      <c r="T241" s="317" t="str">
        <f aca="false">IF($A241="N/A"," ",(IF(Pricetype=2,IF((K241-$H241)&lt;=0,0,(K241-$H241)),IF(K241&lt;&gt;0,(K241-$H241),0))))</f>
        <v> </v>
      </c>
      <c r="U241" s="316" t="str">
        <f aca="false">IF($A241="N/A"," ",IF(Pricetype=2,MAX(L241-$H241,0),IF(L241&lt;&gt;0,IF(Pricetype=1,(xSPRDOPT(L241,$E241,$CI241,0,($CD241+IF(Smile=TRUE(),VLOOKUP(MAX(-5,$H241-L241),Volsmile,2),0)),$CG241,$CH241,($A241-DateToday)+15,1,0)),L241-$H241),0)))</f>
        <v> </v>
      </c>
      <c r="V241" s="316" t="str">
        <f aca="false">IF($A241="N/A"," ",IF(Pricetype=2,MAX(M241-$H241,0),IF(M241&lt;&gt;0,IF(Pricetype=1,(xSPRDOPT(M241,$E241,$CI241,0,($CD241+IF(Smile=TRUE(),VLOOKUP(MAX(-5,$H241-M241),Volsmile,2),0)),$CG241,$CH241,($A241-DateToday)+15,1,0)),M241-$H241),0)))</f>
        <v> </v>
      </c>
      <c r="W241" s="317" t="str">
        <f aca="false">IF($A241="N/A"," ",(IF(Pricetype=2,IF((N241-$H241)&lt;=0,0,(N241-$H241)),IF(N241&lt;&gt;0,(N241-$H241),0))))</f>
        <v> </v>
      </c>
      <c r="X241" s="316" t="str">
        <f aca="false">IF($A241="N/A"," ",IF(Pricetype=2,MAX(O241-$H241,0),IF(O241&lt;&gt;0,IF(Pricetype=1,(xSPRDOPT(O241,$E241,$CI241,0,($CD241+IF(Smile=TRUE(),VLOOKUP(MAX(-5,$H241-O241),Volsmile,2),0)),$CG241,$CH241,($A241-DateToday)+15,1,0)),O241-$H241),0)))</f>
        <v> </v>
      </c>
      <c r="Y241" s="316" t="str">
        <f aca="false">IF($A241="N/A"," ",IF(Pricetype=2,MAX(P241-$H241,0),IF(P241&lt;&gt;0,IF(Pricetype=1,(xSPRDOPT(P241,$E241,$CI241,0,($CD241+IF(Smile=TRUE(),VLOOKUP(MAX(-5,$H241-P241),Volsmile,2),0)),$CG241,$CH241,($A241-DateToday)+15,1,0)),P241-$H241),0)))</f>
        <v> </v>
      </c>
      <c r="Z241" s="317" t="str">
        <f aca="false">IF($A241="N/A"," ",(IF(Pricetype=2,IF((Q241-$H241)&lt;=0,0,(Q241-$H241)),IF(Q241&lt;&gt;0,(Q241-$H241),0))))</f>
        <v> </v>
      </c>
      <c r="AA241" s="318" t="str">
        <f aca="false">IF($A241="N/A"," ",IF(VLOOKUP(MONTH(A241),ManualTable,2)=1,(IF(0&lt;&gt;R241,IF(Pricetype=1,(xSPRDOPT(I241,$E241,$CI241,0,($CD241+IF(Smile=TRUE(),VLOOKUP(MAX(-5,$H241-I241),Volsmile,2),0)),$CG241,$CH241,($A241-DateToday)+15,1,1))*(8*$HD241),8*$HD241),0)),0))</f>
        <v> </v>
      </c>
      <c r="AB241" s="318" t="str">
        <f aca="false">IF($A241="N/A"," ",IF(VLOOKUP(MONTH(A241),ManualTable,3)=1,(IF(S241&lt;&gt;0,IF(Pricetype=1,(xSPRDOPT(J241,$E241,$CI241,0,($CD241+IF(Smile=TRUE(),VLOOKUP(MAX(-5,$H241-J241),Volsmile,2),0)),$CG241,$CH241,($A241-DateToday)+15,1,1))*(8*$HD241),8*$HD241),0)),0))</f>
        <v> </v>
      </c>
      <c r="AC241" s="318" t="str">
        <f aca="false">IF($A241="N/A"," ",IF(VLOOKUP(MONTH(A241),ManualTable,4)=1,(IF(T241&lt;&gt;0,(8*$HD241),0)),0))</f>
        <v> </v>
      </c>
      <c r="AD241" s="318" t="str">
        <f aca="false">IF($A241="N/A"," ",IF(VLOOKUP(MONTH(A241),ManualTable,5)=1,(IF(U241&lt;&gt;0,IF(Pricetype=1,(xSPRDOPT(L241,$E241,$CI241,0,($CD241+IF(Smile=TRUE(),VLOOKUP(MAX(-5,$H241-L241),Volsmile,2),0)),$CG241,$CH241,($A241-DateToday)+15,1,1))*(8*$HE241),8*$HE241),0)),0))</f>
        <v> </v>
      </c>
      <c r="AE241" s="318" t="str">
        <f aca="false">IF($A241="N/A"," ",IF(VLOOKUP(MONTH(A241),ManualTable,6)=1,(IF(V241&lt;&gt;0,IF(Pricetype=1,(xSPRDOPT(M241,$E241,$CI241,0,($CD241+IF(Smile=TRUE(),VLOOKUP(MAX(-5,$H241-M241),Volsmile,2),0)),$CG241,$CH241,($A241-DateToday)+15,1,1))*(8*$HE241),8*$HE241),0)),0))</f>
        <v> </v>
      </c>
      <c r="AF241" s="318" t="str">
        <f aca="false">IF($A241="N/A"," ",IF(VLOOKUP(MONTH(A241),ManualTable,7)=1,(IF(W241&lt;&gt;0,(8*$HE241),0)),0))</f>
        <v> </v>
      </c>
      <c r="AG241" s="318" t="str">
        <f aca="false">IF($A241="N/A"," ",IF(VLOOKUP(MONTH(A241),ManualTable,8)=1,(IF(X241&lt;&gt;0,IF(Pricetype=1,(xSPRDOPT(O241,$E241,$CI241,0,($CD241+IF(Smile=TRUE(),VLOOKUP(MAX(-5,$H241-O241),Volsmile,2),0)),$CG241,$CH241,($A241-DateToday)+15,1,1))*(8*$HF241),8*$HF241),0)),0))</f>
        <v> </v>
      </c>
      <c r="AH241" s="318" t="str">
        <f aca="false">IF($A241="N/A"," ",IF(VLOOKUP(MONTH(A241),ManualTable,9)=1,(IF(Y241&lt;&gt;0,IF(Pricetype=1,(xSPRDOPT(P241,$E241,$CI241,0,($CD241+IF(Smile=TRUE(),VLOOKUP(MAX(-5,$H241-P241),Volsmile,2),0)),$CG241,$CH241,($A241-DateToday)+15,1,1))*(8*$HF241),8*$HF241),0)),0))</f>
        <v> </v>
      </c>
      <c r="AI241" s="318" t="str">
        <f aca="false">IF($A241="N/A"," ",IF(VLOOKUP(MONTH(A241),ManualTable,10)=1,(IF(Z241&lt;&gt;0,(8*($HF241)),0)),0))</f>
        <v> </v>
      </c>
      <c r="AJ241" s="344" t="str">
        <f aca="false">IF($A241="N/A"," ",RANK(R241,$R$232:$Z$243))</f>
        <v> </v>
      </c>
      <c r="AK241" s="321" t="str">
        <f aca="false">IF($A241="N/A"," ",RANK(S241,$R$232:$Z$243))</f>
        <v> </v>
      </c>
      <c r="AL241" s="321" t="str">
        <f aca="false">IF($A241="N/A"," ",RANK(T241,$R$232:$Z$243))</f>
        <v> </v>
      </c>
      <c r="AM241" s="321" t="str">
        <f aca="false">IF($A241="N/A"," ",RANK(U241,$R$232:$Z$243))</f>
        <v> </v>
      </c>
      <c r="AN241" s="321" t="str">
        <f aca="false">IF($A241="N/A"," ",RANK(V241,$R$232:$Z$243))</f>
        <v> </v>
      </c>
      <c r="AO241" s="321" t="str">
        <f aca="false">IF($A241="N/A"," ",RANK(W241,$R$232:$Z$243))</f>
        <v> </v>
      </c>
      <c r="AP241" s="321" t="str">
        <f aca="false">IF($A241="N/A"," ",RANK(X241,$R$232:$Z$243))</f>
        <v> </v>
      </c>
      <c r="AQ241" s="321" t="str">
        <f aca="false">IF($A241="N/A"," ",RANK(Y241,$R$232:$Z$243))</f>
        <v> </v>
      </c>
      <c r="AR241" s="345" t="str">
        <f aca="false">IF($A241="N/A"," ",RANK(Z241,$R$232:$Z$243))</f>
        <v> </v>
      </c>
      <c r="AS241" s="323" t="str">
        <f aca="false">IF($A241="N/A"," ",IF(AJ241&lt;=$AR$2,AA241,0))</f>
        <v> </v>
      </c>
      <c r="AT241" s="325" t="str">
        <f aca="false">IF($A241="N/A"," ",IF(AK241&lt;=$AR$2,AB241,0))</f>
        <v> </v>
      </c>
      <c r="AU241" s="325" t="str">
        <f aca="false">IF($A241="N/A"," ",IF(AL241&lt;=$AR$2,AC241,0))</f>
        <v> </v>
      </c>
      <c r="AV241" s="325" t="str">
        <f aca="false">IF($A241="N/A"," ",IF(AM241&lt;=$AR$2,AD241,0))</f>
        <v> </v>
      </c>
      <c r="AW241" s="325" t="str">
        <f aca="false">IF($A241="N/A"," ",IF(AN241&lt;=$AR$2,AE241,0))</f>
        <v> </v>
      </c>
      <c r="AX241" s="325" t="str">
        <f aca="false">IF($A241="N/A"," ",IF(AO241&lt;=$AR$2,AF241,0))</f>
        <v> </v>
      </c>
      <c r="AY241" s="325" t="str">
        <f aca="false">IF($A241="N/A"," ",IF(AP241&lt;=$AR$2,AG241,0))</f>
        <v> </v>
      </c>
      <c r="AZ241" s="325" t="str">
        <f aca="false">IF($A241="N/A"," ",IF(AQ241&lt;=$AR$2,AH241,0))</f>
        <v> </v>
      </c>
      <c r="BA241" s="325" t="str">
        <f aca="false">IF($A241="N/A"," ",IF(AR241&lt;=$AR$2,AI241,0))</f>
        <v> </v>
      </c>
      <c r="BB241" s="348" t="s">
        <v>1319</v>
      </c>
      <c r="BC241" s="326" t="str">
        <f aca="false">IF($A241="N/A"," ",IF(AND(AJ241=$AR$2+1,AS241=0),MIN($BB$243,AA241),0))</f>
        <v> </v>
      </c>
      <c r="BD241" s="346" t="str">
        <f aca="false">IF($A241="N/A"," ",IF(AND(AK241=$AR$2+1,AT241=0),MIN($BB$243,AB241),0))</f>
        <v> </v>
      </c>
      <c r="BE241" s="346" t="str">
        <f aca="false">IF($A241="N/A"," ",IF(AND(AL241=$AR$2+1,AU241=0),MIN($BB$243,AC241),0))</f>
        <v> </v>
      </c>
      <c r="BF241" s="346" t="str">
        <f aca="false">IF($A241="N/A"," ",IF(AND(AM241=$AR$2+1,AV241=0),MIN($BB$243,AD241),0))</f>
        <v> </v>
      </c>
      <c r="BG241" s="346" t="str">
        <f aca="false">IF($A241="N/A"," ",IF(AND(AN241=$AR$2+1,AW241=0),MIN($BB$243,AE241),0))</f>
        <v> </v>
      </c>
      <c r="BH241" s="346" t="str">
        <f aca="false">IF($A241="N/A"," ",IF(AND(AO241=$AR$2+1,AX241=0),MIN($BB$243,AF241),0))</f>
        <v> </v>
      </c>
      <c r="BI241" s="346" t="str">
        <f aca="false">IF($A241="N/A"," ",IF(AND(AP241=$AR$2+1,AY241=0),MIN($BB$243,AG241),0))</f>
        <v> </v>
      </c>
      <c r="BJ241" s="346" t="str">
        <f aca="false">IF($A241="N/A"," ",IF(AND(AQ241=$AR$2+1,AZ241=0),MIN($BB$243,AH241),0))</f>
        <v> </v>
      </c>
      <c r="BK241" s="346" t="str">
        <f aca="false">IF($A241="N/A"," ",IF(AND(AR241=$AR$2+1,BA241=0),MIN($BB$243,AI241),0))</f>
        <v> </v>
      </c>
      <c r="BL241" s="347" t="s">
        <v>1359</v>
      </c>
      <c r="BM241" s="329" t="str">
        <f aca="false">IF($A241="N/A"," ",(IF(MONTH(A241)&gt;=4,IF(MONTH(A241)&lt;=10,Inputs!$F$13-Inputs!$G$13,Inputs!$F$14-Inputs!$G$14),Inputs!$F$14-Inputs!$G$14))*$CK241*Availability)</f>
        <v> </v>
      </c>
      <c r="BN241" s="330" t="str">
        <f aca="false">IF($A241="N/A"," ",(IF(AS241&gt;0,($BM241*(8*($HD241))*R241),0)+IF(BC241&gt;0,($BM241*((BC241/AA241)*8*$HD241)*R241),0)))</f>
        <v> </v>
      </c>
      <c r="BO241" s="330" t="str">
        <f aca="false">IF($A241="N/A"," ",(IF(AT241&gt;0,($BM241*(8*($HD241))*S241),0)+IF(BD241&gt;0,($BM241*((BD241/AB241)*8*$HD241)*S241),0)))</f>
        <v> </v>
      </c>
      <c r="BP241" s="330" t="str">
        <f aca="false">IF($A241="N/A"," ",(IF(AU241&gt;0,($BM241*(8*($HD241))*T241),0)+IF(BE241&gt;0,($BM241*((BE241))*T241),0)))</f>
        <v> </v>
      </c>
      <c r="BQ241" s="330" t="str">
        <f aca="false">IF($A241="N/A"," ",(IF(AV241&gt;0,($BM241*(8*($HE241))*U241),0)+IF(BF241&gt;0,($BM241*((BF241/AD241)*8*$HE241)*U241),0)))</f>
        <v> </v>
      </c>
      <c r="BR241" s="330" t="str">
        <f aca="false">IF($A241="N/A"," ",(IF(AW241&gt;0,($BM241*(8*($HE241))*V241),0)+IF(BG241&gt;0,($BM241*((BG241/AE241)*8*$HE241)*V241),0)))</f>
        <v> </v>
      </c>
      <c r="BS241" s="330" t="str">
        <f aca="false">IF($A241="N/A"," ",(IF(AX241&gt;0,($BM241*(8*($HE241))*W241),0)+IF(BH241&gt;0,($BM241*((BH241))*W241),0)))</f>
        <v> </v>
      </c>
      <c r="BT241" s="330" t="str">
        <f aca="false">IF($A241="N/A"," ",(IF(AY241&gt;0,($BM241*(8*($HF241))*X241),0)+IF(BI241&gt;0,($BM241*((BI241/AG241)*8*$HF241)*X241),0)))</f>
        <v> </v>
      </c>
      <c r="BU241" s="330" t="str">
        <f aca="false">IF($A241="N/A"," ",(IF(AZ241&gt;0,($BM241*(8*($HF241))*Y241),0)+IF(BJ241&gt;0,($BM241*((BJ241/AH241)*8*$HF241)*Y241),0)))</f>
        <v> </v>
      </c>
      <c r="BV241" s="330" t="str">
        <f aca="false">IF($A241="N/A"," ",(IF(BA241&gt;0,($BM241*(8*($HF241))*Z241),0)+IF(BK241&gt;0,($BM241*((BK241))*Z241),0)))</f>
        <v> </v>
      </c>
      <c r="BW241" s="330" t="str">
        <f aca="false">IF($A241="N/A"," ",SUM(BN241:BV241))</f>
        <v> </v>
      </c>
      <c r="BX241" s="331" t="str">
        <f aca="false">IF($A241="N/A"," ",(H241*(SUM(AS241:BA241)+SUM(BC241:BK241))*BM241))</f>
        <v> </v>
      </c>
      <c r="BY241" s="332" t="str">
        <f aca="false">IF($A241="N/A"," ",((C241*D241)*(SUM($AS241:$BA241)+SUM($BC241:$BK241))*$BM241))</f>
        <v> </v>
      </c>
      <c r="BZ241" s="332" t="str">
        <f aca="false">IF($A241="N/A"," ",(F241*(SUM($AS241:$BA241)+SUM($BC241:$BK241))*$BM241))</f>
        <v> </v>
      </c>
      <c r="CA241" s="333" t="str">
        <f aca="false">IF($A241="N/A"," ",(G241*(SUM($AS241:$BA241)+SUM($BC241:$BK241))*$BM241))</f>
        <v> </v>
      </c>
      <c r="CB241" s="334" t="str">
        <f aca="false">IF(A241="N/A"," ",(VLOOKUP(A241,PowerVolTable,(IF(BMO=2,7,IF(BMO=1,6,8))),FALSE())))</f>
        <v> </v>
      </c>
      <c r="CC241" s="334" t="str">
        <f aca="false">IF(A241="N/A"," ",(VLOOKUP(A241,IntraPowerVol,(IF(BMO=2,3,IF(BMO=1,2,4))),FALSE())*VLOOKUP(MONTH($A241),Volscale,2)))</f>
        <v> </v>
      </c>
      <c r="CD241" s="335" t="str">
        <f aca="false">IF($A241="N/A"," ",(IF(DateToday&gt;$A241,$CC241,((($CB241^2)*((($A241-1)-DateToday)/((EOMONTH($A241,0)+1)-DateToday-15)))+((($CC241)^2)*((15)/((EOMONTH($A241,0)+1)-DateToday-15))))^0.5)))</f>
        <v> </v>
      </c>
      <c r="CE241" s="334" t="str">
        <f aca="false">IF($A241="N/A"," ",(VLOOKUP($A241,GasVolTable,(IF(BMO=2,6,IF(BMO=1,7,5))),FALSE())))</f>
        <v> </v>
      </c>
      <c r="CF241" s="334" t="str">
        <f aca="false">IF($A241="N/A"," ",(VLOOKUP($A241,OmicronVol,(IF(BMO=2,3,IF(BMO=1,4,2))),FALSE())))</f>
        <v> </v>
      </c>
      <c r="CG241" s="335" t="str">
        <f aca="false">IF($A241="N/A"," ",(IF(DateToday&gt;$A241,$CF241,((($CE241^2)*((($A241-1)-DateToday)/((EOMONTH($A241,0)+1)-DateToday-15)))+((($CF241)^2)*((15)/((EOMONTH($A241,0)+1)-DateToday-15))))^0.5)))</f>
        <v> </v>
      </c>
      <c r="CH241" s="334" t="str">
        <f aca="false">IF($A241="N/A"," ",VLOOKUP($A241,CorrelationTable,2,FALSE()))</f>
        <v> </v>
      </c>
      <c r="CI241" s="336" t="str">
        <f aca="false">IF($A241="N/A"," ",F241+G241+(D241*('Pricing Inputs'!T274)))</f>
        <v> </v>
      </c>
      <c r="CJ241" s="334" t="str">
        <f aca="false">IF($A241="N/A"," ",IF(PV=1,0,'Pricing Inputs'!U274))</f>
        <v> </v>
      </c>
      <c r="CK241" s="337" t="str">
        <f aca="false">IF($A241="N/A"," ",(1+CJ241/2)^(-2*((EOMONTH(A241,0)+20)-DateToday)/365.25))</f>
        <v> </v>
      </c>
      <c r="CL241" s="338" t="str">
        <f aca="false">IF(A241="N/A"," ",IF(CC=2,(VLOOKUP(MONTH($A241),Hrtable,3))/1000,0))</f>
        <v> </v>
      </c>
      <c r="CM241" s="339" t="str">
        <f aca="false">IF(A241="N/A"," ",IF(CC=2,(CL241*C241)+F241,0))</f>
        <v> </v>
      </c>
      <c r="CN241" s="340" t="str">
        <f aca="false">IF($A241="N/A"," ",IF(CC=2,(VLOOKUP(A241,ScaledPrice,(IF(AND(Dayrun&gt;=1,Dayrun&lt;=6),2,4)))-((IF(R241&lt;&gt;0,$D241,$CL241)*$C241)+$F241+$G241)),0))</f>
        <v> </v>
      </c>
      <c r="CO241" s="340" t="str">
        <f aca="false">IF($A241="N/A"," ",IF(CC=2,(IF(AND(Dayrun&gt;=1,Dayrun&lt;=6),I241,(VLOOKUP(A241,ScaledPrice,2))*(2-(VLOOKUP(A241,ScaledPrice,3))))-((IF(S241&lt;&gt;0,$D241,$CL241)*$C241)+$F241+$G241)),0))</f>
        <v> </v>
      </c>
      <c r="CP241" s="340" t="str">
        <f aca="false">IF(A241="N/A"," ",IF(CC=2,(VLOOKUP(A241,ScaledPrice,9)-((IF(T241&lt;&gt;0,$D241,$CL241)*$C241)+$F241+$G241)),0))</f>
        <v> </v>
      </c>
      <c r="CQ241" s="340" t="str">
        <f aca="false">IF(A241="N/A"," ",IF(CC=2,(IF(OR(Dayrun=2,Dayrun=3,Dayrun=5,Dayrun=6,Dayrun=8,Dayrun=9),VLOOKUP(A241,ScaledPrice,IF(AND(Dayrun&gt;=2,Dayrun&lt;=6),5,6)),0)-((IF(U241&lt;&gt;0,$D241,$CL241)*$C241)+$F241+$G241)),0))</f>
        <v> </v>
      </c>
      <c r="CR241" s="340" t="str">
        <f aca="false">IF(A241="N/A"," ",IF(CC=2,(IF(OR(Dayrun=2,Dayrun=3,Dayrun=5,Dayrun=6,Dayrun=8,Dayrun=9),IF(AND(Dayrun&gt;=2,Dayrun&lt;=6),L241,(VLOOKUP(A241,ScaledPrice,5))*(2-(VLOOKUP(A241,ScaledPrice,3)))),0)-((IF(V241&lt;&gt;0,$D241,$CL241)*$C241)+$F241+$G241)),0))</f>
        <v> </v>
      </c>
      <c r="CS241" s="340" t="str">
        <f aca="false">IF(A241="N/A"," ",IF(CC=2,(VLOOKUP(A241,ScaledPrice,9)-((IF(W241&lt;&gt;0,$D241,$CL241)*$C241)+$F241+$G241)),0))</f>
        <v> </v>
      </c>
      <c r="CT241" s="340" t="str">
        <f aca="false">IF(A241="N/A"," ",IF(CC=2,(IF(OR(Dayrun=3,Dayrun=6,Dayrun=9),(VLOOKUP(A241,ScaledPrice,IF(AND(Dayrun&gt;=3,Dayrun&lt;=6),7,8))),0)-((IF(X241&lt;&gt;0,$D241,$CL241)*$C241)+$F241+$G241)),0))</f>
        <v> </v>
      </c>
      <c r="CU241" s="340" t="str">
        <f aca="false">IF(A241="N/A"," ",IF(CC=2,(IF(OR(Dayrun=3,Dayrun=6,Dayrun=9),IF(AND(Dayrun&gt;=3,Dayrun&lt;=6),O241,(VLOOKUP(A241,ScaledPrice,7))*(2-(VLOOKUP(A241,ScaledPrice,3)))),0)-((IF(Y241&lt;&gt;0,$D241,$CL241)*$C241)+$F241+$G241)),0))</f>
        <v> </v>
      </c>
      <c r="CV241" s="340" t="str">
        <f aca="false">IF(A241="N/A"," ",IF(CC=2,(VLOOKUP(A241,ScaledPrice,9)-((IF(Z241&lt;&gt;0,$D241,$CL241)*$C241)+$F241+$G241)),0))</f>
        <v> </v>
      </c>
      <c r="CW241" s="318" t="str">
        <f aca="false">IF($A241="N/A"," ",IF(0&lt;&gt;CN241,IF(CC=2,8*$HD241,0),0))</f>
        <v> </v>
      </c>
      <c r="CX241" s="318" t="str">
        <f aca="false">IF($A241="N/A"," ",IF(0&lt;&gt;CO241,IF(CC=2,8*$HD241,0),0))</f>
        <v> </v>
      </c>
      <c r="CY241" s="318" t="str">
        <f aca="false">IF($A241="N/A"," ",IF(0&lt;&gt;CP241,IF(CC=2,8*$HD241,0),0))</f>
        <v> </v>
      </c>
      <c r="CZ241" s="318" t="str">
        <f aca="false">IF($A241="N/A"," ",IF(0&lt;&gt;CQ241,IF(CC=2,8*$HE241,0),0))</f>
        <v> </v>
      </c>
      <c r="DA241" s="318" t="str">
        <f aca="false">IF($A241="N/A"," ",IF(0&lt;&gt;CR241,IF(CC=2,8*$HE241,0),0))</f>
        <v> </v>
      </c>
      <c r="DB241" s="318" t="str">
        <f aca="false">IF($A241="N/A"," ",IF(0&lt;&gt;CS241,IF(CC=2,8*$HE241,0),0))</f>
        <v> </v>
      </c>
      <c r="DC241" s="318" t="str">
        <f aca="false">IF($A241="N/A"," ",IF(0&lt;&gt;CT241,IF(CC=2,8*$HF241,0),0))</f>
        <v> </v>
      </c>
      <c r="DD241" s="318" t="str">
        <f aca="false">IF($A241="N/A"," ",IF(0&lt;&gt;CU241,IF(CC=2,8*$HF241,0),0))</f>
        <v> </v>
      </c>
      <c r="DE241" s="318" t="str">
        <f aca="false">IF($A241="N/A"," ",IF(0&lt;&gt;CV241,IF(CC=2,8*$HF241,0),0))</f>
        <v> </v>
      </c>
      <c r="DF241" s="341" t="str">
        <f aca="false">IF($A241="N/A"," ",IF(CC=2,(IF(MONTH(A241)&gt;=4,IF(MONTH(A241)&lt;=10,Inputs!$G$13,Inputs!$G$14),Inputs!$G$14))*$CK241,0))</f>
        <v> </v>
      </c>
      <c r="DG241" s="342" t="str">
        <f aca="false">IF($A241="N/A"," ",IF(CC=2,$DF241*CW241*CN241,0))</f>
        <v> </v>
      </c>
      <c r="DH241" s="342" t="str">
        <f aca="false">IF($A241="N/A"," ",IF(CC=2,$DF241*CX241*CO241,0))</f>
        <v> </v>
      </c>
      <c r="DI241" s="342" t="str">
        <f aca="false">IF($A241="N/A"," ",IF(CC=2,$DF241*CY241*CP241,0))</f>
        <v> </v>
      </c>
      <c r="DJ241" s="342" t="str">
        <f aca="false">IF($A241="N/A"," ",IF(CC=2,$DF241*CZ241*CQ241,0))</f>
        <v> </v>
      </c>
      <c r="DK241" s="342" t="str">
        <f aca="false">IF($A241="N/A"," ",IF(CC=2,$DF241*DA241*CR241,0))</f>
        <v> </v>
      </c>
      <c r="DL241" s="342" t="str">
        <f aca="false">IF($A241="N/A"," ",IF(CC=2,$DF241*DB241*CS241,0))</f>
        <v> </v>
      </c>
      <c r="DM241" s="342" t="str">
        <f aca="false">IF($A241="N/A"," ",IF(CC=2,$DF241*DC241*CT241,0))</f>
        <v> </v>
      </c>
      <c r="DN241" s="342" t="str">
        <f aca="false">IF($A241="N/A"," ",IF(CC=2,$DF241*DD241*CU241,0))</f>
        <v> </v>
      </c>
      <c r="DO241" s="342" t="str">
        <f aca="false">IF($A241="N/A"," ",IF(CC=2,$DF241*DE241*CV241,0))</f>
        <v> </v>
      </c>
      <c r="DP241" s="343" t="str">
        <f aca="false">IF($A241="N/A"," ",IF(CC=2,SUM(DG241:DO241),0))</f>
        <v> </v>
      </c>
      <c r="DQ241" s="0" t="str">
        <f aca="false">IF(A241="N/A"," ",Perstart)</f>
        <v> </v>
      </c>
      <c r="HD241" s="0" t="str">
        <f aca="false">IF($A241="N/A"," ",VLOOKUP($A241,NumberofDaysTable,2))</f>
        <v> </v>
      </c>
      <c r="HE241" s="0" t="str">
        <f aca="false">IF($A241="N/A"," ",VLOOKUP($A241,NumberofDaysTable,3))</f>
        <v> </v>
      </c>
      <c r="HF241" s="0" t="str">
        <f aca="false">IF($A241="N/A"," ",VLOOKUP($A241,NumberofDaysTable,4))</f>
        <v> </v>
      </c>
    </row>
    <row r="242" customFormat="false" ht="12.75" hidden="false" customHeight="false" outlineLevel="0" collapsed="false">
      <c r="A242" s="308" t="str">
        <f aca="false">IF(A241="N/A","N/A",IF(EDATE(A241,1)&gt;Inputs!$K$3,"N/A",EDATE(A241,1)))</f>
        <v>N/A</v>
      </c>
      <c r="B242" s="309" t="str">
        <f aca="false">IF(A242="N/A"," ",YEAR(A242))</f>
        <v> </v>
      </c>
      <c r="C242" s="310" t="str">
        <f aca="false">IF(A242="N/A"," ",VLOOKUP(A242,ScaledPrice,10))</f>
        <v> </v>
      </c>
      <c r="D242" s="311" t="str">
        <f aca="false">IF(A242="N/A"," ",(VLOOKUP(MONTH($A242),Hrtable,2))/1000)</f>
        <v> </v>
      </c>
      <c r="E242" s="312" t="str">
        <f aca="false">IF($A242="N/A"," ",(C242-'Pricing Inputs'!T275)*D242)</f>
        <v> </v>
      </c>
      <c r="F242" s="313" t="str">
        <f aca="false">IF(A242="N/A"," ",$F230*(1+VOMesc))</f>
        <v> </v>
      </c>
      <c r="G242" s="313" t="str">
        <f aca="false">IF(A242="N/A"," ",Perstart/IF(AND(Dayrun&gt;=4,Dayrun&lt;=6),16,IF(AND(Dayrun&gt;=7,Dayrun&lt;=9),8,24))/(BM242/CK242))</f>
        <v> </v>
      </c>
      <c r="H242" s="314" t="str">
        <f aca="false">IF(A242="N/A"," ",(C242*D242)+F242+G242)</f>
        <v> </v>
      </c>
      <c r="I242" s="315" t="str">
        <f aca="false">VLOOKUP(A242,ScaledPrice,(IF(AND(Dayrun&gt;=1,Dayrun&lt;=6),2,4)))</f>
        <v> </v>
      </c>
      <c r="J242" s="315" t="str">
        <f aca="false">IF(A242="N/A"," ",IF(AND(Dayrun&gt;=1,Dayrun&lt;=6),I242,(VLOOKUP(A242,ScaledPrice,2))*(2-(VLOOKUP(A242,ScaledPrice,3)))))</f>
        <v> </v>
      </c>
      <c r="K242" s="315" t="str">
        <f aca="false">IF(A242="N/A"," ",IF(AND(Dayrun&gt;=1,Dayrun&lt;=3),VLOOKUP(A242,ScaledPrice,9),0))</f>
        <v> </v>
      </c>
      <c r="L242" s="315" t="str">
        <f aca="false">IF(A242="N/A"," ",IF(OR(Dayrun=2,Dayrun=3,Dayrun=5,Dayrun=6,Dayrun=8,Dayrun=9),VLOOKUP(A242,ScaledPrice,IF(AND(Dayrun&gt;=2,Dayrun&lt;=6),5,6)),0))</f>
        <v> </v>
      </c>
      <c r="M242" s="315" t="str">
        <f aca="false">IF(A242="N/A"," ",IF(OR(Dayrun=2,Dayrun=3,Dayrun=5,Dayrun=6,Dayrun=8,Dayrun=9),IF(AND(Dayrun&gt;=2,Dayrun&lt;=6),L242,(VLOOKUP(A242,ScaledPrice,5))*(2-(VLOOKUP(A242,ScaledPrice,3)))),0))</f>
        <v> </v>
      </c>
      <c r="N242" s="315" t="str">
        <f aca="false">IF(A242="N/A"," ",IF(AND(Dayrun&gt;1,Dayrun&lt;=3),VLOOKUP(A242,ScaledPrice,9),0))</f>
        <v> </v>
      </c>
      <c r="O242" s="315" t="str">
        <f aca="false">IF(A242="N/A"," ",IF(OR(Dayrun=3,Dayrun=6,Dayrun=9),(VLOOKUP(A242,ScaledPrice,IF(AND(Dayrun&gt;=3,Dayrun&lt;=6),7,8))),0))</f>
        <v> </v>
      </c>
      <c r="P242" s="315" t="str">
        <f aca="false">IF(A242="N/A"," ",IF(OR(Dayrun=3,Dayrun=6,Dayrun=9),IF(AND(Dayrun&gt;=3,Dayrun&lt;=6),O242,(VLOOKUP(A242,ScaledPrice,7))*(2-(VLOOKUP(A242,ScaledPrice,3)))),0))</f>
        <v> </v>
      </c>
      <c r="Q242" s="315" t="str">
        <f aca="false">IF(A242="N/A"," ",IF(AND(Dayrun&gt;2,Dayrun&lt;=3),VLOOKUP(A242,ScaledPrice,9),0))</f>
        <v> </v>
      </c>
      <c r="R242" s="316" t="str">
        <f aca="false">IF($A242="N/A"," ",IF(Pricetype=2,MAX(I242-$H242,0),IF(Pricetype=1,(xSPRDOPT(I242,$E242,$CI242,0,($CD242+IF(Smile=TRUE(),VLOOKUP(MAX(-5,$H242-I242),Volsmile,2),0)),$CG242,$CH242,($A242-DateToday)+15,1,0)),I242-$H242)))</f>
        <v> </v>
      </c>
      <c r="S242" s="316" t="str">
        <f aca="false">IF($A242="N/A"," ",IF(Pricetype=2,MAX(J242-$H242,0),IF(Pricetype=1,(xSPRDOPT(J242,$E242,$CI242,0,($CD242+IF(Smile=TRUE(),VLOOKUP(MAX(-5,$H242-J242),Volsmile,2),0)),$CG242,$CH242,($A242-DateToday)+15,1,0)),J242-$H242)))</f>
        <v> </v>
      </c>
      <c r="T242" s="317" t="str">
        <f aca="false">IF($A242="N/A"," ",(IF(Pricetype=2,IF((K242-$H242)&lt;=0,0,(K242-$H242)),IF(K242&lt;&gt;0,(K242-$H242),0))))</f>
        <v> </v>
      </c>
      <c r="U242" s="316" t="str">
        <f aca="false">IF($A242="N/A"," ",IF(Pricetype=2,MAX(L242-$H242,0),IF(L242&lt;&gt;0,IF(Pricetype=1,(xSPRDOPT(L242,$E242,$CI242,0,($CD242+IF(Smile=TRUE(),VLOOKUP(MAX(-5,$H242-L242),Volsmile,2),0)),$CG242,$CH242,($A242-DateToday)+15,1,0)),L242-$H242),0)))</f>
        <v> </v>
      </c>
      <c r="V242" s="316" t="str">
        <f aca="false">IF($A242="N/A"," ",IF(Pricetype=2,MAX(M242-$H242,0),IF(M242&lt;&gt;0,IF(Pricetype=1,(xSPRDOPT(M242,$E242,$CI242,0,($CD242+IF(Smile=TRUE(),VLOOKUP(MAX(-5,$H242-M242),Volsmile,2),0)),$CG242,$CH242,($A242-DateToday)+15,1,0)),M242-$H242),0)))</f>
        <v> </v>
      </c>
      <c r="W242" s="317" t="str">
        <f aca="false">IF($A242="N/A"," ",(IF(Pricetype=2,IF((N242-$H242)&lt;=0,0,(N242-$H242)),IF(N242&lt;&gt;0,(N242-$H242),0))))</f>
        <v> </v>
      </c>
      <c r="X242" s="316" t="str">
        <f aca="false">IF($A242="N/A"," ",IF(Pricetype=2,MAX(O242-$H242,0),IF(O242&lt;&gt;0,IF(Pricetype=1,(xSPRDOPT(O242,$E242,$CI242,0,($CD242+IF(Smile=TRUE(),VLOOKUP(MAX(-5,$H242-O242),Volsmile,2),0)),$CG242,$CH242,($A242-DateToday)+15,1,0)),O242-$H242),0)))</f>
        <v> </v>
      </c>
      <c r="Y242" s="316" t="str">
        <f aca="false">IF($A242="N/A"," ",IF(Pricetype=2,MAX(P242-$H242,0),IF(P242&lt;&gt;0,IF(Pricetype=1,(xSPRDOPT(P242,$E242,$CI242,0,($CD242+IF(Smile=TRUE(),VLOOKUP(MAX(-5,$H242-P242),Volsmile,2),0)),$CG242,$CH242,($A242-DateToday)+15,1,0)),P242-$H242),0)))</f>
        <v> </v>
      </c>
      <c r="Z242" s="317" t="str">
        <f aca="false">IF($A242="N/A"," ",(IF(Pricetype=2,IF((Q242-$H242)&lt;=0,0,(Q242-$H242)),IF(Q242&lt;&gt;0,(Q242-$H242),0))))</f>
        <v> </v>
      </c>
      <c r="AA242" s="318" t="str">
        <f aca="false">IF($A242="N/A"," ",IF(VLOOKUP(MONTH(A242),ManualTable,2)=1,(IF(0&lt;&gt;R242,IF(Pricetype=1,(xSPRDOPT(I242,$E242,$CI242,0,($CD242+IF(Smile=TRUE(),VLOOKUP(MAX(-5,$H242-I242),Volsmile,2),0)),$CG242,$CH242,($A242-DateToday)+15,1,1))*(8*$HD242),8*$HD242),0)),0))</f>
        <v> </v>
      </c>
      <c r="AB242" s="318" t="str">
        <f aca="false">IF($A242="N/A"," ",IF(VLOOKUP(MONTH(A242),ManualTable,3)=1,(IF(S242&lt;&gt;0,IF(Pricetype=1,(xSPRDOPT(J242,$E242,$CI242,0,($CD242+IF(Smile=TRUE(),VLOOKUP(MAX(-5,$H242-J242),Volsmile,2),0)),$CG242,$CH242,($A242-DateToday)+15,1,1))*(8*$HD242),8*$HD242),0)),0))</f>
        <v> </v>
      </c>
      <c r="AC242" s="318" t="str">
        <f aca="false">IF($A242="N/A"," ",IF(VLOOKUP(MONTH(A242),ManualTable,4)=1,(IF(T242&lt;&gt;0,(8*$HD242),0)),0))</f>
        <v> </v>
      </c>
      <c r="AD242" s="318" t="str">
        <f aca="false">IF($A242="N/A"," ",IF(VLOOKUP(MONTH(A242),ManualTable,5)=1,(IF(U242&lt;&gt;0,IF(Pricetype=1,(xSPRDOPT(L242,$E242,$CI242,0,($CD242+IF(Smile=TRUE(),VLOOKUP(MAX(-5,$H242-L242),Volsmile,2),0)),$CG242,$CH242,($A242-DateToday)+15,1,1))*(8*$HE242),8*$HE242),0)),0))</f>
        <v> </v>
      </c>
      <c r="AE242" s="318" t="str">
        <f aca="false">IF($A242="N/A"," ",IF(VLOOKUP(MONTH(A242),ManualTable,6)=1,(IF(V242&lt;&gt;0,IF(Pricetype=1,(xSPRDOPT(M242,$E242,$CI242,0,($CD242+IF(Smile=TRUE(),VLOOKUP(MAX(-5,$H242-M242),Volsmile,2),0)),$CG242,$CH242,($A242-DateToday)+15,1,1))*(8*$HE242),8*$HE242),0)),0))</f>
        <v> </v>
      </c>
      <c r="AF242" s="318" t="str">
        <f aca="false">IF($A242="N/A"," ",IF(VLOOKUP(MONTH(A242),ManualTable,7)=1,(IF(W242&lt;&gt;0,(8*$HE242),0)),0))</f>
        <v> </v>
      </c>
      <c r="AG242" s="318" t="str">
        <f aca="false">IF($A242="N/A"," ",IF(VLOOKUP(MONTH(A242),ManualTable,8)=1,(IF(X242&lt;&gt;0,IF(Pricetype=1,(xSPRDOPT(O242,$E242,$CI242,0,($CD242+IF(Smile=TRUE(),VLOOKUP(MAX(-5,$H242-O242),Volsmile,2),0)),$CG242,$CH242,($A242-DateToday)+15,1,1))*(8*$HF242),8*$HF242),0)),0))</f>
        <v> </v>
      </c>
      <c r="AH242" s="318" t="str">
        <f aca="false">IF($A242="N/A"," ",IF(VLOOKUP(MONTH(A242),ManualTable,9)=1,(IF(Y242&lt;&gt;0,IF(Pricetype=1,(xSPRDOPT(P242,$E242,$CI242,0,($CD242+IF(Smile=TRUE(),VLOOKUP(MAX(-5,$H242-P242),Volsmile,2),0)),$CG242,$CH242,($A242-DateToday)+15,1,1))*(8*$HF242),8*$HF242),0)),0))</f>
        <v> </v>
      </c>
      <c r="AI242" s="318" t="str">
        <f aca="false">IF($A242="N/A"," ",IF(VLOOKUP(MONTH(A242),ManualTable,10)=1,(IF(Z242&lt;&gt;0,(8*($HF242)),0)),0))</f>
        <v> </v>
      </c>
      <c r="AJ242" s="344" t="str">
        <f aca="false">IF($A242="N/A"," ",RANK(R242,$R$232:$Z$243))</f>
        <v> </v>
      </c>
      <c r="AK242" s="321" t="str">
        <f aca="false">IF($A242="N/A"," ",RANK(S242,$R$232:$Z$243))</f>
        <v> </v>
      </c>
      <c r="AL242" s="321" t="str">
        <f aca="false">IF($A242="N/A"," ",RANK(T242,$R$232:$Z$243))</f>
        <v> </v>
      </c>
      <c r="AM242" s="321" t="str">
        <f aca="false">IF($A242="N/A"," ",RANK(U242,$R$232:$Z$243))</f>
        <v> </v>
      </c>
      <c r="AN242" s="321" t="str">
        <f aca="false">IF($A242="N/A"," ",RANK(V242,$R$232:$Z$243))</f>
        <v> </v>
      </c>
      <c r="AO242" s="321" t="str">
        <f aca="false">IF($A242="N/A"," ",RANK(W242,$R$232:$Z$243))</f>
        <v> </v>
      </c>
      <c r="AP242" s="321" t="str">
        <f aca="false">IF($A242="N/A"," ",RANK(X242,$R$232:$Z$243))</f>
        <v> </v>
      </c>
      <c r="AQ242" s="321" t="str">
        <f aca="false">IF($A242="N/A"," ",RANK(Y242,$R$232:$Z$243))</f>
        <v> </v>
      </c>
      <c r="AR242" s="345" t="str">
        <f aca="false">IF($A242="N/A"," ",RANK(Z242,$R$232:$Z$243))</f>
        <v> </v>
      </c>
      <c r="AS242" s="323" t="str">
        <f aca="false">IF($A242="N/A"," ",IF(AJ242&lt;=$AR$2,AA242,0))</f>
        <v> </v>
      </c>
      <c r="AT242" s="325" t="str">
        <f aca="false">IF($A242="N/A"," ",IF(AK242&lt;=$AR$2,AB242,0))</f>
        <v> </v>
      </c>
      <c r="AU242" s="325" t="str">
        <f aca="false">IF($A242="N/A"," ",IF(AL242&lt;=$AR$2,AC242,0))</f>
        <v> </v>
      </c>
      <c r="AV242" s="325" t="str">
        <f aca="false">IF($A242="N/A"," ",IF(AM242&lt;=$AR$2,AD242,0))</f>
        <v> </v>
      </c>
      <c r="AW242" s="325" t="str">
        <f aca="false">IF($A242="N/A"," ",IF(AN242&lt;=$AR$2,AE242,0))</f>
        <v> </v>
      </c>
      <c r="AX242" s="325" t="str">
        <f aca="false">IF($A242="N/A"," ",IF(AO242&lt;=$AR$2,AF242,0))</f>
        <v> </v>
      </c>
      <c r="AY242" s="325" t="str">
        <f aca="false">IF($A242="N/A"," ",IF(AP242&lt;=$AR$2,AG242,0))</f>
        <v> </v>
      </c>
      <c r="AZ242" s="325" t="str">
        <f aca="false">IF($A242="N/A"," ",IF(AQ242&lt;=$AR$2,AH242,0))</f>
        <v> </v>
      </c>
      <c r="BA242" s="325" t="str">
        <f aca="false">IF($A242="N/A"," ",IF(AR242&lt;=$AR$2,AI242,0))</f>
        <v> </v>
      </c>
      <c r="BB242" s="345" t="n">
        <f aca="false">SUM(AS232:BA243)</f>
        <v>0</v>
      </c>
      <c r="BC242" s="326" t="str">
        <f aca="false">IF($A242="N/A"," ",IF(AND(AJ242=$AR$2+1,AS242=0),MIN($BB$243,AA242),0))</f>
        <v> </v>
      </c>
      <c r="BD242" s="346" t="str">
        <f aca="false">IF($A242="N/A"," ",IF(AND(AK242=$AR$2+1,AT242=0),MIN($BB$243,AB242),0))</f>
        <v> </v>
      </c>
      <c r="BE242" s="346" t="str">
        <f aca="false">IF($A242="N/A"," ",IF(AND(AL242=$AR$2+1,AU242=0),MIN($BB$243,AC242),0))</f>
        <v> </v>
      </c>
      <c r="BF242" s="346" t="str">
        <f aca="false">IF($A242="N/A"," ",IF(AND(AM242=$AR$2+1,AV242=0),MIN($BB$243,AD242),0))</f>
        <v> </v>
      </c>
      <c r="BG242" s="346" t="str">
        <f aca="false">IF($A242="N/A"," ",IF(AND(AN242=$AR$2+1,AW242=0),MIN($BB$243,AE242),0))</f>
        <v> </v>
      </c>
      <c r="BH242" s="346" t="str">
        <f aca="false">IF($A242="N/A"," ",IF(AND(AO242=$AR$2+1,AX242=0),MIN($BB$243,AF242),0))</f>
        <v> </v>
      </c>
      <c r="BI242" s="346" t="str">
        <f aca="false">IF($A242="N/A"," ",IF(AND(AP242=$AR$2+1,AY242=0),MIN($BB$243,AG242),0))</f>
        <v> </v>
      </c>
      <c r="BJ242" s="346" t="str">
        <f aca="false">IF($A242="N/A"," ",IF(AND(AQ242=$AR$2+1,AZ242=0),MIN($BB$243,AH242),0))</f>
        <v> </v>
      </c>
      <c r="BK242" s="346" t="str">
        <f aca="false">IF($A242="N/A"," ",IF(AND(AR242=$AR$2+1,BA242=0),MIN($BB$243,AI242),0))</f>
        <v> </v>
      </c>
      <c r="BL242" s="345" t="n">
        <f aca="false">SUM(BC232:BK243)</f>
        <v>0</v>
      </c>
      <c r="BM242" s="329" t="str">
        <f aca="false">IF($A242="N/A"," ",(IF(MONTH(A242)&gt;=4,IF(MONTH(A242)&lt;=10,Inputs!$F$13-Inputs!$G$13,Inputs!$F$14-Inputs!$G$14),Inputs!$F$14-Inputs!$G$14))*$CK242*Availability)</f>
        <v> </v>
      </c>
      <c r="BN242" s="330" t="str">
        <f aca="false">IF($A242="N/A"," ",(IF(AS242&gt;0,($BM242*(8*($HD242))*R242),0)+IF(BC242&gt;0,($BM242*((BC242/AA242)*8*$HD242)*R242),0)))</f>
        <v> </v>
      </c>
      <c r="BO242" s="330" t="str">
        <f aca="false">IF($A242="N/A"," ",(IF(AT242&gt;0,($BM242*(8*($HD242))*S242),0)+IF(BD242&gt;0,($BM242*((BD242/AB242)*8*$HD242)*S242),0)))</f>
        <v> </v>
      </c>
      <c r="BP242" s="330" t="str">
        <f aca="false">IF($A242="N/A"," ",(IF(AU242&gt;0,($BM242*(8*($HD242))*T242),0)+IF(BE242&gt;0,($BM242*((BE242))*T242),0)))</f>
        <v> </v>
      </c>
      <c r="BQ242" s="330" t="str">
        <f aca="false">IF($A242="N/A"," ",(IF(AV242&gt;0,($BM242*(8*($HE242))*U242),0)+IF(BF242&gt;0,($BM242*((BF242/AD242)*8*$HE242)*U242),0)))</f>
        <v> </v>
      </c>
      <c r="BR242" s="330" t="str">
        <f aca="false">IF($A242="N/A"," ",(IF(AW242&gt;0,($BM242*(8*($HE242))*V242),0)+IF(BG242&gt;0,($BM242*((BG242/AE242)*8*$HE242)*V242),0)))</f>
        <v> </v>
      </c>
      <c r="BS242" s="330" t="str">
        <f aca="false">IF($A242="N/A"," ",(IF(AX242&gt;0,($BM242*(8*($HE242))*W242),0)+IF(BH242&gt;0,($BM242*((BH242))*W242),0)))</f>
        <v> </v>
      </c>
      <c r="BT242" s="330" t="str">
        <f aca="false">IF($A242="N/A"," ",(IF(AY242&gt;0,($BM242*(8*($HF242))*X242),0)+IF(BI242&gt;0,($BM242*((BI242/AG242)*8*$HF242)*X242),0)))</f>
        <v> </v>
      </c>
      <c r="BU242" s="330" t="str">
        <f aca="false">IF($A242="N/A"," ",(IF(AZ242&gt;0,($BM242*(8*($HF242))*Y242),0)+IF(BJ242&gt;0,($BM242*((BJ242/AH242)*8*$HF242)*Y242),0)))</f>
        <v> </v>
      </c>
      <c r="BV242" s="330" t="str">
        <f aca="false">IF($A242="N/A"," ",(IF(BA242&gt;0,($BM242*(8*($HF242))*Z242),0)+IF(BK242&gt;0,($BM242*((BK242))*Z242),0)))</f>
        <v> </v>
      </c>
      <c r="BW242" s="330" t="str">
        <f aca="false">IF($A242="N/A"," ",SUM(BN242:BV242))</f>
        <v> </v>
      </c>
      <c r="BX242" s="331" t="str">
        <f aca="false">IF($A242="N/A"," ",(H242*(SUM(AS242:BA242)+SUM(BC242:BK242))*BM242))</f>
        <v> </v>
      </c>
      <c r="BY242" s="332" t="str">
        <f aca="false">IF($A242="N/A"," ",((C242*D242)*(SUM($AS242:$BA242)+SUM($BC242:$BK242))*$BM242))</f>
        <v> </v>
      </c>
      <c r="BZ242" s="332" t="str">
        <f aca="false">IF($A242="N/A"," ",(F242*(SUM($AS242:$BA242)+SUM($BC242:$BK242))*$BM242))</f>
        <v> </v>
      </c>
      <c r="CA242" s="333" t="str">
        <f aca="false">IF($A242="N/A"," ",(G242*(SUM($AS242:$BA242)+SUM($BC242:$BK242))*$BM242))</f>
        <v> </v>
      </c>
      <c r="CB242" s="334" t="str">
        <f aca="false">IF(A242="N/A"," ",(VLOOKUP(A242,PowerVolTable,(IF(BMO=2,7,IF(BMO=1,6,8))),FALSE())))</f>
        <v> </v>
      </c>
      <c r="CC242" s="334" t="str">
        <f aca="false">IF(A242="N/A"," ",(VLOOKUP(A242,IntraPowerVol,(IF(BMO=2,3,IF(BMO=1,2,4))),FALSE())*VLOOKUP(MONTH($A242),Volscale,2)))</f>
        <v> </v>
      </c>
      <c r="CD242" s="335" t="str">
        <f aca="false">IF($A242="N/A"," ",(IF(DateToday&gt;$A242,$CC242,((($CB242^2)*((($A242-1)-DateToday)/((EOMONTH($A242,0)+1)-DateToday-15)))+((($CC242)^2)*((15)/((EOMONTH($A242,0)+1)-DateToday-15))))^0.5)))</f>
        <v> </v>
      </c>
      <c r="CE242" s="334" t="str">
        <f aca="false">IF($A242="N/A"," ",(VLOOKUP($A242,GasVolTable,(IF(BMO=2,6,IF(BMO=1,7,5))),FALSE())))</f>
        <v> </v>
      </c>
      <c r="CF242" s="334" t="str">
        <f aca="false">IF($A242="N/A"," ",(VLOOKUP($A242,OmicronVol,(IF(BMO=2,3,IF(BMO=1,4,2))),FALSE())))</f>
        <v> </v>
      </c>
      <c r="CG242" s="335" t="str">
        <f aca="false">IF($A242="N/A"," ",(IF(DateToday&gt;$A242,$CF242,((($CE242^2)*((($A242-1)-DateToday)/((EOMONTH($A242,0)+1)-DateToday-15)))+((($CF242)^2)*((15)/((EOMONTH($A242,0)+1)-DateToday-15))))^0.5)))</f>
        <v> </v>
      </c>
      <c r="CH242" s="334" t="str">
        <f aca="false">IF($A242="N/A"," ",VLOOKUP($A242,CorrelationTable,2,FALSE()))</f>
        <v> </v>
      </c>
      <c r="CI242" s="336" t="str">
        <f aca="false">IF($A242="N/A"," ",F242+G242+(D242*('Pricing Inputs'!T275)))</f>
        <v> </v>
      </c>
      <c r="CJ242" s="334" t="str">
        <f aca="false">IF($A242="N/A"," ",IF(PV=1,0,'Pricing Inputs'!U275))</f>
        <v> </v>
      </c>
      <c r="CK242" s="337" t="str">
        <f aca="false">IF($A242="N/A"," ",(1+CJ242/2)^(-2*((EOMONTH(A242,0)+20)-DateToday)/365.25))</f>
        <v> </v>
      </c>
      <c r="CL242" s="338" t="str">
        <f aca="false">IF(A242="N/A"," ",IF(CC=2,(VLOOKUP(MONTH($A242),Hrtable,3))/1000,0))</f>
        <v> </v>
      </c>
      <c r="CM242" s="339" t="str">
        <f aca="false">IF(A242="N/A"," ",IF(CC=2,(CL242*C242)+F242,0))</f>
        <v> </v>
      </c>
      <c r="CN242" s="340" t="str">
        <f aca="false">IF($A242="N/A"," ",IF(CC=2,(VLOOKUP(A242,ScaledPrice,(IF(AND(Dayrun&gt;=1,Dayrun&lt;=6),2,4)))-((IF(R242&lt;&gt;0,$D242,$CL242)*$C242)+$F242+$G242)),0))</f>
        <v> </v>
      </c>
      <c r="CO242" s="340" t="str">
        <f aca="false">IF($A242="N/A"," ",IF(CC=2,(IF(AND(Dayrun&gt;=1,Dayrun&lt;=6),I242,(VLOOKUP(A242,ScaledPrice,2))*(2-(VLOOKUP(A242,ScaledPrice,3))))-((IF(S242&lt;&gt;0,$D242,$CL242)*$C242)+$F242+$G242)),0))</f>
        <v> </v>
      </c>
      <c r="CP242" s="340" t="str">
        <f aca="false">IF(A242="N/A"," ",IF(CC=2,(VLOOKUP(A242,ScaledPrice,9)-((IF(T242&lt;&gt;0,$D242,$CL242)*$C242)+$F242+$G242)),0))</f>
        <v> </v>
      </c>
      <c r="CQ242" s="340" t="str">
        <f aca="false">IF(A242="N/A"," ",IF(CC=2,(IF(OR(Dayrun=2,Dayrun=3,Dayrun=5,Dayrun=6,Dayrun=8,Dayrun=9),VLOOKUP(A242,ScaledPrice,IF(AND(Dayrun&gt;=2,Dayrun&lt;=6),5,6)),0)-((IF(U242&lt;&gt;0,$D242,$CL242)*$C242)+$F242+$G242)),0))</f>
        <v> </v>
      </c>
      <c r="CR242" s="340" t="str">
        <f aca="false">IF(A242="N/A"," ",IF(CC=2,(IF(OR(Dayrun=2,Dayrun=3,Dayrun=5,Dayrun=6,Dayrun=8,Dayrun=9),IF(AND(Dayrun&gt;=2,Dayrun&lt;=6),L242,(VLOOKUP(A242,ScaledPrice,5))*(2-(VLOOKUP(A242,ScaledPrice,3)))),0)-((IF(V242&lt;&gt;0,$D242,$CL242)*$C242)+$F242+$G242)),0))</f>
        <v> </v>
      </c>
      <c r="CS242" s="340" t="str">
        <f aca="false">IF(A242="N/A"," ",IF(CC=2,(VLOOKUP(A242,ScaledPrice,9)-((IF(W242&lt;&gt;0,$D242,$CL242)*$C242)+$F242+$G242)),0))</f>
        <v> </v>
      </c>
      <c r="CT242" s="340" t="str">
        <f aca="false">IF(A242="N/A"," ",IF(CC=2,(IF(OR(Dayrun=3,Dayrun=6,Dayrun=9),(VLOOKUP(A242,ScaledPrice,IF(AND(Dayrun&gt;=3,Dayrun&lt;=6),7,8))),0)-((IF(X242&lt;&gt;0,$D242,$CL242)*$C242)+$F242+$G242)),0))</f>
        <v> </v>
      </c>
      <c r="CU242" s="340" t="str">
        <f aca="false">IF(A242="N/A"," ",IF(CC=2,(IF(OR(Dayrun=3,Dayrun=6,Dayrun=9),IF(AND(Dayrun&gt;=3,Dayrun&lt;=6),O242,(VLOOKUP(A242,ScaledPrice,7))*(2-(VLOOKUP(A242,ScaledPrice,3)))),0)-((IF(Y242&lt;&gt;0,$D242,$CL242)*$C242)+$F242+$G242)),0))</f>
        <v> </v>
      </c>
      <c r="CV242" s="340" t="str">
        <f aca="false">IF(A242="N/A"," ",IF(CC=2,(VLOOKUP(A242,ScaledPrice,9)-((IF(Z242&lt;&gt;0,$D242,$CL242)*$C242)+$F242+$G242)),0))</f>
        <v> </v>
      </c>
      <c r="CW242" s="318" t="str">
        <f aca="false">IF($A242="N/A"," ",IF(0&lt;&gt;CN242,IF(CC=2,8*$HD242,0),0))</f>
        <v> </v>
      </c>
      <c r="CX242" s="318" t="str">
        <f aca="false">IF($A242="N/A"," ",IF(0&lt;&gt;CO242,IF(CC=2,8*$HD242,0),0))</f>
        <v> </v>
      </c>
      <c r="CY242" s="318" t="str">
        <f aca="false">IF($A242="N/A"," ",IF(0&lt;&gt;CP242,IF(CC=2,8*$HD242,0),0))</f>
        <v> </v>
      </c>
      <c r="CZ242" s="318" t="str">
        <f aca="false">IF($A242="N/A"," ",IF(0&lt;&gt;CQ242,IF(CC=2,8*$HE242,0),0))</f>
        <v> </v>
      </c>
      <c r="DA242" s="318" t="str">
        <f aca="false">IF($A242="N/A"," ",IF(0&lt;&gt;CR242,IF(CC=2,8*$HE242,0),0))</f>
        <v> </v>
      </c>
      <c r="DB242" s="318" t="str">
        <f aca="false">IF($A242="N/A"," ",IF(0&lt;&gt;CS242,IF(CC=2,8*$HE242,0),0))</f>
        <v> </v>
      </c>
      <c r="DC242" s="318" t="str">
        <f aca="false">IF($A242="N/A"," ",IF(0&lt;&gt;CT242,IF(CC=2,8*$HF242,0),0))</f>
        <v> </v>
      </c>
      <c r="DD242" s="318" t="str">
        <f aca="false">IF($A242="N/A"," ",IF(0&lt;&gt;CU242,IF(CC=2,8*$HF242,0),0))</f>
        <v> </v>
      </c>
      <c r="DE242" s="318" t="str">
        <f aca="false">IF($A242="N/A"," ",IF(0&lt;&gt;CV242,IF(CC=2,8*$HF242,0),0))</f>
        <v> </v>
      </c>
      <c r="DF242" s="341" t="str">
        <f aca="false">IF($A242="N/A"," ",IF(CC=2,(IF(MONTH(A242)&gt;=4,IF(MONTH(A242)&lt;=10,Inputs!$G$13,Inputs!$G$14),Inputs!$G$14))*$CK242,0))</f>
        <v> </v>
      </c>
      <c r="DG242" s="342" t="str">
        <f aca="false">IF($A242="N/A"," ",IF(CC=2,$DF242*CW242*CN242,0))</f>
        <v> </v>
      </c>
      <c r="DH242" s="342" t="str">
        <f aca="false">IF($A242="N/A"," ",IF(CC=2,$DF242*CX242*CO242,0))</f>
        <v> </v>
      </c>
      <c r="DI242" s="342" t="str">
        <f aca="false">IF($A242="N/A"," ",IF(CC=2,$DF242*CY242*CP242,0))</f>
        <v> </v>
      </c>
      <c r="DJ242" s="342" t="str">
        <f aca="false">IF($A242="N/A"," ",IF(CC=2,$DF242*CZ242*CQ242,0))</f>
        <v> </v>
      </c>
      <c r="DK242" s="342" t="str">
        <f aca="false">IF($A242="N/A"," ",IF(CC=2,$DF242*DA242*CR242,0))</f>
        <v> </v>
      </c>
      <c r="DL242" s="342" t="str">
        <f aca="false">IF($A242="N/A"," ",IF(CC=2,$DF242*DB242*CS242,0))</f>
        <v> </v>
      </c>
      <c r="DM242" s="342" t="str">
        <f aca="false">IF($A242="N/A"," ",IF(CC=2,$DF242*DC242*CT242,0))</f>
        <v> </v>
      </c>
      <c r="DN242" s="342" t="str">
        <f aca="false">IF($A242="N/A"," ",IF(CC=2,$DF242*DD242*CU242,0))</f>
        <v> </v>
      </c>
      <c r="DO242" s="342" t="str">
        <f aca="false">IF($A242="N/A"," ",IF(CC=2,$DF242*DE242*CV242,0))</f>
        <v> </v>
      </c>
      <c r="DP242" s="343" t="str">
        <f aca="false">IF($A242="N/A"," ",IF(CC=2,SUM(DG242:DO242),0))</f>
        <v> </v>
      </c>
      <c r="DQ242" s="0" t="str">
        <f aca="false">IF(A242="N/A"," ",Perstart)</f>
        <v> </v>
      </c>
      <c r="HD242" s="0" t="str">
        <f aca="false">IF($A242="N/A"," ",VLOOKUP($A242,NumberofDaysTable,2))</f>
        <v> </v>
      </c>
      <c r="HE242" s="0" t="str">
        <f aca="false">IF($A242="N/A"," ",VLOOKUP($A242,NumberofDaysTable,3))</f>
        <v> </v>
      </c>
      <c r="HF242" s="0" t="str">
        <f aca="false">IF($A242="N/A"," ",VLOOKUP($A242,NumberofDaysTable,4))</f>
        <v> </v>
      </c>
    </row>
    <row r="243" customFormat="false" ht="12.75" hidden="false" customHeight="false" outlineLevel="0" collapsed="false">
      <c r="A243" s="308" t="str">
        <f aca="false">IF(A242="N/A","N/A",IF(EDATE(A242,1)&gt;Inputs!$K$3,"N/A",EDATE(A242,1)))</f>
        <v>N/A</v>
      </c>
      <c r="B243" s="309" t="str">
        <f aca="false">IF(A243="N/A"," ",YEAR(A243))</f>
        <v> </v>
      </c>
      <c r="C243" s="310" t="str">
        <f aca="false">IF(A243="N/A"," ",VLOOKUP(A243,ScaledPrice,10))</f>
        <v> </v>
      </c>
      <c r="D243" s="311" t="str">
        <f aca="false">IF(A243="N/A"," ",(VLOOKUP(MONTH($A243),Hrtable,2))/1000)</f>
        <v> </v>
      </c>
      <c r="E243" s="312" t="str">
        <f aca="false">IF($A243="N/A"," ",(C243-'Pricing Inputs'!T276)*D243)</f>
        <v> </v>
      </c>
      <c r="F243" s="313" t="str">
        <f aca="false">IF(A243="N/A"," ",$F231*(1+VOMesc))</f>
        <v> </v>
      </c>
      <c r="G243" s="313" t="str">
        <f aca="false">IF(A243="N/A"," ",Perstart/IF(AND(Dayrun&gt;=4,Dayrun&lt;=6),16,IF(AND(Dayrun&gt;=7,Dayrun&lt;=9),8,24))/(BM243/CK243))</f>
        <v> </v>
      </c>
      <c r="H243" s="314" t="str">
        <f aca="false">IF(A243="N/A"," ",(C243*D243)+F243+G243)</f>
        <v> </v>
      </c>
      <c r="I243" s="315" t="str">
        <f aca="false">VLOOKUP(A243,ScaledPrice,(IF(AND(Dayrun&gt;=1,Dayrun&lt;=6),2,4)))</f>
        <v> </v>
      </c>
      <c r="J243" s="315" t="str">
        <f aca="false">IF(A243="N/A"," ",IF(AND(Dayrun&gt;=1,Dayrun&lt;=6),I243,(VLOOKUP(A243,ScaledPrice,2))*(2-(VLOOKUP(A243,ScaledPrice,3)))))</f>
        <v> </v>
      </c>
      <c r="K243" s="315" t="str">
        <f aca="false">IF(A243="N/A"," ",IF(AND(Dayrun&gt;=1,Dayrun&lt;=3),VLOOKUP(A243,ScaledPrice,9),0))</f>
        <v> </v>
      </c>
      <c r="L243" s="315" t="str">
        <f aca="false">IF(A243="N/A"," ",IF(OR(Dayrun=2,Dayrun=3,Dayrun=5,Dayrun=6,Dayrun=8,Dayrun=9),VLOOKUP(A243,ScaledPrice,IF(AND(Dayrun&gt;=2,Dayrun&lt;=6),5,6)),0))</f>
        <v> </v>
      </c>
      <c r="M243" s="315" t="str">
        <f aca="false">IF(A243="N/A"," ",IF(OR(Dayrun=2,Dayrun=3,Dayrun=5,Dayrun=6,Dayrun=8,Dayrun=9),IF(AND(Dayrun&gt;=2,Dayrun&lt;=6),L243,(VLOOKUP(A243,ScaledPrice,5))*(2-(VLOOKUP(A243,ScaledPrice,3)))),0))</f>
        <v> </v>
      </c>
      <c r="N243" s="315" t="str">
        <f aca="false">IF(A243="N/A"," ",IF(AND(Dayrun&gt;1,Dayrun&lt;=3),VLOOKUP(A243,ScaledPrice,9),0))</f>
        <v> </v>
      </c>
      <c r="O243" s="315" t="str">
        <f aca="false">IF(A243="N/A"," ",IF(OR(Dayrun=3,Dayrun=6,Dayrun=9),(VLOOKUP(A243,ScaledPrice,IF(AND(Dayrun&gt;=3,Dayrun&lt;=6),7,8))),0))</f>
        <v> </v>
      </c>
      <c r="P243" s="315" t="str">
        <f aca="false">IF(A243="N/A"," ",IF(OR(Dayrun=3,Dayrun=6,Dayrun=9),IF(AND(Dayrun&gt;=3,Dayrun&lt;=6),O243,(VLOOKUP(A243,ScaledPrice,7))*(2-(VLOOKUP(A243,ScaledPrice,3)))),0))</f>
        <v> </v>
      </c>
      <c r="Q243" s="315" t="str">
        <f aca="false">IF(A243="N/A"," ",IF(AND(Dayrun&gt;2,Dayrun&lt;=3),VLOOKUP(A243,ScaledPrice,9),0))</f>
        <v> </v>
      </c>
      <c r="R243" s="316" t="str">
        <f aca="false">IF($A243="N/A"," ",IF(Pricetype=2,MAX(I243-$H243,0),IF(Pricetype=1,(xSPRDOPT(I243,$E243,$CI243,0,($CD243+IF(Smile=TRUE(),VLOOKUP(MAX(-5,$H243-I243),Volsmile,2),0)),$CG243,$CH243,($A243-DateToday)+15,1,0)),I243-$H243)))</f>
        <v> </v>
      </c>
      <c r="S243" s="316" t="str">
        <f aca="false">IF($A243="N/A"," ",IF(Pricetype=2,MAX(J243-$H243,0),IF(Pricetype=1,(xSPRDOPT(J243,$E243,$CI243,0,($CD243+IF(Smile=TRUE(),VLOOKUP(MAX(-5,$H243-J243),Volsmile,2),0)),$CG243,$CH243,($A243-DateToday)+15,1,0)),J243-$H243)))</f>
        <v> </v>
      </c>
      <c r="T243" s="317" t="str">
        <f aca="false">IF($A243="N/A"," ",(IF(Pricetype=2,IF((K243-$H243)&lt;=0,0,(K243-$H243)),IF(K243&lt;&gt;0,(K243-$H243),0))))</f>
        <v> </v>
      </c>
      <c r="U243" s="316" t="str">
        <f aca="false">IF($A243="N/A"," ",IF(Pricetype=2,MAX(L243-$H243,0),IF(L243&lt;&gt;0,IF(Pricetype=1,(xSPRDOPT(L243,$E243,$CI243,0,($CD243+IF(Smile=TRUE(),VLOOKUP(MAX(-5,$H243-L243),Volsmile,2),0)),$CG243,$CH243,($A243-DateToday)+15,1,0)),L243-$H243),0)))</f>
        <v> </v>
      </c>
      <c r="V243" s="316" t="str">
        <f aca="false">IF($A243="N/A"," ",IF(Pricetype=2,MAX(M243-$H243,0),IF(M243&lt;&gt;0,IF(Pricetype=1,(xSPRDOPT(M243,$E243,$CI243,0,($CD243+IF(Smile=TRUE(),VLOOKUP(MAX(-5,$H243-M243),Volsmile,2),0)),$CG243,$CH243,($A243-DateToday)+15,1,0)),M243-$H243),0)))</f>
        <v> </v>
      </c>
      <c r="W243" s="317" t="str">
        <f aca="false">IF($A243="N/A"," ",(IF(Pricetype=2,IF((N243-$H243)&lt;=0,0,(N243-$H243)),IF(N243&lt;&gt;0,(N243-$H243),0))))</f>
        <v> </v>
      </c>
      <c r="X243" s="316" t="str">
        <f aca="false">IF($A243="N/A"," ",IF(Pricetype=2,MAX(O243-$H243,0),IF(O243&lt;&gt;0,IF(Pricetype=1,(xSPRDOPT(O243,$E243,$CI243,0,($CD243+IF(Smile=TRUE(),VLOOKUP(MAX(-5,$H243-O243),Volsmile,2),0)),$CG243,$CH243,($A243-DateToday)+15,1,0)),O243-$H243),0)))</f>
        <v> </v>
      </c>
      <c r="Y243" s="316" t="str">
        <f aca="false">IF($A243="N/A"," ",IF(Pricetype=2,MAX(P243-$H243,0),IF(P243&lt;&gt;0,IF(Pricetype=1,(xSPRDOPT(P243,$E243,$CI243,0,($CD243+IF(Smile=TRUE(),VLOOKUP(MAX(-5,$H243-P243),Volsmile,2),0)),$CG243,$CH243,($A243-DateToday)+15,1,0)),P243-$H243),0)))</f>
        <v> </v>
      </c>
      <c r="Z243" s="317" t="str">
        <f aca="false">IF($A243="N/A"," ",(IF(Pricetype=2,IF((Q243-$H243)&lt;=0,0,(Q243-$H243)),IF(Q243&lt;&gt;0,(Q243-$H243),0))))</f>
        <v> </v>
      </c>
      <c r="AA243" s="318" t="str">
        <f aca="false">IF($A243="N/A"," ",IF(VLOOKUP(MONTH(A243),ManualTable,2)=1,(IF(0&lt;&gt;R243,IF(Pricetype=1,(xSPRDOPT(I243,$E243,$CI243,0,($CD243+IF(Smile=TRUE(),VLOOKUP(MAX(-5,$H243-I243),Volsmile,2),0)),$CG243,$CH243,($A243-DateToday)+15,1,1))*(8*$HD243),8*$HD243),0)),0))</f>
        <v> </v>
      </c>
      <c r="AB243" s="318" t="str">
        <f aca="false">IF($A243="N/A"," ",IF(VLOOKUP(MONTH(A243),ManualTable,3)=1,(IF(S243&lt;&gt;0,IF(Pricetype=1,(xSPRDOPT(J243,$E243,$CI243,0,($CD243+IF(Smile=TRUE(),VLOOKUP(MAX(-5,$H243-J243),Volsmile,2),0)),$CG243,$CH243,($A243-DateToday)+15,1,1))*(8*$HD243),8*$HD243),0)),0))</f>
        <v> </v>
      </c>
      <c r="AC243" s="318" t="str">
        <f aca="false">IF($A243="N/A"," ",IF(VLOOKUP(MONTH(A243),ManualTable,4)=1,(IF(T243&lt;&gt;0,(8*$HD243),0)),0))</f>
        <v> </v>
      </c>
      <c r="AD243" s="318" t="str">
        <f aca="false">IF($A243="N/A"," ",IF(VLOOKUP(MONTH(A243),ManualTable,5)=1,(IF(U243&lt;&gt;0,IF(Pricetype=1,(xSPRDOPT(L243,$E243,$CI243,0,($CD243+IF(Smile=TRUE(),VLOOKUP(MAX(-5,$H243-L243),Volsmile,2),0)),$CG243,$CH243,($A243-DateToday)+15,1,1))*(8*$HE243),8*$HE243),0)),0))</f>
        <v> </v>
      </c>
      <c r="AE243" s="318" t="str">
        <f aca="false">IF($A243="N/A"," ",IF(VLOOKUP(MONTH(A243),ManualTable,6)=1,(IF(V243&lt;&gt;0,IF(Pricetype=1,(xSPRDOPT(M243,$E243,$CI243,0,($CD243+IF(Smile=TRUE(),VLOOKUP(MAX(-5,$H243-M243),Volsmile,2),0)),$CG243,$CH243,($A243-DateToday)+15,1,1))*(8*$HE243),8*$HE243),0)),0))</f>
        <v> </v>
      </c>
      <c r="AF243" s="318" t="str">
        <f aca="false">IF($A243="N/A"," ",IF(VLOOKUP(MONTH(A243),ManualTable,7)=1,(IF(W243&lt;&gt;0,(8*$HE243),0)),0))</f>
        <v> </v>
      </c>
      <c r="AG243" s="318" t="str">
        <f aca="false">IF($A243="N/A"," ",IF(VLOOKUP(MONTH(A243),ManualTable,8)=1,(IF(X243&lt;&gt;0,IF(Pricetype=1,(xSPRDOPT(O243,$E243,$CI243,0,($CD243+IF(Smile=TRUE(),VLOOKUP(MAX(-5,$H243-O243),Volsmile,2),0)),$CG243,$CH243,($A243-DateToday)+15,1,1))*(8*$HF243),8*$HF243),0)),0))</f>
        <v> </v>
      </c>
      <c r="AH243" s="318" t="str">
        <f aca="false">IF($A243="N/A"," ",IF(VLOOKUP(MONTH(A243),ManualTable,9)=1,(IF(Y243&lt;&gt;0,IF(Pricetype=1,(xSPRDOPT(P243,$E243,$CI243,0,($CD243+IF(Smile=TRUE(),VLOOKUP(MAX(-5,$H243-P243),Volsmile,2),0)),$CG243,$CH243,($A243-DateToday)+15,1,1))*(8*$HF243),8*$HF243),0)),0))</f>
        <v> </v>
      </c>
      <c r="AI243" s="318" t="str">
        <f aca="false">IF($A243="N/A"," ",IF(VLOOKUP(MONTH(A243),ManualTable,10)=1,(IF(Z243&lt;&gt;0,(8*($HF243)),0)),0))</f>
        <v> </v>
      </c>
      <c r="AJ243" s="349" t="str">
        <f aca="false">IF($A243="N/A"," ",RANK(R243,$R$232:$Z$243))</f>
        <v> </v>
      </c>
      <c r="AK243" s="350" t="str">
        <f aca="false">IF($A243="N/A"," ",RANK(S243,$R$232:$Z$243))</f>
        <v> </v>
      </c>
      <c r="AL243" s="350" t="str">
        <f aca="false">IF($A243="N/A"," ",RANK(T243,$R$232:$Z$243))</f>
        <v> </v>
      </c>
      <c r="AM243" s="350" t="str">
        <f aca="false">IF($A243="N/A"," ",RANK(U243,$R$232:$Z$243))</f>
        <v> </v>
      </c>
      <c r="AN243" s="350" t="str">
        <f aca="false">IF($A243="N/A"," ",RANK(V243,$R$232:$Z$243))</f>
        <v> </v>
      </c>
      <c r="AO243" s="350" t="str">
        <f aca="false">IF($A243="N/A"," ",RANK(W243,$R$232:$Z$243))</f>
        <v> </v>
      </c>
      <c r="AP243" s="350" t="str">
        <f aca="false">IF($A243="N/A"," ",RANK(X243,$R$232:$Z$243))</f>
        <v> </v>
      </c>
      <c r="AQ243" s="350" t="str">
        <f aca="false">IF($A243="N/A"," ",RANK(Y243,$R$232:$Z$243))</f>
        <v> </v>
      </c>
      <c r="AR243" s="351" t="str">
        <f aca="false">IF($A243="N/A"," ",RANK(Z243,$R$232:$Z$243))</f>
        <v> </v>
      </c>
      <c r="AS243" s="352" t="str">
        <f aca="false">IF($A243="N/A"," ",IF(AJ243&lt;=$AR$2,AA243,0))</f>
        <v> </v>
      </c>
      <c r="AT243" s="353" t="str">
        <f aca="false">IF($A243="N/A"," ",IF(AK243&lt;=$AR$2,AB243,0))</f>
        <v> </v>
      </c>
      <c r="AU243" s="353" t="str">
        <f aca="false">IF($A243="N/A"," ",IF(AL243&lt;=$AR$2,AC243,0))</f>
        <v> </v>
      </c>
      <c r="AV243" s="353" t="str">
        <f aca="false">IF($A243="N/A"," ",IF(AM243&lt;=$AR$2,AD243,0))</f>
        <v> </v>
      </c>
      <c r="AW243" s="353" t="str">
        <f aca="false">IF($A243="N/A"," ",IF(AN243&lt;=$AR$2,AE243,0))</f>
        <v> </v>
      </c>
      <c r="AX243" s="353" t="str">
        <f aca="false">IF($A243="N/A"," ",IF(AO243&lt;=$AR$2,AF243,0))</f>
        <v> </v>
      </c>
      <c r="AY243" s="353" t="str">
        <f aca="false">IF($A243="N/A"," ",IF(AP243&lt;=$AR$2,AG243,0))</f>
        <v> </v>
      </c>
      <c r="AZ243" s="353" t="str">
        <f aca="false">IF($A243="N/A"," ",IF(AQ243&lt;=$AR$2,AH243,0))</f>
        <v> </v>
      </c>
      <c r="BA243" s="353" t="str">
        <f aca="false">IF($A243="N/A"," ",IF(AR243&lt;=$AR$2,AI243,0))</f>
        <v> </v>
      </c>
      <c r="BB243" s="351" t="n">
        <f aca="false">IF(($AZ$2-BB242)&gt;=0,$AZ$2-BB242,0)</f>
        <v>980</v>
      </c>
      <c r="BC243" s="354" t="str">
        <f aca="false">IF($A243="N/A"," ",IF(AND(AJ243=$AR$2+1,AS243=0),MIN($BB$243,AA243),0))</f>
        <v> </v>
      </c>
      <c r="BD243" s="355" t="str">
        <f aca="false">IF($A243="N/A"," ",IF(AND(AK243=$AR$2+1,AT243=0),MIN($BB$243,AB243),0))</f>
        <v> </v>
      </c>
      <c r="BE243" s="346" t="str">
        <f aca="false">IF($A243="N/A"," ",IF(AND(AL243=$AR$2+1,AU243=0),MIN($BB$243,AC243),0))</f>
        <v> </v>
      </c>
      <c r="BF243" s="355" t="str">
        <f aca="false">IF($A243="N/A"," ",IF(AND(AM243=$AR$2+1,AV243=0),MIN($BB$243,AD243),0))</f>
        <v> </v>
      </c>
      <c r="BG243" s="355" t="str">
        <f aca="false">IF($A243="N/A"," ",IF(AND(AN243=$AR$2+1,AW243=0),MIN($BB$243,AE243),0))</f>
        <v> </v>
      </c>
      <c r="BH243" s="346" t="str">
        <f aca="false">IF($A243="N/A"," ",IF(AND(AO243=$AR$2+1,AX243=0),MIN($BB$243,AF243),0))</f>
        <v> </v>
      </c>
      <c r="BI243" s="355" t="str">
        <f aca="false">IF($A243="N/A"," ",IF(AND(AP243=$AR$2+1,AY243=0),MIN($BB$243,AG243),0))</f>
        <v> </v>
      </c>
      <c r="BJ243" s="355" t="str">
        <f aca="false">IF($A243="N/A"," ",IF(AND(AQ243=$AR$2+1,AZ243=0),MIN($BB$243,AH243),0))</f>
        <v> </v>
      </c>
      <c r="BK243" s="355" t="str">
        <f aca="false">IF($A243="N/A"," ",IF(AND(AR243=$AR$2+1,BA243=0),MIN($BB$243,AI243),0))</f>
        <v> </v>
      </c>
      <c r="BL243" s="356" t="n">
        <f aca="false">BB242+BL242</f>
        <v>0</v>
      </c>
      <c r="BM243" s="329" t="str">
        <f aca="false">IF($A243="N/A"," ",(IF(MONTH(A243)&gt;=4,IF(MONTH(A243)&lt;=10,Inputs!$F$13-Inputs!$G$13,Inputs!$F$14-Inputs!$G$14),Inputs!$F$14-Inputs!$G$14))*$CK243*Availability)</f>
        <v> </v>
      </c>
      <c r="BN243" s="330" t="str">
        <f aca="false">IF($A243="N/A"," ",(IF(AS243&gt;0,($BM243*(8*($HD243))*R243),0)+IF(BC243&gt;0,($BM243*((BC243/AA243)*8*$HD243)*R243),0)))</f>
        <v> </v>
      </c>
      <c r="BO243" s="330" t="str">
        <f aca="false">IF($A243="N/A"," ",(IF(AT243&gt;0,($BM243*(8*($HD243))*S243),0)+IF(BD243&gt;0,($BM243*((BD243/AB243)*8*$HD243)*S243),0)))</f>
        <v> </v>
      </c>
      <c r="BP243" s="330" t="str">
        <f aca="false">IF($A243="N/A"," ",(IF(AU243&gt;0,($BM243*(8*($HD243))*T243),0)+IF(BE243&gt;0,($BM243*((BE243))*T243),0)))</f>
        <v> </v>
      </c>
      <c r="BQ243" s="330" t="str">
        <f aca="false">IF($A243="N/A"," ",(IF(AV243&gt;0,($BM243*(8*($HE243))*U243),0)+IF(BF243&gt;0,($BM243*((BF243/AD243)*8*$HE243)*U243),0)))</f>
        <v> </v>
      </c>
      <c r="BR243" s="330" t="str">
        <f aca="false">IF($A243="N/A"," ",(IF(AW243&gt;0,($BM243*(8*($HE243))*V243),0)+IF(BG243&gt;0,($BM243*((BG243/AE243)*8*$HE243)*V243),0)))</f>
        <v> </v>
      </c>
      <c r="BS243" s="330" t="str">
        <f aca="false">IF($A243="N/A"," ",(IF(AX243&gt;0,($BM243*(8*($HE243))*W243),0)+IF(BH243&gt;0,($BM243*((BH243))*W243),0)))</f>
        <v> </v>
      </c>
      <c r="BT243" s="330" t="str">
        <f aca="false">IF($A243="N/A"," ",(IF(AY243&gt;0,($BM243*(8*($HF243))*X243),0)+IF(BI243&gt;0,($BM243*((BI243/AG243)*8*$HF243)*X243),0)))</f>
        <v> </v>
      </c>
      <c r="BU243" s="330" t="str">
        <f aca="false">IF($A243="N/A"," ",(IF(AZ243&gt;0,($BM243*(8*($HF243))*Y243),0)+IF(BJ243&gt;0,($BM243*((BJ243/AH243)*8*$HF243)*Y243),0)))</f>
        <v> </v>
      </c>
      <c r="BV243" s="330" t="str">
        <f aca="false">IF($A243="N/A"," ",(IF(BA243&gt;0,($BM243*(8*($HF243))*Z243),0)+IF(BK243&gt;0,($BM243*((BK243))*Z243),0)))</f>
        <v> </v>
      </c>
      <c r="BW243" s="330" t="str">
        <f aca="false">IF($A243="N/A"," ",SUM(BN243:BV243))</f>
        <v> </v>
      </c>
      <c r="BX243" s="331" t="str">
        <f aca="false">IF($A243="N/A"," ",(H243*(SUM(AS243:BA243)+SUM(BC243:BK243))*BM243))</f>
        <v> </v>
      </c>
      <c r="BY243" s="332" t="str">
        <f aca="false">IF($A243="N/A"," ",((C243*D243)*(SUM($AS243:$BA243)+SUM($BC243:$BK243))*$BM243))</f>
        <v> </v>
      </c>
      <c r="BZ243" s="332" t="str">
        <f aca="false">IF($A243="N/A"," ",(F243*(SUM($AS243:$BA243)+SUM($BC243:$BK243))*$BM243))</f>
        <v> </v>
      </c>
      <c r="CA243" s="333" t="str">
        <f aca="false">IF($A243="N/A"," ",(G243*(SUM($AS243:$BA243)+SUM($BC243:$BK243))*$BM243))</f>
        <v> </v>
      </c>
      <c r="CB243" s="334" t="str">
        <f aca="false">IF(A243="N/A"," ",(VLOOKUP(A243,PowerVolTable,(IF(BMO=2,7,IF(BMO=1,6,8))),FALSE())))</f>
        <v> </v>
      </c>
      <c r="CC243" s="334" t="str">
        <f aca="false">IF(A243="N/A"," ",(VLOOKUP(A243,IntraPowerVol,(IF(BMO=2,3,IF(BMO=1,2,4))),FALSE())*VLOOKUP(MONTH($A243),Volscale,2)))</f>
        <v> </v>
      </c>
      <c r="CD243" s="335" t="str">
        <f aca="false">IF($A243="N/A"," ",(IF(DateToday&gt;$A243,$CC243,((($CB243^2)*((($A243-1)-DateToday)/((EOMONTH($A243,0)+1)-DateToday-15)))+((($CC243)^2)*((15)/((EOMONTH($A243,0)+1)-DateToday-15))))^0.5)))</f>
        <v> </v>
      </c>
      <c r="CE243" s="334" t="str">
        <f aca="false">IF($A243="N/A"," ",(VLOOKUP($A243,GasVolTable,(IF(BMO=2,6,IF(BMO=1,7,5))),FALSE())))</f>
        <v> </v>
      </c>
      <c r="CF243" s="334" t="str">
        <f aca="false">IF($A243="N/A"," ",(VLOOKUP($A243,OmicronVol,(IF(BMO=2,3,IF(BMO=1,4,2))),FALSE())))</f>
        <v> </v>
      </c>
      <c r="CG243" s="335" t="str">
        <f aca="false">IF($A243="N/A"," ",(IF(DateToday&gt;$A243,$CF243,((($CE243^2)*((($A243-1)-DateToday)/((EOMONTH($A243,0)+1)-DateToday-15)))+((($CF243)^2)*((15)/((EOMONTH($A243,0)+1)-DateToday-15))))^0.5)))</f>
        <v> </v>
      </c>
      <c r="CH243" s="334" t="str">
        <f aca="false">IF($A243="N/A"," ",VLOOKUP($A243,CorrelationTable,2,FALSE()))</f>
        <v> </v>
      </c>
      <c r="CI243" s="336" t="str">
        <f aca="false">IF($A243="N/A"," ",F243+G243+(D243*('Pricing Inputs'!T276)))</f>
        <v> </v>
      </c>
      <c r="CJ243" s="334" t="str">
        <f aca="false">IF($A243="N/A"," ",IF(PV=1,0,'Pricing Inputs'!U276))</f>
        <v> </v>
      </c>
      <c r="CK243" s="337" t="str">
        <f aca="false">IF($A243="N/A"," ",(1+CJ243/2)^(-2*((EOMONTH(A243,0)+20)-DateToday)/365.25))</f>
        <v> </v>
      </c>
      <c r="CL243" s="338" t="str">
        <f aca="false">IF(A243="N/A"," ",IF(CC=2,(VLOOKUP(MONTH($A243),Hrtable,3))/1000,0))</f>
        <v> </v>
      </c>
      <c r="CM243" s="339" t="str">
        <f aca="false">IF(A243="N/A"," ",IF(CC=2,(CL243*C243)+F243,0))</f>
        <v> </v>
      </c>
      <c r="CN243" s="340" t="str">
        <f aca="false">IF($A243="N/A"," ",IF(CC=2,(VLOOKUP(A243,ScaledPrice,(IF(AND(Dayrun&gt;=1,Dayrun&lt;=6),2,4)))-((IF(R243&lt;&gt;0,$D243,$CL243)*$C243)+$F243+$G243)),0))</f>
        <v> </v>
      </c>
      <c r="CO243" s="340" t="str">
        <f aca="false">IF($A243="N/A"," ",IF(CC=2,(IF(AND(Dayrun&gt;=1,Dayrun&lt;=6),I243,(VLOOKUP(A243,ScaledPrice,2))*(2-(VLOOKUP(A243,ScaledPrice,3))))-((IF(S243&lt;&gt;0,$D243,$CL243)*$C243)+$F243+$G243)),0))</f>
        <v> </v>
      </c>
      <c r="CP243" s="340" t="str">
        <f aca="false">IF(A243="N/A"," ",IF(CC=2,(VLOOKUP(A243,ScaledPrice,9)-((IF(T243&lt;&gt;0,$D243,$CL243)*$C243)+$F243+$G243)),0))</f>
        <v> </v>
      </c>
      <c r="CQ243" s="340" t="str">
        <f aca="false">IF(A243="N/A"," ",IF(CC=2,(IF(OR(Dayrun=2,Dayrun=3,Dayrun=5,Dayrun=6,Dayrun=8,Dayrun=9),VLOOKUP(A243,ScaledPrice,IF(AND(Dayrun&gt;=2,Dayrun&lt;=6),5,6)),0)-((IF(U243&lt;&gt;0,$D243,$CL243)*$C243)+$F243+$G243)),0))</f>
        <v> </v>
      </c>
      <c r="CR243" s="340" t="str">
        <f aca="false">IF(A243="N/A"," ",IF(CC=2,(IF(OR(Dayrun=2,Dayrun=3,Dayrun=5,Dayrun=6,Dayrun=8,Dayrun=9),IF(AND(Dayrun&gt;=2,Dayrun&lt;=6),L243,(VLOOKUP(A243,ScaledPrice,5))*(2-(VLOOKUP(A243,ScaledPrice,3)))),0)-((IF(V243&lt;&gt;0,$D243,$CL243)*$C243)+$F243+$G243)),0))</f>
        <v> </v>
      </c>
      <c r="CS243" s="340" t="str">
        <f aca="false">IF(A243="N/A"," ",IF(CC=2,(VLOOKUP(A243,ScaledPrice,9)-((IF(W243&lt;&gt;0,$D243,$CL243)*$C243)+$F243+$G243)),0))</f>
        <v> </v>
      </c>
      <c r="CT243" s="340" t="str">
        <f aca="false">IF(A243="N/A"," ",IF(CC=2,(IF(OR(Dayrun=3,Dayrun=6,Dayrun=9),(VLOOKUP(A243,ScaledPrice,IF(AND(Dayrun&gt;=3,Dayrun&lt;=6),7,8))),0)-((IF(X243&lt;&gt;0,$D243,$CL243)*$C243)+$F243+$G243)),0))</f>
        <v> </v>
      </c>
      <c r="CU243" s="340" t="str">
        <f aca="false">IF(A243="N/A"," ",IF(CC=2,(IF(OR(Dayrun=3,Dayrun=6,Dayrun=9),IF(AND(Dayrun&gt;=3,Dayrun&lt;=6),O243,(VLOOKUP(A243,ScaledPrice,7))*(2-(VLOOKUP(A243,ScaledPrice,3)))),0)-((IF(Y243&lt;&gt;0,$D243,$CL243)*$C243)+$F243+$G243)),0))</f>
        <v> </v>
      </c>
      <c r="CV243" s="340" t="str">
        <f aca="false">IF(A243="N/A"," ",IF(CC=2,(VLOOKUP(A243,ScaledPrice,9)-((IF(Z243&lt;&gt;0,$D243,$CL243)*$C243)+$F243+$G243)),0))</f>
        <v> </v>
      </c>
      <c r="CW243" s="318" t="str">
        <f aca="false">IF($A243="N/A"," ",IF(0&lt;&gt;CN243,IF(CC=2,8*$HD243,0),0))</f>
        <v> </v>
      </c>
      <c r="CX243" s="318" t="str">
        <f aca="false">IF($A243="N/A"," ",IF(0&lt;&gt;CO243,IF(CC=2,8*$HD243,0),0))</f>
        <v> </v>
      </c>
      <c r="CY243" s="318" t="str">
        <f aca="false">IF($A243="N/A"," ",IF(0&lt;&gt;CP243,IF(CC=2,8*$HD243,0),0))</f>
        <v> </v>
      </c>
      <c r="CZ243" s="318" t="str">
        <f aca="false">IF($A243="N/A"," ",IF(0&lt;&gt;CQ243,IF(CC=2,8*$HE243,0),0))</f>
        <v> </v>
      </c>
      <c r="DA243" s="318" t="str">
        <f aca="false">IF($A243="N/A"," ",IF(0&lt;&gt;CR243,IF(CC=2,8*$HE243,0),0))</f>
        <v> </v>
      </c>
      <c r="DB243" s="318" t="str">
        <f aca="false">IF($A243="N/A"," ",IF(0&lt;&gt;CS243,IF(CC=2,8*$HE243,0),0))</f>
        <v> </v>
      </c>
      <c r="DC243" s="318" t="str">
        <f aca="false">IF($A243="N/A"," ",IF(0&lt;&gt;CT243,IF(CC=2,8*$HF243,0),0))</f>
        <v> </v>
      </c>
      <c r="DD243" s="318" t="str">
        <f aca="false">IF($A243="N/A"," ",IF(0&lt;&gt;CU243,IF(CC=2,8*$HF243,0),0))</f>
        <v> </v>
      </c>
      <c r="DE243" s="318" t="str">
        <f aca="false">IF($A243="N/A"," ",IF(0&lt;&gt;CV243,IF(CC=2,8*$HF243,0),0))</f>
        <v> </v>
      </c>
      <c r="DF243" s="341" t="str">
        <f aca="false">IF($A243="N/A"," ",IF(CC=2,(IF(MONTH(A243)&gt;=4,IF(MONTH(A243)&lt;=10,Inputs!$G$13,Inputs!$G$14),Inputs!$G$14))*$CK243,0))</f>
        <v> </v>
      </c>
      <c r="DG243" s="342" t="str">
        <f aca="false">IF($A243="N/A"," ",IF(CC=2,$DF243*CW243*CN243,0))</f>
        <v> </v>
      </c>
      <c r="DH243" s="342" t="str">
        <f aca="false">IF($A243="N/A"," ",IF(CC=2,$DF243*CX243*CO243,0))</f>
        <v> </v>
      </c>
      <c r="DI243" s="342" t="str">
        <f aca="false">IF($A243="N/A"," ",IF(CC=2,$DF243*CY243*CP243,0))</f>
        <v> </v>
      </c>
      <c r="DJ243" s="342" t="str">
        <f aca="false">IF($A243="N/A"," ",IF(CC=2,$DF243*CZ243*CQ243,0))</f>
        <v> </v>
      </c>
      <c r="DK243" s="342" t="str">
        <f aca="false">IF($A243="N/A"," ",IF(CC=2,$DF243*DA243*CR243,0))</f>
        <v> </v>
      </c>
      <c r="DL243" s="342" t="str">
        <f aca="false">IF($A243="N/A"," ",IF(CC=2,$DF243*DB243*CS243,0))</f>
        <v> </v>
      </c>
      <c r="DM243" s="342" t="str">
        <f aca="false">IF($A243="N/A"," ",IF(CC=2,$DF243*DC243*CT243,0))</f>
        <v> </v>
      </c>
      <c r="DN243" s="342" t="str">
        <f aca="false">IF($A243="N/A"," ",IF(CC=2,$DF243*DD243*CU243,0))</f>
        <v> </v>
      </c>
      <c r="DO243" s="342" t="str">
        <f aca="false">IF($A243="N/A"," ",IF(CC=2,$DF243*DE243*CV243,0))</f>
        <v> </v>
      </c>
      <c r="DP243" s="343" t="str">
        <f aca="false">IF($A243="N/A"," ",IF(CC=2,SUM(DG243:DO243),0))</f>
        <v> </v>
      </c>
      <c r="DQ243" s="0" t="str">
        <f aca="false">IF(A243="N/A"," ",Perstart)</f>
        <v> </v>
      </c>
      <c r="HD243" s="0" t="str">
        <f aca="false">IF($A243="N/A"," ",VLOOKUP($A243,NumberofDaysTable,2))</f>
        <v> </v>
      </c>
      <c r="HE243" s="0" t="str">
        <f aca="false">IF($A243="N/A"," ",VLOOKUP($A243,NumberofDaysTable,3))</f>
        <v> </v>
      </c>
      <c r="HF243" s="0" t="str">
        <f aca="false">IF($A243="N/A"," ",VLOOKUP($A243,NumberofDaysTable,4))</f>
        <v> </v>
      </c>
    </row>
    <row r="244" customFormat="false" ht="12.75" hidden="false" customHeight="false" outlineLevel="0" collapsed="false">
      <c r="A244" s="308" t="str">
        <f aca="false">IF(A243="N/A","N/A",IF(EDATE(A243,1)&gt;Inputs!$K$3,"N/A",EDATE(A243,1)))</f>
        <v>N/A</v>
      </c>
      <c r="B244" s="309" t="str">
        <f aca="false">IF(A244="N/A"," ",YEAR(A244))</f>
        <v> </v>
      </c>
      <c r="C244" s="310" t="str">
        <f aca="false">IF(A244="N/A"," ",VLOOKUP(A244,ScaledPrice,10))</f>
        <v> </v>
      </c>
      <c r="D244" s="311" t="str">
        <f aca="false">IF(A244="N/A"," ",(VLOOKUP(MONTH($A244),Hrtable,2))/1000)</f>
        <v> </v>
      </c>
      <c r="E244" s="312" t="str">
        <f aca="false">IF($A244="N/A"," ",(C244-'Pricing Inputs'!T277)*D244)</f>
        <v> </v>
      </c>
      <c r="F244" s="313" t="str">
        <f aca="false">IF(A244="N/A"," ",$F232*(1+VOMesc))</f>
        <v> </v>
      </c>
      <c r="G244" s="313" t="str">
        <f aca="false">IF(A244="N/A"," ",Perstart/IF(AND(Dayrun&gt;=4,Dayrun&lt;=6),16,IF(AND(Dayrun&gt;=7,Dayrun&lt;=9),8,24))/(BM244/CK244))</f>
        <v> </v>
      </c>
      <c r="H244" s="314" t="str">
        <f aca="false">IF(A244="N/A"," ",(C244*D244)+F244+G244)</f>
        <v> </v>
      </c>
      <c r="I244" s="315" t="str">
        <f aca="false">VLOOKUP(A244,ScaledPrice,(IF(AND(Dayrun&gt;=1,Dayrun&lt;=6),2,4)))</f>
        <v> </v>
      </c>
      <c r="J244" s="315" t="str">
        <f aca="false">IF(A244="N/A"," ",IF(AND(Dayrun&gt;=1,Dayrun&lt;=6),I244,(VLOOKUP(A244,ScaledPrice,2))*(2-(VLOOKUP(A244,ScaledPrice,3)))))</f>
        <v> </v>
      </c>
      <c r="K244" s="315" t="str">
        <f aca="false">IF(A244="N/A"," ",IF(AND(Dayrun&gt;=1,Dayrun&lt;=3),VLOOKUP(A244,ScaledPrice,9),0))</f>
        <v> </v>
      </c>
      <c r="L244" s="315" t="str">
        <f aca="false">IF(A244="N/A"," ",IF(OR(Dayrun=2,Dayrun=3,Dayrun=5,Dayrun=6,Dayrun=8,Dayrun=9),VLOOKUP(A244,ScaledPrice,IF(AND(Dayrun&gt;=2,Dayrun&lt;=6),5,6)),0))</f>
        <v> </v>
      </c>
      <c r="M244" s="315" t="str">
        <f aca="false">IF(A244="N/A"," ",IF(OR(Dayrun=2,Dayrun=3,Dayrun=5,Dayrun=6,Dayrun=8,Dayrun=9),IF(AND(Dayrun&gt;=2,Dayrun&lt;=6),L244,(VLOOKUP(A244,ScaledPrice,5))*(2-(VLOOKUP(A244,ScaledPrice,3)))),0))</f>
        <v> </v>
      </c>
      <c r="N244" s="315" t="str">
        <f aca="false">IF(A244="N/A"," ",IF(AND(Dayrun&gt;1,Dayrun&lt;=3),VLOOKUP(A244,ScaledPrice,9),0))</f>
        <v> </v>
      </c>
      <c r="O244" s="315" t="str">
        <f aca="false">IF(A244="N/A"," ",IF(OR(Dayrun=3,Dayrun=6,Dayrun=9),(VLOOKUP(A244,ScaledPrice,IF(AND(Dayrun&gt;=3,Dayrun&lt;=6),7,8))),0))</f>
        <v> </v>
      </c>
      <c r="P244" s="315" t="str">
        <f aca="false">IF(A244="N/A"," ",IF(OR(Dayrun=3,Dayrun=6,Dayrun=9),IF(AND(Dayrun&gt;=3,Dayrun&lt;=6),O244,(VLOOKUP(A244,ScaledPrice,7))*(2-(VLOOKUP(A244,ScaledPrice,3)))),0))</f>
        <v> </v>
      </c>
      <c r="Q244" s="315" t="str">
        <f aca="false">IF(A244="N/A"," ",IF(AND(Dayrun&gt;2,Dayrun&lt;=3),VLOOKUP(A244,ScaledPrice,9),0))</f>
        <v> </v>
      </c>
      <c r="R244" s="316" t="str">
        <f aca="false">IF($A244="N/A"," ",IF(Pricetype=2,MAX(I244-$H244,0),IF(Pricetype=1,(xSPRDOPT(I244,$E244,$CI244,0,($CD244+IF(Smile=TRUE(),VLOOKUP(MAX(-5,$H244-I244),Volsmile,2),0)),$CG244,$CH244,($A244-DateToday)+15,1,0)),I244-$H244)))</f>
        <v> </v>
      </c>
      <c r="S244" s="316" t="str">
        <f aca="false">IF($A244="N/A"," ",IF(Pricetype=2,MAX(J244-$H244,0),IF(Pricetype=1,(xSPRDOPT(J244,$E244,$CI244,0,($CD244+IF(Smile=TRUE(),VLOOKUP(MAX(-5,$H244-J244),Volsmile,2),0)),$CG244,$CH244,($A244-DateToday)+15,1,0)),J244-$H244)))</f>
        <v> </v>
      </c>
      <c r="T244" s="317" t="str">
        <f aca="false">IF($A244="N/A"," ",(IF(Pricetype=2,IF((K244-$H244)&lt;=0,0,(K244-$H244)),IF(K244&lt;&gt;0,(K244-$H244),0))))</f>
        <v> </v>
      </c>
      <c r="U244" s="316" t="str">
        <f aca="false">IF($A244="N/A"," ",IF(Pricetype=2,MAX(L244-$H244,0),IF(L244&lt;&gt;0,IF(Pricetype=1,(xSPRDOPT(L244,$E244,$CI244,0,($CD244+IF(Smile=TRUE(),VLOOKUP(MAX(-5,$H244-L244),Volsmile,2),0)),$CG244,$CH244,($A244-DateToday)+15,1,0)),L244-$H244),0)))</f>
        <v> </v>
      </c>
      <c r="V244" s="316" t="str">
        <f aca="false">IF($A244="N/A"," ",IF(Pricetype=2,MAX(M244-$H244,0),IF(M244&lt;&gt;0,IF(Pricetype=1,(xSPRDOPT(M244,$E244,$CI244,0,($CD244+IF(Smile=TRUE(),VLOOKUP(MAX(-5,$H244-M244),Volsmile,2),0)),$CG244,$CH244,($A244-DateToday)+15,1,0)),M244-$H244),0)))</f>
        <v> </v>
      </c>
      <c r="W244" s="317" t="str">
        <f aca="false">IF($A244="N/A"," ",(IF(Pricetype=2,IF((N244-$H244)&lt;=0,0,(N244-$H244)),IF(N244&lt;&gt;0,(N244-$H244),0))))</f>
        <v> </v>
      </c>
      <c r="X244" s="316" t="str">
        <f aca="false">IF($A244="N/A"," ",IF(Pricetype=2,MAX(O244-$H244,0),IF(O244&lt;&gt;0,IF(Pricetype=1,(xSPRDOPT(O244,$E244,$CI244,0,($CD244+IF(Smile=TRUE(),VLOOKUP(MAX(-5,$H244-O244),Volsmile,2),0)),$CG244,$CH244,($A244-DateToday)+15,1,0)),O244-$H244),0)))</f>
        <v> </v>
      </c>
      <c r="Y244" s="316" t="str">
        <f aca="false">IF($A244="N/A"," ",IF(Pricetype=2,MAX(P244-$H244,0),IF(P244&lt;&gt;0,IF(Pricetype=1,(xSPRDOPT(P244,$E244,$CI244,0,($CD244+IF(Smile=TRUE(),VLOOKUP(MAX(-5,$H244-P244),Volsmile,2),0)),$CG244,$CH244,($A244-DateToday)+15,1,0)),P244-$H244),0)))</f>
        <v> </v>
      </c>
      <c r="Z244" s="317" t="str">
        <f aca="false">IF($A244="N/A"," ",(IF(Pricetype=2,IF((Q244-$H244)&lt;=0,0,(Q244-$H244)),IF(Q244&lt;&gt;0,(Q244-$H244),0))))</f>
        <v> </v>
      </c>
      <c r="AA244" s="318" t="str">
        <f aca="false">IF($A244="N/A"," ",IF(VLOOKUP(MONTH(A244),ManualTable,2)=1,(IF(0&lt;&gt;R244,IF(Pricetype=1,(xSPRDOPT(I244,$E244,$CI244,0,($CD244+IF(Smile=TRUE(),VLOOKUP(MAX(-5,$H244-I244),Volsmile,2),0)),$CG244,$CH244,($A244-DateToday)+15,1,1))*(8*$HD244),8*$HD244),0)),0))</f>
        <v> </v>
      </c>
      <c r="AB244" s="318" t="str">
        <f aca="false">IF($A244="N/A"," ",IF(VLOOKUP(MONTH(A244),ManualTable,3)=1,(IF(S244&lt;&gt;0,IF(Pricetype=1,(xSPRDOPT(J244,$E244,$CI244,0,($CD244+IF(Smile=TRUE(),VLOOKUP(MAX(-5,$H244-J244),Volsmile,2),0)),$CG244,$CH244,($A244-DateToday)+15,1,1))*(8*$HD244),8*$HD244),0)),0))</f>
        <v> </v>
      </c>
      <c r="AC244" s="318" t="str">
        <f aca="false">IF($A244="N/A"," ",IF(VLOOKUP(MONTH(A244),ManualTable,4)=1,(IF(T244&lt;&gt;0,(8*$HD244),0)),0))</f>
        <v> </v>
      </c>
      <c r="AD244" s="318" t="str">
        <f aca="false">IF($A244="N/A"," ",IF(VLOOKUP(MONTH(A244),ManualTable,5)=1,(IF(U244&lt;&gt;0,IF(Pricetype=1,(xSPRDOPT(L244,$E244,$CI244,0,($CD244+IF(Smile=TRUE(),VLOOKUP(MAX(-5,$H244-L244),Volsmile,2),0)),$CG244,$CH244,($A244-DateToday)+15,1,1))*(8*$HE244),8*$HE244),0)),0))</f>
        <v> </v>
      </c>
      <c r="AE244" s="318" t="str">
        <f aca="false">IF($A244="N/A"," ",IF(VLOOKUP(MONTH(A244),ManualTable,6)=1,(IF(V244&lt;&gt;0,IF(Pricetype=1,(xSPRDOPT(M244,$E244,$CI244,0,($CD244+IF(Smile=TRUE(),VLOOKUP(MAX(-5,$H244-M244),Volsmile,2),0)),$CG244,$CH244,($A244-DateToday)+15,1,1))*(8*$HE244),8*$HE244),0)),0))</f>
        <v> </v>
      </c>
      <c r="AF244" s="318" t="str">
        <f aca="false">IF($A244="N/A"," ",IF(VLOOKUP(MONTH(A244),ManualTable,7)=1,(IF(W244&lt;&gt;0,(8*$HE244),0)),0))</f>
        <v> </v>
      </c>
      <c r="AG244" s="318" t="str">
        <f aca="false">IF($A244="N/A"," ",IF(VLOOKUP(MONTH(A244),ManualTable,8)=1,(IF(X244&lt;&gt;0,IF(Pricetype=1,(xSPRDOPT(O244,$E244,$CI244,0,($CD244+IF(Smile=TRUE(),VLOOKUP(MAX(-5,$H244-O244),Volsmile,2),0)),$CG244,$CH244,($A244-DateToday)+15,1,1))*(8*$HF244),8*$HF244),0)),0))</f>
        <v> </v>
      </c>
      <c r="AH244" s="318" t="str">
        <f aca="false">IF($A244="N/A"," ",IF(VLOOKUP(MONTH(A244),ManualTable,9)=1,(IF(Y244&lt;&gt;0,IF(Pricetype=1,(xSPRDOPT(P244,$E244,$CI244,0,($CD244+IF(Smile=TRUE(),VLOOKUP(MAX(-5,$H244-P244),Volsmile,2),0)),$CG244,$CH244,($A244-DateToday)+15,1,1))*(8*$HF244),8*$HF244),0)),0))</f>
        <v> </v>
      </c>
      <c r="AI244" s="318" t="str">
        <f aca="false">IF($A244="N/A"," ",IF(VLOOKUP(MONTH(A244),ManualTable,10)=1,(IF(Z244&lt;&gt;0,(8*($HF244)),0)),0))</f>
        <v> </v>
      </c>
      <c r="AJ244" s="319" t="str">
        <f aca="false">IF($A244="N/A"," ",RANK(R244,$R$244:$Z$255))</f>
        <v> </v>
      </c>
      <c r="AK244" s="320" t="str">
        <f aca="false">IF($A244="N/A"," ",RANK(S244,$R$244:$Z$255))</f>
        <v> </v>
      </c>
      <c r="AL244" s="320" t="str">
        <f aca="false">IF($A244="N/A"," ",RANK(T244,$R$244:$Z$255))</f>
        <v> </v>
      </c>
      <c r="AM244" s="320" t="str">
        <f aca="false">IF($A244="N/A"," ",RANK(U244,$R$244:$Z$255))</f>
        <v> </v>
      </c>
      <c r="AN244" s="320" t="str">
        <f aca="false">IF($A244="N/A"," ",RANK(V244,$R$244:$Z$255))</f>
        <v> </v>
      </c>
      <c r="AO244" s="320" t="str">
        <f aca="false">IF($A244="N/A"," ",RANK(W244,$R$244:$Z$255))</f>
        <v> </v>
      </c>
      <c r="AP244" s="320" t="str">
        <f aca="false">IF($A244="N/A"," ",RANK(X244,$R$244:$Z$255))</f>
        <v> </v>
      </c>
      <c r="AQ244" s="320" t="str">
        <f aca="false">IF($A244="N/A"," ",RANK(Y244,$R$244:$Z$255))</f>
        <v> </v>
      </c>
      <c r="AR244" s="322" t="str">
        <f aca="false">IF($A244="N/A"," ",RANK(Z244,$R$244:$Z$255))</f>
        <v> </v>
      </c>
      <c r="AS244" s="357" t="str">
        <f aca="false">IF($A244="N/A"," ",IF(AJ244&lt;=$AR$2,AA244,0))</f>
        <v> </v>
      </c>
      <c r="AT244" s="324" t="str">
        <f aca="false">IF($A244="N/A"," ",IF(AK244&lt;=$AR$2,AB244,0))</f>
        <v> </v>
      </c>
      <c r="AU244" s="325" t="str">
        <f aca="false">IF($A244="N/A"," ",IF(AL244&lt;=$AR$2,AC244,0))</f>
        <v> </v>
      </c>
      <c r="AV244" s="325" t="str">
        <f aca="false">IF($A244="N/A"," ",IF(AM244&lt;=$AR$2,AD244,0))</f>
        <v> </v>
      </c>
      <c r="AW244" s="325" t="str">
        <f aca="false">IF($A244="N/A"," ",IF(AN244&lt;=$AR$2,AE244,0))</f>
        <v> </v>
      </c>
      <c r="AX244" s="325" t="str">
        <f aca="false">IF($A244="N/A"," ",IF(AO244&lt;=$AR$2,AF244,0))</f>
        <v> </v>
      </c>
      <c r="AY244" s="324" t="str">
        <f aca="false">IF($A244="N/A"," ",IF(AP244&lt;=$AR$2,AG244,0))</f>
        <v> </v>
      </c>
      <c r="AZ244" s="324" t="str">
        <f aca="false">IF($A244="N/A"," ",IF(AQ244&lt;=$AR$2,AH244,0))</f>
        <v> </v>
      </c>
      <c r="BA244" s="324" t="str">
        <f aca="false">IF($A244="N/A"," ",IF(AR244&lt;=$AR$2,AI244,0))</f>
        <v> </v>
      </c>
      <c r="BB244" s="322"/>
      <c r="BC244" s="358" t="str">
        <f aca="false">IF($A244="N/A"," ",IF(AND(AJ244=$AR$2+1,AS244=0),MIN($BB$255,AA244),0))</f>
        <v> </v>
      </c>
      <c r="BD244" s="327" t="str">
        <f aca="false">IF($A244="N/A"," ",IF(AND(AK244=$AR$2+1,AT244=0),MIN($BB$255,AB244),0))</f>
        <v> </v>
      </c>
      <c r="BE244" s="327" t="str">
        <f aca="false">IF($A244="N/A"," ",IF(AND(AL244=$AR$2+1,AU244=0),MIN($BB$255,AC244),0))</f>
        <v> </v>
      </c>
      <c r="BF244" s="327" t="str">
        <f aca="false">IF($A244="N/A"," ",IF(AND(AM244=$AR$2+1,AV244=0),MIN($BB$255,AD244),0))</f>
        <v> </v>
      </c>
      <c r="BG244" s="327" t="str">
        <f aca="false">IF($A244="N/A"," ",IF(AND(AN244=$AR$2+1,AW244=0),MIN($BB$255,AE244),0))</f>
        <v> </v>
      </c>
      <c r="BH244" s="327" t="str">
        <f aca="false">IF($A244="N/A"," ",IF(AND(AO244=$AR$2+1,AX244=0),MIN($BB$255,AF244),0))</f>
        <v> </v>
      </c>
      <c r="BI244" s="327" t="str">
        <f aca="false">IF($A244="N/A"," ",IF(AND(AP244=$AR$2+1,AY244=0),MIN($BB$255,AG244),0))</f>
        <v> </v>
      </c>
      <c r="BJ244" s="327" t="str">
        <f aca="false">IF($A244="N/A"," ",IF(AND(AQ244=$AR$2+1,AZ244=0),MIN($BB$255,AH244),0))</f>
        <v> </v>
      </c>
      <c r="BK244" s="327" t="str">
        <f aca="false">IF($A244="N/A"," ",IF(AND(AR244=$AR$2+1,BA244=0),MIN($BB$255,AI244),0))</f>
        <v> </v>
      </c>
      <c r="BL244" s="322"/>
      <c r="BM244" s="329" t="str">
        <f aca="false">IF($A244="N/A"," ",(IF(MONTH(A244)&gt;=4,IF(MONTH(A244)&lt;=10,Inputs!$F$13-Inputs!$G$13,Inputs!$F$14-Inputs!$G$14),Inputs!$F$14-Inputs!$G$14))*$CK244*Availability)</f>
        <v> </v>
      </c>
      <c r="BN244" s="330" t="str">
        <f aca="false">IF($A244="N/A"," ",(IF(AS244&gt;0,($BM244*(8*($HD244))*R244),0)+IF(BC244&gt;0,($BM244*((BC244/AA244)*8*$HD244)*R244),0)))</f>
        <v> </v>
      </c>
      <c r="BO244" s="330" t="str">
        <f aca="false">IF($A244="N/A"," ",(IF(AT244&gt;0,($BM244*(8*($HD244))*S244),0)+IF(BD244&gt;0,($BM244*((BD244/AB244)*8*$HD244)*S244),0)))</f>
        <v> </v>
      </c>
      <c r="BP244" s="330" t="str">
        <f aca="false">IF($A244="N/A"," ",(IF(AU244&gt;0,($BM244*(8*($HD244))*T244),0)+IF(BE244&gt;0,($BM244*((BE244))*T244),0)))</f>
        <v> </v>
      </c>
      <c r="BQ244" s="330" t="str">
        <f aca="false">IF($A244="N/A"," ",(IF(AV244&gt;0,($BM244*(8*($HE244))*U244),0)+IF(BF244&gt;0,($BM244*((BF244/AD244)*8*$HE244)*U244),0)))</f>
        <v> </v>
      </c>
      <c r="BR244" s="330" t="str">
        <f aca="false">IF($A244="N/A"," ",(IF(AW244&gt;0,($BM244*(8*($HE244))*V244),0)+IF(BG244&gt;0,($BM244*((BG244/AE244)*8*$HE244)*V244),0)))</f>
        <v> </v>
      </c>
      <c r="BS244" s="330" t="str">
        <f aca="false">IF($A244="N/A"," ",(IF(AX244&gt;0,($BM244*(8*($HE244))*W244),0)+IF(BH244&gt;0,($BM244*((BH244))*W244),0)))</f>
        <v> </v>
      </c>
      <c r="BT244" s="330" t="str">
        <f aca="false">IF($A244="N/A"," ",(IF(AY244&gt;0,($BM244*(8*($HF244))*X244),0)+IF(BI244&gt;0,($BM244*((BI244/AG244)*8*$HF244)*X244),0)))</f>
        <v> </v>
      </c>
      <c r="BU244" s="330" t="str">
        <f aca="false">IF($A244="N/A"," ",(IF(AZ244&gt;0,($BM244*(8*($HF244))*Y244),0)+IF(BJ244&gt;0,($BM244*((BJ244/AH244)*8*$HF244)*Y244),0)))</f>
        <v> </v>
      </c>
      <c r="BV244" s="330" t="str">
        <f aca="false">IF($A244="N/A"," ",(IF(BA244&gt;0,($BM244*(8*($HF244))*Z244),0)+IF(BK244&gt;0,($BM244*((BK244))*Z244),0)))</f>
        <v> </v>
      </c>
      <c r="BW244" s="330" t="str">
        <f aca="false">IF($A244="N/A"," ",SUM(BN244:BV244))</f>
        <v> </v>
      </c>
      <c r="BX244" s="331" t="str">
        <f aca="false">IF($A244="N/A"," ",(H244*(SUM(AS244:BA244)+SUM(BC244:BK244))*BM244))</f>
        <v> </v>
      </c>
      <c r="BY244" s="332" t="str">
        <f aca="false">IF($A244="N/A"," ",((C244*D244)*(SUM($AS244:$BA244)+SUM($BC244:$BK244))*$BM244))</f>
        <v> </v>
      </c>
      <c r="BZ244" s="332" t="str">
        <f aca="false">IF($A244="N/A"," ",(F244*(SUM($AS244:$BA244)+SUM($BC244:$BK244))*$BM244))</f>
        <v> </v>
      </c>
      <c r="CA244" s="333" t="str">
        <f aca="false">IF($A244="N/A"," ",(G244*(SUM($AS244:$BA244)+SUM($BC244:$BK244))*$BM244))</f>
        <v> </v>
      </c>
      <c r="CB244" s="334" t="str">
        <f aca="false">IF(A244="N/A"," ",(VLOOKUP(A244,PowerVolTable,(IF(BMO=2,7,IF(BMO=1,6,8))),FALSE())))</f>
        <v> </v>
      </c>
      <c r="CC244" s="334" t="str">
        <f aca="false">IF(A244="N/A"," ",(VLOOKUP(A244,IntraPowerVol,(IF(BMO=2,3,IF(BMO=1,2,4))),FALSE())*VLOOKUP(MONTH($A244),Volscale,2)))</f>
        <v> </v>
      </c>
      <c r="CD244" s="335" t="str">
        <f aca="false">IF($A244="N/A"," ",(IF(DateToday&gt;$A244,$CC244,((($CB244^2)*((($A244-1)-DateToday)/((EOMONTH($A244,0)+1)-DateToday-15)))+((($CC244)^2)*((15)/((EOMONTH($A244,0)+1)-DateToday-15))))^0.5)))</f>
        <v> </v>
      </c>
      <c r="CE244" s="334" t="str">
        <f aca="false">IF($A244="N/A"," ",(VLOOKUP($A244,GasVolTable,(IF(BMO=2,6,IF(BMO=1,7,5))),FALSE())))</f>
        <v> </v>
      </c>
      <c r="CF244" s="334" t="str">
        <f aca="false">IF($A244="N/A"," ",(VLOOKUP($A244,OmicronVol,(IF(BMO=2,3,IF(BMO=1,4,2))),FALSE())))</f>
        <v> </v>
      </c>
      <c r="CG244" s="335" t="str">
        <f aca="false">IF($A244="N/A"," ",(IF(DateToday&gt;$A244,$CF244,((($CE244^2)*((($A244-1)-DateToday)/((EOMONTH($A244,0)+1)-DateToday-15)))+((($CF244)^2)*((15)/((EOMONTH($A244,0)+1)-DateToday-15))))^0.5)))</f>
        <v> </v>
      </c>
      <c r="CH244" s="334" t="str">
        <f aca="false">IF($A244="N/A"," ",VLOOKUP($A244,CorrelationTable,2,FALSE()))</f>
        <v> </v>
      </c>
      <c r="CI244" s="336" t="str">
        <f aca="false">IF($A244="N/A"," ",F244+G244+(D244*('Pricing Inputs'!T277)))</f>
        <v> </v>
      </c>
      <c r="CJ244" s="334" t="str">
        <f aca="false">IF($A244="N/A"," ",IF(PV=1,0,'Pricing Inputs'!U277))</f>
        <v> </v>
      </c>
      <c r="CK244" s="337" t="str">
        <f aca="false">IF($A244="N/A"," ",(1+CJ244/2)^(-2*((EOMONTH(A244,0)+20)-DateToday)/365.25))</f>
        <v> </v>
      </c>
      <c r="CL244" s="338" t="str">
        <f aca="false">IF(A244="N/A"," ",IF(CC=2,(VLOOKUP(MONTH($A244),Hrtable,3))/1000,0))</f>
        <v> </v>
      </c>
      <c r="CM244" s="339" t="str">
        <f aca="false">IF(A244="N/A"," ",IF(CC=2,(CL244*C244)+F244,0))</f>
        <v> </v>
      </c>
      <c r="CN244" s="340" t="str">
        <f aca="false">IF($A244="N/A"," ",IF(CC=2,(VLOOKUP(A244,ScaledPrice,(IF(AND(Dayrun&gt;=1,Dayrun&lt;=6),2,4)))-((IF(R244&lt;&gt;0,$D244,$CL244)*$C244)+$F244+$G244)),0))</f>
        <v> </v>
      </c>
      <c r="CO244" s="340" t="str">
        <f aca="false">IF($A244="N/A"," ",IF(CC=2,(IF(AND(Dayrun&gt;=1,Dayrun&lt;=6),I244,(VLOOKUP(A244,ScaledPrice,2))*(2-(VLOOKUP(A244,ScaledPrice,3))))-((IF(S244&lt;&gt;0,$D244,$CL244)*$C244)+$F244+$G244)),0))</f>
        <v> </v>
      </c>
      <c r="CP244" s="340" t="str">
        <f aca="false">IF(A244="N/A"," ",IF(CC=2,(VLOOKUP(A244,ScaledPrice,9)-((IF(T244&lt;&gt;0,$D244,$CL244)*$C244)+$F244+$G244)),0))</f>
        <v> </v>
      </c>
      <c r="CQ244" s="340" t="str">
        <f aca="false">IF(A244="N/A"," ",IF(CC=2,(IF(OR(Dayrun=2,Dayrun=3,Dayrun=5,Dayrun=6,Dayrun=8,Dayrun=9),VLOOKUP(A244,ScaledPrice,IF(AND(Dayrun&gt;=2,Dayrun&lt;=6),5,6)),0)-((IF(U244&lt;&gt;0,$D244,$CL244)*$C244)+$F244+$G244)),0))</f>
        <v> </v>
      </c>
      <c r="CR244" s="340" t="str">
        <f aca="false">IF(A244="N/A"," ",IF(CC=2,(IF(OR(Dayrun=2,Dayrun=3,Dayrun=5,Dayrun=6,Dayrun=8,Dayrun=9),IF(AND(Dayrun&gt;=2,Dayrun&lt;=6),L244,(VLOOKUP(A244,ScaledPrice,5))*(2-(VLOOKUP(A244,ScaledPrice,3)))),0)-((IF(V244&lt;&gt;0,$D244,$CL244)*$C244)+$F244+$G244)),0))</f>
        <v> </v>
      </c>
      <c r="CS244" s="340" t="str">
        <f aca="false">IF(A244="N/A"," ",IF(CC=2,(VLOOKUP(A244,ScaledPrice,9)-((IF(W244&lt;&gt;0,$D244,$CL244)*$C244)+$F244+$G244)),0))</f>
        <v> </v>
      </c>
      <c r="CT244" s="340" t="str">
        <f aca="false">IF(A244="N/A"," ",IF(CC=2,(IF(OR(Dayrun=3,Dayrun=6,Dayrun=9),(VLOOKUP(A244,ScaledPrice,IF(AND(Dayrun&gt;=3,Dayrun&lt;=6),7,8))),0)-((IF(X244&lt;&gt;0,$D244,$CL244)*$C244)+$F244+$G244)),0))</f>
        <v> </v>
      </c>
      <c r="CU244" s="340" t="str">
        <f aca="false">IF(A244="N/A"," ",IF(CC=2,(IF(OR(Dayrun=3,Dayrun=6,Dayrun=9),IF(AND(Dayrun&gt;=3,Dayrun&lt;=6),O244,(VLOOKUP(A244,ScaledPrice,7))*(2-(VLOOKUP(A244,ScaledPrice,3)))),0)-((IF(Y244&lt;&gt;0,$D244,$CL244)*$C244)+$F244+$G244)),0))</f>
        <v> </v>
      </c>
      <c r="CV244" s="340" t="str">
        <f aca="false">IF(A244="N/A"," ",IF(CC=2,(VLOOKUP(A244,ScaledPrice,9)-((IF(Z244&lt;&gt;0,$D244,$CL244)*$C244)+$F244+$G244)),0))</f>
        <v> </v>
      </c>
      <c r="CW244" s="318" t="str">
        <f aca="false">IF($A244="N/A"," ",IF(0&lt;&gt;CN244,IF(CC=2,8*$HD244,0),0))</f>
        <v> </v>
      </c>
      <c r="CX244" s="318" t="str">
        <f aca="false">IF($A244="N/A"," ",IF(0&lt;&gt;CO244,IF(CC=2,8*$HD244,0),0))</f>
        <v> </v>
      </c>
      <c r="CY244" s="318" t="str">
        <f aca="false">IF($A244="N/A"," ",IF(0&lt;&gt;CP244,IF(CC=2,8*$HD244,0),0))</f>
        <v> </v>
      </c>
      <c r="CZ244" s="318" t="str">
        <f aca="false">IF($A244="N/A"," ",IF(0&lt;&gt;CQ244,IF(CC=2,8*$HE244,0),0))</f>
        <v> </v>
      </c>
      <c r="DA244" s="318" t="str">
        <f aca="false">IF($A244="N/A"," ",IF(0&lt;&gt;CR244,IF(CC=2,8*$HE244,0),0))</f>
        <v> </v>
      </c>
      <c r="DB244" s="318" t="str">
        <f aca="false">IF($A244="N/A"," ",IF(0&lt;&gt;CS244,IF(CC=2,8*$HE244,0),0))</f>
        <v> </v>
      </c>
      <c r="DC244" s="318" t="str">
        <f aca="false">IF($A244="N/A"," ",IF(0&lt;&gt;CT244,IF(CC=2,8*$HF244,0),0))</f>
        <v> </v>
      </c>
      <c r="DD244" s="318" t="str">
        <f aca="false">IF($A244="N/A"," ",IF(0&lt;&gt;CU244,IF(CC=2,8*$HF244,0),0))</f>
        <v> </v>
      </c>
      <c r="DE244" s="318" t="str">
        <f aca="false">IF($A244="N/A"," ",IF(0&lt;&gt;CV244,IF(CC=2,8*$HF244,0),0))</f>
        <v> </v>
      </c>
      <c r="DF244" s="341" t="str">
        <f aca="false">IF($A244="N/A"," ",IF(CC=2,(IF(MONTH(A244)&gt;=4,IF(MONTH(A244)&lt;=10,Inputs!$G$13,Inputs!$G$14),Inputs!$G$14))*$CK244,0))</f>
        <v> </v>
      </c>
      <c r="DG244" s="342" t="str">
        <f aca="false">IF($A244="N/A"," ",IF(CC=2,$DF244*CW244*CN244,0))</f>
        <v> </v>
      </c>
      <c r="DH244" s="342" t="str">
        <f aca="false">IF($A244="N/A"," ",IF(CC=2,$DF244*CX244*CO244,0))</f>
        <v> </v>
      </c>
      <c r="DI244" s="342" t="str">
        <f aca="false">IF($A244="N/A"," ",IF(CC=2,$DF244*CY244*CP244,0))</f>
        <v> </v>
      </c>
      <c r="DJ244" s="342" t="str">
        <f aca="false">IF($A244="N/A"," ",IF(CC=2,$DF244*CZ244*CQ244,0))</f>
        <v> </v>
      </c>
      <c r="DK244" s="342" t="str">
        <f aca="false">IF($A244="N/A"," ",IF(CC=2,$DF244*DA244*CR244,0))</f>
        <v> </v>
      </c>
      <c r="DL244" s="342" t="str">
        <f aca="false">IF($A244="N/A"," ",IF(CC=2,$DF244*DB244*CS244,0))</f>
        <v> </v>
      </c>
      <c r="DM244" s="342" t="str">
        <f aca="false">IF($A244="N/A"," ",IF(CC=2,$DF244*DC244*CT244,0))</f>
        <v> </v>
      </c>
      <c r="DN244" s="342" t="str">
        <f aca="false">IF($A244="N/A"," ",IF(CC=2,$DF244*DD244*CU244,0))</f>
        <v> </v>
      </c>
      <c r="DO244" s="342" t="str">
        <f aca="false">IF($A244="N/A"," ",IF(CC=2,$DF244*DE244*CV244,0))</f>
        <v> </v>
      </c>
      <c r="DP244" s="343" t="str">
        <f aca="false">IF($A244="N/A"," ",IF(CC=2,SUM(DG244:DO244),0))</f>
        <v> </v>
      </c>
      <c r="DQ244" s="0" t="str">
        <f aca="false">IF(A244="N/A"," ",Perstart)</f>
        <v> </v>
      </c>
      <c r="HD244" s="0" t="str">
        <f aca="false">IF($A244="N/A"," ",VLOOKUP($A244,NumberofDaysTable,2))</f>
        <v> </v>
      </c>
      <c r="HE244" s="0" t="str">
        <f aca="false">IF($A244="N/A"," ",VLOOKUP($A244,NumberofDaysTable,3))</f>
        <v> </v>
      </c>
      <c r="HF244" s="0" t="str">
        <f aca="false">IF($A244="N/A"," ",VLOOKUP($A244,NumberofDaysTable,4))</f>
        <v> </v>
      </c>
    </row>
    <row r="245" customFormat="false" ht="12.75" hidden="false" customHeight="false" outlineLevel="0" collapsed="false">
      <c r="A245" s="308" t="str">
        <f aca="false">IF(A244="N/A","N/A",IF(EDATE(A244,1)&gt;Inputs!$K$3,"N/A",EDATE(A244,1)))</f>
        <v>N/A</v>
      </c>
      <c r="B245" s="309" t="str">
        <f aca="false">IF(A245="N/A"," ",YEAR(A245))</f>
        <v> </v>
      </c>
      <c r="C245" s="310" t="str">
        <f aca="false">IF(A245="N/A"," ",VLOOKUP(A245,ScaledPrice,10))</f>
        <v> </v>
      </c>
      <c r="D245" s="311" t="str">
        <f aca="false">IF(A245="N/A"," ",(VLOOKUP(MONTH($A245),Hrtable,2))/1000)</f>
        <v> </v>
      </c>
      <c r="E245" s="312" t="str">
        <f aca="false">IF($A245="N/A"," ",(C245-'Pricing Inputs'!T278)*D245)</f>
        <v> </v>
      </c>
      <c r="F245" s="313" t="str">
        <f aca="false">IF(A245="N/A"," ",$F233*(1+VOMesc))</f>
        <v> </v>
      </c>
      <c r="G245" s="313" t="str">
        <f aca="false">IF(A245="N/A"," ",Perstart/IF(AND(Dayrun&gt;=4,Dayrun&lt;=6),16,IF(AND(Dayrun&gt;=7,Dayrun&lt;=9),8,24))/(BM245/CK245))</f>
        <v> </v>
      </c>
      <c r="H245" s="314" t="str">
        <f aca="false">IF(A245="N/A"," ",(C245*D245)+F245+G245)</f>
        <v> </v>
      </c>
      <c r="I245" s="315" t="str">
        <f aca="false">VLOOKUP(A245,ScaledPrice,(IF(AND(Dayrun&gt;=1,Dayrun&lt;=6),2,4)))</f>
        <v> </v>
      </c>
      <c r="J245" s="315" t="str">
        <f aca="false">IF(A245="N/A"," ",IF(AND(Dayrun&gt;=1,Dayrun&lt;=6),I245,(VLOOKUP(A245,ScaledPrice,2))*(2-(VLOOKUP(A245,ScaledPrice,3)))))</f>
        <v> </v>
      </c>
      <c r="K245" s="315" t="str">
        <f aca="false">IF(A245="N/A"," ",IF(AND(Dayrun&gt;=1,Dayrun&lt;=3),VLOOKUP(A245,ScaledPrice,9),0))</f>
        <v> </v>
      </c>
      <c r="L245" s="315" t="str">
        <f aca="false">IF(A245="N/A"," ",IF(OR(Dayrun=2,Dayrun=3,Dayrun=5,Dayrun=6,Dayrun=8,Dayrun=9),VLOOKUP(A245,ScaledPrice,IF(AND(Dayrun&gt;=2,Dayrun&lt;=6),5,6)),0))</f>
        <v> </v>
      </c>
      <c r="M245" s="315" t="str">
        <f aca="false">IF(A245="N/A"," ",IF(OR(Dayrun=2,Dayrun=3,Dayrun=5,Dayrun=6,Dayrun=8,Dayrun=9),IF(AND(Dayrun&gt;=2,Dayrun&lt;=6),L245,(VLOOKUP(A245,ScaledPrice,5))*(2-(VLOOKUP(A245,ScaledPrice,3)))),0))</f>
        <v> </v>
      </c>
      <c r="N245" s="315" t="str">
        <f aca="false">IF(A245="N/A"," ",IF(AND(Dayrun&gt;1,Dayrun&lt;=3),VLOOKUP(A245,ScaledPrice,9),0))</f>
        <v> </v>
      </c>
      <c r="O245" s="315" t="str">
        <f aca="false">IF(A245="N/A"," ",IF(OR(Dayrun=3,Dayrun=6,Dayrun=9),(VLOOKUP(A245,ScaledPrice,IF(AND(Dayrun&gt;=3,Dayrun&lt;=6),7,8))),0))</f>
        <v> </v>
      </c>
      <c r="P245" s="315" t="str">
        <f aca="false">IF(A245="N/A"," ",IF(OR(Dayrun=3,Dayrun=6,Dayrun=9),IF(AND(Dayrun&gt;=3,Dayrun&lt;=6),O245,(VLOOKUP(A245,ScaledPrice,7))*(2-(VLOOKUP(A245,ScaledPrice,3)))),0))</f>
        <v> </v>
      </c>
      <c r="Q245" s="315" t="str">
        <f aca="false">IF(A245="N/A"," ",IF(AND(Dayrun&gt;2,Dayrun&lt;=3),VLOOKUP(A245,ScaledPrice,9),0))</f>
        <v> </v>
      </c>
      <c r="R245" s="316" t="str">
        <f aca="false">IF($A245="N/A"," ",IF(Pricetype=2,MAX(I245-$H245,0),IF(Pricetype=1,(xSPRDOPT(I245,$E245,$CI245,0,($CD245+IF(Smile=TRUE(),VLOOKUP(MAX(-5,$H245-I245),Volsmile,2),0)),$CG245,$CH245,($A245-DateToday)+15,1,0)),I245-$H245)))</f>
        <v> </v>
      </c>
      <c r="S245" s="316" t="str">
        <f aca="false">IF($A245="N/A"," ",IF(Pricetype=2,MAX(J245-$H245,0),IF(Pricetype=1,(xSPRDOPT(J245,$E245,$CI245,0,($CD245+IF(Smile=TRUE(),VLOOKUP(MAX(-5,$H245-J245),Volsmile,2),0)),$CG245,$CH245,($A245-DateToday)+15,1,0)),J245-$H245)))</f>
        <v> </v>
      </c>
      <c r="T245" s="317" t="str">
        <f aca="false">IF($A245="N/A"," ",(IF(Pricetype=2,IF((K245-$H245)&lt;=0,0,(K245-$H245)),IF(K245&lt;&gt;0,(K245-$H245),0))))</f>
        <v> </v>
      </c>
      <c r="U245" s="316" t="str">
        <f aca="false">IF($A245="N/A"," ",IF(Pricetype=2,MAX(L245-$H245,0),IF(L245&lt;&gt;0,IF(Pricetype=1,(xSPRDOPT(L245,$E245,$CI245,0,($CD245+IF(Smile=TRUE(),VLOOKUP(MAX(-5,$H245-L245),Volsmile,2),0)),$CG245,$CH245,($A245-DateToday)+15,1,0)),L245-$H245),0)))</f>
        <v> </v>
      </c>
      <c r="V245" s="316" t="str">
        <f aca="false">IF($A245="N/A"," ",IF(Pricetype=2,MAX(M245-$H245,0),IF(M245&lt;&gt;0,IF(Pricetype=1,(xSPRDOPT(M245,$E245,$CI245,0,($CD245+IF(Smile=TRUE(),VLOOKUP(MAX(-5,$H245-M245),Volsmile,2),0)),$CG245,$CH245,($A245-DateToday)+15,1,0)),M245-$H245),0)))</f>
        <v> </v>
      </c>
      <c r="W245" s="317" t="str">
        <f aca="false">IF($A245="N/A"," ",(IF(Pricetype=2,IF((N245-$H245)&lt;=0,0,(N245-$H245)),IF(N245&lt;&gt;0,(N245-$H245),0))))</f>
        <v> </v>
      </c>
      <c r="X245" s="316" t="str">
        <f aca="false">IF($A245="N/A"," ",IF(Pricetype=2,MAX(O245-$H245,0),IF(O245&lt;&gt;0,IF(Pricetype=1,(xSPRDOPT(O245,$E245,$CI245,0,($CD245+IF(Smile=TRUE(),VLOOKUP(MAX(-5,$H245-O245),Volsmile,2),0)),$CG245,$CH245,($A245-DateToday)+15,1,0)),O245-$H245),0)))</f>
        <v> </v>
      </c>
      <c r="Y245" s="316" t="str">
        <f aca="false">IF($A245="N/A"," ",IF(Pricetype=2,MAX(P245-$H245,0),IF(P245&lt;&gt;0,IF(Pricetype=1,(xSPRDOPT(P245,$E245,$CI245,0,($CD245+IF(Smile=TRUE(),VLOOKUP(MAX(-5,$H245-P245),Volsmile,2),0)),$CG245,$CH245,($A245-DateToday)+15,1,0)),P245-$H245),0)))</f>
        <v> </v>
      </c>
      <c r="Z245" s="317" t="str">
        <f aca="false">IF($A245="N/A"," ",(IF(Pricetype=2,IF((Q245-$H245)&lt;=0,0,(Q245-$H245)),IF(Q245&lt;&gt;0,(Q245-$H245),0))))</f>
        <v> </v>
      </c>
      <c r="AA245" s="318" t="str">
        <f aca="false">IF($A245="N/A"," ",IF(VLOOKUP(MONTH(A245),ManualTable,2)=1,(IF(0&lt;&gt;R245,IF(Pricetype=1,(xSPRDOPT(I245,$E245,$CI245,0,($CD245+IF(Smile=TRUE(),VLOOKUP(MAX(-5,$H245-I245),Volsmile,2),0)),$CG245,$CH245,($A245-DateToday)+15,1,1))*(8*$HD245),8*$HD245),0)),0))</f>
        <v> </v>
      </c>
      <c r="AB245" s="318" t="str">
        <f aca="false">IF($A245="N/A"," ",IF(VLOOKUP(MONTH(A245),ManualTable,3)=1,(IF(S245&lt;&gt;0,IF(Pricetype=1,(xSPRDOPT(J245,$E245,$CI245,0,($CD245+IF(Smile=TRUE(),VLOOKUP(MAX(-5,$H245-J245),Volsmile,2),0)),$CG245,$CH245,($A245-DateToday)+15,1,1))*(8*$HD245),8*$HD245),0)),0))</f>
        <v> </v>
      </c>
      <c r="AC245" s="318" t="str">
        <f aca="false">IF($A245="N/A"," ",IF(VLOOKUP(MONTH(A245),ManualTable,4)=1,(IF(T245&lt;&gt;0,(8*$HD245),0)),0))</f>
        <v> </v>
      </c>
      <c r="AD245" s="318" t="str">
        <f aca="false">IF($A245="N/A"," ",IF(VLOOKUP(MONTH(A245),ManualTable,5)=1,(IF(U245&lt;&gt;0,IF(Pricetype=1,(xSPRDOPT(L245,$E245,$CI245,0,($CD245+IF(Smile=TRUE(),VLOOKUP(MAX(-5,$H245-L245),Volsmile,2),0)),$CG245,$CH245,($A245-DateToday)+15,1,1))*(8*$HE245),8*$HE245),0)),0))</f>
        <v> </v>
      </c>
      <c r="AE245" s="318" t="str">
        <f aca="false">IF($A245="N/A"," ",IF(VLOOKUP(MONTH(A245),ManualTable,6)=1,(IF(V245&lt;&gt;0,IF(Pricetype=1,(xSPRDOPT(M245,$E245,$CI245,0,($CD245+IF(Smile=TRUE(),VLOOKUP(MAX(-5,$H245-M245),Volsmile,2),0)),$CG245,$CH245,($A245-DateToday)+15,1,1))*(8*$HE245),8*$HE245),0)),0))</f>
        <v> </v>
      </c>
      <c r="AF245" s="318" t="str">
        <f aca="false">IF($A245="N/A"," ",IF(VLOOKUP(MONTH(A245),ManualTable,7)=1,(IF(W245&lt;&gt;0,(8*$HE245),0)),0))</f>
        <v> </v>
      </c>
      <c r="AG245" s="318" t="str">
        <f aca="false">IF($A245="N/A"," ",IF(VLOOKUP(MONTH(A245),ManualTable,8)=1,(IF(X245&lt;&gt;0,IF(Pricetype=1,(xSPRDOPT(O245,$E245,$CI245,0,($CD245+IF(Smile=TRUE(),VLOOKUP(MAX(-5,$H245-O245),Volsmile,2),0)),$CG245,$CH245,($A245-DateToday)+15,1,1))*(8*$HF245),8*$HF245),0)),0))</f>
        <v> </v>
      </c>
      <c r="AH245" s="318" t="str">
        <f aca="false">IF($A245="N/A"," ",IF(VLOOKUP(MONTH(A245),ManualTable,9)=1,(IF(Y245&lt;&gt;0,IF(Pricetype=1,(xSPRDOPT(P245,$E245,$CI245,0,($CD245+IF(Smile=TRUE(),VLOOKUP(MAX(-5,$H245-P245),Volsmile,2),0)),$CG245,$CH245,($A245-DateToday)+15,1,1))*(8*$HF245),8*$HF245),0)),0))</f>
        <v> </v>
      </c>
      <c r="AI245" s="318" t="str">
        <f aca="false">IF($A245="N/A"," ",IF(VLOOKUP(MONTH(A245),ManualTable,10)=1,(IF(Z245&lt;&gt;0,(8*($HF245)),0)),0))</f>
        <v> </v>
      </c>
      <c r="AJ245" s="344" t="str">
        <f aca="false">IF($A245="N/A"," ",RANK(R245,$R$244:$Z$255))</f>
        <v> </v>
      </c>
      <c r="AK245" s="321" t="str">
        <f aca="false">IF($A245="N/A"," ",RANK(S245,$R$244:$Z$255))</f>
        <v> </v>
      </c>
      <c r="AL245" s="321" t="str">
        <f aca="false">IF($A245="N/A"," ",RANK(T245,$R$244:$Z$255))</f>
        <v> </v>
      </c>
      <c r="AM245" s="321" t="str">
        <f aca="false">IF($A245="N/A"," ",RANK(U245,$R$244:$Z$255))</f>
        <v> </v>
      </c>
      <c r="AN245" s="321" t="str">
        <f aca="false">IF($A245="N/A"," ",RANK(V245,$R$244:$Z$255))</f>
        <v> </v>
      </c>
      <c r="AO245" s="321" t="str">
        <f aca="false">IF($A245="N/A"," ",RANK(W245,$R$244:$Z$255))</f>
        <v> </v>
      </c>
      <c r="AP245" s="321" t="str">
        <f aca="false">IF($A245="N/A"," ",RANK(X245,$R$244:$Z$255))</f>
        <v> </v>
      </c>
      <c r="AQ245" s="321" t="str">
        <f aca="false">IF($A245="N/A"," ",RANK(Y245,$R$244:$Z$255))</f>
        <v> </v>
      </c>
      <c r="AR245" s="345" t="str">
        <f aca="false">IF($A245="N/A"," ",RANK(Z245,$R$244:$Z$255))</f>
        <v> </v>
      </c>
      <c r="AS245" s="323" t="str">
        <f aca="false">IF($A245="N/A"," ",IF(AJ245&lt;=$AR$2,AA245,0))</f>
        <v> </v>
      </c>
      <c r="AT245" s="325" t="str">
        <f aca="false">IF($A245="N/A"," ",IF(AK245&lt;=$AR$2,AB245,0))</f>
        <v> </v>
      </c>
      <c r="AU245" s="325" t="str">
        <f aca="false">IF($A245="N/A"," ",IF(AL245&lt;=$AR$2,AC245,0))</f>
        <v> </v>
      </c>
      <c r="AV245" s="325" t="str">
        <f aca="false">IF($A245="N/A"," ",IF(AM245&lt;=$AR$2,AD245,0))</f>
        <v> </v>
      </c>
      <c r="AW245" s="325" t="str">
        <f aca="false">IF($A245="N/A"," ",IF(AN245&lt;=$AR$2,AE245,0))</f>
        <v> </v>
      </c>
      <c r="AX245" s="325" t="str">
        <f aca="false">IF($A245="N/A"," ",IF(AO245&lt;=$AR$2,AF245,0))</f>
        <v> </v>
      </c>
      <c r="AY245" s="325" t="str">
        <f aca="false">IF($A245="N/A"," ",IF(AP245&lt;=$AR$2,AG245,0))</f>
        <v> </v>
      </c>
      <c r="AZ245" s="325" t="str">
        <f aca="false">IF($A245="N/A"," ",IF(AQ245&lt;=$AR$2,AH245,0))</f>
        <v> </v>
      </c>
      <c r="BA245" s="325" t="str">
        <f aca="false">IF($A245="N/A"," ",IF(AR245&lt;=$AR$2,AI245,0))</f>
        <v> </v>
      </c>
      <c r="BB245" s="345"/>
      <c r="BC245" s="326" t="str">
        <f aca="false">IF($A245="N/A"," ",IF(AND(AJ245=$AR$2+1,AS245=0),MIN($BB$255,AA245),0))</f>
        <v> </v>
      </c>
      <c r="BD245" s="346" t="str">
        <f aca="false">IF($A245="N/A"," ",IF(AND(AK245=$AR$2+1,AT245=0),MIN($BB$255,AB245),0))</f>
        <v> </v>
      </c>
      <c r="BE245" s="346" t="str">
        <f aca="false">IF($A245="N/A"," ",IF(AND(AL245=$AR$2+1,AU245=0),MIN($BB$255,AC245),0))</f>
        <v> </v>
      </c>
      <c r="BF245" s="346" t="str">
        <f aca="false">IF($A245="N/A"," ",IF(AND(AM245=$AR$2+1,AV245=0),MIN($BB$255,AD245),0))</f>
        <v> </v>
      </c>
      <c r="BG245" s="346" t="str">
        <f aca="false">IF($A245="N/A"," ",IF(AND(AN245=$AR$2+1,AW245=0),MIN($BB$255,AE245),0))</f>
        <v> </v>
      </c>
      <c r="BH245" s="346" t="str">
        <f aca="false">IF($A245="N/A"," ",IF(AND(AO245=$AR$2+1,AX245=0),MIN($BB$255,AF245),0))</f>
        <v> </v>
      </c>
      <c r="BI245" s="346" t="str">
        <f aca="false">IF($A245="N/A"," ",IF(AND(AP245=$AR$2+1,AY245=0),MIN($BB$255,AG245),0))</f>
        <v> </v>
      </c>
      <c r="BJ245" s="346" t="str">
        <f aca="false">IF($A245="N/A"," ",IF(AND(AQ245=$AR$2+1,AZ245=0),MIN($BB$255,AH245),0))</f>
        <v> </v>
      </c>
      <c r="BK245" s="346" t="str">
        <f aca="false">IF($A245="N/A"," ",IF(AND(AR245=$AR$2+1,BA245=0),MIN($BB$255,AI245),0))</f>
        <v> </v>
      </c>
      <c r="BL245" s="345"/>
      <c r="BM245" s="329" t="str">
        <f aca="false">IF($A245="N/A"," ",(IF(MONTH(A245)&gt;=4,IF(MONTH(A245)&lt;=10,Inputs!$F$13-Inputs!$G$13,Inputs!$F$14-Inputs!$G$14),Inputs!$F$14-Inputs!$G$14))*$CK245*Availability)</f>
        <v> </v>
      </c>
      <c r="BN245" s="330" t="str">
        <f aca="false">IF($A245="N/A"," ",(IF(AS245&gt;0,($BM245*(8*($HD245))*R245),0)+IF(BC245&gt;0,($BM245*((BC245/AA245)*8*$HD245)*R245),0)))</f>
        <v> </v>
      </c>
      <c r="BO245" s="330" t="str">
        <f aca="false">IF($A245="N/A"," ",(IF(AT245&gt;0,($BM245*(8*($HD245))*S245),0)+IF(BD245&gt;0,($BM245*((BD245/AB245)*8*$HD245)*S245),0)))</f>
        <v> </v>
      </c>
      <c r="BP245" s="330" t="str">
        <f aca="false">IF($A245="N/A"," ",(IF(AU245&gt;0,($BM245*(8*($HD245))*T245),0)+IF(BE245&gt;0,($BM245*((BE245))*T245),0)))</f>
        <v> </v>
      </c>
      <c r="BQ245" s="330" t="str">
        <f aca="false">IF($A245="N/A"," ",(IF(AV245&gt;0,($BM245*(8*($HE245))*U245),0)+IF(BF245&gt;0,($BM245*((BF245/AD245)*8*$HE245)*U245),0)))</f>
        <v> </v>
      </c>
      <c r="BR245" s="330" t="str">
        <f aca="false">IF($A245="N/A"," ",(IF(AW245&gt;0,($BM245*(8*($HE245))*V245),0)+IF(BG245&gt;0,($BM245*((BG245/AE245)*8*$HE245)*V245),0)))</f>
        <v> </v>
      </c>
      <c r="BS245" s="330" t="str">
        <f aca="false">IF($A245="N/A"," ",(IF(AX245&gt;0,($BM245*(8*($HE245))*W245),0)+IF(BH245&gt;0,($BM245*((BH245))*W245),0)))</f>
        <v> </v>
      </c>
      <c r="BT245" s="330" t="str">
        <f aca="false">IF($A245="N/A"," ",(IF(AY245&gt;0,($BM245*(8*($HF245))*X245),0)+IF(BI245&gt;0,($BM245*((BI245/AG245)*8*$HF245)*X245),0)))</f>
        <v> </v>
      </c>
      <c r="BU245" s="330" t="str">
        <f aca="false">IF($A245="N/A"," ",(IF(AZ245&gt;0,($BM245*(8*($HF245))*Y245),0)+IF(BJ245&gt;0,($BM245*((BJ245/AH245)*8*$HF245)*Y245),0)))</f>
        <v> </v>
      </c>
      <c r="BV245" s="330" t="str">
        <f aca="false">IF($A245="N/A"," ",(IF(BA245&gt;0,($BM245*(8*($HF245))*Z245),0)+IF(BK245&gt;0,($BM245*((BK245))*Z245),0)))</f>
        <v> </v>
      </c>
      <c r="BW245" s="330" t="str">
        <f aca="false">IF($A245="N/A"," ",SUM(BN245:BV245))</f>
        <v> </v>
      </c>
      <c r="BX245" s="331" t="str">
        <f aca="false">IF($A245="N/A"," ",(H245*(SUM(AS245:BA245)+SUM(BC245:BK245))*BM245))</f>
        <v> </v>
      </c>
      <c r="BY245" s="332" t="str">
        <f aca="false">IF($A245="N/A"," ",((C245*D245)*(SUM($AS245:$BA245)+SUM($BC245:$BK245))*$BM245))</f>
        <v> </v>
      </c>
      <c r="BZ245" s="332" t="str">
        <f aca="false">IF($A245="N/A"," ",(F245*(SUM($AS245:$BA245)+SUM($BC245:$BK245))*$BM245))</f>
        <v> </v>
      </c>
      <c r="CA245" s="333" t="str">
        <f aca="false">IF($A245="N/A"," ",(G245*(SUM($AS245:$BA245)+SUM($BC245:$BK245))*$BM245))</f>
        <v> </v>
      </c>
      <c r="CB245" s="334" t="str">
        <f aca="false">IF(A245="N/A"," ",(VLOOKUP(A245,PowerVolTable,(IF(BMO=2,7,IF(BMO=1,6,8))),FALSE())))</f>
        <v> </v>
      </c>
      <c r="CC245" s="334" t="str">
        <f aca="false">IF(A245="N/A"," ",(VLOOKUP(A245,IntraPowerVol,(IF(BMO=2,3,IF(BMO=1,2,4))),FALSE())*VLOOKUP(MONTH($A245),Volscale,2)))</f>
        <v> </v>
      </c>
      <c r="CD245" s="335" t="str">
        <f aca="false">IF($A245="N/A"," ",(IF(DateToday&gt;$A245,$CC245,((($CB245^2)*((($A245-1)-DateToday)/((EOMONTH($A245,0)+1)-DateToday-15)))+((($CC245)^2)*((15)/((EOMONTH($A245,0)+1)-DateToday-15))))^0.5)))</f>
        <v> </v>
      </c>
      <c r="CE245" s="334" t="str">
        <f aca="false">IF($A245="N/A"," ",(VLOOKUP($A245,GasVolTable,(IF(BMO=2,6,IF(BMO=1,7,5))),FALSE())))</f>
        <v> </v>
      </c>
      <c r="CF245" s="334" t="str">
        <f aca="false">IF($A245="N/A"," ",(VLOOKUP($A245,OmicronVol,(IF(BMO=2,3,IF(BMO=1,4,2))),FALSE())))</f>
        <v> </v>
      </c>
      <c r="CG245" s="335" t="str">
        <f aca="false">IF($A245="N/A"," ",(IF(DateToday&gt;$A245,$CF245,((($CE245^2)*((($A245-1)-DateToday)/((EOMONTH($A245,0)+1)-DateToday-15)))+((($CF245)^2)*((15)/((EOMONTH($A245,0)+1)-DateToday-15))))^0.5)))</f>
        <v> </v>
      </c>
      <c r="CH245" s="334" t="str">
        <f aca="false">IF($A245="N/A"," ",VLOOKUP($A245,CorrelationTable,2,FALSE()))</f>
        <v> </v>
      </c>
      <c r="CI245" s="336" t="str">
        <f aca="false">IF($A245="N/A"," ",F245+G245+(D245*('Pricing Inputs'!T278)))</f>
        <v> </v>
      </c>
      <c r="CJ245" s="334" t="str">
        <f aca="false">IF($A245="N/A"," ",IF(PV=1,0,'Pricing Inputs'!U278))</f>
        <v> </v>
      </c>
      <c r="CK245" s="337" t="str">
        <f aca="false">IF($A245="N/A"," ",(1+CJ245/2)^(-2*((EOMONTH(A245,0)+20)-DateToday)/365.25))</f>
        <v> </v>
      </c>
      <c r="CL245" s="338" t="str">
        <f aca="false">IF(A245="N/A"," ",IF(CC=2,(VLOOKUP(MONTH($A245),Hrtable,3))/1000,0))</f>
        <v> </v>
      </c>
      <c r="CM245" s="339" t="str">
        <f aca="false">IF(A245="N/A"," ",IF(CC=2,(CL245*C245)+F245,0))</f>
        <v> </v>
      </c>
      <c r="CN245" s="340" t="str">
        <f aca="false">IF($A245="N/A"," ",IF(CC=2,(VLOOKUP(A245,ScaledPrice,(IF(AND(Dayrun&gt;=1,Dayrun&lt;=6),2,4)))-((IF(R245&lt;&gt;0,$D245,$CL245)*$C245)+$F245+$G245)),0))</f>
        <v> </v>
      </c>
      <c r="CO245" s="340" t="str">
        <f aca="false">IF($A245="N/A"," ",IF(CC=2,(IF(AND(Dayrun&gt;=1,Dayrun&lt;=6),I245,(VLOOKUP(A245,ScaledPrice,2))*(2-(VLOOKUP(A245,ScaledPrice,3))))-((IF(S245&lt;&gt;0,$D245,$CL245)*$C245)+$F245+$G245)),0))</f>
        <v> </v>
      </c>
      <c r="CP245" s="340" t="str">
        <f aca="false">IF(A245="N/A"," ",IF(CC=2,(VLOOKUP(A245,ScaledPrice,9)-((IF(T245&lt;&gt;0,$D245,$CL245)*$C245)+$F245+$G245)),0))</f>
        <v> </v>
      </c>
      <c r="CQ245" s="340" t="str">
        <f aca="false">IF(A245="N/A"," ",IF(CC=2,(IF(OR(Dayrun=2,Dayrun=3,Dayrun=5,Dayrun=6,Dayrun=8,Dayrun=9),VLOOKUP(A245,ScaledPrice,IF(AND(Dayrun&gt;=2,Dayrun&lt;=6),5,6)),0)-((IF(U245&lt;&gt;0,$D245,$CL245)*$C245)+$F245+$G245)),0))</f>
        <v> </v>
      </c>
      <c r="CR245" s="340" t="str">
        <f aca="false">IF(A245="N/A"," ",IF(CC=2,(IF(OR(Dayrun=2,Dayrun=3,Dayrun=5,Dayrun=6,Dayrun=8,Dayrun=9),IF(AND(Dayrun&gt;=2,Dayrun&lt;=6),L245,(VLOOKUP(A245,ScaledPrice,5))*(2-(VLOOKUP(A245,ScaledPrice,3)))),0)-((IF(V245&lt;&gt;0,$D245,$CL245)*$C245)+$F245+$G245)),0))</f>
        <v> </v>
      </c>
      <c r="CS245" s="340" t="str">
        <f aca="false">IF(A245="N/A"," ",IF(CC=2,(VLOOKUP(A245,ScaledPrice,9)-((IF(W245&lt;&gt;0,$D245,$CL245)*$C245)+$F245+$G245)),0))</f>
        <v> </v>
      </c>
      <c r="CT245" s="340" t="str">
        <f aca="false">IF(A245="N/A"," ",IF(CC=2,(IF(OR(Dayrun=3,Dayrun=6,Dayrun=9),(VLOOKUP(A245,ScaledPrice,IF(AND(Dayrun&gt;=3,Dayrun&lt;=6),7,8))),0)-((IF(X245&lt;&gt;0,$D245,$CL245)*$C245)+$F245+$G245)),0))</f>
        <v> </v>
      </c>
      <c r="CU245" s="340" t="str">
        <f aca="false">IF(A245="N/A"," ",IF(CC=2,(IF(OR(Dayrun=3,Dayrun=6,Dayrun=9),IF(AND(Dayrun&gt;=3,Dayrun&lt;=6),O245,(VLOOKUP(A245,ScaledPrice,7))*(2-(VLOOKUP(A245,ScaledPrice,3)))),0)-((IF(Y245&lt;&gt;0,$D245,$CL245)*$C245)+$F245+$G245)),0))</f>
        <v> </v>
      </c>
      <c r="CV245" s="340" t="str">
        <f aca="false">IF(A245="N/A"," ",IF(CC=2,(VLOOKUP(A245,ScaledPrice,9)-((IF(Z245&lt;&gt;0,$D245,$CL245)*$C245)+$F245+$G245)),0))</f>
        <v> </v>
      </c>
      <c r="CW245" s="318" t="str">
        <f aca="false">IF($A245="N/A"," ",IF(0&lt;&gt;CN245,IF(CC=2,8*$HD245,0),0))</f>
        <v> </v>
      </c>
      <c r="CX245" s="318" t="str">
        <f aca="false">IF($A245="N/A"," ",IF(0&lt;&gt;CO245,IF(CC=2,8*$HD245,0),0))</f>
        <v> </v>
      </c>
      <c r="CY245" s="318" t="str">
        <f aca="false">IF($A245="N/A"," ",IF(0&lt;&gt;CP245,IF(CC=2,8*$HD245,0),0))</f>
        <v> </v>
      </c>
      <c r="CZ245" s="318" t="str">
        <f aca="false">IF($A245="N/A"," ",IF(0&lt;&gt;CQ245,IF(CC=2,8*$HE245,0),0))</f>
        <v> </v>
      </c>
      <c r="DA245" s="318" t="str">
        <f aca="false">IF($A245="N/A"," ",IF(0&lt;&gt;CR245,IF(CC=2,8*$HE245,0),0))</f>
        <v> </v>
      </c>
      <c r="DB245" s="318" t="str">
        <f aca="false">IF($A245="N/A"," ",IF(0&lt;&gt;CS245,IF(CC=2,8*$HE245,0),0))</f>
        <v> </v>
      </c>
      <c r="DC245" s="318" t="str">
        <f aca="false">IF($A245="N/A"," ",IF(0&lt;&gt;CT245,IF(CC=2,8*$HF245,0),0))</f>
        <v> </v>
      </c>
      <c r="DD245" s="318" t="str">
        <f aca="false">IF($A245="N/A"," ",IF(0&lt;&gt;CU245,IF(CC=2,8*$HF245,0),0))</f>
        <v> </v>
      </c>
      <c r="DE245" s="318" t="str">
        <f aca="false">IF($A245="N/A"," ",IF(0&lt;&gt;CV245,IF(CC=2,8*$HF245,0),0))</f>
        <v> </v>
      </c>
      <c r="DF245" s="341" t="str">
        <f aca="false">IF($A245="N/A"," ",IF(CC=2,(IF(MONTH(A245)&gt;=4,IF(MONTH(A245)&lt;=10,Inputs!$G$13,Inputs!$G$14),Inputs!$G$14))*$CK245,0))</f>
        <v> </v>
      </c>
      <c r="DG245" s="342" t="str">
        <f aca="false">IF($A245="N/A"," ",IF(CC=2,$DF245*CW245*CN245,0))</f>
        <v> </v>
      </c>
      <c r="DH245" s="342" t="str">
        <f aca="false">IF($A245="N/A"," ",IF(CC=2,$DF245*CX245*CO245,0))</f>
        <v> </v>
      </c>
      <c r="DI245" s="342" t="str">
        <f aca="false">IF($A245="N/A"," ",IF(CC=2,$DF245*CY245*CP245,0))</f>
        <v> </v>
      </c>
      <c r="DJ245" s="342" t="str">
        <f aca="false">IF($A245="N/A"," ",IF(CC=2,$DF245*CZ245*CQ245,0))</f>
        <v> </v>
      </c>
      <c r="DK245" s="342" t="str">
        <f aca="false">IF($A245="N/A"," ",IF(CC=2,$DF245*DA245*CR245,0))</f>
        <v> </v>
      </c>
      <c r="DL245" s="342" t="str">
        <f aca="false">IF($A245="N/A"," ",IF(CC=2,$DF245*DB245*CS245,0))</f>
        <v> </v>
      </c>
      <c r="DM245" s="342" t="str">
        <f aca="false">IF($A245="N/A"," ",IF(CC=2,$DF245*DC245*CT245,0))</f>
        <v> </v>
      </c>
      <c r="DN245" s="342" t="str">
        <f aca="false">IF($A245="N/A"," ",IF(CC=2,$DF245*DD245*CU245,0))</f>
        <v> </v>
      </c>
      <c r="DO245" s="342" t="str">
        <f aca="false">IF($A245="N/A"," ",IF(CC=2,$DF245*DE245*CV245,0))</f>
        <v> </v>
      </c>
      <c r="DP245" s="343" t="str">
        <f aca="false">IF($A245="N/A"," ",IF(CC=2,SUM(DG245:DO245),0))</f>
        <v> </v>
      </c>
      <c r="DQ245" s="0" t="str">
        <f aca="false">IF(A245="N/A"," ",Perstart)</f>
        <v> </v>
      </c>
      <c r="HD245" s="0" t="str">
        <f aca="false">IF($A245="N/A"," ",VLOOKUP($A245,NumberofDaysTable,2))</f>
        <v> </v>
      </c>
      <c r="HE245" s="0" t="str">
        <f aca="false">IF($A245="N/A"," ",VLOOKUP($A245,NumberofDaysTable,3))</f>
        <v> </v>
      </c>
      <c r="HF245" s="0" t="str">
        <f aca="false">IF($A245="N/A"," ",VLOOKUP($A245,NumberofDaysTable,4))</f>
        <v> </v>
      </c>
    </row>
    <row r="246" customFormat="false" ht="12.75" hidden="false" customHeight="false" outlineLevel="0" collapsed="false">
      <c r="A246" s="308" t="str">
        <f aca="false">IF(A245="N/A","N/A",IF(EDATE(A245,1)&gt;Inputs!$K$3,"N/A",EDATE(A245,1)))</f>
        <v>N/A</v>
      </c>
      <c r="B246" s="309" t="str">
        <f aca="false">IF(A246="N/A"," ",YEAR(A246))</f>
        <v> </v>
      </c>
      <c r="C246" s="310" t="str">
        <f aca="false">IF(A246="N/A"," ",VLOOKUP(A246,ScaledPrice,10))</f>
        <v> </v>
      </c>
      <c r="D246" s="311" t="str">
        <f aca="false">IF(A246="N/A"," ",(VLOOKUP(MONTH($A246),Hrtable,2))/1000)</f>
        <v> </v>
      </c>
      <c r="E246" s="312" t="str">
        <f aca="false">IF($A246="N/A"," ",(C246-'Pricing Inputs'!T279)*D246)</f>
        <v> </v>
      </c>
      <c r="F246" s="313" t="str">
        <f aca="false">IF(A246="N/A"," ",$F234*(1+VOMesc))</f>
        <v> </v>
      </c>
      <c r="G246" s="313" t="str">
        <f aca="false">IF(A246="N/A"," ",Perstart/IF(AND(Dayrun&gt;=4,Dayrun&lt;=6),16,IF(AND(Dayrun&gt;=7,Dayrun&lt;=9),8,24))/(BM246/CK246))</f>
        <v> </v>
      </c>
      <c r="H246" s="314" t="str">
        <f aca="false">IF(A246="N/A"," ",(C246*D246)+F246+G246)</f>
        <v> </v>
      </c>
      <c r="I246" s="315" t="str">
        <f aca="false">VLOOKUP(A246,ScaledPrice,(IF(AND(Dayrun&gt;=1,Dayrun&lt;=6),2,4)))</f>
        <v> </v>
      </c>
      <c r="J246" s="315" t="str">
        <f aca="false">IF(A246="N/A"," ",IF(AND(Dayrun&gt;=1,Dayrun&lt;=6),I246,(VLOOKUP(A246,ScaledPrice,2))*(2-(VLOOKUP(A246,ScaledPrice,3)))))</f>
        <v> </v>
      </c>
      <c r="K246" s="315" t="str">
        <f aca="false">IF(A246="N/A"," ",IF(AND(Dayrun&gt;=1,Dayrun&lt;=3),VLOOKUP(A246,ScaledPrice,9),0))</f>
        <v> </v>
      </c>
      <c r="L246" s="315" t="str">
        <f aca="false">IF(A246="N/A"," ",IF(OR(Dayrun=2,Dayrun=3,Dayrun=5,Dayrun=6,Dayrun=8,Dayrun=9),VLOOKUP(A246,ScaledPrice,IF(AND(Dayrun&gt;=2,Dayrun&lt;=6),5,6)),0))</f>
        <v> </v>
      </c>
      <c r="M246" s="315" t="str">
        <f aca="false">IF(A246="N/A"," ",IF(OR(Dayrun=2,Dayrun=3,Dayrun=5,Dayrun=6,Dayrun=8,Dayrun=9),IF(AND(Dayrun&gt;=2,Dayrun&lt;=6),L246,(VLOOKUP(A246,ScaledPrice,5))*(2-(VLOOKUP(A246,ScaledPrice,3)))),0))</f>
        <v> </v>
      </c>
      <c r="N246" s="315" t="str">
        <f aca="false">IF(A246="N/A"," ",IF(AND(Dayrun&gt;1,Dayrun&lt;=3),VLOOKUP(A246,ScaledPrice,9),0))</f>
        <v> </v>
      </c>
      <c r="O246" s="315" t="str">
        <f aca="false">IF(A246="N/A"," ",IF(OR(Dayrun=3,Dayrun=6,Dayrun=9),(VLOOKUP(A246,ScaledPrice,IF(AND(Dayrun&gt;=3,Dayrun&lt;=6),7,8))),0))</f>
        <v> </v>
      </c>
      <c r="P246" s="315" t="str">
        <f aca="false">IF(A246="N/A"," ",IF(OR(Dayrun=3,Dayrun=6,Dayrun=9),IF(AND(Dayrun&gt;=3,Dayrun&lt;=6),O246,(VLOOKUP(A246,ScaledPrice,7))*(2-(VLOOKUP(A246,ScaledPrice,3)))),0))</f>
        <v> </v>
      </c>
      <c r="Q246" s="315" t="str">
        <f aca="false">IF(A246="N/A"," ",IF(AND(Dayrun&gt;2,Dayrun&lt;=3),VLOOKUP(A246,ScaledPrice,9),0))</f>
        <v> </v>
      </c>
      <c r="R246" s="316" t="str">
        <f aca="false">IF($A246="N/A"," ",IF(Pricetype=2,MAX(I246-$H246,0),IF(Pricetype=1,(xSPRDOPT(I246,$E246,$CI246,0,($CD246+IF(Smile=TRUE(),VLOOKUP(MAX(-5,$H246-I246),Volsmile,2),0)),$CG246,$CH246,($A246-DateToday)+15,1,0)),I246-$H246)))</f>
        <v> </v>
      </c>
      <c r="S246" s="316" t="str">
        <f aca="false">IF($A246="N/A"," ",IF(Pricetype=2,MAX(J246-$H246,0),IF(Pricetype=1,(xSPRDOPT(J246,$E246,$CI246,0,($CD246+IF(Smile=TRUE(),VLOOKUP(MAX(-5,$H246-J246),Volsmile,2),0)),$CG246,$CH246,($A246-DateToday)+15,1,0)),J246-$H246)))</f>
        <v> </v>
      </c>
      <c r="T246" s="317" t="str">
        <f aca="false">IF($A246="N/A"," ",(IF(Pricetype=2,IF((K246-$H246)&lt;=0,0,(K246-$H246)),IF(K246&lt;&gt;0,(K246-$H246),0))))</f>
        <v> </v>
      </c>
      <c r="U246" s="316" t="str">
        <f aca="false">IF($A246="N/A"," ",IF(Pricetype=2,MAX(L246-$H246,0),IF(L246&lt;&gt;0,IF(Pricetype=1,(xSPRDOPT(L246,$E246,$CI246,0,($CD246+IF(Smile=TRUE(),VLOOKUP(MAX(-5,$H246-L246),Volsmile,2),0)),$CG246,$CH246,($A246-DateToday)+15,1,0)),L246-$H246),0)))</f>
        <v> </v>
      </c>
      <c r="V246" s="316" t="str">
        <f aca="false">IF($A246="N/A"," ",IF(Pricetype=2,MAX(M246-$H246,0),IF(M246&lt;&gt;0,IF(Pricetype=1,(xSPRDOPT(M246,$E246,$CI246,0,($CD246+IF(Smile=TRUE(),VLOOKUP(MAX(-5,$H246-M246),Volsmile,2),0)),$CG246,$CH246,($A246-DateToday)+15,1,0)),M246-$H246),0)))</f>
        <v> </v>
      </c>
      <c r="W246" s="317" t="str">
        <f aca="false">IF($A246="N/A"," ",(IF(Pricetype=2,IF((N246-$H246)&lt;=0,0,(N246-$H246)),IF(N246&lt;&gt;0,(N246-$H246),0))))</f>
        <v> </v>
      </c>
      <c r="X246" s="316" t="str">
        <f aca="false">IF($A246="N/A"," ",IF(Pricetype=2,MAX(O246-$H246,0),IF(O246&lt;&gt;0,IF(Pricetype=1,(xSPRDOPT(O246,$E246,$CI246,0,($CD246+IF(Smile=TRUE(),VLOOKUP(MAX(-5,$H246-O246),Volsmile,2),0)),$CG246,$CH246,($A246-DateToday)+15,1,0)),O246-$H246),0)))</f>
        <v> </v>
      </c>
      <c r="Y246" s="316" t="str">
        <f aca="false">IF($A246="N/A"," ",IF(Pricetype=2,MAX(P246-$H246,0),IF(P246&lt;&gt;0,IF(Pricetype=1,(xSPRDOPT(P246,$E246,$CI246,0,($CD246+IF(Smile=TRUE(),VLOOKUP(MAX(-5,$H246-P246),Volsmile,2),0)),$CG246,$CH246,($A246-DateToday)+15,1,0)),P246-$H246),0)))</f>
        <v> </v>
      </c>
      <c r="Z246" s="317" t="str">
        <f aca="false">IF($A246="N/A"," ",(IF(Pricetype=2,IF((Q246-$H246)&lt;=0,0,(Q246-$H246)),IF(Q246&lt;&gt;0,(Q246-$H246),0))))</f>
        <v> </v>
      </c>
      <c r="AA246" s="318" t="str">
        <f aca="false">IF($A246="N/A"," ",IF(VLOOKUP(MONTH(A246),ManualTable,2)=1,(IF(0&lt;&gt;R246,IF(Pricetype=1,(xSPRDOPT(I246,$E246,$CI246,0,($CD246+IF(Smile=TRUE(),VLOOKUP(MAX(-5,$H246-I246),Volsmile,2),0)),$CG246,$CH246,($A246-DateToday)+15,1,1))*(8*$HD246),8*$HD246),0)),0))</f>
        <v> </v>
      </c>
      <c r="AB246" s="318" t="str">
        <f aca="false">IF($A246="N/A"," ",IF(VLOOKUP(MONTH(A246),ManualTable,3)=1,(IF(S246&lt;&gt;0,IF(Pricetype=1,(xSPRDOPT(J246,$E246,$CI246,0,($CD246+IF(Smile=TRUE(),VLOOKUP(MAX(-5,$H246-J246),Volsmile,2),0)),$CG246,$CH246,($A246-DateToday)+15,1,1))*(8*$HD246),8*$HD246),0)),0))</f>
        <v> </v>
      </c>
      <c r="AC246" s="318" t="str">
        <f aca="false">IF($A246="N/A"," ",IF(VLOOKUP(MONTH(A246),ManualTable,4)=1,(IF(T246&lt;&gt;0,(8*$HD246),0)),0))</f>
        <v> </v>
      </c>
      <c r="AD246" s="318" t="str">
        <f aca="false">IF($A246="N/A"," ",IF(VLOOKUP(MONTH(A246),ManualTable,5)=1,(IF(U246&lt;&gt;0,IF(Pricetype=1,(xSPRDOPT(L246,$E246,$CI246,0,($CD246+IF(Smile=TRUE(),VLOOKUP(MAX(-5,$H246-L246),Volsmile,2),0)),$CG246,$CH246,($A246-DateToday)+15,1,1))*(8*$HE246),8*$HE246),0)),0))</f>
        <v> </v>
      </c>
      <c r="AE246" s="318" t="str">
        <f aca="false">IF($A246="N/A"," ",IF(VLOOKUP(MONTH(A246),ManualTable,6)=1,(IF(V246&lt;&gt;0,IF(Pricetype=1,(xSPRDOPT(M246,$E246,$CI246,0,($CD246+IF(Smile=TRUE(),VLOOKUP(MAX(-5,$H246-M246),Volsmile,2),0)),$CG246,$CH246,($A246-DateToday)+15,1,1))*(8*$HE246),8*$HE246),0)),0))</f>
        <v> </v>
      </c>
      <c r="AF246" s="318" t="str">
        <f aca="false">IF($A246="N/A"," ",IF(VLOOKUP(MONTH(A246),ManualTable,7)=1,(IF(W246&lt;&gt;0,(8*$HE246),0)),0))</f>
        <v> </v>
      </c>
      <c r="AG246" s="318" t="str">
        <f aca="false">IF($A246="N/A"," ",IF(VLOOKUP(MONTH(A246),ManualTable,8)=1,(IF(X246&lt;&gt;0,IF(Pricetype=1,(xSPRDOPT(O246,$E246,$CI246,0,($CD246+IF(Smile=TRUE(),VLOOKUP(MAX(-5,$H246-O246),Volsmile,2),0)),$CG246,$CH246,($A246-DateToday)+15,1,1))*(8*$HF246),8*$HF246),0)),0))</f>
        <v> </v>
      </c>
      <c r="AH246" s="318" t="str">
        <f aca="false">IF($A246="N/A"," ",IF(VLOOKUP(MONTH(A246),ManualTable,9)=1,(IF(Y246&lt;&gt;0,IF(Pricetype=1,(xSPRDOPT(P246,$E246,$CI246,0,($CD246+IF(Smile=TRUE(),VLOOKUP(MAX(-5,$H246-P246),Volsmile,2),0)),$CG246,$CH246,($A246-DateToday)+15,1,1))*(8*$HF246),8*$HF246),0)),0))</f>
        <v> </v>
      </c>
      <c r="AI246" s="318" t="str">
        <f aca="false">IF($A246="N/A"," ",IF(VLOOKUP(MONTH(A246),ManualTable,10)=1,(IF(Z246&lt;&gt;0,(8*($HF246)),0)),0))</f>
        <v> </v>
      </c>
      <c r="AJ246" s="344" t="str">
        <f aca="false">IF($A246="N/A"," ",RANK(R246,$R$244:$Z$255))</f>
        <v> </v>
      </c>
      <c r="AK246" s="321" t="str">
        <f aca="false">IF($A246="N/A"," ",RANK(S246,$R$244:$Z$255))</f>
        <v> </v>
      </c>
      <c r="AL246" s="321" t="str">
        <f aca="false">IF($A246="N/A"," ",RANK(T246,$R$244:$Z$255))</f>
        <v> </v>
      </c>
      <c r="AM246" s="321" t="str">
        <f aca="false">IF($A246="N/A"," ",RANK(U246,$R$244:$Z$255))</f>
        <v> </v>
      </c>
      <c r="AN246" s="321" t="str">
        <f aca="false">IF($A246="N/A"," ",RANK(V246,$R$244:$Z$255))</f>
        <v> </v>
      </c>
      <c r="AO246" s="321" t="str">
        <f aca="false">IF($A246="N/A"," ",RANK(W246,$R$244:$Z$255))</f>
        <v> </v>
      </c>
      <c r="AP246" s="321" t="str">
        <f aca="false">IF($A246="N/A"," ",RANK(X246,$R$244:$Z$255))</f>
        <v> </v>
      </c>
      <c r="AQ246" s="321" t="str">
        <f aca="false">IF($A246="N/A"," ",RANK(Y246,$R$244:$Z$255))</f>
        <v> </v>
      </c>
      <c r="AR246" s="345" t="str">
        <f aca="false">IF($A246="N/A"," ",RANK(Z246,$R$244:$Z$255))</f>
        <v> </v>
      </c>
      <c r="AS246" s="323" t="str">
        <f aca="false">IF($A246="N/A"," ",IF(AJ246&lt;=$AR$2,AA246,0))</f>
        <v> </v>
      </c>
      <c r="AT246" s="325" t="str">
        <f aca="false">IF($A246="N/A"," ",IF(AK246&lt;=$AR$2,AB246,0))</f>
        <v> </v>
      </c>
      <c r="AU246" s="325" t="str">
        <f aca="false">IF($A246="N/A"," ",IF(AL246&lt;=$AR$2,AC246,0))</f>
        <v> </v>
      </c>
      <c r="AV246" s="325" t="str">
        <f aca="false">IF($A246="N/A"," ",IF(AM246&lt;=$AR$2,AD246,0))</f>
        <v> </v>
      </c>
      <c r="AW246" s="325" t="str">
        <f aca="false">IF($A246="N/A"," ",IF(AN246&lt;=$AR$2,AE246,0))</f>
        <v> </v>
      </c>
      <c r="AX246" s="325" t="str">
        <f aca="false">IF($A246="N/A"," ",IF(AO246&lt;=$AR$2,AF246,0))</f>
        <v> </v>
      </c>
      <c r="AY246" s="325" t="str">
        <f aca="false">IF($A246="N/A"," ",IF(AP246&lt;=$AR$2,AG246,0))</f>
        <v> </v>
      </c>
      <c r="AZ246" s="325" t="str">
        <f aca="false">IF($A246="N/A"," ",IF(AQ246&lt;=$AR$2,AH246,0))</f>
        <v> </v>
      </c>
      <c r="BA246" s="325" t="str">
        <f aca="false">IF($A246="N/A"," ",IF(AR246&lt;=$AR$2,AI246,0))</f>
        <v> </v>
      </c>
      <c r="BB246" s="345"/>
      <c r="BC246" s="326" t="str">
        <f aca="false">IF($A246="N/A"," ",IF(AND(AJ246=$AR$2+1,AS246=0),MIN($BB$255,AA246),0))</f>
        <v> </v>
      </c>
      <c r="BD246" s="346" t="str">
        <f aca="false">IF($A246="N/A"," ",IF(AND(AK246=$AR$2+1,AT246=0),MIN($BB$255,AB246),0))</f>
        <v> </v>
      </c>
      <c r="BE246" s="346" t="str">
        <f aca="false">IF($A246="N/A"," ",IF(AND(AL246=$AR$2+1,AU246=0),MIN($BB$255,AC246),0))</f>
        <v> </v>
      </c>
      <c r="BF246" s="346" t="str">
        <f aca="false">IF($A246="N/A"," ",IF(AND(AM246=$AR$2+1,AV246=0),MIN($BB$255,AD246),0))</f>
        <v> </v>
      </c>
      <c r="BG246" s="346" t="str">
        <f aca="false">IF($A246="N/A"," ",IF(AND(AN246=$AR$2+1,AW246=0),MIN($BB$255,AE246),0))</f>
        <v> </v>
      </c>
      <c r="BH246" s="346" t="str">
        <f aca="false">IF($A246="N/A"," ",IF(AND(AO246=$AR$2+1,AX246=0),MIN($BB$255,AF246),0))</f>
        <v> </v>
      </c>
      <c r="BI246" s="346" t="str">
        <f aca="false">IF($A246="N/A"," ",IF(AND(AP246=$AR$2+1,AY246=0),MIN($BB$255,AG246),0))</f>
        <v> </v>
      </c>
      <c r="BJ246" s="346" t="str">
        <f aca="false">IF($A246="N/A"," ",IF(AND(AQ246=$AR$2+1,AZ246=0),MIN($BB$255,AH246),0))</f>
        <v> </v>
      </c>
      <c r="BK246" s="346" t="str">
        <f aca="false">IF($A246="N/A"," ",IF(AND(AR246=$AR$2+1,BA246=0),MIN($BB$255,AI246),0))</f>
        <v> </v>
      </c>
      <c r="BL246" s="345"/>
      <c r="BM246" s="329" t="str">
        <f aca="false">IF($A246="N/A"," ",(IF(MONTH(A246)&gt;=4,IF(MONTH(A246)&lt;=10,Inputs!$F$13-Inputs!$G$13,Inputs!$F$14-Inputs!$G$14),Inputs!$F$14-Inputs!$G$14))*$CK246*Availability)</f>
        <v> </v>
      </c>
      <c r="BN246" s="330" t="str">
        <f aca="false">IF($A246="N/A"," ",(IF(AS246&gt;0,($BM246*(8*($HD246))*R246),0)+IF(BC246&gt;0,($BM246*((BC246/AA246)*8*$HD246)*R246),0)))</f>
        <v> </v>
      </c>
      <c r="BO246" s="330" t="str">
        <f aca="false">IF($A246="N/A"," ",(IF(AT246&gt;0,($BM246*(8*($HD246))*S246),0)+IF(BD246&gt;0,($BM246*((BD246/AB246)*8*$HD246)*S246),0)))</f>
        <v> </v>
      </c>
      <c r="BP246" s="330" t="str">
        <f aca="false">IF($A246="N/A"," ",(IF(AU246&gt;0,($BM246*(8*($HD246))*T246),0)+IF(BE246&gt;0,($BM246*((BE246))*T246),0)))</f>
        <v> </v>
      </c>
      <c r="BQ246" s="330" t="str">
        <f aca="false">IF($A246="N/A"," ",(IF(AV246&gt;0,($BM246*(8*($HE246))*U246),0)+IF(BF246&gt;0,($BM246*((BF246/AD246)*8*$HE246)*U246),0)))</f>
        <v> </v>
      </c>
      <c r="BR246" s="330" t="str">
        <f aca="false">IF($A246="N/A"," ",(IF(AW246&gt;0,($BM246*(8*($HE246))*V246),0)+IF(BG246&gt;0,($BM246*((BG246/AE246)*8*$HE246)*V246),0)))</f>
        <v> </v>
      </c>
      <c r="BS246" s="330" t="str">
        <f aca="false">IF($A246="N/A"," ",(IF(AX246&gt;0,($BM246*(8*($HE246))*W246),0)+IF(BH246&gt;0,($BM246*((BH246))*W246),0)))</f>
        <v> </v>
      </c>
      <c r="BT246" s="330" t="str">
        <f aca="false">IF($A246="N/A"," ",(IF(AY246&gt;0,($BM246*(8*($HF246))*X246),0)+IF(BI246&gt;0,($BM246*((BI246/AG246)*8*$HF246)*X246),0)))</f>
        <v> </v>
      </c>
      <c r="BU246" s="330" t="str">
        <f aca="false">IF($A246="N/A"," ",(IF(AZ246&gt;0,($BM246*(8*($HF246))*Y246),0)+IF(BJ246&gt;0,($BM246*((BJ246/AH246)*8*$HF246)*Y246),0)))</f>
        <v> </v>
      </c>
      <c r="BV246" s="330" t="str">
        <f aca="false">IF($A246="N/A"," ",(IF(BA246&gt;0,($BM246*(8*($HF246))*Z246),0)+IF(BK246&gt;0,($BM246*((BK246))*Z246),0)))</f>
        <v> </v>
      </c>
      <c r="BW246" s="330" t="str">
        <f aca="false">IF($A246="N/A"," ",SUM(BN246:BV246))</f>
        <v> </v>
      </c>
      <c r="BX246" s="331" t="str">
        <f aca="false">IF($A246="N/A"," ",(H246*(SUM(AS246:BA246)+SUM(BC246:BK246))*BM246))</f>
        <v> </v>
      </c>
      <c r="BY246" s="332" t="str">
        <f aca="false">IF($A246="N/A"," ",((C246*D246)*(SUM($AS246:$BA246)+SUM($BC246:$BK246))*$BM246))</f>
        <v> </v>
      </c>
      <c r="BZ246" s="332" t="str">
        <f aca="false">IF($A246="N/A"," ",(F246*(SUM($AS246:$BA246)+SUM($BC246:$BK246))*$BM246))</f>
        <v> </v>
      </c>
      <c r="CA246" s="333" t="str">
        <f aca="false">IF($A246="N/A"," ",(G246*(SUM($AS246:$BA246)+SUM($BC246:$BK246))*$BM246))</f>
        <v> </v>
      </c>
      <c r="CB246" s="334" t="str">
        <f aca="false">IF(A246="N/A"," ",(VLOOKUP(A246,PowerVolTable,(IF(BMO=2,7,IF(BMO=1,6,8))),FALSE())))</f>
        <v> </v>
      </c>
      <c r="CC246" s="334" t="str">
        <f aca="false">IF(A246="N/A"," ",(VLOOKUP(A246,IntraPowerVol,(IF(BMO=2,3,IF(BMO=1,2,4))),FALSE())*VLOOKUP(MONTH($A246),Volscale,2)))</f>
        <v> </v>
      </c>
      <c r="CD246" s="335" t="str">
        <f aca="false">IF($A246="N/A"," ",(IF(DateToday&gt;$A246,$CC246,((($CB246^2)*((($A246-1)-DateToday)/((EOMONTH($A246,0)+1)-DateToday-15)))+((($CC246)^2)*((15)/((EOMONTH($A246,0)+1)-DateToday-15))))^0.5)))</f>
        <v> </v>
      </c>
      <c r="CE246" s="334" t="str">
        <f aca="false">IF($A246="N/A"," ",(VLOOKUP($A246,GasVolTable,(IF(BMO=2,6,IF(BMO=1,7,5))),FALSE())))</f>
        <v> </v>
      </c>
      <c r="CF246" s="334" t="str">
        <f aca="false">IF($A246="N/A"," ",(VLOOKUP($A246,OmicronVol,(IF(BMO=2,3,IF(BMO=1,4,2))),FALSE())))</f>
        <v> </v>
      </c>
      <c r="CG246" s="335" t="str">
        <f aca="false">IF($A246="N/A"," ",(IF(DateToday&gt;$A246,$CF246,((($CE246^2)*((($A246-1)-DateToday)/((EOMONTH($A246,0)+1)-DateToday-15)))+((($CF246)^2)*((15)/((EOMONTH($A246,0)+1)-DateToday-15))))^0.5)))</f>
        <v> </v>
      </c>
      <c r="CH246" s="334" t="str">
        <f aca="false">IF($A246="N/A"," ",VLOOKUP($A246,CorrelationTable,2,FALSE()))</f>
        <v> </v>
      </c>
      <c r="CI246" s="336" t="str">
        <f aca="false">IF($A246="N/A"," ",F246+G246+(D246*('Pricing Inputs'!T279)))</f>
        <v> </v>
      </c>
      <c r="CJ246" s="334" t="str">
        <f aca="false">IF($A246="N/A"," ",IF(PV=1,0,'Pricing Inputs'!U279))</f>
        <v> </v>
      </c>
      <c r="CK246" s="337" t="str">
        <f aca="false">IF($A246="N/A"," ",(1+CJ246/2)^(-2*((EOMONTH(A246,0)+20)-DateToday)/365.25))</f>
        <v> </v>
      </c>
      <c r="CL246" s="338" t="str">
        <f aca="false">IF(A246="N/A"," ",IF(CC=2,(VLOOKUP(MONTH($A246),Hrtable,3))/1000,0))</f>
        <v> </v>
      </c>
      <c r="CM246" s="339" t="str">
        <f aca="false">IF(A246="N/A"," ",IF(CC=2,(CL246*C246)+F246,0))</f>
        <v> </v>
      </c>
      <c r="CN246" s="340" t="str">
        <f aca="false">IF($A246="N/A"," ",IF(CC=2,(VLOOKUP(A246,ScaledPrice,(IF(AND(Dayrun&gt;=1,Dayrun&lt;=6),2,4)))-((IF(R246&lt;&gt;0,$D246,$CL246)*$C246)+$F246+$G246)),0))</f>
        <v> </v>
      </c>
      <c r="CO246" s="340" t="str">
        <f aca="false">IF($A246="N/A"," ",IF(CC=2,(IF(AND(Dayrun&gt;=1,Dayrun&lt;=6),I246,(VLOOKUP(A246,ScaledPrice,2))*(2-(VLOOKUP(A246,ScaledPrice,3))))-((IF(S246&lt;&gt;0,$D246,$CL246)*$C246)+$F246+$G246)),0))</f>
        <v> </v>
      </c>
      <c r="CP246" s="340" t="str">
        <f aca="false">IF(A246="N/A"," ",IF(CC=2,(VLOOKUP(A246,ScaledPrice,9)-((IF(T246&lt;&gt;0,$D246,$CL246)*$C246)+$F246+$G246)),0))</f>
        <v> </v>
      </c>
      <c r="CQ246" s="340" t="str">
        <f aca="false">IF(A246="N/A"," ",IF(CC=2,(IF(OR(Dayrun=2,Dayrun=3,Dayrun=5,Dayrun=6,Dayrun=8,Dayrun=9),VLOOKUP(A246,ScaledPrice,IF(AND(Dayrun&gt;=2,Dayrun&lt;=6),5,6)),0)-((IF(U246&lt;&gt;0,$D246,$CL246)*$C246)+$F246+$G246)),0))</f>
        <v> </v>
      </c>
      <c r="CR246" s="340" t="str">
        <f aca="false">IF(A246="N/A"," ",IF(CC=2,(IF(OR(Dayrun=2,Dayrun=3,Dayrun=5,Dayrun=6,Dayrun=8,Dayrun=9),IF(AND(Dayrun&gt;=2,Dayrun&lt;=6),L246,(VLOOKUP(A246,ScaledPrice,5))*(2-(VLOOKUP(A246,ScaledPrice,3)))),0)-((IF(V246&lt;&gt;0,$D246,$CL246)*$C246)+$F246+$G246)),0))</f>
        <v> </v>
      </c>
      <c r="CS246" s="340" t="str">
        <f aca="false">IF(A246="N/A"," ",IF(CC=2,(VLOOKUP(A246,ScaledPrice,9)-((IF(W246&lt;&gt;0,$D246,$CL246)*$C246)+$F246+$G246)),0))</f>
        <v> </v>
      </c>
      <c r="CT246" s="340" t="str">
        <f aca="false">IF(A246="N/A"," ",IF(CC=2,(IF(OR(Dayrun=3,Dayrun=6,Dayrun=9),(VLOOKUP(A246,ScaledPrice,IF(AND(Dayrun&gt;=3,Dayrun&lt;=6),7,8))),0)-((IF(X246&lt;&gt;0,$D246,$CL246)*$C246)+$F246+$G246)),0))</f>
        <v> </v>
      </c>
      <c r="CU246" s="340" t="str">
        <f aca="false">IF(A246="N/A"," ",IF(CC=2,(IF(OR(Dayrun=3,Dayrun=6,Dayrun=9),IF(AND(Dayrun&gt;=3,Dayrun&lt;=6),O246,(VLOOKUP(A246,ScaledPrice,7))*(2-(VLOOKUP(A246,ScaledPrice,3)))),0)-((IF(Y246&lt;&gt;0,$D246,$CL246)*$C246)+$F246+$G246)),0))</f>
        <v> </v>
      </c>
      <c r="CV246" s="340" t="str">
        <f aca="false">IF(A246="N/A"," ",IF(CC=2,(VLOOKUP(A246,ScaledPrice,9)-((IF(Z246&lt;&gt;0,$D246,$CL246)*$C246)+$F246+$G246)),0))</f>
        <v> </v>
      </c>
      <c r="CW246" s="318" t="str">
        <f aca="false">IF($A246="N/A"," ",IF(0&lt;&gt;CN246,IF(CC=2,8*$HD246,0),0))</f>
        <v> </v>
      </c>
      <c r="CX246" s="318" t="str">
        <f aca="false">IF($A246="N/A"," ",IF(0&lt;&gt;CO246,IF(CC=2,8*$HD246,0),0))</f>
        <v> </v>
      </c>
      <c r="CY246" s="318" t="str">
        <f aca="false">IF($A246="N/A"," ",IF(0&lt;&gt;CP246,IF(CC=2,8*$HD246,0),0))</f>
        <v> </v>
      </c>
      <c r="CZ246" s="318" t="str">
        <f aca="false">IF($A246="N/A"," ",IF(0&lt;&gt;CQ246,IF(CC=2,8*$HE246,0),0))</f>
        <v> </v>
      </c>
      <c r="DA246" s="318" t="str">
        <f aca="false">IF($A246="N/A"," ",IF(0&lt;&gt;CR246,IF(CC=2,8*$HE246,0),0))</f>
        <v> </v>
      </c>
      <c r="DB246" s="318" t="str">
        <f aca="false">IF($A246="N/A"," ",IF(0&lt;&gt;CS246,IF(CC=2,8*$HE246,0),0))</f>
        <v> </v>
      </c>
      <c r="DC246" s="318" t="str">
        <f aca="false">IF($A246="N/A"," ",IF(0&lt;&gt;CT246,IF(CC=2,8*$HF246,0),0))</f>
        <v> </v>
      </c>
      <c r="DD246" s="318" t="str">
        <f aca="false">IF($A246="N/A"," ",IF(0&lt;&gt;CU246,IF(CC=2,8*$HF246,0),0))</f>
        <v> </v>
      </c>
      <c r="DE246" s="318" t="str">
        <f aca="false">IF($A246="N/A"," ",IF(0&lt;&gt;CV246,IF(CC=2,8*$HF246,0),0))</f>
        <v> </v>
      </c>
      <c r="DF246" s="341" t="str">
        <f aca="false">IF($A246="N/A"," ",IF(CC=2,(IF(MONTH(A246)&gt;=4,IF(MONTH(A246)&lt;=10,Inputs!$G$13,Inputs!$G$14),Inputs!$G$14))*$CK246,0))</f>
        <v> </v>
      </c>
      <c r="DG246" s="342" t="str">
        <f aca="false">IF($A246="N/A"," ",IF(CC=2,$DF246*CW246*CN246,0))</f>
        <v> </v>
      </c>
      <c r="DH246" s="342" t="str">
        <f aca="false">IF($A246="N/A"," ",IF(CC=2,$DF246*CX246*CO246,0))</f>
        <v> </v>
      </c>
      <c r="DI246" s="342" t="str">
        <f aca="false">IF($A246="N/A"," ",IF(CC=2,$DF246*CY246*CP246,0))</f>
        <v> </v>
      </c>
      <c r="DJ246" s="342" t="str">
        <f aca="false">IF($A246="N/A"," ",IF(CC=2,$DF246*CZ246*CQ246,0))</f>
        <v> </v>
      </c>
      <c r="DK246" s="342" t="str">
        <f aca="false">IF($A246="N/A"," ",IF(CC=2,$DF246*DA246*CR246,0))</f>
        <v> </v>
      </c>
      <c r="DL246" s="342" t="str">
        <f aca="false">IF($A246="N/A"," ",IF(CC=2,$DF246*DB246*CS246,0))</f>
        <v> </v>
      </c>
      <c r="DM246" s="342" t="str">
        <f aca="false">IF($A246="N/A"," ",IF(CC=2,$DF246*DC246*CT246,0))</f>
        <v> </v>
      </c>
      <c r="DN246" s="342" t="str">
        <f aca="false">IF($A246="N/A"," ",IF(CC=2,$DF246*DD246*CU246,0))</f>
        <v> </v>
      </c>
      <c r="DO246" s="342" t="str">
        <f aca="false">IF($A246="N/A"," ",IF(CC=2,$DF246*DE246*CV246,0))</f>
        <v> </v>
      </c>
      <c r="DP246" s="343" t="str">
        <f aca="false">IF($A246="N/A"," ",IF(CC=2,SUM(DG246:DO246),0))</f>
        <v> </v>
      </c>
      <c r="DQ246" s="0" t="str">
        <f aca="false">IF(A246="N/A"," ",Perstart)</f>
        <v> </v>
      </c>
      <c r="HD246" s="0" t="str">
        <f aca="false">IF($A246="N/A"," ",VLOOKUP($A246,NumberofDaysTable,2))</f>
        <v> </v>
      </c>
      <c r="HE246" s="0" t="str">
        <f aca="false">IF($A246="N/A"," ",VLOOKUP($A246,NumberofDaysTable,3))</f>
        <v> </v>
      </c>
      <c r="HF246" s="0" t="str">
        <f aca="false">IF($A246="N/A"," ",VLOOKUP($A246,NumberofDaysTable,4))</f>
        <v> </v>
      </c>
    </row>
    <row r="247" customFormat="false" ht="12.75" hidden="false" customHeight="false" outlineLevel="0" collapsed="false">
      <c r="A247" s="308" t="str">
        <f aca="false">IF(A246="N/A","N/A",IF(EDATE(A246,1)&gt;Inputs!$K$3,"N/A",EDATE(A246,1)))</f>
        <v>N/A</v>
      </c>
      <c r="B247" s="309" t="str">
        <f aca="false">IF(A247="N/A"," ",YEAR(A247))</f>
        <v> </v>
      </c>
      <c r="C247" s="310" t="str">
        <f aca="false">IF(A247="N/A"," ",VLOOKUP(A247,ScaledPrice,10))</f>
        <v> </v>
      </c>
      <c r="D247" s="311" t="str">
        <f aca="false">IF(A247="N/A"," ",(VLOOKUP(MONTH($A247),Hrtable,2))/1000)</f>
        <v> </v>
      </c>
      <c r="E247" s="312" t="str">
        <f aca="false">IF($A247="N/A"," ",(C247-'Pricing Inputs'!T280)*D247)</f>
        <v> </v>
      </c>
      <c r="F247" s="313" t="str">
        <f aca="false">IF(A247="N/A"," ",$F235*(1+VOMesc))</f>
        <v> </v>
      </c>
      <c r="G247" s="313" t="str">
        <f aca="false">IF(A247="N/A"," ",Perstart/IF(AND(Dayrun&gt;=4,Dayrun&lt;=6),16,IF(AND(Dayrun&gt;=7,Dayrun&lt;=9),8,24))/(BM247/CK247))</f>
        <v> </v>
      </c>
      <c r="H247" s="314" t="str">
        <f aca="false">IF(A247="N/A"," ",(C247*D247)+F247+G247)</f>
        <v> </v>
      </c>
      <c r="I247" s="315" t="str">
        <f aca="false">VLOOKUP(A247,ScaledPrice,(IF(AND(Dayrun&gt;=1,Dayrun&lt;=6),2,4)))</f>
        <v> </v>
      </c>
      <c r="J247" s="315" t="str">
        <f aca="false">IF(A247="N/A"," ",IF(AND(Dayrun&gt;=1,Dayrun&lt;=6),I247,(VLOOKUP(A247,ScaledPrice,2))*(2-(VLOOKUP(A247,ScaledPrice,3)))))</f>
        <v> </v>
      </c>
      <c r="K247" s="315" t="str">
        <f aca="false">IF(A247="N/A"," ",IF(AND(Dayrun&gt;=1,Dayrun&lt;=3),VLOOKUP(A247,ScaledPrice,9),0))</f>
        <v> </v>
      </c>
      <c r="L247" s="315" t="str">
        <f aca="false">IF(A247="N/A"," ",IF(OR(Dayrun=2,Dayrun=3,Dayrun=5,Dayrun=6,Dayrun=8,Dayrun=9),VLOOKUP(A247,ScaledPrice,IF(AND(Dayrun&gt;=2,Dayrun&lt;=6),5,6)),0))</f>
        <v> </v>
      </c>
      <c r="M247" s="315" t="str">
        <f aca="false">IF(A247="N/A"," ",IF(OR(Dayrun=2,Dayrun=3,Dayrun=5,Dayrun=6,Dayrun=8,Dayrun=9),IF(AND(Dayrun&gt;=2,Dayrun&lt;=6),L247,(VLOOKUP(A247,ScaledPrice,5))*(2-(VLOOKUP(A247,ScaledPrice,3)))),0))</f>
        <v> </v>
      </c>
      <c r="N247" s="315" t="str">
        <f aca="false">IF(A247="N/A"," ",IF(AND(Dayrun&gt;1,Dayrun&lt;=3),VLOOKUP(A247,ScaledPrice,9),0))</f>
        <v> </v>
      </c>
      <c r="O247" s="315" t="str">
        <f aca="false">IF(A247="N/A"," ",IF(OR(Dayrun=3,Dayrun=6,Dayrun=9),(VLOOKUP(A247,ScaledPrice,IF(AND(Dayrun&gt;=3,Dayrun&lt;=6),7,8))),0))</f>
        <v> </v>
      </c>
      <c r="P247" s="315" t="str">
        <f aca="false">IF(A247="N/A"," ",IF(OR(Dayrun=3,Dayrun=6,Dayrun=9),IF(AND(Dayrun&gt;=3,Dayrun&lt;=6),O247,(VLOOKUP(A247,ScaledPrice,7))*(2-(VLOOKUP(A247,ScaledPrice,3)))),0))</f>
        <v> </v>
      </c>
      <c r="Q247" s="315" t="str">
        <f aca="false">IF(A247="N/A"," ",IF(AND(Dayrun&gt;2,Dayrun&lt;=3),VLOOKUP(A247,ScaledPrice,9),0))</f>
        <v> </v>
      </c>
      <c r="R247" s="316" t="str">
        <f aca="false">IF($A247="N/A"," ",IF(Pricetype=2,MAX(I247-$H247,0),IF(Pricetype=1,(xSPRDOPT(I247,$E247,$CI247,0,($CD247+IF(Smile=TRUE(),VLOOKUP(MAX(-5,$H247-I247),Volsmile,2),0)),$CG247,$CH247,($A247-DateToday)+15,1,0)),I247-$H247)))</f>
        <v> </v>
      </c>
      <c r="S247" s="316" t="str">
        <f aca="false">IF($A247="N/A"," ",IF(Pricetype=2,MAX(J247-$H247,0),IF(Pricetype=1,(xSPRDOPT(J247,$E247,$CI247,0,($CD247+IF(Smile=TRUE(),VLOOKUP(MAX(-5,$H247-J247),Volsmile,2),0)),$CG247,$CH247,($A247-DateToday)+15,1,0)),J247-$H247)))</f>
        <v> </v>
      </c>
      <c r="T247" s="317" t="str">
        <f aca="false">IF($A247="N/A"," ",(IF(Pricetype=2,IF((K247-$H247)&lt;=0,0,(K247-$H247)),IF(K247&lt;&gt;0,(K247-$H247),0))))</f>
        <v> </v>
      </c>
      <c r="U247" s="316" t="str">
        <f aca="false">IF($A247="N/A"," ",IF(Pricetype=2,MAX(L247-$H247,0),IF(L247&lt;&gt;0,IF(Pricetype=1,(xSPRDOPT(L247,$E247,$CI247,0,($CD247+IF(Smile=TRUE(),VLOOKUP(MAX(-5,$H247-L247),Volsmile,2),0)),$CG247,$CH247,($A247-DateToday)+15,1,0)),L247-$H247),0)))</f>
        <v> </v>
      </c>
      <c r="V247" s="316" t="str">
        <f aca="false">IF($A247="N/A"," ",IF(Pricetype=2,MAX(M247-$H247,0),IF(M247&lt;&gt;0,IF(Pricetype=1,(xSPRDOPT(M247,$E247,$CI247,0,($CD247+IF(Smile=TRUE(),VLOOKUP(MAX(-5,$H247-M247),Volsmile,2),0)),$CG247,$CH247,($A247-DateToday)+15,1,0)),M247-$H247),0)))</f>
        <v> </v>
      </c>
      <c r="W247" s="317" t="str">
        <f aca="false">IF($A247="N/A"," ",(IF(Pricetype=2,IF((N247-$H247)&lt;=0,0,(N247-$H247)),IF(N247&lt;&gt;0,(N247-$H247),0))))</f>
        <v> </v>
      </c>
      <c r="X247" s="316" t="str">
        <f aca="false">IF($A247="N/A"," ",IF(Pricetype=2,MAX(O247-$H247,0),IF(O247&lt;&gt;0,IF(Pricetype=1,(xSPRDOPT(O247,$E247,$CI247,0,($CD247+IF(Smile=TRUE(),VLOOKUP(MAX(-5,$H247-O247),Volsmile,2),0)),$CG247,$CH247,($A247-DateToday)+15,1,0)),O247-$H247),0)))</f>
        <v> </v>
      </c>
      <c r="Y247" s="316" t="str">
        <f aca="false">IF($A247="N/A"," ",IF(Pricetype=2,MAX(P247-$H247,0),IF(P247&lt;&gt;0,IF(Pricetype=1,(xSPRDOPT(P247,$E247,$CI247,0,($CD247+IF(Smile=TRUE(),VLOOKUP(MAX(-5,$H247-P247),Volsmile,2),0)),$CG247,$CH247,($A247-DateToday)+15,1,0)),P247-$H247),0)))</f>
        <v> </v>
      </c>
      <c r="Z247" s="317" t="str">
        <f aca="false">IF($A247="N/A"," ",(IF(Pricetype=2,IF((Q247-$H247)&lt;=0,0,(Q247-$H247)),IF(Q247&lt;&gt;0,(Q247-$H247),0))))</f>
        <v> </v>
      </c>
      <c r="AA247" s="318" t="str">
        <f aca="false">IF($A247="N/A"," ",IF(VLOOKUP(MONTH(A247),ManualTable,2)=1,(IF(0&lt;&gt;R247,IF(Pricetype=1,(xSPRDOPT(I247,$E247,$CI247,0,($CD247+IF(Smile=TRUE(),VLOOKUP(MAX(-5,$H247-I247),Volsmile,2),0)),$CG247,$CH247,($A247-DateToday)+15,1,1))*(8*$HD247),8*$HD247),0)),0))</f>
        <v> </v>
      </c>
      <c r="AB247" s="318" t="str">
        <f aca="false">IF($A247="N/A"," ",IF(VLOOKUP(MONTH(A247),ManualTable,3)=1,(IF(S247&lt;&gt;0,IF(Pricetype=1,(xSPRDOPT(J247,$E247,$CI247,0,($CD247+IF(Smile=TRUE(),VLOOKUP(MAX(-5,$H247-J247),Volsmile,2),0)),$CG247,$CH247,($A247-DateToday)+15,1,1))*(8*$HD247),8*$HD247),0)),0))</f>
        <v> </v>
      </c>
      <c r="AC247" s="318" t="str">
        <f aca="false">IF($A247="N/A"," ",IF(VLOOKUP(MONTH(A247),ManualTable,4)=1,(IF(T247&lt;&gt;0,(8*$HD247),0)),0))</f>
        <v> </v>
      </c>
      <c r="AD247" s="318" t="str">
        <f aca="false">IF($A247="N/A"," ",IF(VLOOKUP(MONTH(A247),ManualTable,5)=1,(IF(U247&lt;&gt;0,IF(Pricetype=1,(xSPRDOPT(L247,$E247,$CI247,0,($CD247+IF(Smile=TRUE(),VLOOKUP(MAX(-5,$H247-L247),Volsmile,2),0)),$CG247,$CH247,($A247-DateToday)+15,1,1))*(8*$HE247),8*$HE247),0)),0))</f>
        <v> </v>
      </c>
      <c r="AE247" s="318" t="str">
        <f aca="false">IF($A247="N/A"," ",IF(VLOOKUP(MONTH(A247),ManualTable,6)=1,(IF(V247&lt;&gt;0,IF(Pricetype=1,(xSPRDOPT(M247,$E247,$CI247,0,($CD247+IF(Smile=TRUE(),VLOOKUP(MAX(-5,$H247-M247),Volsmile,2),0)),$CG247,$CH247,($A247-DateToday)+15,1,1))*(8*$HE247),8*$HE247),0)),0))</f>
        <v> </v>
      </c>
      <c r="AF247" s="318" t="str">
        <f aca="false">IF($A247="N/A"," ",IF(VLOOKUP(MONTH(A247),ManualTable,7)=1,(IF(W247&lt;&gt;0,(8*$HE247),0)),0))</f>
        <v> </v>
      </c>
      <c r="AG247" s="318" t="str">
        <f aca="false">IF($A247="N/A"," ",IF(VLOOKUP(MONTH(A247),ManualTable,8)=1,(IF(X247&lt;&gt;0,IF(Pricetype=1,(xSPRDOPT(O247,$E247,$CI247,0,($CD247+IF(Smile=TRUE(),VLOOKUP(MAX(-5,$H247-O247),Volsmile,2),0)),$CG247,$CH247,($A247-DateToday)+15,1,1))*(8*$HF247),8*$HF247),0)),0))</f>
        <v> </v>
      </c>
      <c r="AH247" s="318" t="str">
        <f aca="false">IF($A247="N/A"," ",IF(VLOOKUP(MONTH(A247),ManualTable,9)=1,(IF(Y247&lt;&gt;0,IF(Pricetype=1,(xSPRDOPT(P247,$E247,$CI247,0,($CD247+IF(Smile=TRUE(),VLOOKUP(MAX(-5,$H247-P247),Volsmile,2),0)),$CG247,$CH247,($A247-DateToday)+15,1,1))*(8*$HF247),8*$HF247),0)),0))</f>
        <v> </v>
      </c>
      <c r="AI247" s="318" t="str">
        <f aca="false">IF($A247="N/A"," ",IF(VLOOKUP(MONTH(A247),ManualTable,10)=1,(IF(Z247&lt;&gt;0,(8*($HF247)),0)),0))</f>
        <v> </v>
      </c>
      <c r="AJ247" s="344" t="str">
        <f aca="false">IF($A247="N/A"," ",RANK(R247,$R$244:$Z$255))</f>
        <v> </v>
      </c>
      <c r="AK247" s="321" t="str">
        <f aca="false">IF($A247="N/A"," ",RANK(S247,$R$244:$Z$255))</f>
        <v> </v>
      </c>
      <c r="AL247" s="321" t="str">
        <f aca="false">IF($A247="N/A"," ",RANK(T247,$R$244:$Z$255))</f>
        <v> </v>
      </c>
      <c r="AM247" s="321" t="str">
        <f aca="false">IF($A247="N/A"," ",RANK(U247,$R$244:$Z$255))</f>
        <v> </v>
      </c>
      <c r="AN247" s="321" t="str">
        <f aca="false">IF($A247="N/A"," ",RANK(V247,$R$244:$Z$255))</f>
        <v> </v>
      </c>
      <c r="AO247" s="321" t="str">
        <f aca="false">IF($A247="N/A"," ",RANK(W247,$R$244:$Z$255))</f>
        <v> </v>
      </c>
      <c r="AP247" s="321" t="str">
        <f aca="false">IF($A247="N/A"," ",RANK(X247,$R$244:$Z$255))</f>
        <v> </v>
      </c>
      <c r="AQ247" s="321" t="str">
        <f aca="false">IF($A247="N/A"," ",RANK(Y247,$R$244:$Z$255))</f>
        <v> </v>
      </c>
      <c r="AR247" s="345" t="str">
        <f aca="false">IF($A247="N/A"," ",RANK(Z247,$R$244:$Z$255))</f>
        <v> </v>
      </c>
      <c r="AS247" s="323" t="str">
        <f aca="false">IF($A247="N/A"," ",IF(AJ247&lt;=$AR$2,AA247,0))</f>
        <v> </v>
      </c>
      <c r="AT247" s="325" t="str">
        <f aca="false">IF($A247="N/A"," ",IF(AK247&lt;=$AR$2,AB247,0))</f>
        <v> </v>
      </c>
      <c r="AU247" s="325" t="str">
        <f aca="false">IF($A247="N/A"," ",IF(AL247&lt;=$AR$2,AC247,0))</f>
        <v> </v>
      </c>
      <c r="AV247" s="325" t="str">
        <f aca="false">IF($A247="N/A"," ",IF(AM247&lt;=$AR$2,AD247,0))</f>
        <v> </v>
      </c>
      <c r="AW247" s="325" t="str">
        <f aca="false">IF($A247="N/A"," ",IF(AN247&lt;=$AR$2,AE247,0))</f>
        <v> </v>
      </c>
      <c r="AX247" s="325" t="str">
        <f aca="false">IF($A247="N/A"," ",IF(AO247&lt;=$AR$2,AF247,0))</f>
        <v> </v>
      </c>
      <c r="AY247" s="325" t="str">
        <f aca="false">IF($A247="N/A"," ",IF(AP247&lt;=$AR$2,AG247,0))</f>
        <v> </v>
      </c>
      <c r="AZ247" s="325" t="str">
        <f aca="false">IF($A247="N/A"," ",IF(AQ247&lt;=$AR$2,AH247,0))</f>
        <v> </v>
      </c>
      <c r="BA247" s="325" t="str">
        <f aca="false">IF($A247="N/A"," ",IF(AR247&lt;=$AR$2,AI247,0))</f>
        <v> </v>
      </c>
      <c r="BB247" s="345"/>
      <c r="BC247" s="326" t="str">
        <f aca="false">IF($A247="N/A"," ",IF(AND(AJ247=$AR$2+1,AS247=0),MIN($BB$255,AA247),0))</f>
        <v> </v>
      </c>
      <c r="BD247" s="346" t="str">
        <f aca="false">IF($A247="N/A"," ",IF(AND(AK247=$AR$2+1,AT247=0),MIN($BB$255,AB247),0))</f>
        <v> </v>
      </c>
      <c r="BE247" s="346" t="str">
        <f aca="false">IF($A247="N/A"," ",IF(AND(AL247=$AR$2+1,AU247=0),MIN($BB$255,AC247),0))</f>
        <v> </v>
      </c>
      <c r="BF247" s="346" t="str">
        <f aca="false">IF($A247="N/A"," ",IF(AND(AM247=$AR$2+1,AV247=0),MIN($BB$255,AD247),0))</f>
        <v> </v>
      </c>
      <c r="BG247" s="346" t="str">
        <f aca="false">IF($A247="N/A"," ",IF(AND(AN247=$AR$2+1,AW247=0),MIN($BB$255,AE247),0))</f>
        <v> </v>
      </c>
      <c r="BH247" s="346" t="str">
        <f aca="false">IF($A247="N/A"," ",IF(AND(AO247=$AR$2+1,AX247=0),MIN($BB$255,AF247),0))</f>
        <v> </v>
      </c>
      <c r="BI247" s="346" t="str">
        <f aca="false">IF($A247="N/A"," ",IF(AND(AP247=$AR$2+1,AY247=0),MIN($BB$255,AG247),0))</f>
        <v> </v>
      </c>
      <c r="BJ247" s="346" t="str">
        <f aca="false">IF($A247="N/A"," ",IF(AND(AQ247=$AR$2+1,AZ247=0),MIN($BB$255,AH247),0))</f>
        <v> </v>
      </c>
      <c r="BK247" s="346" t="str">
        <f aca="false">IF($A247="N/A"," ",IF(AND(AR247=$AR$2+1,BA247=0),MIN($BB$255,AI247),0))</f>
        <v> </v>
      </c>
      <c r="BL247" s="345"/>
      <c r="BM247" s="329" t="str">
        <f aca="false">IF($A247="N/A"," ",(IF(MONTH(A247)&gt;=4,IF(MONTH(A247)&lt;=10,Inputs!$F$13-Inputs!$G$13,Inputs!$F$14-Inputs!$G$14),Inputs!$F$14-Inputs!$G$14))*$CK247*Availability)</f>
        <v> </v>
      </c>
      <c r="BN247" s="330" t="str">
        <f aca="false">IF($A247="N/A"," ",(IF(AS247&gt;0,($BM247*(8*($HD247))*R247),0)+IF(BC247&gt;0,($BM247*((BC247/AA247)*8*$HD247)*R247),0)))</f>
        <v> </v>
      </c>
      <c r="BO247" s="330" t="str">
        <f aca="false">IF($A247="N/A"," ",(IF(AT247&gt;0,($BM247*(8*($HD247))*S247),0)+IF(BD247&gt;0,($BM247*((BD247/AB247)*8*$HD247)*S247),0)))</f>
        <v> </v>
      </c>
      <c r="BP247" s="330" t="str">
        <f aca="false">IF($A247="N/A"," ",(IF(AU247&gt;0,($BM247*(8*($HD247))*T247),0)+IF(BE247&gt;0,($BM247*((BE247))*T247),0)))</f>
        <v> </v>
      </c>
      <c r="BQ247" s="330" t="str">
        <f aca="false">IF($A247="N/A"," ",(IF(AV247&gt;0,($BM247*(8*($HE247))*U247),0)+IF(BF247&gt;0,($BM247*((BF247/AD247)*8*$HE247)*U247),0)))</f>
        <v> </v>
      </c>
      <c r="BR247" s="330" t="str">
        <f aca="false">IF($A247="N/A"," ",(IF(AW247&gt;0,($BM247*(8*($HE247))*V247),0)+IF(BG247&gt;0,($BM247*((BG247/AE247)*8*$HE247)*V247),0)))</f>
        <v> </v>
      </c>
      <c r="BS247" s="330" t="str">
        <f aca="false">IF($A247="N/A"," ",(IF(AX247&gt;0,($BM247*(8*($HE247))*W247),0)+IF(BH247&gt;0,($BM247*((BH247))*W247),0)))</f>
        <v> </v>
      </c>
      <c r="BT247" s="330" t="str">
        <f aca="false">IF($A247="N/A"," ",(IF(AY247&gt;0,($BM247*(8*($HF247))*X247),0)+IF(BI247&gt;0,($BM247*((BI247/AG247)*8*$HF247)*X247),0)))</f>
        <v> </v>
      </c>
      <c r="BU247" s="330" t="str">
        <f aca="false">IF($A247="N/A"," ",(IF(AZ247&gt;0,($BM247*(8*($HF247))*Y247),0)+IF(BJ247&gt;0,($BM247*((BJ247/AH247)*8*$HF247)*Y247),0)))</f>
        <v> </v>
      </c>
      <c r="BV247" s="330" t="str">
        <f aca="false">IF($A247="N/A"," ",(IF(BA247&gt;0,($BM247*(8*($HF247))*Z247),0)+IF(BK247&gt;0,($BM247*((BK247))*Z247),0)))</f>
        <v> </v>
      </c>
      <c r="BW247" s="330" t="str">
        <f aca="false">IF($A247="N/A"," ",SUM(BN247:BV247))</f>
        <v> </v>
      </c>
      <c r="BX247" s="331" t="str">
        <f aca="false">IF($A247="N/A"," ",(H247*(SUM(AS247:BA247)+SUM(BC247:BK247))*BM247))</f>
        <v> </v>
      </c>
      <c r="BY247" s="332" t="str">
        <f aca="false">IF($A247="N/A"," ",((C247*D247)*(SUM($AS247:$BA247)+SUM($BC247:$BK247))*$BM247))</f>
        <v> </v>
      </c>
      <c r="BZ247" s="332" t="str">
        <f aca="false">IF($A247="N/A"," ",(F247*(SUM($AS247:$BA247)+SUM($BC247:$BK247))*$BM247))</f>
        <v> </v>
      </c>
      <c r="CA247" s="333" t="str">
        <f aca="false">IF($A247="N/A"," ",(G247*(SUM($AS247:$BA247)+SUM($BC247:$BK247))*$BM247))</f>
        <v> </v>
      </c>
      <c r="CB247" s="334" t="str">
        <f aca="false">IF(A247="N/A"," ",(VLOOKUP(A247,PowerVolTable,(IF(BMO=2,7,IF(BMO=1,6,8))),FALSE())))</f>
        <v> </v>
      </c>
      <c r="CC247" s="334" t="str">
        <f aca="false">IF(A247="N/A"," ",(VLOOKUP(A247,IntraPowerVol,(IF(BMO=2,3,IF(BMO=1,2,4))),FALSE())*VLOOKUP(MONTH($A247),Volscale,2)))</f>
        <v> </v>
      </c>
      <c r="CD247" s="335" t="str">
        <f aca="false">IF($A247="N/A"," ",(IF(DateToday&gt;$A247,$CC247,((($CB247^2)*((($A247-1)-DateToday)/((EOMONTH($A247,0)+1)-DateToday-15)))+((($CC247)^2)*((15)/((EOMONTH($A247,0)+1)-DateToday-15))))^0.5)))</f>
        <v> </v>
      </c>
      <c r="CE247" s="334" t="str">
        <f aca="false">IF($A247="N/A"," ",(VLOOKUP($A247,GasVolTable,(IF(BMO=2,6,IF(BMO=1,7,5))),FALSE())))</f>
        <v> </v>
      </c>
      <c r="CF247" s="334" t="str">
        <f aca="false">IF($A247="N/A"," ",(VLOOKUP($A247,OmicronVol,(IF(BMO=2,3,IF(BMO=1,4,2))),FALSE())))</f>
        <v> </v>
      </c>
      <c r="CG247" s="335" t="str">
        <f aca="false">IF($A247="N/A"," ",(IF(DateToday&gt;$A247,$CF247,((($CE247^2)*((($A247-1)-DateToday)/((EOMONTH($A247,0)+1)-DateToday-15)))+((($CF247)^2)*((15)/((EOMONTH($A247,0)+1)-DateToday-15))))^0.5)))</f>
        <v> </v>
      </c>
      <c r="CH247" s="334" t="str">
        <f aca="false">IF($A247="N/A"," ",VLOOKUP($A247,CorrelationTable,2,FALSE()))</f>
        <v> </v>
      </c>
      <c r="CI247" s="336" t="str">
        <f aca="false">IF($A247="N/A"," ",F247+G247+(D247*('Pricing Inputs'!T280)))</f>
        <v> </v>
      </c>
      <c r="CJ247" s="334" t="str">
        <f aca="false">IF($A247="N/A"," ",IF(PV=1,0,'Pricing Inputs'!U280))</f>
        <v> </v>
      </c>
      <c r="CK247" s="337" t="str">
        <f aca="false">IF($A247="N/A"," ",(1+CJ247/2)^(-2*((EOMONTH(A247,0)+20)-DateToday)/365.25))</f>
        <v> </v>
      </c>
      <c r="CL247" s="338" t="str">
        <f aca="false">IF(A247="N/A"," ",IF(CC=2,(VLOOKUP(MONTH($A247),Hrtable,3))/1000,0))</f>
        <v> </v>
      </c>
      <c r="CM247" s="339" t="str">
        <f aca="false">IF(A247="N/A"," ",IF(CC=2,(CL247*C247)+F247,0))</f>
        <v> </v>
      </c>
      <c r="CN247" s="340" t="str">
        <f aca="false">IF($A247="N/A"," ",IF(CC=2,(VLOOKUP(A247,ScaledPrice,(IF(AND(Dayrun&gt;=1,Dayrun&lt;=6),2,4)))-((IF(R247&lt;&gt;0,$D247,$CL247)*$C247)+$F247+$G247)),0))</f>
        <v> </v>
      </c>
      <c r="CO247" s="340" t="str">
        <f aca="false">IF($A247="N/A"," ",IF(CC=2,(IF(AND(Dayrun&gt;=1,Dayrun&lt;=6),I247,(VLOOKUP(A247,ScaledPrice,2))*(2-(VLOOKUP(A247,ScaledPrice,3))))-((IF(S247&lt;&gt;0,$D247,$CL247)*$C247)+$F247+$G247)),0))</f>
        <v> </v>
      </c>
      <c r="CP247" s="340" t="str">
        <f aca="false">IF(A247="N/A"," ",IF(CC=2,(VLOOKUP(A247,ScaledPrice,9)-((IF(T247&lt;&gt;0,$D247,$CL247)*$C247)+$F247+$G247)),0))</f>
        <v> </v>
      </c>
      <c r="CQ247" s="340" t="str">
        <f aca="false">IF(A247="N/A"," ",IF(CC=2,(IF(OR(Dayrun=2,Dayrun=3,Dayrun=5,Dayrun=6,Dayrun=8,Dayrun=9),VLOOKUP(A247,ScaledPrice,IF(AND(Dayrun&gt;=2,Dayrun&lt;=6),5,6)),0)-((IF(U247&lt;&gt;0,$D247,$CL247)*$C247)+$F247+$G247)),0))</f>
        <v> </v>
      </c>
      <c r="CR247" s="340" t="str">
        <f aca="false">IF(A247="N/A"," ",IF(CC=2,(IF(OR(Dayrun=2,Dayrun=3,Dayrun=5,Dayrun=6,Dayrun=8,Dayrun=9),IF(AND(Dayrun&gt;=2,Dayrun&lt;=6),L247,(VLOOKUP(A247,ScaledPrice,5))*(2-(VLOOKUP(A247,ScaledPrice,3)))),0)-((IF(V247&lt;&gt;0,$D247,$CL247)*$C247)+$F247+$G247)),0))</f>
        <v> </v>
      </c>
      <c r="CS247" s="340" t="str">
        <f aca="false">IF(A247="N/A"," ",IF(CC=2,(VLOOKUP(A247,ScaledPrice,9)-((IF(W247&lt;&gt;0,$D247,$CL247)*$C247)+$F247+$G247)),0))</f>
        <v> </v>
      </c>
      <c r="CT247" s="340" t="str">
        <f aca="false">IF(A247="N/A"," ",IF(CC=2,(IF(OR(Dayrun=3,Dayrun=6,Dayrun=9),(VLOOKUP(A247,ScaledPrice,IF(AND(Dayrun&gt;=3,Dayrun&lt;=6),7,8))),0)-((IF(X247&lt;&gt;0,$D247,$CL247)*$C247)+$F247+$G247)),0))</f>
        <v> </v>
      </c>
      <c r="CU247" s="340" t="str">
        <f aca="false">IF(A247="N/A"," ",IF(CC=2,(IF(OR(Dayrun=3,Dayrun=6,Dayrun=9),IF(AND(Dayrun&gt;=3,Dayrun&lt;=6),O247,(VLOOKUP(A247,ScaledPrice,7))*(2-(VLOOKUP(A247,ScaledPrice,3)))),0)-((IF(Y247&lt;&gt;0,$D247,$CL247)*$C247)+$F247+$G247)),0))</f>
        <v> </v>
      </c>
      <c r="CV247" s="340" t="str">
        <f aca="false">IF(A247="N/A"," ",IF(CC=2,(VLOOKUP(A247,ScaledPrice,9)-((IF(Z247&lt;&gt;0,$D247,$CL247)*$C247)+$F247+$G247)),0))</f>
        <v> </v>
      </c>
      <c r="CW247" s="318" t="str">
        <f aca="false">IF($A247="N/A"," ",IF(0&lt;&gt;CN247,IF(CC=2,8*$HD247,0),0))</f>
        <v> </v>
      </c>
      <c r="CX247" s="318" t="str">
        <f aca="false">IF($A247="N/A"," ",IF(0&lt;&gt;CO247,IF(CC=2,8*$HD247,0),0))</f>
        <v> </v>
      </c>
      <c r="CY247" s="318" t="str">
        <f aca="false">IF($A247="N/A"," ",IF(0&lt;&gt;CP247,IF(CC=2,8*$HD247,0),0))</f>
        <v> </v>
      </c>
      <c r="CZ247" s="318" t="str">
        <f aca="false">IF($A247="N/A"," ",IF(0&lt;&gt;CQ247,IF(CC=2,8*$HE247,0),0))</f>
        <v> </v>
      </c>
      <c r="DA247" s="318" t="str">
        <f aca="false">IF($A247="N/A"," ",IF(0&lt;&gt;CR247,IF(CC=2,8*$HE247,0),0))</f>
        <v> </v>
      </c>
      <c r="DB247" s="318" t="str">
        <f aca="false">IF($A247="N/A"," ",IF(0&lt;&gt;CS247,IF(CC=2,8*$HE247,0),0))</f>
        <v> </v>
      </c>
      <c r="DC247" s="318" t="str">
        <f aca="false">IF($A247="N/A"," ",IF(0&lt;&gt;CT247,IF(CC=2,8*$HF247,0),0))</f>
        <v> </v>
      </c>
      <c r="DD247" s="318" t="str">
        <f aca="false">IF($A247="N/A"," ",IF(0&lt;&gt;CU247,IF(CC=2,8*$HF247,0),0))</f>
        <v> </v>
      </c>
      <c r="DE247" s="318" t="str">
        <f aca="false">IF($A247="N/A"," ",IF(0&lt;&gt;CV247,IF(CC=2,8*$HF247,0),0))</f>
        <v> </v>
      </c>
      <c r="DF247" s="341" t="str">
        <f aca="false">IF($A247="N/A"," ",IF(CC=2,(IF(MONTH(A247)&gt;=4,IF(MONTH(A247)&lt;=10,Inputs!$G$13,Inputs!$G$14),Inputs!$G$14))*$CK247,0))</f>
        <v> </v>
      </c>
      <c r="DG247" s="342" t="str">
        <f aca="false">IF($A247="N/A"," ",IF(CC=2,$DF247*CW247*CN247,0))</f>
        <v> </v>
      </c>
      <c r="DH247" s="342" t="str">
        <f aca="false">IF($A247="N/A"," ",IF(CC=2,$DF247*CX247*CO247,0))</f>
        <v> </v>
      </c>
      <c r="DI247" s="342" t="str">
        <f aca="false">IF($A247="N/A"," ",IF(CC=2,$DF247*CY247*CP247,0))</f>
        <v> </v>
      </c>
      <c r="DJ247" s="342" t="str">
        <f aca="false">IF($A247="N/A"," ",IF(CC=2,$DF247*CZ247*CQ247,0))</f>
        <v> </v>
      </c>
      <c r="DK247" s="342" t="str">
        <f aca="false">IF($A247="N/A"," ",IF(CC=2,$DF247*DA247*CR247,0))</f>
        <v> </v>
      </c>
      <c r="DL247" s="342" t="str">
        <f aca="false">IF($A247="N/A"," ",IF(CC=2,$DF247*DB247*CS247,0))</f>
        <v> </v>
      </c>
      <c r="DM247" s="342" t="str">
        <f aca="false">IF($A247="N/A"," ",IF(CC=2,$DF247*DC247*CT247,0))</f>
        <v> </v>
      </c>
      <c r="DN247" s="342" t="str">
        <f aca="false">IF($A247="N/A"," ",IF(CC=2,$DF247*DD247*CU247,0))</f>
        <v> </v>
      </c>
      <c r="DO247" s="342" t="str">
        <f aca="false">IF($A247="N/A"," ",IF(CC=2,$DF247*DE247*CV247,0))</f>
        <v> </v>
      </c>
      <c r="DP247" s="343" t="str">
        <f aca="false">IF($A247="N/A"," ",IF(CC=2,SUM(DG247:DO247),0))</f>
        <v> </v>
      </c>
      <c r="DQ247" s="0" t="str">
        <f aca="false">IF(A247="N/A"," ",Perstart)</f>
        <v> </v>
      </c>
      <c r="HD247" s="0" t="str">
        <f aca="false">IF($A247="N/A"," ",VLOOKUP($A247,NumberofDaysTable,2))</f>
        <v> </v>
      </c>
      <c r="HE247" s="0" t="str">
        <f aca="false">IF($A247="N/A"," ",VLOOKUP($A247,NumberofDaysTable,3))</f>
        <v> </v>
      </c>
      <c r="HF247" s="0" t="str">
        <f aca="false">IF($A247="N/A"," ",VLOOKUP($A247,NumberofDaysTable,4))</f>
        <v> </v>
      </c>
    </row>
    <row r="248" customFormat="false" ht="12.75" hidden="false" customHeight="false" outlineLevel="0" collapsed="false">
      <c r="A248" s="308" t="str">
        <f aca="false">IF(A247="N/A","N/A",IF(EDATE(A247,1)&gt;Inputs!$K$3,"N/A",EDATE(A247,1)))</f>
        <v>N/A</v>
      </c>
      <c r="B248" s="309" t="str">
        <f aca="false">IF(A248="N/A"," ",YEAR(A248))</f>
        <v> </v>
      </c>
      <c r="C248" s="310" t="str">
        <f aca="false">IF(A248="N/A"," ",VLOOKUP(A248,ScaledPrice,10))</f>
        <v> </v>
      </c>
      <c r="D248" s="311" t="str">
        <f aca="false">IF(A248="N/A"," ",(VLOOKUP(MONTH($A248),Hrtable,2))/1000)</f>
        <v> </v>
      </c>
      <c r="E248" s="312" t="str">
        <f aca="false">IF($A248="N/A"," ",(C248-'Pricing Inputs'!T281)*D248)</f>
        <v> </v>
      </c>
      <c r="F248" s="313" t="str">
        <f aca="false">IF(A248="N/A"," ",$F236*(1+VOMesc))</f>
        <v> </v>
      </c>
      <c r="G248" s="313" t="str">
        <f aca="false">IF(A248="N/A"," ",Perstart/IF(AND(Dayrun&gt;=4,Dayrun&lt;=6),16,IF(AND(Dayrun&gt;=7,Dayrun&lt;=9),8,24))/(BM248/CK248))</f>
        <v> </v>
      </c>
      <c r="H248" s="314" t="str">
        <f aca="false">IF(A248="N/A"," ",(C248*D248)+F248+G248)</f>
        <v> </v>
      </c>
      <c r="I248" s="315" t="str">
        <f aca="false">VLOOKUP(A248,ScaledPrice,(IF(AND(Dayrun&gt;=1,Dayrun&lt;=6),2,4)))</f>
        <v> </v>
      </c>
      <c r="J248" s="315" t="str">
        <f aca="false">IF(A248="N/A"," ",IF(AND(Dayrun&gt;=1,Dayrun&lt;=6),I248,(VLOOKUP(A248,ScaledPrice,2))*(2-(VLOOKUP(A248,ScaledPrice,3)))))</f>
        <v> </v>
      </c>
      <c r="K248" s="315" t="str">
        <f aca="false">IF(A248="N/A"," ",IF(AND(Dayrun&gt;=1,Dayrun&lt;=3),VLOOKUP(A248,ScaledPrice,9),0))</f>
        <v> </v>
      </c>
      <c r="L248" s="315" t="str">
        <f aca="false">IF(A248="N/A"," ",IF(OR(Dayrun=2,Dayrun=3,Dayrun=5,Dayrun=6,Dayrun=8,Dayrun=9),VLOOKUP(A248,ScaledPrice,IF(AND(Dayrun&gt;=2,Dayrun&lt;=6),5,6)),0))</f>
        <v> </v>
      </c>
      <c r="M248" s="315" t="str">
        <f aca="false">IF(A248="N/A"," ",IF(OR(Dayrun=2,Dayrun=3,Dayrun=5,Dayrun=6,Dayrun=8,Dayrun=9),IF(AND(Dayrun&gt;=2,Dayrun&lt;=6),L248,(VLOOKUP(A248,ScaledPrice,5))*(2-(VLOOKUP(A248,ScaledPrice,3)))),0))</f>
        <v> </v>
      </c>
      <c r="N248" s="315" t="str">
        <f aca="false">IF(A248="N/A"," ",IF(AND(Dayrun&gt;1,Dayrun&lt;=3),VLOOKUP(A248,ScaledPrice,9),0))</f>
        <v> </v>
      </c>
      <c r="O248" s="315" t="str">
        <f aca="false">IF(A248="N/A"," ",IF(OR(Dayrun=3,Dayrun=6,Dayrun=9),(VLOOKUP(A248,ScaledPrice,IF(AND(Dayrun&gt;=3,Dayrun&lt;=6),7,8))),0))</f>
        <v> </v>
      </c>
      <c r="P248" s="315" t="str">
        <f aca="false">IF(A248="N/A"," ",IF(OR(Dayrun=3,Dayrun=6,Dayrun=9),IF(AND(Dayrun&gt;=3,Dayrun&lt;=6),O248,(VLOOKUP(A248,ScaledPrice,7))*(2-(VLOOKUP(A248,ScaledPrice,3)))),0))</f>
        <v> </v>
      </c>
      <c r="Q248" s="315" t="str">
        <f aca="false">IF(A248="N/A"," ",IF(AND(Dayrun&gt;2,Dayrun&lt;=3),VLOOKUP(A248,ScaledPrice,9),0))</f>
        <v> </v>
      </c>
      <c r="R248" s="316" t="str">
        <f aca="false">IF($A248="N/A"," ",IF(Pricetype=2,MAX(I248-$H248,0),IF(Pricetype=1,(xSPRDOPT(I248,$E248,$CI248,0,($CD248+IF(Smile=TRUE(),VLOOKUP(MAX(-5,$H248-I248),Volsmile,2),0)),$CG248,$CH248,($A248-DateToday)+15,1,0)),I248-$H248)))</f>
        <v> </v>
      </c>
      <c r="S248" s="316" t="str">
        <f aca="false">IF($A248="N/A"," ",IF(Pricetype=2,MAX(J248-$H248,0),IF(Pricetype=1,(xSPRDOPT(J248,$E248,$CI248,0,($CD248+IF(Smile=TRUE(),VLOOKUP(MAX(-5,$H248-J248),Volsmile,2),0)),$CG248,$CH248,($A248-DateToday)+15,1,0)),J248-$H248)))</f>
        <v> </v>
      </c>
      <c r="T248" s="317" t="str">
        <f aca="false">IF($A248="N/A"," ",(IF(Pricetype=2,IF((K248-$H248)&lt;=0,0,(K248-$H248)),IF(K248&lt;&gt;0,(K248-$H248),0))))</f>
        <v> </v>
      </c>
      <c r="U248" s="316" t="str">
        <f aca="false">IF($A248="N/A"," ",IF(Pricetype=2,MAX(L248-$H248,0),IF(L248&lt;&gt;0,IF(Pricetype=1,(xSPRDOPT(L248,$E248,$CI248,0,($CD248+IF(Smile=TRUE(),VLOOKUP(MAX(-5,$H248-L248),Volsmile,2),0)),$CG248,$CH248,($A248-DateToday)+15,1,0)),L248-$H248),0)))</f>
        <v> </v>
      </c>
      <c r="V248" s="316" t="str">
        <f aca="false">IF($A248="N/A"," ",IF(Pricetype=2,MAX(M248-$H248,0),IF(M248&lt;&gt;0,IF(Pricetype=1,(xSPRDOPT(M248,$E248,$CI248,0,($CD248+IF(Smile=TRUE(),VLOOKUP(MAX(-5,$H248-M248),Volsmile,2),0)),$CG248,$CH248,($A248-DateToday)+15,1,0)),M248-$H248),0)))</f>
        <v> </v>
      </c>
      <c r="W248" s="317" t="str">
        <f aca="false">IF($A248="N/A"," ",(IF(Pricetype=2,IF((N248-$H248)&lt;=0,0,(N248-$H248)),IF(N248&lt;&gt;0,(N248-$H248),0))))</f>
        <v> </v>
      </c>
      <c r="X248" s="316" t="str">
        <f aca="false">IF($A248="N/A"," ",IF(Pricetype=2,MAX(O248-$H248,0),IF(O248&lt;&gt;0,IF(Pricetype=1,(xSPRDOPT(O248,$E248,$CI248,0,($CD248+IF(Smile=TRUE(),VLOOKUP(MAX(-5,$H248-O248),Volsmile,2),0)),$CG248,$CH248,($A248-DateToday)+15,1,0)),O248-$H248),0)))</f>
        <v> </v>
      </c>
      <c r="Y248" s="316" t="str">
        <f aca="false">IF($A248="N/A"," ",IF(Pricetype=2,MAX(P248-$H248,0),IF(P248&lt;&gt;0,IF(Pricetype=1,(xSPRDOPT(P248,$E248,$CI248,0,($CD248+IF(Smile=TRUE(),VLOOKUP(MAX(-5,$H248-P248),Volsmile,2),0)),$CG248,$CH248,($A248-DateToday)+15,1,0)),P248-$H248),0)))</f>
        <v> </v>
      </c>
      <c r="Z248" s="317" t="str">
        <f aca="false">IF($A248="N/A"," ",(IF(Pricetype=2,IF((Q248-$H248)&lt;=0,0,(Q248-$H248)),IF(Q248&lt;&gt;0,(Q248-$H248),0))))</f>
        <v> </v>
      </c>
      <c r="AA248" s="318" t="str">
        <f aca="false">IF($A248="N/A"," ",IF(VLOOKUP(MONTH(A248),ManualTable,2)=1,(IF(0&lt;&gt;R248,IF(Pricetype=1,(xSPRDOPT(I248,$E248,$CI248,0,($CD248+IF(Smile=TRUE(),VLOOKUP(MAX(-5,$H248-I248),Volsmile,2),0)),$CG248,$CH248,($A248-DateToday)+15,1,1))*(8*$HD248),8*$HD248),0)),0))</f>
        <v> </v>
      </c>
      <c r="AB248" s="318" t="str">
        <f aca="false">IF($A248="N/A"," ",IF(VLOOKUP(MONTH(A248),ManualTable,3)=1,(IF(S248&lt;&gt;0,IF(Pricetype=1,(xSPRDOPT(J248,$E248,$CI248,0,($CD248+IF(Smile=TRUE(),VLOOKUP(MAX(-5,$H248-J248),Volsmile,2),0)),$CG248,$CH248,($A248-DateToday)+15,1,1))*(8*$HD248),8*$HD248),0)),0))</f>
        <v> </v>
      </c>
      <c r="AC248" s="318" t="str">
        <f aca="false">IF($A248="N/A"," ",IF(VLOOKUP(MONTH(A248),ManualTable,4)=1,(IF(T248&lt;&gt;0,(8*$HD248),0)),0))</f>
        <v> </v>
      </c>
      <c r="AD248" s="318" t="str">
        <f aca="false">IF($A248="N/A"," ",IF(VLOOKUP(MONTH(A248),ManualTable,5)=1,(IF(U248&lt;&gt;0,IF(Pricetype=1,(xSPRDOPT(L248,$E248,$CI248,0,($CD248+IF(Smile=TRUE(),VLOOKUP(MAX(-5,$H248-L248),Volsmile,2),0)),$CG248,$CH248,($A248-DateToday)+15,1,1))*(8*$HE248),8*$HE248),0)),0))</f>
        <v> </v>
      </c>
      <c r="AE248" s="318" t="str">
        <f aca="false">IF($A248="N/A"," ",IF(VLOOKUP(MONTH(A248),ManualTable,6)=1,(IF(V248&lt;&gt;0,IF(Pricetype=1,(xSPRDOPT(M248,$E248,$CI248,0,($CD248+IF(Smile=TRUE(),VLOOKUP(MAX(-5,$H248-M248),Volsmile,2),0)),$CG248,$CH248,($A248-DateToday)+15,1,1))*(8*$HE248),8*$HE248),0)),0))</f>
        <v> </v>
      </c>
      <c r="AF248" s="318" t="str">
        <f aca="false">IF($A248="N/A"," ",IF(VLOOKUP(MONTH(A248),ManualTable,7)=1,(IF(W248&lt;&gt;0,(8*$HE248),0)),0))</f>
        <v> </v>
      </c>
      <c r="AG248" s="318" t="str">
        <f aca="false">IF($A248="N/A"," ",IF(VLOOKUP(MONTH(A248),ManualTable,8)=1,(IF(X248&lt;&gt;0,IF(Pricetype=1,(xSPRDOPT(O248,$E248,$CI248,0,($CD248+IF(Smile=TRUE(),VLOOKUP(MAX(-5,$H248-O248),Volsmile,2),0)),$CG248,$CH248,($A248-DateToday)+15,1,1))*(8*$HF248),8*$HF248),0)),0))</f>
        <v> </v>
      </c>
      <c r="AH248" s="318" t="str">
        <f aca="false">IF($A248="N/A"," ",IF(VLOOKUP(MONTH(A248),ManualTable,9)=1,(IF(Y248&lt;&gt;0,IF(Pricetype=1,(xSPRDOPT(P248,$E248,$CI248,0,($CD248+IF(Smile=TRUE(),VLOOKUP(MAX(-5,$H248-P248),Volsmile,2),0)),$CG248,$CH248,($A248-DateToday)+15,1,1))*(8*$HF248),8*$HF248),0)),0))</f>
        <v> </v>
      </c>
      <c r="AI248" s="318" t="str">
        <f aca="false">IF($A248="N/A"," ",IF(VLOOKUP(MONTH(A248),ManualTable,10)=1,(IF(Z248&lt;&gt;0,(8*($HF248)),0)),0))</f>
        <v> </v>
      </c>
      <c r="AJ248" s="344" t="str">
        <f aca="false">IF($A248="N/A"," ",RANK(R248,$R$244:$Z$255))</f>
        <v> </v>
      </c>
      <c r="AK248" s="321" t="str">
        <f aca="false">IF($A248="N/A"," ",RANK(S248,$R$244:$Z$255))</f>
        <v> </v>
      </c>
      <c r="AL248" s="321" t="str">
        <f aca="false">IF($A248="N/A"," ",RANK(T248,$R$244:$Z$255))</f>
        <v> </v>
      </c>
      <c r="AM248" s="321" t="str">
        <f aca="false">IF($A248="N/A"," ",RANK(U248,$R$244:$Z$255))</f>
        <v> </v>
      </c>
      <c r="AN248" s="321" t="str">
        <f aca="false">IF($A248="N/A"," ",RANK(V248,$R$244:$Z$255))</f>
        <v> </v>
      </c>
      <c r="AO248" s="321" t="str">
        <f aca="false">IF($A248="N/A"," ",RANK(W248,$R$244:$Z$255))</f>
        <v> </v>
      </c>
      <c r="AP248" s="321" t="str">
        <f aca="false">IF($A248="N/A"," ",RANK(X248,$R$244:$Z$255))</f>
        <v> </v>
      </c>
      <c r="AQ248" s="321" t="str">
        <f aca="false">IF($A248="N/A"," ",RANK(Y248,$R$244:$Z$255))</f>
        <v> </v>
      </c>
      <c r="AR248" s="345" t="str">
        <f aca="false">IF($A248="N/A"," ",RANK(Z248,$R$244:$Z$255))</f>
        <v> </v>
      </c>
      <c r="AS248" s="323" t="str">
        <f aca="false">IF($A248="N/A"," ",IF(AJ248&lt;=$AR$2,AA248,0))</f>
        <v> </v>
      </c>
      <c r="AT248" s="325" t="str">
        <f aca="false">IF($A248="N/A"," ",IF(AK248&lt;=$AR$2,AB248,0))</f>
        <v> </v>
      </c>
      <c r="AU248" s="325" t="str">
        <f aca="false">IF($A248="N/A"," ",IF(AL248&lt;=$AR$2,AC248,0))</f>
        <v> </v>
      </c>
      <c r="AV248" s="325" t="str">
        <f aca="false">IF($A248="N/A"," ",IF(AM248&lt;=$AR$2,AD248,0))</f>
        <v> </v>
      </c>
      <c r="AW248" s="325" t="str">
        <f aca="false">IF($A248="N/A"," ",IF(AN248&lt;=$AR$2,AE248,0))</f>
        <v> </v>
      </c>
      <c r="AX248" s="325" t="str">
        <f aca="false">IF($A248="N/A"," ",IF(AO248&lt;=$AR$2,AF248,0))</f>
        <v> </v>
      </c>
      <c r="AY248" s="325" t="str">
        <f aca="false">IF($A248="N/A"," ",IF(AP248&lt;=$AR$2,AG248,0))</f>
        <v> </v>
      </c>
      <c r="AZ248" s="325" t="str">
        <f aca="false">IF($A248="N/A"," ",IF(AQ248&lt;=$AR$2,AH248,0))</f>
        <v> </v>
      </c>
      <c r="BA248" s="325" t="str">
        <f aca="false">IF($A248="N/A"," ",IF(AR248&lt;=$AR$2,AI248,0))</f>
        <v> </v>
      </c>
      <c r="BB248" s="345"/>
      <c r="BC248" s="326" t="str">
        <f aca="false">IF($A248="N/A"," ",IF(AND(AJ248=$AR$2+1,AS248=0),MIN($BB$255,AA248),0))</f>
        <v> </v>
      </c>
      <c r="BD248" s="346" t="str">
        <f aca="false">IF($A248="N/A"," ",IF(AND(AK248=$AR$2+1,AT248=0),MIN($BB$255,AB248),0))</f>
        <v> </v>
      </c>
      <c r="BE248" s="346" t="str">
        <f aca="false">IF($A248="N/A"," ",IF(AND(AL248=$AR$2+1,AU248=0),MIN($BB$255,AC248),0))</f>
        <v> </v>
      </c>
      <c r="BF248" s="346" t="str">
        <f aca="false">IF($A248="N/A"," ",IF(AND(AM248=$AR$2+1,AV248=0),MIN($BB$255,AD248),0))</f>
        <v> </v>
      </c>
      <c r="BG248" s="346" t="str">
        <f aca="false">IF($A248="N/A"," ",IF(AND(AN248=$AR$2+1,AW248=0),MIN($BB$255,AE248),0))</f>
        <v> </v>
      </c>
      <c r="BH248" s="346" t="str">
        <f aca="false">IF($A248="N/A"," ",IF(AND(AO248=$AR$2+1,AX248=0),MIN($BB$255,AF248),0))</f>
        <v> </v>
      </c>
      <c r="BI248" s="346" t="str">
        <f aca="false">IF($A248="N/A"," ",IF(AND(AP248=$AR$2+1,AY248=0),MIN($BB$255,AG248),0))</f>
        <v> </v>
      </c>
      <c r="BJ248" s="346" t="str">
        <f aca="false">IF($A248="N/A"," ",IF(AND(AQ248=$AR$2+1,AZ248=0),MIN($BB$255,AH248),0))</f>
        <v> </v>
      </c>
      <c r="BK248" s="346" t="str">
        <f aca="false">IF($A248="N/A"," ",IF(AND(AR248=$AR$2+1,BA248=0),MIN($BB$255,AI248),0))</f>
        <v> </v>
      </c>
      <c r="BL248" s="345"/>
      <c r="BM248" s="329" t="str">
        <f aca="false">IF($A248="N/A"," ",(IF(MONTH(A248)&gt;=4,IF(MONTH(A248)&lt;=10,Inputs!$F$13-Inputs!$G$13,Inputs!$F$14-Inputs!$G$14),Inputs!$F$14-Inputs!$G$14))*$CK248*Availability)</f>
        <v> </v>
      </c>
      <c r="BN248" s="330" t="str">
        <f aca="false">IF($A248="N/A"," ",(IF(AS248&gt;0,($BM248*(8*($HD248))*R248),0)+IF(BC248&gt;0,($BM248*((BC248/AA248)*8*$HD248)*R248),0)))</f>
        <v> </v>
      </c>
      <c r="BO248" s="330" t="str">
        <f aca="false">IF($A248="N/A"," ",(IF(AT248&gt;0,($BM248*(8*($HD248))*S248),0)+IF(BD248&gt;0,($BM248*((BD248/AB248)*8*$HD248)*S248),0)))</f>
        <v> </v>
      </c>
      <c r="BP248" s="330" t="str">
        <f aca="false">IF($A248="N/A"," ",(IF(AU248&gt;0,($BM248*(8*($HD248))*T248),0)+IF(BE248&gt;0,($BM248*((BE248))*T248),0)))</f>
        <v> </v>
      </c>
      <c r="BQ248" s="330" t="str">
        <f aca="false">IF($A248="N/A"," ",(IF(AV248&gt;0,($BM248*(8*($HE248))*U248),0)+IF(BF248&gt;0,($BM248*((BF248/AD248)*8*$HE248)*U248),0)))</f>
        <v> </v>
      </c>
      <c r="BR248" s="330" t="str">
        <f aca="false">IF($A248="N/A"," ",(IF(AW248&gt;0,($BM248*(8*($HE248))*V248),0)+IF(BG248&gt;0,($BM248*((BG248/AE248)*8*$HE248)*V248),0)))</f>
        <v> </v>
      </c>
      <c r="BS248" s="330" t="str">
        <f aca="false">IF($A248="N/A"," ",(IF(AX248&gt;0,($BM248*(8*($HE248))*W248),0)+IF(BH248&gt;0,($BM248*((BH248))*W248),0)))</f>
        <v> </v>
      </c>
      <c r="BT248" s="330" t="str">
        <f aca="false">IF($A248="N/A"," ",(IF(AY248&gt;0,($BM248*(8*($HF248))*X248),0)+IF(BI248&gt;0,($BM248*((BI248/AG248)*8*$HF248)*X248),0)))</f>
        <v> </v>
      </c>
      <c r="BU248" s="330" t="str">
        <f aca="false">IF($A248="N/A"," ",(IF(AZ248&gt;0,($BM248*(8*($HF248))*Y248),0)+IF(BJ248&gt;0,($BM248*((BJ248/AH248)*8*$HF248)*Y248),0)))</f>
        <v> </v>
      </c>
      <c r="BV248" s="330" t="str">
        <f aca="false">IF($A248="N/A"," ",(IF(BA248&gt;0,($BM248*(8*($HF248))*Z248),0)+IF(BK248&gt;0,($BM248*((BK248))*Z248),0)))</f>
        <v> </v>
      </c>
      <c r="BW248" s="330" t="str">
        <f aca="false">IF($A248="N/A"," ",SUM(BN248:BV248))</f>
        <v> </v>
      </c>
      <c r="BX248" s="331" t="str">
        <f aca="false">IF($A248="N/A"," ",(H248*(SUM(AS248:BA248)+SUM(BC248:BK248))*BM248))</f>
        <v> </v>
      </c>
      <c r="BY248" s="332" t="str">
        <f aca="false">IF($A248="N/A"," ",((C248*D248)*(SUM($AS248:$BA248)+SUM($BC248:$BK248))*$BM248))</f>
        <v> </v>
      </c>
      <c r="BZ248" s="332" t="str">
        <f aca="false">IF($A248="N/A"," ",(F248*(SUM($AS248:$BA248)+SUM($BC248:$BK248))*$BM248))</f>
        <v> </v>
      </c>
      <c r="CA248" s="333" t="str">
        <f aca="false">IF($A248="N/A"," ",(G248*(SUM($AS248:$BA248)+SUM($BC248:$BK248))*$BM248))</f>
        <v> </v>
      </c>
      <c r="CB248" s="334" t="str">
        <f aca="false">IF(A248="N/A"," ",(VLOOKUP(A248,PowerVolTable,(IF(BMO=2,7,IF(BMO=1,6,8))),FALSE())))</f>
        <v> </v>
      </c>
      <c r="CC248" s="334" t="str">
        <f aca="false">IF(A248="N/A"," ",(VLOOKUP(A248,IntraPowerVol,(IF(BMO=2,3,IF(BMO=1,2,4))),FALSE())*VLOOKUP(MONTH($A248),Volscale,2)))</f>
        <v> </v>
      </c>
      <c r="CD248" s="335" t="str">
        <f aca="false">IF($A248="N/A"," ",(IF(DateToday&gt;$A248,$CC248,((($CB248^2)*((($A248-1)-DateToday)/((EOMONTH($A248,0)+1)-DateToday-15)))+((($CC248)^2)*((15)/((EOMONTH($A248,0)+1)-DateToday-15))))^0.5)))</f>
        <v> </v>
      </c>
      <c r="CE248" s="334" t="str">
        <f aca="false">IF($A248="N/A"," ",(VLOOKUP($A248,GasVolTable,(IF(BMO=2,6,IF(BMO=1,7,5))),FALSE())))</f>
        <v> </v>
      </c>
      <c r="CF248" s="334" t="str">
        <f aca="false">IF($A248="N/A"," ",(VLOOKUP($A248,OmicronVol,(IF(BMO=2,3,IF(BMO=1,4,2))),FALSE())))</f>
        <v> </v>
      </c>
      <c r="CG248" s="335" t="str">
        <f aca="false">IF($A248="N/A"," ",(IF(DateToday&gt;$A248,$CF248,((($CE248^2)*((($A248-1)-DateToday)/((EOMONTH($A248,0)+1)-DateToday-15)))+((($CF248)^2)*((15)/((EOMONTH($A248,0)+1)-DateToday-15))))^0.5)))</f>
        <v> </v>
      </c>
      <c r="CH248" s="334" t="str">
        <f aca="false">IF($A248="N/A"," ",VLOOKUP($A248,CorrelationTable,2,FALSE()))</f>
        <v> </v>
      </c>
      <c r="CI248" s="336" t="str">
        <f aca="false">IF($A248="N/A"," ",F248+G248+(D248*('Pricing Inputs'!T281)))</f>
        <v> </v>
      </c>
      <c r="CJ248" s="334" t="str">
        <f aca="false">IF($A248="N/A"," ",IF(PV=1,0,'Pricing Inputs'!U281))</f>
        <v> </v>
      </c>
      <c r="CK248" s="337" t="str">
        <f aca="false">IF($A248="N/A"," ",(1+CJ248/2)^(-2*((EOMONTH(A248,0)+20)-DateToday)/365.25))</f>
        <v> </v>
      </c>
      <c r="CL248" s="338" t="str">
        <f aca="false">IF(A248="N/A"," ",IF(CC=2,(VLOOKUP(MONTH($A248),Hrtable,3))/1000,0))</f>
        <v> </v>
      </c>
      <c r="CM248" s="339" t="str">
        <f aca="false">IF(A248="N/A"," ",IF(CC=2,(CL248*C248)+F248,0))</f>
        <v> </v>
      </c>
      <c r="CN248" s="340" t="str">
        <f aca="false">IF($A248="N/A"," ",IF(CC=2,(VLOOKUP(A248,ScaledPrice,(IF(AND(Dayrun&gt;=1,Dayrun&lt;=6),2,4)))-((IF(R248&lt;&gt;0,$D248,$CL248)*$C248)+$F248+$G248)),0))</f>
        <v> </v>
      </c>
      <c r="CO248" s="340" t="str">
        <f aca="false">IF($A248="N/A"," ",IF(CC=2,(IF(AND(Dayrun&gt;=1,Dayrun&lt;=6),I248,(VLOOKUP(A248,ScaledPrice,2))*(2-(VLOOKUP(A248,ScaledPrice,3))))-((IF(S248&lt;&gt;0,$D248,$CL248)*$C248)+$F248+$G248)),0))</f>
        <v> </v>
      </c>
      <c r="CP248" s="340" t="str">
        <f aca="false">IF(A248="N/A"," ",IF(CC=2,(VLOOKUP(A248,ScaledPrice,9)-((IF(T248&lt;&gt;0,$D248,$CL248)*$C248)+$F248+$G248)),0))</f>
        <v> </v>
      </c>
      <c r="CQ248" s="340" t="str">
        <f aca="false">IF(A248="N/A"," ",IF(CC=2,(IF(OR(Dayrun=2,Dayrun=3,Dayrun=5,Dayrun=6,Dayrun=8,Dayrun=9),VLOOKUP(A248,ScaledPrice,IF(AND(Dayrun&gt;=2,Dayrun&lt;=6),5,6)),0)-((IF(U248&lt;&gt;0,$D248,$CL248)*$C248)+$F248+$G248)),0))</f>
        <v> </v>
      </c>
      <c r="CR248" s="340" t="str">
        <f aca="false">IF(A248="N/A"," ",IF(CC=2,(IF(OR(Dayrun=2,Dayrun=3,Dayrun=5,Dayrun=6,Dayrun=8,Dayrun=9),IF(AND(Dayrun&gt;=2,Dayrun&lt;=6),L248,(VLOOKUP(A248,ScaledPrice,5))*(2-(VLOOKUP(A248,ScaledPrice,3)))),0)-((IF(V248&lt;&gt;0,$D248,$CL248)*$C248)+$F248+$G248)),0))</f>
        <v> </v>
      </c>
      <c r="CS248" s="340" t="str">
        <f aca="false">IF(A248="N/A"," ",IF(CC=2,(VLOOKUP(A248,ScaledPrice,9)-((IF(W248&lt;&gt;0,$D248,$CL248)*$C248)+$F248+$G248)),0))</f>
        <v> </v>
      </c>
      <c r="CT248" s="340" t="str">
        <f aca="false">IF(A248="N/A"," ",IF(CC=2,(IF(OR(Dayrun=3,Dayrun=6,Dayrun=9),(VLOOKUP(A248,ScaledPrice,IF(AND(Dayrun&gt;=3,Dayrun&lt;=6),7,8))),0)-((IF(X248&lt;&gt;0,$D248,$CL248)*$C248)+$F248+$G248)),0))</f>
        <v> </v>
      </c>
      <c r="CU248" s="340" t="str">
        <f aca="false">IF(A248="N/A"," ",IF(CC=2,(IF(OR(Dayrun=3,Dayrun=6,Dayrun=9),IF(AND(Dayrun&gt;=3,Dayrun&lt;=6),O248,(VLOOKUP(A248,ScaledPrice,7))*(2-(VLOOKUP(A248,ScaledPrice,3)))),0)-((IF(Y248&lt;&gt;0,$D248,$CL248)*$C248)+$F248+$G248)),0))</f>
        <v> </v>
      </c>
      <c r="CV248" s="340" t="str">
        <f aca="false">IF(A248="N/A"," ",IF(CC=2,(VLOOKUP(A248,ScaledPrice,9)-((IF(Z248&lt;&gt;0,$D248,$CL248)*$C248)+$F248+$G248)),0))</f>
        <v> </v>
      </c>
      <c r="CW248" s="318" t="str">
        <f aca="false">IF($A248="N/A"," ",IF(0&lt;&gt;CN248,IF(CC=2,8*$HD248,0),0))</f>
        <v> </v>
      </c>
      <c r="CX248" s="318" t="str">
        <f aca="false">IF($A248="N/A"," ",IF(0&lt;&gt;CO248,IF(CC=2,8*$HD248,0),0))</f>
        <v> </v>
      </c>
      <c r="CY248" s="318" t="str">
        <f aca="false">IF($A248="N/A"," ",IF(0&lt;&gt;CP248,IF(CC=2,8*$HD248,0),0))</f>
        <v> </v>
      </c>
      <c r="CZ248" s="318" t="str">
        <f aca="false">IF($A248="N/A"," ",IF(0&lt;&gt;CQ248,IF(CC=2,8*$HE248,0),0))</f>
        <v> </v>
      </c>
      <c r="DA248" s="318" t="str">
        <f aca="false">IF($A248="N/A"," ",IF(0&lt;&gt;CR248,IF(CC=2,8*$HE248,0),0))</f>
        <v> </v>
      </c>
      <c r="DB248" s="318" t="str">
        <f aca="false">IF($A248="N/A"," ",IF(0&lt;&gt;CS248,IF(CC=2,8*$HE248,0),0))</f>
        <v> </v>
      </c>
      <c r="DC248" s="318" t="str">
        <f aca="false">IF($A248="N/A"," ",IF(0&lt;&gt;CT248,IF(CC=2,8*$HF248,0),0))</f>
        <v> </v>
      </c>
      <c r="DD248" s="318" t="str">
        <f aca="false">IF($A248="N/A"," ",IF(0&lt;&gt;CU248,IF(CC=2,8*$HF248,0),0))</f>
        <v> </v>
      </c>
      <c r="DE248" s="318" t="str">
        <f aca="false">IF($A248="N/A"," ",IF(0&lt;&gt;CV248,IF(CC=2,8*$HF248,0),0))</f>
        <v> </v>
      </c>
      <c r="DF248" s="341" t="str">
        <f aca="false">IF($A248="N/A"," ",IF(CC=2,(IF(MONTH(A248)&gt;=4,IF(MONTH(A248)&lt;=10,Inputs!$G$13,Inputs!$G$14),Inputs!$G$14))*$CK248,0))</f>
        <v> </v>
      </c>
      <c r="DG248" s="342" t="str">
        <f aca="false">IF($A248="N/A"," ",IF(CC=2,$DF248*CW248*CN248,0))</f>
        <v> </v>
      </c>
      <c r="DH248" s="342" t="str">
        <f aca="false">IF($A248="N/A"," ",IF(CC=2,$DF248*CX248*CO248,0))</f>
        <v> </v>
      </c>
      <c r="DI248" s="342" t="str">
        <f aca="false">IF($A248="N/A"," ",IF(CC=2,$DF248*CY248*CP248,0))</f>
        <v> </v>
      </c>
      <c r="DJ248" s="342" t="str">
        <f aca="false">IF($A248="N/A"," ",IF(CC=2,$DF248*CZ248*CQ248,0))</f>
        <v> </v>
      </c>
      <c r="DK248" s="342" t="str">
        <f aca="false">IF($A248="N/A"," ",IF(CC=2,$DF248*DA248*CR248,0))</f>
        <v> </v>
      </c>
      <c r="DL248" s="342" t="str">
        <f aca="false">IF($A248="N/A"," ",IF(CC=2,$DF248*DB248*CS248,0))</f>
        <v> </v>
      </c>
      <c r="DM248" s="342" t="str">
        <f aca="false">IF($A248="N/A"," ",IF(CC=2,$DF248*DC248*CT248,0))</f>
        <v> </v>
      </c>
      <c r="DN248" s="342" t="str">
        <f aca="false">IF($A248="N/A"," ",IF(CC=2,$DF248*DD248*CU248,0))</f>
        <v> </v>
      </c>
      <c r="DO248" s="342" t="str">
        <f aca="false">IF($A248="N/A"," ",IF(CC=2,$DF248*DE248*CV248,0))</f>
        <v> </v>
      </c>
      <c r="DP248" s="343" t="str">
        <f aca="false">IF($A248="N/A"," ",IF(CC=2,SUM(DG248:DO248),0))</f>
        <v> </v>
      </c>
      <c r="DQ248" s="0" t="str">
        <f aca="false">IF(A248="N/A"," ",Perstart)</f>
        <v> </v>
      </c>
      <c r="HD248" s="0" t="str">
        <f aca="false">IF($A248="N/A"," ",VLOOKUP($A248,NumberofDaysTable,2))</f>
        <v> </v>
      </c>
      <c r="HE248" s="0" t="str">
        <f aca="false">IF($A248="N/A"," ",VLOOKUP($A248,NumberofDaysTable,3))</f>
        <v> </v>
      </c>
      <c r="HF248" s="0" t="str">
        <f aca="false">IF($A248="N/A"," ",VLOOKUP($A248,NumberofDaysTable,4))</f>
        <v> </v>
      </c>
    </row>
    <row r="249" customFormat="false" ht="12.75" hidden="false" customHeight="false" outlineLevel="0" collapsed="false">
      <c r="A249" s="308" t="str">
        <f aca="false">IF(A248="N/A","N/A",IF(EDATE(A248,1)&gt;Inputs!$K$3,"N/A",EDATE(A248,1)))</f>
        <v>N/A</v>
      </c>
      <c r="B249" s="309" t="str">
        <f aca="false">IF(A249="N/A"," ",YEAR(A249))</f>
        <v> </v>
      </c>
      <c r="C249" s="310" t="str">
        <f aca="false">IF(A249="N/A"," ",VLOOKUP(A249,ScaledPrice,10))</f>
        <v> </v>
      </c>
      <c r="D249" s="311" t="str">
        <f aca="false">IF(A249="N/A"," ",(VLOOKUP(MONTH($A249),Hrtable,2))/1000)</f>
        <v> </v>
      </c>
      <c r="E249" s="312" t="str">
        <f aca="false">IF($A249="N/A"," ",(C249-'Pricing Inputs'!T282)*D249)</f>
        <v> </v>
      </c>
      <c r="F249" s="313" t="str">
        <f aca="false">IF(A249="N/A"," ",$F237*(1+VOMesc))</f>
        <v> </v>
      </c>
      <c r="G249" s="313" t="str">
        <f aca="false">IF(A249="N/A"," ",Perstart/IF(AND(Dayrun&gt;=4,Dayrun&lt;=6),16,IF(AND(Dayrun&gt;=7,Dayrun&lt;=9),8,24))/(BM249/CK249))</f>
        <v> </v>
      </c>
      <c r="H249" s="314" t="str">
        <f aca="false">IF(A249="N/A"," ",(C249*D249)+F249+G249)</f>
        <v> </v>
      </c>
      <c r="I249" s="315" t="str">
        <f aca="false">VLOOKUP(A249,ScaledPrice,(IF(AND(Dayrun&gt;=1,Dayrun&lt;=6),2,4)))</f>
        <v> </v>
      </c>
      <c r="J249" s="315" t="str">
        <f aca="false">IF(A249="N/A"," ",IF(AND(Dayrun&gt;=1,Dayrun&lt;=6),I249,(VLOOKUP(A249,ScaledPrice,2))*(2-(VLOOKUP(A249,ScaledPrice,3)))))</f>
        <v> </v>
      </c>
      <c r="K249" s="315" t="str">
        <f aca="false">IF(A249="N/A"," ",IF(AND(Dayrun&gt;=1,Dayrun&lt;=3),VLOOKUP(A249,ScaledPrice,9),0))</f>
        <v> </v>
      </c>
      <c r="L249" s="315" t="str">
        <f aca="false">IF(A249="N/A"," ",IF(OR(Dayrun=2,Dayrun=3,Dayrun=5,Dayrun=6,Dayrun=8,Dayrun=9),VLOOKUP(A249,ScaledPrice,IF(AND(Dayrun&gt;=2,Dayrun&lt;=6),5,6)),0))</f>
        <v> </v>
      </c>
      <c r="M249" s="315" t="str">
        <f aca="false">IF(A249="N/A"," ",IF(OR(Dayrun=2,Dayrun=3,Dayrun=5,Dayrun=6,Dayrun=8,Dayrun=9),IF(AND(Dayrun&gt;=2,Dayrun&lt;=6),L249,(VLOOKUP(A249,ScaledPrice,5))*(2-(VLOOKUP(A249,ScaledPrice,3)))),0))</f>
        <v> </v>
      </c>
      <c r="N249" s="315" t="str">
        <f aca="false">IF(A249="N/A"," ",IF(AND(Dayrun&gt;1,Dayrun&lt;=3),VLOOKUP(A249,ScaledPrice,9),0))</f>
        <v> </v>
      </c>
      <c r="O249" s="315" t="str">
        <f aca="false">IF(A249="N/A"," ",IF(OR(Dayrun=3,Dayrun=6,Dayrun=9),(VLOOKUP(A249,ScaledPrice,IF(AND(Dayrun&gt;=3,Dayrun&lt;=6),7,8))),0))</f>
        <v> </v>
      </c>
      <c r="P249" s="315" t="str">
        <f aca="false">IF(A249="N/A"," ",IF(OR(Dayrun=3,Dayrun=6,Dayrun=9),IF(AND(Dayrun&gt;=3,Dayrun&lt;=6),O249,(VLOOKUP(A249,ScaledPrice,7))*(2-(VLOOKUP(A249,ScaledPrice,3)))),0))</f>
        <v> </v>
      </c>
      <c r="Q249" s="315" t="str">
        <f aca="false">IF(A249="N/A"," ",IF(AND(Dayrun&gt;2,Dayrun&lt;=3),VLOOKUP(A249,ScaledPrice,9),0))</f>
        <v> </v>
      </c>
      <c r="R249" s="316" t="str">
        <f aca="false">IF($A249="N/A"," ",IF(Pricetype=2,MAX(I249-$H249,0),IF(Pricetype=1,(xSPRDOPT(I249,$E249,$CI249,0,($CD249+IF(Smile=TRUE(),VLOOKUP(MAX(-5,$H249-I249),Volsmile,2),0)),$CG249,$CH249,($A249-DateToday)+15,1,0)),I249-$H249)))</f>
        <v> </v>
      </c>
      <c r="S249" s="316" t="str">
        <f aca="false">IF($A249="N/A"," ",IF(Pricetype=2,MAX(J249-$H249,0),IF(Pricetype=1,(xSPRDOPT(J249,$E249,$CI249,0,($CD249+IF(Smile=TRUE(),VLOOKUP(MAX(-5,$H249-J249),Volsmile,2),0)),$CG249,$CH249,($A249-DateToday)+15,1,0)),J249-$H249)))</f>
        <v> </v>
      </c>
      <c r="T249" s="317" t="str">
        <f aca="false">IF($A249="N/A"," ",(IF(Pricetype=2,IF((K249-$H249)&lt;=0,0,(K249-$H249)),IF(K249&lt;&gt;0,(K249-$H249),0))))</f>
        <v> </v>
      </c>
      <c r="U249" s="316" t="str">
        <f aca="false">IF($A249="N/A"," ",IF(Pricetype=2,MAX(L249-$H249,0),IF(L249&lt;&gt;0,IF(Pricetype=1,(xSPRDOPT(L249,$E249,$CI249,0,($CD249+IF(Smile=TRUE(),VLOOKUP(MAX(-5,$H249-L249),Volsmile,2),0)),$CG249,$CH249,($A249-DateToday)+15,1,0)),L249-$H249),0)))</f>
        <v> </v>
      </c>
      <c r="V249" s="316" t="str">
        <f aca="false">IF($A249="N/A"," ",IF(Pricetype=2,MAX(M249-$H249,0),IF(M249&lt;&gt;0,IF(Pricetype=1,(xSPRDOPT(M249,$E249,$CI249,0,($CD249+IF(Smile=TRUE(),VLOOKUP(MAX(-5,$H249-M249),Volsmile,2),0)),$CG249,$CH249,($A249-DateToday)+15,1,0)),M249-$H249),0)))</f>
        <v> </v>
      </c>
      <c r="W249" s="317" t="str">
        <f aca="false">IF($A249="N/A"," ",(IF(Pricetype=2,IF((N249-$H249)&lt;=0,0,(N249-$H249)),IF(N249&lt;&gt;0,(N249-$H249),0))))</f>
        <v> </v>
      </c>
      <c r="X249" s="316" t="str">
        <f aca="false">IF($A249="N/A"," ",IF(Pricetype=2,MAX(O249-$H249,0),IF(O249&lt;&gt;0,IF(Pricetype=1,(xSPRDOPT(O249,$E249,$CI249,0,($CD249+IF(Smile=TRUE(),VLOOKUP(MAX(-5,$H249-O249),Volsmile,2),0)),$CG249,$CH249,($A249-DateToday)+15,1,0)),O249-$H249),0)))</f>
        <v> </v>
      </c>
      <c r="Y249" s="316" t="str">
        <f aca="false">IF($A249="N/A"," ",IF(Pricetype=2,MAX(P249-$H249,0),IF(P249&lt;&gt;0,IF(Pricetype=1,(xSPRDOPT(P249,$E249,$CI249,0,($CD249+IF(Smile=TRUE(),VLOOKUP(MAX(-5,$H249-P249),Volsmile,2),0)),$CG249,$CH249,($A249-DateToday)+15,1,0)),P249-$H249),0)))</f>
        <v> </v>
      </c>
      <c r="Z249" s="317" t="str">
        <f aca="false">IF($A249="N/A"," ",(IF(Pricetype=2,IF((Q249-$H249)&lt;=0,0,(Q249-$H249)),IF(Q249&lt;&gt;0,(Q249-$H249),0))))</f>
        <v> </v>
      </c>
      <c r="AA249" s="318" t="str">
        <f aca="false">IF($A249="N/A"," ",IF(VLOOKUP(MONTH(A249),ManualTable,2)=1,(IF(0&lt;&gt;R249,IF(Pricetype=1,(xSPRDOPT(I249,$E249,$CI249,0,($CD249+IF(Smile=TRUE(),VLOOKUP(MAX(-5,$H249-I249),Volsmile,2),0)),$CG249,$CH249,($A249-DateToday)+15,1,1))*(8*$HD249),8*$HD249),0)),0))</f>
        <v> </v>
      </c>
      <c r="AB249" s="318" t="str">
        <f aca="false">IF($A249="N/A"," ",IF(VLOOKUP(MONTH(A249),ManualTable,3)=1,(IF(S249&lt;&gt;0,IF(Pricetype=1,(xSPRDOPT(J249,$E249,$CI249,0,($CD249+IF(Smile=TRUE(),VLOOKUP(MAX(-5,$H249-J249),Volsmile,2),0)),$CG249,$CH249,($A249-DateToday)+15,1,1))*(8*$HD249),8*$HD249),0)),0))</f>
        <v> </v>
      </c>
      <c r="AC249" s="318" t="str">
        <f aca="false">IF($A249="N/A"," ",IF(VLOOKUP(MONTH(A249),ManualTable,4)=1,(IF(T249&lt;&gt;0,(8*$HD249),0)),0))</f>
        <v> </v>
      </c>
      <c r="AD249" s="318" t="str">
        <f aca="false">IF($A249="N/A"," ",IF(VLOOKUP(MONTH(A249),ManualTable,5)=1,(IF(U249&lt;&gt;0,IF(Pricetype=1,(xSPRDOPT(L249,$E249,$CI249,0,($CD249+IF(Smile=TRUE(),VLOOKUP(MAX(-5,$H249-L249),Volsmile,2),0)),$CG249,$CH249,($A249-DateToday)+15,1,1))*(8*$HE249),8*$HE249),0)),0))</f>
        <v> </v>
      </c>
      <c r="AE249" s="318" t="str">
        <f aca="false">IF($A249="N/A"," ",IF(VLOOKUP(MONTH(A249),ManualTable,6)=1,(IF(V249&lt;&gt;0,IF(Pricetype=1,(xSPRDOPT(M249,$E249,$CI249,0,($CD249+IF(Smile=TRUE(),VLOOKUP(MAX(-5,$H249-M249),Volsmile,2),0)),$CG249,$CH249,($A249-DateToday)+15,1,1))*(8*$HE249),8*$HE249),0)),0))</f>
        <v> </v>
      </c>
      <c r="AF249" s="318" t="str">
        <f aca="false">IF($A249="N/A"," ",IF(VLOOKUP(MONTH(A249),ManualTable,7)=1,(IF(W249&lt;&gt;0,(8*$HE249),0)),0))</f>
        <v> </v>
      </c>
      <c r="AG249" s="318" t="str">
        <f aca="false">IF($A249="N/A"," ",IF(VLOOKUP(MONTH(A249),ManualTable,8)=1,(IF(X249&lt;&gt;0,IF(Pricetype=1,(xSPRDOPT(O249,$E249,$CI249,0,($CD249+IF(Smile=TRUE(),VLOOKUP(MAX(-5,$H249-O249),Volsmile,2),0)),$CG249,$CH249,($A249-DateToday)+15,1,1))*(8*$HF249),8*$HF249),0)),0))</f>
        <v> </v>
      </c>
      <c r="AH249" s="318" t="str">
        <f aca="false">IF($A249="N/A"," ",IF(VLOOKUP(MONTH(A249),ManualTable,9)=1,(IF(Y249&lt;&gt;0,IF(Pricetype=1,(xSPRDOPT(P249,$E249,$CI249,0,($CD249+IF(Smile=TRUE(),VLOOKUP(MAX(-5,$H249-P249),Volsmile,2),0)),$CG249,$CH249,($A249-DateToday)+15,1,1))*(8*$HF249),8*$HF249),0)),0))</f>
        <v> </v>
      </c>
      <c r="AI249" s="318" t="str">
        <f aca="false">IF($A249="N/A"," ",IF(VLOOKUP(MONTH(A249),ManualTable,10)=1,(IF(Z249&lt;&gt;0,(8*($HF249)),0)),0))</f>
        <v> </v>
      </c>
      <c r="AJ249" s="344" t="str">
        <f aca="false">IF($A249="N/A"," ",RANK(R249,$R$244:$Z$255))</f>
        <v> </v>
      </c>
      <c r="AK249" s="321" t="str">
        <f aca="false">IF($A249="N/A"," ",RANK(S249,$R$244:$Z$255))</f>
        <v> </v>
      </c>
      <c r="AL249" s="321" t="str">
        <f aca="false">IF($A249="N/A"," ",RANK(T249,$R$244:$Z$255))</f>
        <v> </v>
      </c>
      <c r="AM249" s="321" t="str">
        <f aca="false">IF($A249="N/A"," ",RANK(U249,$R$244:$Z$255))</f>
        <v> </v>
      </c>
      <c r="AN249" s="321" t="str">
        <f aca="false">IF($A249="N/A"," ",RANK(V249,$R$244:$Z$255))</f>
        <v> </v>
      </c>
      <c r="AO249" s="321" t="str">
        <f aca="false">IF($A249="N/A"," ",RANK(W249,$R$244:$Z$255))</f>
        <v> </v>
      </c>
      <c r="AP249" s="321" t="str">
        <f aca="false">IF($A249="N/A"," ",RANK(X249,$R$244:$Z$255))</f>
        <v> </v>
      </c>
      <c r="AQ249" s="321" t="str">
        <f aca="false">IF($A249="N/A"," ",RANK(Y249,$R$244:$Z$255))</f>
        <v> </v>
      </c>
      <c r="AR249" s="345" t="str">
        <f aca="false">IF($A249="N/A"," ",RANK(Z249,$R$244:$Z$255))</f>
        <v> </v>
      </c>
      <c r="AS249" s="323" t="str">
        <f aca="false">IF($A249="N/A"," ",IF(AJ249&lt;=$AR$2,AA249,0))</f>
        <v> </v>
      </c>
      <c r="AT249" s="325" t="str">
        <f aca="false">IF($A249="N/A"," ",IF(AK249&lt;=$AR$2,AB249,0))</f>
        <v> </v>
      </c>
      <c r="AU249" s="325" t="str">
        <f aca="false">IF($A249="N/A"," ",IF(AL249&lt;=$AR$2,AC249,0))</f>
        <v> </v>
      </c>
      <c r="AV249" s="325" t="str">
        <f aca="false">IF($A249="N/A"," ",IF(AM249&lt;=$AR$2,AD249,0))</f>
        <v> </v>
      </c>
      <c r="AW249" s="325" t="str">
        <f aca="false">IF($A249="N/A"," ",IF(AN249&lt;=$AR$2,AE249,0))</f>
        <v> </v>
      </c>
      <c r="AX249" s="325" t="str">
        <f aca="false">IF($A249="N/A"," ",IF(AO249&lt;=$AR$2,AF249,0))</f>
        <v> </v>
      </c>
      <c r="AY249" s="325" t="str">
        <f aca="false">IF($A249="N/A"," ",IF(AP249&lt;=$AR$2,AG249,0))</f>
        <v> </v>
      </c>
      <c r="AZ249" s="325" t="str">
        <f aca="false">IF($A249="N/A"," ",IF(AQ249&lt;=$AR$2,AH249,0))</f>
        <v> </v>
      </c>
      <c r="BA249" s="325" t="str">
        <f aca="false">IF($A249="N/A"," ",IF(AR249&lt;=$AR$2,AI249,0))</f>
        <v> </v>
      </c>
      <c r="BB249" s="345"/>
      <c r="BC249" s="326" t="str">
        <f aca="false">IF($A249="N/A"," ",IF(AND(AJ249=$AR$2+1,AS249=0),MIN($BB$255,AA249),0))</f>
        <v> </v>
      </c>
      <c r="BD249" s="346" t="str">
        <f aca="false">IF($A249="N/A"," ",IF(AND(AK249=$AR$2+1,AT249=0),MIN($BB$255,AB249),0))</f>
        <v> </v>
      </c>
      <c r="BE249" s="346" t="str">
        <f aca="false">IF($A249="N/A"," ",IF(AND(AL249=$AR$2+1,AU249=0),MIN($BB$255,AC249),0))</f>
        <v> </v>
      </c>
      <c r="BF249" s="346" t="str">
        <f aca="false">IF($A249="N/A"," ",IF(AND(AM249=$AR$2+1,AV249=0),MIN($BB$255,AD249),0))</f>
        <v> </v>
      </c>
      <c r="BG249" s="346" t="str">
        <f aca="false">IF($A249="N/A"," ",IF(AND(AN249=$AR$2+1,AW249=0),MIN($BB$255,AE249),0))</f>
        <v> </v>
      </c>
      <c r="BH249" s="346" t="str">
        <f aca="false">IF($A249="N/A"," ",IF(AND(AO249=$AR$2+1,AX249=0),MIN($BB$255,AF249),0))</f>
        <v> </v>
      </c>
      <c r="BI249" s="346" t="str">
        <f aca="false">IF($A249="N/A"," ",IF(AND(AP249=$AR$2+1,AY249=0),MIN($BB$255,AG249),0))</f>
        <v> </v>
      </c>
      <c r="BJ249" s="346" t="str">
        <f aca="false">IF($A249="N/A"," ",IF(AND(AQ249=$AR$2+1,AZ249=0),MIN($BB$255,AH249),0))</f>
        <v> </v>
      </c>
      <c r="BK249" s="346" t="str">
        <f aca="false">IF($A249="N/A"," ",IF(AND(AR249=$AR$2+1,BA249=0),MIN($BB$255,AI249),0))</f>
        <v> </v>
      </c>
      <c r="BL249" s="345"/>
      <c r="BM249" s="329" t="str">
        <f aca="false">IF($A249="N/A"," ",(IF(MONTH(A249)&gt;=4,IF(MONTH(A249)&lt;=10,Inputs!$F$13-Inputs!$G$13,Inputs!$F$14-Inputs!$G$14),Inputs!$F$14-Inputs!$G$14))*$CK249*Availability)</f>
        <v> </v>
      </c>
      <c r="BN249" s="330" t="str">
        <f aca="false">IF($A249="N/A"," ",(IF(AS249&gt;0,($BM249*(8*($HD249))*R249),0)+IF(BC249&gt;0,($BM249*((BC249/AA249)*8*$HD249)*R249),0)))</f>
        <v> </v>
      </c>
      <c r="BO249" s="330" t="str">
        <f aca="false">IF($A249="N/A"," ",(IF(AT249&gt;0,($BM249*(8*($HD249))*S249),0)+IF(BD249&gt;0,($BM249*((BD249/AB249)*8*$HD249)*S249),0)))</f>
        <v> </v>
      </c>
      <c r="BP249" s="330" t="str">
        <f aca="false">IF($A249="N/A"," ",(IF(AU249&gt;0,($BM249*(8*($HD249))*T249),0)+IF(BE249&gt;0,($BM249*((BE249))*T249),0)))</f>
        <v> </v>
      </c>
      <c r="BQ249" s="330" t="str">
        <f aca="false">IF($A249="N/A"," ",(IF(AV249&gt;0,($BM249*(8*($HE249))*U249),0)+IF(BF249&gt;0,($BM249*((BF249/AD249)*8*$HE249)*U249),0)))</f>
        <v> </v>
      </c>
      <c r="BR249" s="330" t="str">
        <f aca="false">IF($A249="N/A"," ",(IF(AW249&gt;0,($BM249*(8*($HE249))*V249),0)+IF(BG249&gt;0,($BM249*((BG249/AE249)*8*$HE249)*V249),0)))</f>
        <v> </v>
      </c>
      <c r="BS249" s="330" t="str">
        <f aca="false">IF($A249="N/A"," ",(IF(AX249&gt;0,($BM249*(8*($HE249))*W249),0)+IF(BH249&gt;0,($BM249*((BH249))*W249),0)))</f>
        <v> </v>
      </c>
      <c r="BT249" s="330" t="str">
        <f aca="false">IF($A249="N/A"," ",(IF(AY249&gt;0,($BM249*(8*($HF249))*X249),0)+IF(BI249&gt;0,($BM249*((BI249/AG249)*8*$HF249)*X249),0)))</f>
        <v> </v>
      </c>
      <c r="BU249" s="330" t="str">
        <f aca="false">IF($A249="N/A"," ",(IF(AZ249&gt;0,($BM249*(8*($HF249))*Y249),0)+IF(BJ249&gt;0,($BM249*((BJ249/AH249)*8*$HF249)*Y249),0)))</f>
        <v> </v>
      </c>
      <c r="BV249" s="330" t="str">
        <f aca="false">IF($A249="N/A"," ",(IF(BA249&gt;0,($BM249*(8*($HF249))*Z249),0)+IF(BK249&gt;0,($BM249*((BK249))*Z249),0)))</f>
        <v> </v>
      </c>
      <c r="BW249" s="330" t="str">
        <f aca="false">IF($A249="N/A"," ",SUM(BN249:BV249))</f>
        <v> </v>
      </c>
      <c r="BX249" s="331" t="str">
        <f aca="false">IF($A249="N/A"," ",(H249*(SUM(AS249:BA249)+SUM(BC249:BK249))*BM249))</f>
        <v> </v>
      </c>
      <c r="BY249" s="332" t="str">
        <f aca="false">IF($A249="N/A"," ",((C249*D249)*(SUM($AS249:$BA249)+SUM($BC249:$BK249))*$BM249))</f>
        <v> </v>
      </c>
      <c r="BZ249" s="332" t="str">
        <f aca="false">IF($A249="N/A"," ",(F249*(SUM($AS249:$BA249)+SUM($BC249:$BK249))*$BM249))</f>
        <v> </v>
      </c>
      <c r="CA249" s="333" t="str">
        <f aca="false">IF($A249="N/A"," ",(G249*(SUM($AS249:$BA249)+SUM($BC249:$BK249))*$BM249))</f>
        <v> </v>
      </c>
      <c r="CB249" s="334" t="str">
        <f aca="false">IF(A249="N/A"," ",(VLOOKUP(A249,PowerVolTable,(IF(BMO=2,7,IF(BMO=1,6,8))),FALSE())))</f>
        <v> </v>
      </c>
      <c r="CC249" s="334" t="str">
        <f aca="false">IF(A249="N/A"," ",(VLOOKUP(A249,IntraPowerVol,(IF(BMO=2,3,IF(BMO=1,2,4))),FALSE())*VLOOKUP(MONTH($A249),Volscale,2)))</f>
        <v> </v>
      </c>
      <c r="CD249" s="335" t="str">
        <f aca="false">IF($A249="N/A"," ",(IF(DateToday&gt;$A249,$CC249,((($CB249^2)*((($A249-1)-DateToday)/((EOMONTH($A249,0)+1)-DateToday-15)))+((($CC249)^2)*((15)/((EOMONTH($A249,0)+1)-DateToday-15))))^0.5)))</f>
        <v> </v>
      </c>
      <c r="CE249" s="334" t="str">
        <f aca="false">IF($A249="N/A"," ",(VLOOKUP($A249,GasVolTable,(IF(BMO=2,6,IF(BMO=1,7,5))),FALSE())))</f>
        <v> </v>
      </c>
      <c r="CF249" s="334" t="str">
        <f aca="false">IF($A249="N/A"," ",(VLOOKUP($A249,OmicronVol,(IF(BMO=2,3,IF(BMO=1,4,2))),FALSE())))</f>
        <v> </v>
      </c>
      <c r="CG249" s="335" t="str">
        <f aca="false">IF($A249="N/A"," ",(IF(DateToday&gt;$A249,$CF249,((($CE249^2)*((($A249-1)-DateToday)/((EOMONTH($A249,0)+1)-DateToday-15)))+((($CF249)^2)*((15)/((EOMONTH($A249,0)+1)-DateToday-15))))^0.5)))</f>
        <v> </v>
      </c>
      <c r="CH249" s="334" t="str">
        <f aca="false">IF($A249="N/A"," ",VLOOKUP($A249,CorrelationTable,2,FALSE()))</f>
        <v> </v>
      </c>
      <c r="CI249" s="336" t="str">
        <f aca="false">IF($A249="N/A"," ",F249+G249+(D249*('Pricing Inputs'!T282)))</f>
        <v> </v>
      </c>
      <c r="CJ249" s="334" t="str">
        <f aca="false">IF($A249="N/A"," ",IF(PV=1,0,'Pricing Inputs'!U282))</f>
        <v> </v>
      </c>
      <c r="CK249" s="337" t="str">
        <f aca="false">IF($A249="N/A"," ",(1+CJ249/2)^(-2*((EOMONTH(A249,0)+20)-DateToday)/365.25))</f>
        <v> </v>
      </c>
      <c r="CL249" s="338" t="str">
        <f aca="false">IF(A249="N/A"," ",IF(CC=2,(VLOOKUP(MONTH($A249),Hrtable,3))/1000,0))</f>
        <v> </v>
      </c>
      <c r="CM249" s="339" t="str">
        <f aca="false">IF(A249="N/A"," ",IF(CC=2,(CL249*C249)+F249,0))</f>
        <v> </v>
      </c>
      <c r="CN249" s="340" t="str">
        <f aca="false">IF($A249="N/A"," ",IF(CC=2,(VLOOKUP(A249,ScaledPrice,(IF(AND(Dayrun&gt;=1,Dayrun&lt;=6),2,4)))-((IF(R249&lt;&gt;0,$D249,$CL249)*$C249)+$F249+$G249)),0))</f>
        <v> </v>
      </c>
      <c r="CO249" s="340" t="str">
        <f aca="false">IF($A249="N/A"," ",IF(CC=2,(IF(AND(Dayrun&gt;=1,Dayrun&lt;=6),I249,(VLOOKUP(A249,ScaledPrice,2))*(2-(VLOOKUP(A249,ScaledPrice,3))))-((IF(S249&lt;&gt;0,$D249,$CL249)*$C249)+$F249+$G249)),0))</f>
        <v> </v>
      </c>
      <c r="CP249" s="340" t="str">
        <f aca="false">IF(A249="N/A"," ",IF(CC=2,(VLOOKUP(A249,ScaledPrice,9)-((IF(T249&lt;&gt;0,$D249,$CL249)*$C249)+$F249+$G249)),0))</f>
        <v> </v>
      </c>
      <c r="CQ249" s="340" t="str">
        <f aca="false">IF(A249="N/A"," ",IF(CC=2,(IF(OR(Dayrun=2,Dayrun=3,Dayrun=5,Dayrun=6,Dayrun=8,Dayrun=9),VLOOKUP(A249,ScaledPrice,IF(AND(Dayrun&gt;=2,Dayrun&lt;=6),5,6)),0)-((IF(U249&lt;&gt;0,$D249,$CL249)*$C249)+$F249+$G249)),0))</f>
        <v> </v>
      </c>
      <c r="CR249" s="340" t="str">
        <f aca="false">IF(A249="N/A"," ",IF(CC=2,(IF(OR(Dayrun=2,Dayrun=3,Dayrun=5,Dayrun=6,Dayrun=8,Dayrun=9),IF(AND(Dayrun&gt;=2,Dayrun&lt;=6),L249,(VLOOKUP(A249,ScaledPrice,5))*(2-(VLOOKUP(A249,ScaledPrice,3)))),0)-((IF(V249&lt;&gt;0,$D249,$CL249)*$C249)+$F249+$G249)),0))</f>
        <v> </v>
      </c>
      <c r="CS249" s="340" t="str">
        <f aca="false">IF(A249="N/A"," ",IF(CC=2,(VLOOKUP(A249,ScaledPrice,9)-((IF(W249&lt;&gt;0,$D249,$CL249)*$C249)+$F249+$G249)),0))</f>
        <v> </v>
      </c>
      <c r="CT249" s="340" t="str">
        <f aca="false">IF(A249="N/A"," ",IF(CC=2,(IF(OR(Dayrun=3,Dayrun=6,Dayrun=9),(VLOOKUP(A249,ScaledPrice,IF(AND(Dayrun&gt;=3,Dayrun&lt;=6),7,8))),0)-((IF(X249&lt;&gt;0,$D249,$CL249)*$C249)+$F249+$G249)),0))</f>
        <v> </v>
      </c>
      <c r="CU249" s="340" t="str">
        <f aca="false">IF(A249="N/A"," ",IF(CC=2,(IF(OR(Dayrun=3,Dayrun=6,Dayrun=9),IF(AND(Dayrun&gt;=3,Dayrun&lt;=6),O249,(VLOOKUP(A249,ScaledPrice,7))*(2-(VLOOKUP(A249,ScaledPrice,3)))),0)-((IF(Y249&lt;&gt;0,$D249,$CL249)*$C249)+$F249+$G249)),0))</f>
        <v> </v>
      </c>
      <c r="CV249" s="340" t="str">
        <f aca="false">IF(A249="N/A"," ",IF(CC=2,(VLOOKUP(A249,ScaledPrice,9)-((IF(Z249&lt;&gt;0,$D249,$CL249)*$C249)+$F249+$G249)),0))</f>
        <v> </v>
      </c>
      <c r="CW249" s="318" t="str">
        <f aca="false">IF($A249="N/A"," ",IF(0&lt;&gt;CN249,IF(CC=2,8*$HD249,0),0))</f>
        <v> </v>
      </c>
      <c r="CX249" s="318" t="str">
        <f aca="false">IF($A249="N/A"," ",IF(0&lt;&gt;CO249,IF(CC=2,8*$HD249,0),0))</f>
        <v> </v>
      </c>
      <c r="CY249" s="318" t="str">
        <f aca="false">IF($A249="N/A"," ",IF(0&lt;&gt;CP249,IF(CC=2,8*$HD249,0),0))</f>
        <v> </v>
      </c>
      <c r="CZ249" s="318" t="str">
        <f aca="false">IF($A249="N/A"," ",IF(0&lt;&gt;CQ249,IF(CC=2,8*$HE249,0),0))</f>
        <v> </v>
      </c>
      <c r="DA249" s="318" t="str">
        <f aca="false">IF($A249="N/A"," ",IF(0&lt;&gt;CR249,IF(CC=2,8*$HE249,0),0))</f>
        <v> </v>
      </c>
      <c r="DB249" s="318" t="str">
        <f aca="false">IF($A249="N/A"," ",IF(0&lt;&gt;CS249,IF(CC=2,8*$HE249,0),0))</f>
        <v> </v>
      </c>
      <c r="DC249" s="318" t="str">
        <f aca="false">IF($A249="N/A"," ",IF(0&lt;&gt;CT249,IF(CC=2,8*$HF249,0),0))</f>
        <v> </v>
      </c>
      <c r="DD249" s="318" t="str">
        <f aca="false">IF($A249="N/A"," ",IF(0&lt;&gt;CU249,IF(CC=2,8*$HF249,0),0))</f>
        <v> </v>
      </c>
      <c r="DE249" s="318" t="str">
        <f aca="false">IF($A249="N/A"," ",IF(0&lt;&gt;CV249,IF(CC=2,8*$HF249,0),0))</f>
        <v> </v>
      </c>
      <c r="DF249" s="341" t="str">
        <f aca="false">IF($A249="N/A"," ",IF(CC=2,(IF(MONTH(A249)&gt;=4,IF(MONTH(A249)&lt;=10,Inputs!$G$13,Inputs!$G$14),Inputs!$G$14))*$CK249,0))</f>
        <v> </v>
      </c>
      <c r="DG249" s="342" t="str">
        <f aca="false">IF($A249="N/A"," ",IF(CC=2,$DF249*CW249*CN249,0))</f>
        <v> </v>
      </c>
      <c r="DH249" s="342" t="str">
        <f aca="false">IF($A249="N/A"," ",IF(CC=2,$DF249*CX249*CO249,0))</f>
        <v> </v>
      </c>
      <c r="DI249" s="342" t="str">
        <f aca="false">IF($A249="N/A"," ",IF(CC=2,$DF249*CY249*CP249,0))</f>
        <v> </v>
      </c>
      <c r="DJ249" s="342" t="str">
        <f aca="false">IF($A249="N/A"," ",IF(CC=2,$DF249*CZ249*CQ249,0))</f>
        <v> </v>
      </c>
      <c r="DK249" s="342" t="str">
        <f aca="false">IF($A249="N/A"," ",IF(CC=2,$DF249*DA249*CR249,0))</f>
        <v> </v>
      </c>
      <c r="DL249" s="342" t="str">
        <f aca="false">IF($A249="N/A"," ",IF(CC=2,$DF249*DB249*CS249,0))</f>
        <v> </v>
      </c>
      <c r="DM249" s="342" t="str">
        <f aca="false">IF($A249="N/A"," ",IF(CC=2,$DF249*DC249*CT249,0))</f>
        <v> </v>
      </c>
      <c r="DN249" s="342" t="str">
        <f aca="false">IF($A249="N/A"," ",IF(CC=2,$DF249*DD249*CU249,0))</f>
        <v> </v>
      </c>
      <c r="DO249" s="342" t="str">
        <f aca="false">IF($A249="N/A"," ",IF(CC=2,$DF249*DE249*CV249,0))</f>
        <v> </v>
      </c>
      <c r="DP249" s="343" t="str">
        <f aca="false">IF($A249="N/A"," ",IF(CC=2,SUM(DG249:DO249),0))</f>
        <v> </v>
      </c>
      <c r="DQ249" s="0" t="str">
        <f aca="false">IF(A249="N/A"," ",Perstart)</f>
        <v> </v>
      </c>
      <c r="HD249" s="0" t="str">
        <f aca="false">IF($A249="N/A"," ",VLOOKUP($A249,NumberofDaysTable,2))</f>
        <v> </v>
      </c>
      <c r="HE249" s="0" t="str">
        <f aca="false">IF($A249="N/A"," ",VLOOKUP($A249,NumberofDaysTable,3))</f>
        <v> </v>
      </c>
      <c r="HF249" s="0" t="str">
        <f aca="false">IF($A249="N/A"," ",VLOOKUP($A249,NumberofDaysTable,4))</f>
        <v> </v>
      </c>
    </row>
    <row r="250" customFormat="false" ht="12.75" hidden="false" customHeight="false" outlineLevel="0" collapsed="false">
      <c r="A250" s="308" t="str">
        <f aca="false">IF(A249="N/A","N/A",IF(EDATE(A249,1)&gt;Inputs!$K$3,"N/A",EDATE(A249,1)))</f>
        <v>N/A</v>
      </c>
      <c r="B250" s="309" t="str">
        <f aca="false">IF(A250="N/A"," ",YEAR(A250))</f>
        <v> </v>
      </c>
      <c r="C250" s="310" t="str">
        <f aca="false">IF(A250="N/A"," ",VLOOKUP(A250,ScaledPrice,10))</f>
        <v> </v>
      </c>
      <c r="D250" s="311" t="str">
        <f aca="false">IF(A250="N/A"," ",(VLOOKUP(MONTH($A250),Hrtable,2))/1000)</f>
        <v> </v>
      </c>
      <c r="E250" s="312" t="str">
        <f aca="false">IF($A250="N/A"," ",(C250-'Pricing Inputs'!T283)*D250)</f>
        <v> </v>
      </c>
      <c r="F250" s="313" t="str">
        <f aca="false">IF(A250="N/A"," ",$F238*(1+VOMesc))</f>
        <v> </v>
      </c>
      <c r="G250" s="313" t="str">
        <f aca="false">IF(A250="N/A"," ",Perstart/IF(AND(Dayrun&gt;=4,Dayrun&lt;=6),16,IF(AND(Dayrun&gt;=7,Dayrun&lt;=9),8,24))/(BM250/CK250))</f>
        <v> </v>
      </c>
      <c r="H250" s="314" t="str">
        <f aca="false">IF(A250="N/A"," ",(C250*D250)+F250+G250)</f>
        <v> </v>
      </c>
      <c r="I250" s="315" t="str">
        <f aca="false">VLOOKUP(A250,ScaledPrice,(IF(AND(Dayrun&gt;=1,Dayrun&lt;=6),2,4)))</f>
        <v> </v>
      </c>
      <c r="J250" s="315" t="str">
        <f aca="false">IF(A250="N/A"," ",IF(AND(Dayrun&gt;=1,Dayrun&lt;=6),I250,(VLOOKUP(A250,ScaledPrice,2))*(2-(VLOOKUP(A250,ScaledPrice,3)))))</f>
        <v> </v>
      </c>
      <c r="K250" s="315" t="str">
        <f aca="false">IF(A250="N/A"," ",IF(AND(Dayrun&gt;=1,Dayrun&lt;=3),VLOOKUP(A250,ScaledPrice,9),0))</f>
        <v> </v>
      </c>
      <c r="L250" s="315" t="str">
        <f aca="false">IF(A250="N/A"," ",IF(OR(Dayrun=2,Dayrun=3,Dayrun=5,Dayrun=6,Dayrun=8,Dayrun=9),VLOOKUP(A250,ScaledPrice,IF(AND(Dayrun&gt;=2,Dayrun&lt;=6),5,6)),0))</f>
        <v> </v>
      </c>
      <c r="M250" s="315" t="str">
        <f aca="false">IF(A250="N/A"," ",IF(OR(Dayrun=2,Dayrun=3,Dayrun=5,Dayrun=6,Dayrun=8,Dayrun=9),IF(AND(Dayrun&gt;=2,Dayrun&lt;=6),L250,(VLOOKUP(A250,ScaledPrice,5))*(2-(VLOOKUP(A250,ScaledPrice,3)))),0))</f>
        <v> </v>
      </c>
      <c r="N250" s="315" t="str">
        <f aca="false">IF(A250="N/A"," ",IF(AND(Dayrun&gt;1,Dayrun&lt;=3),VLOOKUP(A250,ScaledPrice,9),0))</f>
        <v> </v>
      </c>
      <c r="O250" s="315" t="str">
        <f aca="false">IF(A250="N/A"," ",IF(OR(Dayrun=3,Dayrun=6,Dayrun=9),(VLOOKUP(A250,ScaledPrice,IF(AND(Dayrun&gt;=3,Dayrun&lt;=6),7,8))),0))</f>
        <v> </v>
      </c>
      <c r="P250" s="315" t="str">
        <f aca="false">IF(A250="N/A"," ",IF(OR(Dayrun=3,Dayrun=6,Dayrun=9),IF(AND(Dayrun&gt;=3,Dayrun&lt;=6),O250,(VLOOKUP(A250,ScaledPrice,7))*(2-(VLOOKUP(A250,ScaledPrice,3)))),0))</f>
        <v> </v>
      </c>
      <c r="Q250" s="315" t="str">
        <f aca="false">IF(A250="N/A"," ",IF(AND(Dayrun&gt;2,Dayrun&lt;=3),VLOOKUP(A250,ScaledPrice,9),0))</f>
        <v> </v>
      </c>
      <c r="R250" s="316" t="str">
        <f aca="false">IF($A250="N/A"," ",IF(Pricetype=2,MAX(I250-$H250,0),IF(Pricetype=1,(xSPRDOPT(I250,$E250,$CI250,0,($CD250+IF(Smile=TRUE(),VLOOKUP(MAX(-5,$H250-I250),Volsmile,2),0)),$CG250,$CH250,($A250-DateToday)+15,1,0)),I250-$H250)))</f>
        <v> </v>
      </c>
      <c r="S250" s="316" t="str">
        <f aca="false">IF($A250="N/A"," ",IF(Pricetype=2,MAX(J250-$H250,0),IF(Pricetype=1,(xSPRDOPT(J250,$E250,$CI250,0,($CD250+IF(Smile=TRUE(),VLOOKUP(MAX(-5,$H250-J250),Volsmile,2),0)),$CG250,$CH250,($A250-DateToday)+15,1,0)),J250-$H250)))</f>
        <v> </v>
      </c>
      <c r="T250" s="317" t="str">
        <f aca="false">IF($A250="N/A"," ",(IF(Pricetype=2,IF((K250-$H250)&lt;=0,0,(K250-$H250)),IF(K250&lt;&gt;0,(K250-$H250),0))))</f>
        <v> </v>
      </c>
      <c r="U250" s="316" t="str">
        <f aca="false">IF($A250="N/A"," ",IF(Pricetype=2,MAX(L250-$H250,0),IF(L250&lt;&gt;0,IF(Pricetype=1,(xSPRDOPT(L250,$E250,$CI250,0,($CD250+IF(Smile=TRUE(),VLOOKUP(MAX(-5,$H250-L250),Volsmile,2),0)),$CG250,$CH250,($A250-DateToday)+15,1,0)),L250-$H250),0)))</f>
        <v> </v>
      </c>
      <c r="V250" s="316" t="str">
        <f aca="false">IF($A250="N/A"," ",IF(Pricetype=2,MAX(M250-$H250,0),IF(M250&lt;&gt;0,IF(Pricetype=1,(xSPRDOPT(M250,$E250,$CI250,0,($CD250+IF(Smile=TRUE(),VLOOKUP(MAX(-5,$H250-M250),Volsmile,2),0)),$CG250,$CH250,($A250-DateToday)+15,1,0)),M250-$H250),0)))</f>
        <v> </v>
      </c>
      <c r="W250" s="317" t="str">
        <f aca="false">IF($A250="N/A"," ",(IF(Pricetype=2,IF((N250-$H250)&lt;=0,0,(N250-$H250)),IF(N250&lt;&gt;0,(N250-$H250),0))))</f>
        <v> </v>
      </c>
      <c r="X250" s="316" t="str">
        <f aca="false">IF($A250="N/A"," ",IF(Pricetype=2,MAX(O250-$H250,0),IF(O250&lt;&gt;0,IF(Pricetype=1,(xSPRDOPT(O250,$E250,$CI250,0,($CD250+IF(Smile=TRUE(),VLOOKUP(MAX(-5,$H250-O250),Volsmile,2),0)),$CG250,$CH250,($A250-DateToday)+15,1,0)),O250-$H250),0)))</f>
        <v> </v>
      </c>
      <c r="Y250" s="316" t="str">
        <f aca="false">IF($A250="N/A"," ",IF(Pricetype=2,MAX(P250-$H250,0),IF(P250&lt;&gt;0,IF(Pricetype=1,(xSPRDOPT(P250,$E250,$CI250,0,($CD250+IF(Smile=TRUE(),VLOOKUP(MAX(-5,$H250-P250),Volsmile,2),0)),$CG250,$CH250,($A250-DateToday)+15,1,0)),P250-$H250),0)))</f>
        <v> </v>
      </c>
      <c r="Z250" s="317" t="str">
        <f aca="false">IF($A250="N/A"," ",(IF(Pricetype=2,IF((Q250-$H250)&lt;=0,0,(Q250-$H250)),IF(Q250&lt;&gt;0,(Q250-$H250),0))))</f>
        <v> </v>
      </c>
      <c r="AA250" s="318" t="str">
        <f aca="false">IF($A250="N/A"," ",IF(VLOOKUP(MONTH(A250),ManualTable,2)=1,(IF(0&lt;&gt;R250,IF(Pricetype=1,(xSPRDOPT(I250,$E250,$CI250,0,($CD250+IF(Smile=TRUE(),VLOOKUP(MAX(-5,$H250-I250),Volsmile,2),0)),$CG250,$CH250,($A250-DateToday)+15,1,1))*(8*$HD250),8*$HD250),0)),0))</f>
        <v> </v>
      </c>
      <c r="AB250" s="318" t="str">
        <f aca="false">IF($A250="N/A"," ",IF(VLOOKUP(MONTH(A250),ManualTable,3)=1,(IF(S250&lt;&gt;0,IF(Pricetype=1,(xSPRDOPT(J250,$E250,$CI250,0,($CD250+IF(Smile=TRUE(),VLOOKUP(MAX(-5,$H250-J250),Volsmile,2),0)),$CG250,$CH250,($A250-DateToday)+15,1,1))*(8*$HD250),8*$HD250),0)),0))</f>
        <v> </v>
      </c>
      <c r="AC250" s="318" t="str">
        <f aca="false">IF($A250="N/A"," ",IF(VLOOKUP(MONTH(A250),ManualTable,4)=1,(IF(T250&lt;&gt;0,(8*$HD250),0)),0))</f>
        <v> </v>
      </c>
      <c r="AD250" s="318" t="str">
        <f aca="false">IF($A250="N/A"," ",IF(VLOOKUP(MONTH(A250),ManualTable,5)=1,(IF(U250&lt;&gt;0,IF(Pricetype=1,(xSPRDOPT(L250,$E250,$CI250,0,($CD250+IF(Smile=TRUE(),VLOOKUP(MAX(-5,$H250-L250),Volsmile,2),0)),$CG250,$CH250,($A250-DateToday)+15,1,1))*(8*$HE250),8*$HE250),0)),0))</f>
        <v> </v>
      </c>
      <c r="AE250" s="318" t="str">
        <f aca="false">IF($A250="N/A"," ",IF(VLOOKUP(MONTH(A250),ManualTable,6)=1,(IF(V250&lt;&gt;0,IF(Pricetype=1,(xSPRDOPT(M250,$E250,$CI250,0,($CD250+IF(Smile=TRUE(),VLOOKUP(MAX(-5,$H250-M250),Volsmile,2),0)),$CG250,$CH250,($A250-DateToday)+15,1,1))*(8*$HE250),8*$HE250),0)),0))</f>
        <v> </v>
      </c>
      <c r="AF250" s="318" t="str">
        <f aca="false">IF($A250="N/A"," ",IF(VLOOKUP(MONTH(A250),ManualTable,7)=1,(IF(W250&lt;&gt;0,(8*$HE250),0)),0))</f>
        <v> </v>
      </c>
      <c r="AG250" s="318" t="str">
        <f aca="false">IF($A250="N/A"," ",IF(VLOOKUP(MONTH(A250),ManualTable,8)=1,(IF(X250&lt;&gt;0,IF(Pricetype=1,(xSPRDOPT(O250,$E250,$CI250,0,($CD250+IF(Smile=TRUE(),VLOOKUP(MAX(-5,$H250-O250),Volsmile,2),0)),$CG250,$CH250,($A250-DateToday)+15,1,1))*(8*$HF250),8*$HF250),0)),0))</f>
        <v> </v>
      </c>
      <c r="AH250" s="318" t="str">
        <f aca="false">IF($A250="N/A"," ",IF(VLOOKUP(MONTH(A250),ManualTable,9)=1,(IF(Y250&lt;&gt;0,IF(Pricetype=1,(xSPRDOPT(P250,$E250,$CI250,0,($CD250+IF(Smile=TRUE(),VLOOKUP(MAX(-5,$H250-P250),Volsmile,2),0)),$CG250,$CH250,($A250-DateToday)+15,1,1))*(8*$HF250),8*$HF250),0)),0))</f>
        <v> </v>
      </c>
      <c r="AI250" s="318" t="str">
        <f aca="false">IF($A250="N/A"," ",IF(VLOOKUP(MONTH(A250),ManualTable,10)=1,(IF(Z250&lt;&gt;0,(8*($HF250)),0)),0))</f>
        <v> </v>
      </c>
      <c r="AJ250" s="344" t="str">
        <f aca="false">IF($A250="N/A"," ",RANK(R250,$R$244:$Z$255))</f>
        <v> </v>
      </c>
      <c r="AK250" s="321" t="str">
        <f aca="false">IF($A250="N/A"," ",RANK(S250,$R$244:$Z$255))</f>
        <v> </v>
      </c>
      <c r="AL250" s="321" t="str">
        <f aca="false">IF($A250="N/A"," ",RANK(T250,$R$244:$Z$255))</f>
        <v> </v>
      </c>
      <c r="AM250" s="321" t="str">
        <f aca="false">IF($A250="N/A"," ",RANK(U250,$R$244:$Z$255))</f>
        <v> </v>
      </c>
      <c r="AN250" s="321" t="str">
        <f aca="false">IF($A250="N/A"," ",RANK(V250,$R$244:$Z$255))</f>
        <v> </v>
      </c>
      <c r="AO250" s="321" t="str">
        <f aca="false">IF($A250="N/A"," ",RANK(W250,$R$244:$Z$255))</f>
        <v> </v>
      </c>
      <c r="AP250" s="321" t="str">
        <f aca="false">IF($A250="N/A"," ",RANK(X250,$R$244:$Z$255))</f>
        <v> </v>
      </c>
      <c r="AQ250" s="321" t="str">
        <f aca="false">IF($A250="N/A"," ",RANK(Y250,$R$244:$Z$255))</f>
        <v> </v>
      </c>
      <c r="AR250" s="345" t="str">
        <f aca="false">IF($A250="N/A"," ",RANK(Z250,$R$244:$Z$255))</f>
        <v> </v>
      </c>
      <c r="AS250" s="323" t="str">
        <f aca="false">IF($A250="N/A"," ",IF(AJ250&lt;=$AR$2,AA250,0))</f>
        <v> </v>
      </c>
      <c r="AT250" s="325" t="str">
        <f aca="false">IF($A250="N/A"," ",IF(AK250&lt;=$AR$2,AB250,0))</f>
        <v> </v>
      </c>
      <c r="AU250" s="325" t="str">
        <f aca="false">IF($A250="N/A"," ",IF(AL250&lt;=$AR$2,AC250,0))</f>
        <v> </v>
      </c>
      <c r="AV250" s="325" t="str">
        <f aca="false">IF($A250="N/A"," ",IF(AM250&lt;=$AR$2,AD250,0))</f>
        <v> </v>
      </c>
      <c r="AW250" s="325" t="str">
        <f aca="false">IF($A250="N/A"," ",IF(AN250&lt;=$AR$2,AE250,0))</f>
        <v> </v>
      </c>
      <c r="AX250" s="325" t="str">
        <f aca="false">IF($A250="N/A"," ",IF(AO250&lt;=$AR$2,AF250,0))</f>
        <v> </v>
      </c>
      <c r="AY250" s="325" t="str">
        <f aca="false">IF($A250="N/A"," ",IF(AP250&lt;=$AR$2,AG250,0))</f>
        <v> </v>
      </c>
      <c r="AZ250" s="325" t="str">
        <f aca="false">IF($A250="N/A"," ",IF(AQ250&lt;=$AR$2,AH250,0))</f>
        <v> </v>
      </c>
      <c r="BA250" s="325" t="str">
        <f aca="false">IF($A250="N/A"," ",IF(AR250&lt;=$AR$2,AI250,0))</f>
        <v> </v>
      </c>
      <c r="BB250" s="345"/>
      <c r="BC250" s="326" t="str">
        <f aca="false">IF($A250="N/A"," ",IF(AND(AJ250=$AR$2+1,AS250=0),MIN($BB$255,AA250),0))</f>
        <v> </v>
      </c>
      <c r="BD250" s="346" t="str">
        <f aca="false">IF($A250="N/A"," ",IF(AND(AK250=$AR$2+1,AT250=0),MIN($BB$255,AB250),0))</f>
        <v> </v>
      </c>
      <c r="BE250" s="346" t="str">
        <f aca="false">IF($A250="N/A"," ",IF(AND(AL250=$AR$2+1,AU250=0),MIN($BB$255,AC250),0))</f>
        <v> </v>
      </c>
      <c r="BF250" s="346" t="str">
        <f aca="false">IF($A250="N/A"," ",IF(AND(AM250=$AR$2+1,AV250=0),MIN($BB$255,AD250),0))</f>
        <v> </v>
      </c>
      <c r="BG250" s="346" t="str">
        <f aca="false">IF($A250="N/A"," ",IF(AND(AN250=$AR$2+1,AW250=0),MIN($BB$255,AE250),0))</f>
        <v> </v>
      </c>
      <c r="BH250" s="346" t="str">
        <f aca="false">IF($A250="N/A"," ",IF(AND(AO250=$AR$2+1,AX250=0),MIN($BB$255,AF250),0))</f>
        <v> </v>
      </c>
      <c r="BI250" s="346" t="str">
        <f aca="false">IF($A250="N/A"," ",IF(AND(AP250=$AR$2+1,AY250=0),MIN($BB$255,AG250),0))</f>
        <v> </v>
      </c>
      <c r="BJ250" s="346" t="str">
        <f aca="false">IF($A250="N/A"," ",IF(AND(AQ250=$AR$2+1,AZ250=0),MIN($BB$255,AH250),0))</f>
        <v> </v>
      </c>
      <c r="BK250" s="346" t="str">
        <f aca="false">IF($A250="N/A"," ",IF(AND(AR250=$AR$2+1,BA250=0),MIN($BB$255,AI250),0))</f>
        <v> </v>
      </c>
      <c r="BL250" s="345"/>
      <c r="BM250" s="329" t="str">
        <f aca="false">IF($A250="N/A"," ",(IF(MONTH(A250)&gt;=4,IF(MONTH(A250)&lt;=10,Inputs!$F$13-Inputs!$G$13,Inputs!$F$14-Inputs!$G$14),Inputs!$F$14-Inputs!$G$14))*$CK250*Availability)</f>
        <v> </v>
      </c>
      <c r="BN250" s="330" t="str">
        <f aca="false">IF($A250="N/A"," ",(IF(AS250&gt;0,($BM250*(8*($HD250))*R250),0)+IF(BC250&gt;0,($BM250*((BC250/AA250)*8*$HD250)*R250),0)))</f>
        <v> </v>
      </c>
      <c r="BO250" s="330" t="str">
        <f aca="false">IF($A250="N/A"," ",(IF(AT250&gt;0,($BM250*(8*($HD250))*S250),0)+IF(BD250&gt;0,($BM250*((BD250/AB250)*8*$HD250)*S250),0)))</f>
        <v> </v>
      </c>
      <c r="BP250" s="330" t="str">
        <f aca="false">IF($A250="N/A"," ",(IF(AU250&gt;0,($BM250*(8*($HD250))*T250),0)+IF(BE250&gt;0,($BM250*((BE250))*T250),0)))</f>
        <v> </v>
      </c>
      <c r="BQ250" s="330" t="str">
        <f aca="false">IF($A250="N/A"," ",(IF(AV250&gt;0,($BM250*(8*($HE250))*U250),0)+IF(BF250&gt;0,($BM250*((BF250/AD250)*8*$HE250)*U250),0)))</f>
        <v> </v>
      </c>
      <c r="BR250" s="330" t="str">
        <f aca="false">IF($A250="N/A"," ",(IF(AW250&gt;0,($BM250*(8*($HE250))*V250),0)+IF(BG250&gt;0,($BM250*((BG250/AE250)*8*$HE250)*V250),0)))</f>
        <v> </v>
      </c>
      <c r="BS250" s="330" t="str">
        <f aca="false">IF($A250="N/A"," ",(IF(AX250&gt;0,($BM250*(8*($HE250))*W250),0)+IF(BH250&gt;0,($BM250*((BH250))*W250),0)))</f>
        <v> </v>
      </c>
      <c r="BT250" s="330" t="str">
        <f aca="false">IF($A250="N/A"," ",(IF(AY250&gt;0,($BM250*(8*($HF250))*X250),0)+IF(BI250&gt;0,($BM250*((BI250/AG250)*8*$HF250)*X250),0)))</f>
        <v> </v>
      </c>
      <c r="BU250" s="330" t="str">
        <f aca="false">IF($A250="N/A"," ",(IF(AZ250&gt;0,($BM250*(8*($HF250))*Y250),0)+IF(BJ250&gt;0,($BM250*((BJ250/AH250)*8*$HF250)*Y250),0)))</f>
        <v> </v>
      </c>
      <c r="BV250" s="330" t="str">
        <f aca="false">IF($A250="N/A"," ",(IF(BA250&gt;0,($BM250*(8*($HF250))*Z250),0)+IF(BK250&gt;0,($BM250*((BK250))*Z250),0)))</f>
        <v> </v>
      </c>
      <c r="BW250" s="330" t="str">
        <f aca="false">IF($A250="N/A"," ",SUM(BN250:BV250))</f>
        <v> </v>
      </c>
      <c r="BX250" s="331" t="str">
        <f aca="false">IF($A250="N/A"," ",(H250*(SUM(AS250:BA250)+SUM(BC250:BK250))*BM250))</f>
        <v> </v>
      </c>
      <c r="BY250" s="332" t="str">
        <f aca="false">IF($A250="N/A"," ",((C250*D250)*(SUM($AS250:$BA250)+SUM($BC250:$BK250))*$BM250))</f>
        <v> </v>
      </c>
      <c r="BZ250" s="332" t="str">
        <f aca="false">IF($A250="N/A"," ",(F250*(SUM($AS250:$BA250)+SUM($BC250:$BK250))*$BM250))</f>
        <v> </v>
      </c>
      <c r="CA250" s="333" t="str">
        <f aca="false">IF($A250="N/A"," ",(G250*(SUM($AS250:$BA250)+SUM($BC250:$BK250))*$BM250))</f>
        <v> </v>
      </c>
      <c r="CB250" s="334" t="str">
        <f aca="false">IF(A250="N/A"," ",(VLOOKUP(A250,PowerVolTable,(IF(BMO=2,7,IF(BMO=1,6,8))),FALSE())))</f>
        <v> </v>
      </c>
      <c r="CC250" s="334" t="str">
        <f aca="false">IF(A250="N/A"," ",(VLOOKUP(A250,IntraPowerVol,(IF(BMO=2,3,IF(BMO=1,2,4))),FALSE())*VLOOKUP(MONTH($A250),Volscale,2)))</f>
        <v> </v>
      </c>
      <c r="CD250" s="335" t="str">
        <f aca="false">IF($A250="N/A"," ",(IF(DateToday&gt;$A250,$CC250,((($CB250^2)*((($A250-1)-DateToday)/((EOMONTH($A250,0)+1)-DateToday-15)))+((($CC250)^2)*((15)/((EOMONTH($A250,0)+1)-DateToday-15))))^0.5)))</f>
        <v> </v>
      </c>
      <c r="CE250" s="334" t="str">
        <f aca="false">IF($A250="N/A"," ",(VLOOKUP($A250,GasVolTable,(IF(BMO=2,6,IF(BMO=1,7,5))),FALSE())))</f>
        <v> </v>
      </c>
      <c r="CF250" s="334" t="str">
        <f aca="false">IF($A250="N/A"," ",(VLOOKUP($A250,OmicronVol,(IF(BMO=2,3,IF(BMO=1,4,2))),FALSE())))</f>
        <v> </v>
      </c>
      <c r="CG250" s="335" t="str">
        <f aca="false">IF($A250="N/A"," ",(IF(DateToday&gt;$A250,$CF250,((($CE250^2)*((($A250-1)-DateToday)/((EOMONTH($A250,0)+1)-DateToday-15)))+((($CF250)^2)*((15)/((EOMONTH($A250,0)+1)-DateToday-15))))^0.5)))</f>
        <v> </v>
      </c>
      <c r="CH250" s="334" t="str">
        <f aca="false">IF($A250="N/A"," ",VLOOKUP($A250,CorrelationTable,2,FALSE()))</f>
        <v> </v>
      </c>
      <c r="CI250" s="336" t="str">
        <f aca="false">IF($A250="N/A"," ",F250+G250+(D250*('Pricing Inputs'!T283)))</f>
        <v> </v>
      </c>
      <c r="CJ250" s="334" t="str">
        <f aca="false">IF($A250="N/A"," ",IF(PV=1,0,'Pricing Inputs'!U283))</f>
        <v> </v>
      </c>
      <c r="CK250" s="337" t="str">
        <f aca="false">IF($A250="N/A"," ",(1+CJ250/2)^(-2*((EOMONTH(A250,0)+20)-DateToday)/365.25))</f>
        <v> </v>
      </c>
      <c r="CL250" s="338" t="str">
        <f aca="false">IF(A250="N/A"," ",IF(CC=2,(VLOOKUP(MONTH($A250),Hrtable,3))/1000,0))</f>
        <v> </v>
      </c>
      <c r="CM250" s="339" t="str">
        <f aca="false">IF(A250="N/A"," ",IF(CC=2,(CL250*C250)+F250,0))</f>
        <v> </v>
      </c>
      <c r="CN250" s="340" t="str">
        <f aca="false">IF($A250="N/A"," ",IF(CC=2,(VLOOKUP(A250,ScaledPrice,(IF(AND(Dayrun&gt;=1,Dayrun&lt;=6),2,4)))-((IF(R250&lt;&gt;0,$D250,$CL250)*$C250)+$F250+$G250)),0))</f>
        <v> </v>
      </c>
      <c r="CO250" s="340" t="str">
        <f aca="false">IF($A250="N/A"," ",IF(CC=2,(IF(AND(Dayrun&gt;=1,Dayrun&lt;=6),I250,(VLOOKUP(A250,ScaledPrice,2))*(2-(VLOOKUP(A250,ScaledPrice,3))))-((IF(S250&lt;&gt;0,$D250,$CL250)*$C250)+$F250+$G250)),0))</f>
        <v> </v>
      </c>
      <c r="CP250" s="340" t="str">
        <f aca="false">IF(A250="N/A"," ",IF(CC=2,(VLOOKUP(A250,ScaledPrice,9)-((IF(T250&lt;&gt;0,$D250,$CL250)*$C250)+$F250+$G250)),0))</f>
        <v> </v>
      </c>
      <c r="CQ250" s="340" t="str">
        <f aca="false">IF(A250="N/A"," ",IF(CC=2,(IF(OR(Dayrun=2,Dayrun=3,Dayrun=5,Dayrun=6,Dayrun=8,Dayrun=9),VLOOKUP(A250,ScaledPrice,IF(AND(Dayrun&gt;=2,Dayrun&lt;=6),5,6)),0)-((IF(U250&lt;&gt;0,$D250,$CL250)*$C250)+$F250+$G250)),0))</f>
        <v> </v>
      </c>
      <c r="CR250" s="340" t="str">
        <f aca="false">IF(A250="N/A"," ",IF(CC=2,(IF(OR(Dayrun=2,Dayrun=3,Dayrun=5,Dayrun=6,Dayrun=8,Dayrun=9),IF(AND(Dayrun&gt;=2,Dayrun&lt;=6),L250,(VLOOKUP(A250,ScaledPrice,5))*(2-(VLOOKUP(A250,ScaledPrice,3)))),0)-((IF(V250&lt;&gt;0,$D250,$CL250)*$C250)+$F250+$G250)),0))</f>
        <v> </v>
      </c>
      <c r="CS250" s="340" t="str">
        <f aca="false">IF(A250="N/A"," ",IF(CC=2,(VLOOKUP(A250,ScaledPrice,9)-((IF(W250&lt;&gt;0,$D250,$CL250)*$C250)+$F250+$G250)),0))</f>
        <v> </v>
      </c>
      <c r="CT250" s="340" t="str">
        <f aca="false">IF(A250="N/A"," ",IF(CC=2,(IF(OR(Dayrun=3,Dayrun=6,Dayrun=9),(VLOOKUP(A250,ScaledPrice,IF(AND(Dayrun&gt;=3,Dayrun&lt;=6),7,8))),0)-((IF(X250&lt;&gt;0,$D250,$CL250)*$C250)+$F250+$G250)),0))</f>
        <v> </v>
      </c>
      <c r="CU250" s="340" t="str">
        <f aca="false">IF(A250="N/A"," ",IF(CC=2,(IF(OR(Dayrun=3,Dayrun=6,Dayrun=9),IF(AND(Dayrun&gt;=3,Dayrun&lt;=6),O250,(VLOOKUP(A250,ScaledPrice,7))*(2-(VLOOKUP(A250,ScaledPrice,3)))),0)-((IF(Y250&lt;&gt;0,$D250,$CL250)*$C250)+$F250+$G250)),0))</f>
        <v> </v>
      </c>
      <c r="CV250" s="340" t="str">
        <f aca="false">IF(A250="N/A"," ",IF(CC=2,(VLOOKUP(A250,ScaledPrice,9)-((IF(Z250&lt;&gt;0,$D250,$CL250)*$C250)+$F250+$G250)),0))</f>
        <v> </v>
      </c>
      <c r="CW250" s="318" t="str">
        <f aca="false">IF($A250="N/A"," ",IF(0&lt;&gt;CN250,IF(CC=2,8*$HD250,0),0))</f>
        <v> </v>
      </c>
      <c r="CX250" s="318" t="str">
        <f aca="false">IF($A250="N/A"," ",IF(0&lt;&gt;CO250,IF(CC=2,8*$HD250,0),0))</f>
        <v> </v>
      </c>
      <c r="CY250" s="318" t="str">
        <f aca="false">IF($A250="N/A"," ",IF(0&lt;&gt;CP250,IF(CC=2,8*$HD250,0),0))</f>
        <v> </v>
      </c>
      <c r="CZ250" s="318" t="str">
        <f aca="false">IF($A250="N/A"," ",IF(0&lt;&gt;CQ250,IF(CC=2,8*$HE250,0),0))</f>
        <v> </v>
      </c>
      <c r="DA250" s="318" t="str">
        <f aca="false">IF($A250="N/A"," ",IF(0&lt;&gt;CR250,IF(CC=2,8*$HE250,0),0))</f>
        <v> </v>
      </c>
      <c r="DB250" s="318" t="str">
        <f aca="false">IF($A250="N/A"," ",IF(0&lt;&gt;CS250,IF(CC=2,8*$HE250,0),0))</f>
        <v> </v>
      </c>
      <c r="DC250" s="318" t="str">
        <f aca="false">IF($A250="N/A"," ",IF(0&lt;&gt;CT250,IF(CC=2,8*$HF250,0),0))</f>
        <v> </v>
      </c>
      <c r="DD250" s="318" t="str">
        <f aca="false">IF($A250="N/A"," ",IF(0&lt;&gt;CU250,IF(CC=2,8*$HF250,0),0))</f>
        <v> </v>
      </c>
      <c r="DE250" s="318" t="str">
        <f aca="false">IF($A250="N/A"," ",IF(0&lt;&gt;CV250,IF(CC=2,8*$HF250,0),0))</f>
        <v> </v>
      </c>
      <c r="DF250" s="341" t="str">
        <f aca="false">IF($A250="N/A"," ",IF(CC=2,(IF(MONTH(A250)&gt;=4,IF(MONTH(A250)&lt;=10,Inputs!$G$13,Inputs!$G$14),Inputs!$G$14))*$CK250,0))</f>
        <v> </v>
      </c>
      <c r="DG250" s="342" t="str">
        <f aca="false">IF($A250="N/A"," ",IF(CC=2,$DF250*CW250*CN250,0))</f>
        <v> </v>
      </c>
      <c r="DH250" s="342" t="str">
        <f aca="false">IF($A250="N/A"," ",IF(CC=2,$DF250*CX250*CO250,0))</f>
        <v> </v>
      </c>
      <c r="DI250" s="342" t="str">
        <f aca="false">IF($A250="N/A"," ",IF(CC=2,$DF250*CY250*CP250,0))</f>
        <v> </v>
      </c>
      <c r="DJ250" s="342" t="str">
        <f aca="false">IF($A250="N/A"," ",IF(CC=2,$DF250*CZ250*CQ250,0))</f>
        <v> </v>
      </c>
      <c r="DK250" s="342" t="str">
        <f aca="false">IF($A250="N/A"," ",IF(CC=2,$DF250*DA250*CR250,0))</f>
        <v> </v>
      </c>
      <c r="DL250" s="342" t="str">
        <f aca="false">IF($A250="N/A"," ",IF(CC=2,$DF250*DB250*CS250,0))</f>
        <v> </v>
      </c>
      <c r="DM250" s="342" t="str">
        <f aca="false">IF($A250="N/A"," ",IF(CC=2,$DF250*DC250*CT250,0))</f>
        <v> </v>
      </c>
      <c r="DN250" s="342" t="str">
        <f aca="false">IF($A250="N/A"," ",IF(CC=2,$DF250*DD250*CU250,0))</f>
        <v> </v>
      </c>
      <c r="DO250" s="342" t="str">
        <f aca="false">IF($A250="N/A"," ",IF(CC=2,$DF250*DE250*CV250,0))</f>
        <v> </v>
      </c>
      <c r="DP250" s="343" t="str">
        <f aca="false">IF($A250="N/A"," ",IF(CC=2,SUM(DG250:DO250),0))</f>
        <v> </v>
      </c>
      <c r="DQ250" s="0" t="str">
        <f aca="false">IF(A250="N/A"," ",Perstart)</f>
        <v> </v>
      </c>
      <c r="HD250" s="0" t="str">
        <f aca="false">IF($A250="N/A"," ",VLOOKUP($A250,NumberofDaysTable,2))</f>
        <v> </v>
      </c>
      <c r="HE250" s="0" t="str">
        <f aca="false">IF($A250="N/A"," ",VLOOKUP($A250,NumberofDaysTable,3))</f>
        <v> </v>
      </c>
      <c r="HF250" s="0" t="str">
        <f aca="false">IF($A250="N/A"," ",VLOOKUP($A250,NumberofDaysTable,4))</f>
        <v> </v>
      </c>
    </row>
    <row r="251" customFormat="false" ht="12.75" hidden="false" customHeight="false" outlineLevel="0" collapsed="false">
      <c r="A251" s="308" t="str">
        <f aca="false">IF(A250="N/A","N/A",IF(EDATE(A250,1)&gt;Inputs!$K$3,"N/A",EDATE(A250,1)))</f>
        <v>N/A</v>
      </c>
      <c r="B251" s="309" t="str">
        <f aca="false">IF(A251="N/A"," ",YEAR(A251))</f>
        <v> </v>
      </c>
      <c r="C251" s="310" t="str">
        <f aca="false">IF(A251="N/A"," ",VLOOKUP(A251,ScaledPrice,10))</f>
        <v> </v>
      </c>
      <c r="D251" s="311" t="str">
        <f aca="false">IF(A251="N/A"," ",(VLOOKUP(MONTH($A251),Hrtable,2))/1000)</f>
        <v> </v>
      </c>
      <c r="E251" s="312" t="str">
        <f aca="false">IF($A251="N/A"," ",(C251-'Pricing Inputs'!T284)*D251)</f>
        <v> </v>
      </c>
      <c r="F251" s="313" t="str">
        <f aca="false">IF(A251="N/A"," ",$F239*(1+VOMesc))</f>
        <v> </v>
      </c>
      <c r="G251" s="313" t="str">
        <f aca="false">IF(A251="N/A"," ",Perstart/IF(AND(Dayrun&gt;=4,Dayrun&lt;=6),16,IF(AND(Dayrun&gt;=7,Dayrun&lt;=9),8,24))/(BM251/CK251))</f>
        <v> </v>
      </c>
      <c r="H251" s="314" t="str">
        <f aca="false">IF(A251="N/A"," ",(C251*D251)+F251+G251)</f>
        <v> </v>
      </c>
      <c r="I251" s="315" t="str">
        <f aca="false">VLOOKUP(A251,ScaledPrice,(IF(AND(Dayrun&gt;=1,Dayrun&lt;=6),2,4)))</f>
        <v> </v>
      </c>
      <c r="J251" s="315" t="str">
        <f aca="false">IF(A251="N/A"," ",IF(AND(Dayrun&gt;=1,Dayrun&lt;=6),I251,(VLOOKUP(A251,ScaledPrice,2))*(2-(VLOOKUP(A251,ScaledPrice,3)))))</f>
        <v> </v>
      </c>
      <c r="K251" s="315" t="str">
        <f aca="false">IF(A251="N/A"," ",IF(AND(Dayrun&gt;=1,Dayrun&lt;=3),VLOOKUP(A251,ScaledPrice,9),0))</f>
        <v> </v>
      </c>
      <c r="L251" s="315" t="str">
        <f aca="false">IF(A251="N/A"," ",IF(OR(Dayrun=2,Dayrun=3,Dayrun=5,Dayrun=6,Dayrun=8,Dayrun=9),VLOOKUP(A251,ScaledPrice,IF(AND(Dayrun&gt;=2,Dayrun&lt;=6),5,6)),0))</f>
        <v> </v>
      </c>
      <c r="M251" s="315" t="str">
        <f aca="false">IF(A251="N/A"," ",IF(OR(Dayrun=2,Dayrun=3,Dayrun=5,Dayrun=6,Dayrun=8,Dayrun=9),IF(AND(Dayrun&gt;=2,Dayrun&lt;=6),L251,(VLOOKUP(A251,ScaledPrice,5))*(2-(VLOOKUP(A251,ScaledPrice,3)))),0))</f>
        <v> </v>
      </c>
      <c r="N251" s="315" t="str">
        <f aca="false">IF(A251="N/A"," ",IF(AND(Dayrun&gt;1,Dayrun&lt;=3),VLOOKUP(A251,ScaledPrice,9),0))</f>
        <v> </v>
      </c>
      <c r="O251" s="315" t="str">
        <f aca="false">IF(A251="N/A"," ",IF(OR(Dayrun=3,Dayrun=6,Dayrun=9),(VLOOKUP(A251,ScaledPrice,IF(AND(Dayrun&gt;=3,Dayrun&lt;=6),7,8))),0))</f>
        <v> </v>
      </c>
      <c r="P251" s="315" t="str">
        <f aca="false">IF(A251="N/A"," ",IF(OR(Dayrun=3,Dayrun=6,Dayrun=9),IF(AND(Dayrun&gt;=3,Dayrun&lt;=6),O251,(VLOOKUP(A251,ScaledPrice,7))*(2-(VLOOKUP(A251,ScaledPrice,3)))),0))</f>
        <v> </v>
      </c>
      <c r="Q251" s="315" t="str">
        <f aca="false">IF(A251="N/A"," ",IF(AND(Dayrun&gt;2,Dayrun&lt;=3),VLOOKUP(A251,ScaledPrice,9),0))</f>
        <v> </v>
      </c>
      <c r="R251" s="316" t="str">
        <f aca="false">IF($A251="N/A"," ",IF(Pricetype=2,MAX(I251-$H251,0),IF(Pricetype=1,(xSPRDOPT(I251,$E251,$CI251,0,($CD251+IF(Smile=TRUE(),VLOOKUP(MAX(-5,$H251-I251),Volsmile,2),0)),$CG251,$CH251,($A251-DateToday)+15,1,0)),I251-$H251)))</f>
        <v> </v>
      </c>
      <c r="S251" s="316" t="str">
        <f aca="false">IF($A251="N/A"," ",IF(Pricetype=2,MAX(J251-$H251,0),IF(Pricetype=1,(xSPRDOPT(J251,$E251,$CI251,0,($CD251+IF(Smile=TRUE(),VLOOKUP(MAX(-5,$H251-J251),Volsmile,2),0)),$CG251,$CH251,($A251-DateToday)+15,1,0)),J251-$H251)))</f>
        <v> </v>
      </c>
      <c r="T251" s="317" t="str">
        <f aca="false">IF($A251="N/A"," ",(IF(Pricetype=2,IF((K251-$H251)&lt;=0,0,(K251-$H251)),IF(K251&lt;&gt;0,(K251-$H251),0))))</f>
        <v> </v>
      </c>
      <c r="U251" s="316" t="str">
        <f aca="false">IF($A251="N/A"," ",IF(Pricetype=2,MAX(L251-$H251,0),IF(L251&lt;&gt;0,IF(Pricetype=1,(xSPRDOPT(L251,$E251,$CI251,0,($CD251+IF(Smile=TRUE(),VLOOKUP(MAX(-5,$H251-L251),Volsmile,2),0)),$CG251,$CH251,($A251-DateToday)+15,1,0)),L251-$H251),0)))</f>
        <v> </v>
      </c>
      <c r="V251" s="316" t="str">
        <f aca="false">IF($A251="N/A"," ",IF(Pricetype=2,MAX(M251-$H251,0),IF(M251&lt;&gt;0,IF(Pricetype=1,(xSPRDOPT(M251,$E251,$CI251,0,($CD251+IF(Smile=TRUE(),VLOOKUP(MAX(-5,$H251-M251),Volsmile,2),0)),$CG251,$CH251,($A251-DateToday)+15,1,0)),M251-$H251),0)))</f>
        <v> </v>
      </c>
      <c r="W251" s="317" t="str">
        <f aca="false">IF($A251="N/A"," ",(IF(Pricetype=2,IF((N251-$H251)&lt;=0,0,(N251-$H251)),IF(N251&lt;&gt;0,(N251-$H251),0))))</f>
        <v> </v>
      </c>
      <c r="X251" s="316" t="str">
        <f aca="false">IF($A251="N/A"," ",IF(Pricetype=2,MAX(O251-$H251,0),IF(O251&lt;&gt;0,IF(Pricetype=1,(xSPRDOPT(O251,$E251,$CI251,0,($CD251+IF(Smile=TRUE(),VLOOKUP(MAX(-5,$H251-O251),Volsmile,2),0)),$CG251,$CH251,($A251-DateToday)+15,1,0)),O251-$H251),0)))</f>
        <v> </v>
      </c>
      <c r="Y251" s="316" t="str">
        <f aca="false">IF($A251="N/A"," ",IF(Pricetype=2,MAX(P251-$H251,0),IF(P251&lt;&gt;0,IF(Pricetype=1,(xSPRDOPT(P251,$E251,$CI251,0,($CD251+IF(Smile=TRUE(),VLOOKUP(MAX(-5,$H251-P251),Volsmile,2),0)),$CG251,$CH251,($A251-DateToday)+15,1,0)),P251-$H251),0)))</f>
        <v> </v>
      </c>
      <c r="Z251" s="317" t="str">
        <f aca="false">IF($A251="N/A"," ",(IF(Pricetype=2,IF((Q251-$H251)&lt;=0,0,(Q251-$H251)),IF(Q251&lt;&gt;0,(Q251-$H251),0))))</f>
        <v> </v>
      </c>
      <c r="AA251" s="318" t="str">
        <f aca="false">IF($A251="N/A"," ",IF(VLOOKUP(MONTH(A251),ManualTable,2)=1,(IF(0&lt;&gt;R251,IF(Pricetype=1,(xSPRDOPT(I251,$E251,$CI251,0,($CD251+IF(Smile=TRUE(),VLOOKUP(MAX(-5,$H251-I251),Volsmile,2),0)),$CG251,$CH251,($A251-DateToday)+15,1,1))*(8*$HD251),8*$HD251),0)),0))</f>
        <v> </v>
      </c>
      <c r="AB251" s="318" t="str">
        <f aca="false">IF($A251="N/A"," ",IF(VLOOKUP(MONTH(A251),ManualTable,3)=1,(IF(S251&lt;&gt;0,IF(Pricetype=1,(xSPRDOPT(J251,$E251,$CI251,0,($CD251+IF(Smile=TRUE(),VLOOKUP(MAX(-5,$H251-J251),Volsmile,2),0)),$CG251,$CH251,($A251-DateToday)+15,1,1))*(8*$HD251),8*$HD251),0)),0))</f>
        <v> </v>
      </c>
      <c r="AC251" s="318" t="str">
        <f aca="false">IF($A251="N/A"," ",IF(VLOOKUP(MONTH(A251),ManualTable,4)=1,(IF(T251&lt;&gt;0,(8*$HD251),0)),0))</f>
        <v> </v>
      </c>
      <c r="AD251" s="318" t="str">
        <f aca="false">IF($A251="N/A"," ",IF(VLOOKUP(MONTH(A251),ManualTable,5)=1,(IF(U251&lt;&gt;0,IF(Pricetype=1,(xSPRDOPT(L251,$E251,$CI251,0,($CD251+IF(Smile=TRUE(),VLOOKUP(MAX(-5,$H251-L251),Volsmile,2),0)),$CG251,$CH251,($A251-DateToday)+15,1,1))*(8*$HE251),8*$HE251),0)),0))</f>
        <v> </v>
      </c>
      <c r="AE251" s="318" t="str">
        <f aca="false">IF($A251="N/A"," ",IF(VLOOKUP(MONTH(A251),ManualTable,6)=1,(IF(V251&lt;&gt;0,IF(Pricetype=1,(xSPRDOPT(M251,$E251,$CI251,0,($CD251+IF(Smile=TRUE(),VLOOKUP(MAX(-5,$H251-M251),Volsmile,2),0)),$CG251,$CH251,($A251-DateToday)+15,1,1))*(8*$HE251),8*$HE251),0)),0))</f>
        <v> </v>
      </c>
      <c r="AF251" s="318" t="str">
        <f aca="false">IF($A251="N/A"," ",IF(VLOOKUP(MONTH(A251),ManualTable,7)=1,(IF(W251&lt;&gt;0,(8*$HE251),0)),0))</f>
        <v> </v>
      </c>
      <c r="AG251" s="318" t="str">
        <f aca="false">IF($A251="N/A"," ",IF(VLOOKUP(MONTH(A251),ManualTable,8)=1,(IF(X251&lt;&gt;0,IF(Pricetype=1,(xSPRDOPT(O251,$E251,$CI251,0,($CD251+IF(Smile=TRUE(),VLOOKUP(MAX(-5,$H251-O251),Volsmile,2),0)),$CG251,$CH251,($A251-DateToday)+15,1,1))*(8*$HF251),8*$HF251),0)),0))</f>
        <v> </v>
      </c>
      <c r="AH251" s="318" t="str">
        <f aca="false">IF($A251="N/A"," ",IF(VLOOKUP(MONTH(A251),ManualTable,9)=1,(IF(Y251&lt;&gt;0,IF(Pricetype=1,(xSPRDOPT(P251,$E251,$CI251,0,($CD251+IF(Smile=TRUE(),VLOOKUP(MAX(-5,$H251-P251),Volsmile,2),0)),$CG251,$CH251,($A251-DateToday)+15,1,1))*(8*$HF251),8*$HF251),0)),0))</f>
        <v> </v>
      </c>
      <c r="AI251" s="318" t="str">
        <f aca="false">IF($A251="N/A"," ",IF(VLOOKUP(MONTH(A251),ManualTable,10)=1,(IF(Z251&lt;&gt;0,(8*($HF251)),0)),0))</f>
        <v> </v>
      </c>
      <c r="AJ251" s="344" t="str">
        <f aca="false">IF($A251="N/A"," ",RANK(R251,$R$244:$Z$255))</f>
        <v> </v>
      </c>
      <c r="AK251" s="321" t="str">
        <f aca="false">IF($A251="N/A"," ",RANK(S251,$R$244:$Z$255))</f>
        <v> </v>
      </c>
      <c r="AL251" s="321" t="str">
        <f aca="false">IF($A251="N/A"," ",RANK(T251,$R$244:$Z$255))</f>
        <v> </v>
      </c>
      <c r="AM251" s="321" t="str">
        <f aca="false">IF($A251="N/A"," ",RANK(U251,$R$244:$Z$255))</f>
        <v> </v>
      </c>
      <c r="AN251" s="321" t="str">
        <f aca="false">IF($A251="N/A"," ",RANK(V251,$R$244:$Z$255))</f>
        <v> </v>
      </c>
      <c r="AO251" s="321" t="str">
        <f aca="false">IF($A251="N/A"," ",RANK(W251,$R$244:$Z$255))</f>
        <v> </v>
      </c>
      <c r="AP251" s="321" t="str">
        <f aca="false">IF($A251="N/A"," ",RANK(X251,$R$244:$Z$255))</f>
        <v> </v>
      </c>
      <c r="AQ251" s="321" t="str">
        <f aca="false">IF($A251="N/A"," ",RANK(Y251,$R$244:$Z$255))</f>
        <v> </v>
      </c>
      <c r="AR251" s="345" t="str">
        <f aca="false">IF($A251="N/A"," ",RANK(Z251,$R$244:$Z$255))</f>
        <v> </v>
      </c>
      <c r="AS251" s="323" t="str">
        <f aca="false">IF($A251="N/A"," ",IF(AJ251&lt;=$AR$2,AA251,0))</f>
        <v> </v>
      </c>
      <c r="AT251" s="325" t="str">
        <f aca="false">IF($A251="N/A"," ",IF(AK251&lt;=$AR$2,AB251,0))</f>
        <v> </v>
      </c>
      <c r="AU251" s="325" t="str">
        <f aca="false">IF($A251="N/A"," ",IF(AL251&lt;=$AR$2,AC251,0))</f>
        <v> </v>
      </c>
      <c r="AV251" s="325" t="str">
        <f aca="false">IF($A251="N/A"," ",IF(AM251&lt;=$AR$2,AD251,0))</f>
        <v> </v>
      </c>
      <c r="AW251" s="325" t="str">
        <f aca="false">IF($A251="N/A"," ",IF(AN251&lt;=$AR$2,AE251,0))</f>
        <v> </v>
      </c>
      <c r="AX251" s="325" t="str">
        <f aca="false">IF($A251="N/A"," ",IF(AO251&lt;=$AR$2,AF251,0))</f>
        <v> </v>
      </c>
      <c r="AY251" s="325" t="str">
        <f aca="false">IF($A251="N/A"," ",IF(AP251&lt;=$AR$2,AG251,0))</f>
        <v> </v>
      </c>
      <c r="AZ251" s="325" t="str">
        <f aca="false">IF($A251="N/A"," ",IF(AQ251&lt;=$AR$2,AH251,0))</f>
        <v> </v>
      </c>
      <c r="BA251" s="325" t="str">
        <f aca="false">IF($A251="N/A"," ",IF(AR251&lt;=$AR$2,AI251,0))</f>
        <v> </v>
      </c>
      <c r="BB251" s="345"/>
      <c r="BC251" s="326" t="str">
        <f aca="false">IF($A251="N/A"," ",IF(AND(AJ251=$AR$2+1,AS251=0),MIN($BB$255,AA251),0))</f>
        <v> </v>
      </c>
      <c r="BD251" s="346" t="str">
        <f aca="false">IF($A251="N/A"," ",IF(AND(AK251=$AR$2+1,AT251=0),MIN($BB$255,AB251),0))</f>
        <v> </v>
      </c>
      <c r="BE251" s="346" t="str">
        <f aca="false">IF($A251="N/A"," ",IF(AND(AL251=$AR$2+1,AU251=0),MIN($BB$255,AC251),0))</f>
        <v> </v>
      </c>
      <c r="BF251" s="346" t="str">
        <f aca="false">IF($A251="N/A"," ",IF(AND(AM251=$AR$2+1,AV251=0),MIN($BB$255,AD251),0))</f>
        <v> </v>
      </c>
      <c r="BG251" s="346" t="str">
        <f aca="false">IF($A251="N/A"," ",IF(AND(AN251=$AR$2+1,AW251=0),MIN($BB$255,AE251),0))</f>
        <v> </v>
      </c>
      <c r="BH251" s="346" t="str">
        <f aca="false">IF($A251="N/A"," ",IF(AND(AO251=$AR$2+1,AX251=0),MIN($BB$255,AF251),0))</f>
        <v> </v>
      </c>
      <c r="BI251" s="346" t="str">
        <f aca="false">IF($A251="N/A"," ",IF(AND(AP251=$AR$2+1,AY251=0),MIN($BB$255,AG251),0))</f>
        <v> </v>
      </c>
      <c r="BJ251" s="346" t="str">
        <f aca="false">IF($A251="N/A"," ",IF(AND(AQ251=$AR$2+1,AZ251=0),MIN($BB$255,AH251),0))</f>
        <v> </v>
      </c>
      <c r="BK251" s="346" t="str">
        <f aca="false">IF($A251="N/A"," ",IF(AND(AR251=$AR$2+1,BA251=0),MIN($BB$255,AI251),0))</f>
        <v> </v>
      </c>
      <c r="BL251" s="345"/>
      <c r="BM251" s="329" t="str">
        <f aca="false">IF($A251="N/A"," ",(IF(MONTH(A251)&gt;=4,IF(MONTH(A251)&lt;=10,Inputs!$F$13-Inputs!$G$13,Inputs!$F$14-Inputs!$G$14),Inputs!$F$14-Inputs!$G$14))*$CK251*Availability)</f>
        <v> </v>
      </c>
      <c r="BN251" s="330" t="str">
        <f aca="false">IF($A251="N/A"," ",(IF(AS251&gt;0,($BM251*(8*($HD251))*R251),0)+IF(BC251&gt;0,($BM251*((BC251/AA251)*8*$HD251)*R251),0)))</f>
        <v> </v>
      </c>
      <c r="BO251" s="330" t="str">
        <f aca="false">IF($A251="N/A"," ",(IF(AT251&gt;0,($BM251*(8*($HD251))*S251),0)+IF(BD251&gt;0,($BM251*((BD251/AB251)*8*$HD251)*S251),0)))</f>
        <v> </v>
      </c>
      <c r="BP251" s="330" t="str">
        <f aca="false">IF($A251="N/A"," ",(IF(AU251&gt;0,($BM251*(8*($HD251))*T251),0)+IF(BE251&gt;0,($BM251*((BE251))*T251),0)))</f>
        <v> </v>
      </c>
      <c r="BQ251" s="330" t="str">
        <f aca="false">IF($A251="N/A"," ",(IF(AV251&gt;0,($BM251*(8*($HE251))*U251),0)+IF(BF251&gt;0,($BM251*((BF251/AD251)*8*$HE251)*U251),0)))</f>
        <v> </v>
      </c>
      <c r="BR251" s="330" t="str">
        <f aca="false">IF($A251="N/A"," ",(IF(AW251&gt;0,($BM251*(8*($HE251))*V251),0)+IF(BG251&gt;0,($BM251*((BG251/AE251)*8*$HE251)*V251),0)))</f>
        <v> </v>
      </c>
      <c r="BS251" s="330" t="str">
        <f aca="false">IF($A251="N/A"," ",(IF(AX251&gt;0,($BM251*(8*($HE251))*W251),0)+IF(BH251&gt;0,($BM251*((BH251))*W251),0)))</f>
        <v> </v>
      </c>
      <c r="BT251" s="330" t="str">
        <f aca="false">IF($A251="N/A"," ",(IF(AY251&gt;0,($BM251*(8*($HF251))*X251),0)+IF(BI251&gt;0,($BM251*((BI251/AG251)*8*$HF251)*X251),0)))</f>
        <v> </v>
      </c>
      <c r="BU251" s="330" t="str">
        <f aca="false">IF($A251="N/A"," ",(IF(AZ251&gt;0,($BM251*(8*($HF251))*Y251),0)+IF(BJ251&gt;0,($BM251*((BJ251/AH251)*8*$HF251)*Y251),0)))</f>
        <v> </v>
      </c>
      <c r="BV251" s="330" t="str">
        <f aca="false">IF($A251="N/A"," ",(IF(BA251&gt;0,($BM251*(8*($HF251))*Z251),0)+IF(BK251&gt;0,($BM251*((BK251))*Z251),0)))</f>
        <v> </v>
      </c>
      <c r="BW251" s="330" t="str">
        <f aca="false">IF($A251="N/A"," ",SUM(BN251:BV251))</f>
        <v> </v>
      </c>
      <c r="BX251" s="331" t="str">
        <f aca="false">IF($A251="N/A"," ",(H251*(SUM(AS251:BA251)+SUM(BC251:BK251))*BM251))</f>
        <v> </v>
      </c>
      <c r="BY251" s="332" t="str">
        <f aca="false">IF($A251="N/A"," ",((C251*D251)*(SUM($AS251:$BA251)+SUM($BC251:$BK251))*$BM251))</f>
        <v> </v>
      </c>
      <c r="BZ251" s="332" t="str">
        <f aca="false">IF($A251="N/A"," ",(F251*(SUM($AS251:$BA251)+SUM($BC251:$BK251))*$BM251))</f>
        <v> </v>
      </c>
      <c r="CA251" s="333" t="str">
        <f aca="false">IF($A251="N/A"," ",(G251*(SUM($AS251:$BA251)+SUM($BC251:$BK251))*$BM251))</f>
        <v> </v>
      </c>
      <c r="CB251" s="334" t="str">
        <f aca="false">IF(A251="N/A"," ",(VLOOKUP(A251,PowerVolTable,(IF(BMO=2,7,IF(BMO=1,6,8))),FALSE())))</f>
        <v> </v>
      </c>
      <c r="CC251" s="334" t="str">
        <f aca="false">IF(A251="N/A"," ",(VLOOKUP(A251,IntraPowerVol,(IF(BMO=2,3,IF(BMO=1,2,4))),FALSE())*VLOOKUP(MONTH($A251),Volscale,2)))</f>
        <v> </v>
      </c>
      <c r="CD251" s="335" t="str">
        <f aca="false">IF($A251="N/A"," ",(IF(DateToday&gt;$A251,$CC251,((($CB251^2)*((($A251-1)-DateToday)/((EOMONTH($A251,0)+1)-DateToday-15)))+((($CC251)^2)*((15)/((EOMONTH($A251,0)+1)-DateToday-15))))^0.5)))</f>
        <v> </v>
      </c>
      <c r="CE251" s="334" t="str">
        <f aca="false">IF($A251="N/A"," ",(VLOOKUP($A251,GasVolTable,(IF(BMO=2,6,IF(BMO=1,7,5))),FALSE())))</f>
        <v> </v>
      </c>
      <c r="CF251" s="334" t="str">
        <f aca="false">IF($A251="N/A"," ",(VLOOKUP($A251,OmicronVol,(IF(BMO=2,3,IF(BMO=1,4,2))),FALSE())))</f>
        <v> </v>
      </c>
      <c r="CG251" s="335" t="str">
        <f aca="false">IF($A251="N/A"," ",(IF(DateToday&gt;$A251,$CF251,((($CE251^2)*((($A251-1)-DateToday)/((EOMONTH($A251,0)+1)-DateToday-15)))+((($CF251)^2)*((15)/((EOMONTH($A251,0)+1)-DateToday-15))))^0.5)))</f>
        <v> </v>
      </c>
      <c r="CH251" s="334" t="str">
        <f aca="false">IF($A251="N/A"," ",VLOOKUP($A251,CorrelationTable,2,FALSE()))</f>
        <v> </v>
      </c>
      <c r="CI251" s="336" t="str">
        <f aca="false">IF($A251="N/A"," ",F251+G251+(D251*('Pricing Inputs'!T284)))</f>
        <v> </v>
      </c>
      <c r="CJ251" s="334" t="str">
        <f aca="false">IF($A251="N/A"," ",IF(PV=1,0,'Pricing Inputs'!U284))</f>
        <v> </v>
      </c>
      <c r="CK251" s="337" t="str">
        <f aca="false">IF($A251="N/A"," ",(1+CJ251/2)^(-2*((EOMONTH(A251,0)+20)-DateToday)/365.25))</f>
        <v> </v>
      </c>
      <c r="CL251" s="338" t="str">
        <f aca="false">IF(A251="N/A"," ",IF(CC=2,(VLOOKUP(MONTH($A251),Hrtable,3))/1000,0))</f>
        <v> </v>
      </c>
      <c r="CM251" s="339" t="str">
        <f aca="false">IF(A251="N/A"," ",IF(CC=2,(CL251*C251)+F251,0))</f>
        <v> </v>
      </c>
      <c r="CN251" s="340" t="str">
        <f aca="false">IF($A251="N/A"," ",IF(CC=2,(VLOOKUP(A251,ScaledPrice,(IF(AND(Dayrun&gt;=1,Dayrun&lt;=6),2,4)))-((IF(R251&lt;&gt;0,$D251,$CL251)*$C251)+$F251+$G251)),0))</f>
        <v> </v>
      </c>
      <c r="CO251" s="340" t="str">
        <f aca="false">IF($A251="N/A"," ",IF(CC=2,(IF(AND(Dayrun&gt;=1,Dayrun&lt;=6),I251,(VLOOKUP(A251,ScaledPrice,2))*(2-(VLOOKUP(A251,ScaledPrice,3))))-((IF(S251&lt;&gt;0,$D251,$CL251)*$C251)+$F251+$G251)),0))</f>
        <v> </v>
      </c>
      <c r="CP251" s="340" t="str">
        <f aca="false">IF(A251="N/A"," ",IF(CC=2,(VLOOKUP(A251,ScaledPrice,9)-((IF(T251&lt;&gt;0,$D251,$CL251)*$C251)+$F251+$G251)),0))</f>
        <v> </v>
      </c>
      <c r="CQ251" s="340" t="str">
        <f aca="false">IF(A251="N/A"," ",IF(CC=2,(IF(OR(Dayrun=2,Dayrun=3,Dayrun=5,Dayrun=6,Dayrun=8,Dayrun=9),VLOOKUP(A251,ScaledPrice,IF(AND(Dayrun&gt;=2,Dayrun&lt;=6),5,6)),0)-((IF(U251&lt;&gt;0,$D251,$CL251)*$C251)+$F251+$G251)),0))</f>
        <v> </v>
      </c>
      <c r="CR251" s="340" t="str">
        <f aca="false">IF(A251="N/A"," ",IF(CC=2,(IF(OR(Dayrun=2,Dayrun=3,Dayrun=5,Dayrun=6,Dayrun=8,Dayrun=9),IF(AND(Dayrun&gt;=2,Dayrun&lt;=6),L251,(VLOOKUP(A251,ScaledPrice,5))*(2-(VLOOKUP(A251,ScaledPrice,3)))),0)-((IF(V251&lt;&gt;0,$D251,$CL251)*$C251)+$F251+$G251)),0))</f>
        <v> </v>
      </c>
      <c r="CS251" s="340" t="str">
        <f aca="false">IF(A251="N/A"," ",IF(CC=2,(VLOOKUP(A251,ScaledPrice,9)-((IF(W251&lt;&gt;0,$D251,$CL251)*$C251)+$F251+$G251)),0))</f>
        <v> </v>
      </c>
      <c r="CT251" s="340" t="str">
        <f aca="false">IF(A251="N/A"," ",IF(CC=2,(IF(OR(Dayrun=3,Dayrun=6,Dayrun=9),(VLOOKUP(A251,ScaledPrice,IF(AND(Dayrun&gt;=3,Dayrun&lt;=6),7,8))),0)-((IF(X251&lt;&gt;0,$D251,$CL251)*$C251)+$F251+$G251)),0))</f>
        <v> </v>
      </c>
      <c r="CU251" s="340" t="str">
        <f aca="false">IF(A251="N/A"," ",IF(CC=2,(IF(OR(Dayrun=3,Dayrun=6,Dayrun=9),IF(AND(Dayrun&gt;=3,Dayrun&lt;=6),O251,(VLOOKUP(A251,ScaledPrice,7))*(2-(VLOOKUP(A251,ScaledPrice,3)))),0)-((IF(Y251&lt;&gt;0,$D251,$CL251)*$C251)+$F251+$G251)),0))</f>
        <v> </v>
      </c>
      <c r="CV251" s="340" t="str">
        <f aca="false">IF(A251="N/A"," ",IF(CC=2,(VLOOKUP(A251,ScaledPrice,9)-((IF(Z251&lt;&gt;0,$D251,$CL251)*$C251)+$F251+$G251)),0))</f>
        <v> </v>
      </c>
      <c r="CW251" s="318" t="str">
        <f aca="false">IF($A251="N/A"," ",IF(0&lt;&gt;CN251,IF(CC=2,8*$HD251,0),0))</f>
        <v> </v>
      </c>
      <c r="CX251" s="318" t="str">
        <f aca="false">IF($A251="N/A"," ",IF(0&lt;&gt;CO251,IF(CC=2,8*$HD251,0),0))</f>
        <v> </v>
      </c>
      <c r="CY251" s="318" t="str">
        <f aca="false">IF($A251="N/A"," ",IF(0&lt;&gt;CP251,IF(CC=2,8*$HD251,0),0))</f>
        <v> </v>
      </c>
      <c r="CZ251" s="318" t="str">
        <f aca="false">IF($A251="N/A"," ",IF(0&lt;&gt;CQ251,IF(CC=2,8*$HE251,0),0))</f>
        <v> </v>
      </c>
      <c r="DA251" s="318" t="str">
        <f aca="false">IF($A251="N/A"," ",IF(0&lt;&gt;CR251,IF(CC=2,8*$HE251,0),0))</f>
        <v> </v>
      </c>
      <c r="DB251" s="318" t="str">
        <f aca="false">IF($A251="N/A"," ",IF(0&lt;&gt;CS251,IF(CC=2,8*$HE251,0),0))</f>
        <v> </v>
      </c>
      <c r="DC251" s="318" t="str">
        <f aca="false">IF($A251="N/A"," ",IF(0&lt;&gt;CT251,IF(CC=2,8*$HF251,0),0))</f>
        <v> </v>
      </c>
      <c r="DD251" s="318" t="str">
        <f aca="false">IF($A251="N/A"," ",IF(0&lt;&gt;CU251,IF(CC=2,8*$HF251,0),0))</f>
        <v> </v>
      </c>
      <c r="DE251" s="318" t="str">
        <f aca="false">IF($A251="N/A"," ",IF(0&lt;&gt;CV251,IF(CC=2,8*$HF251,0),0))</f>
        <v> </v>
      </c>
      <c r="DF251" s="341" t="str">
        <f aca="false">IF($A251="N/A"," ",IF(CC=2,(IF(MONTH(A251)&gt;=4,IF(MONTH(A251)&lt;=10,Inputs!$G$13,Inputs!$G$14),Inputs!$G$14))*$CK251,0))</f>
        <v> </v>
      </c>
      <c r="DG251" s="342" t="str">
        <f aca="false">IF($A251="N/A"," ",IF(CC=2,$DF251*CW251*CN251,0))</f>
        <v> </v>
      </c>
      <c r="DH251" s="342" t="str">
        <f aca="false">IF($A251="N/A"," ",IF(CC=2,$DF251*CX251*CO251,0))</f>
        <v> </v>
      </c>
      <c r="DI251" s="342" t="str">
        <f aca="false">IF($A251="N/A"," ",IF(CC=2,$DF251*CY251*CP251,0))</f>
        <v> </v>
      </c>
      <c r="DJ251" s="342" t="str">
        <f aca="false">IF($A251="N/A"," ",IF(CC=2,$DF251*CZ251*CQ251,0))</f>
        <v> </v>
      </c>
      <c r="DK251" s="342" t="str">
        <f aca="false">IF($A251="N/A"," ",IF(CC=2,$DF251*DA251*CR251,0))</f>
        <v> </v>
      </c>
      <c r="DL251" s="342" t="str">
        <f aca="false">IF($A251="N/A"," ",IF(CC=2,$DF251*DB251*CS251,0))</f>
        <v> </v>
      </c>
      <c r="DM251" s="342" t="str">
        <f aca="false">IF($A251="N/A"," ",IF(CC=2,$DF251*DC251*CT251,0))</f>
        <v> </v>
      </c>
      <c r="DN251" s="342" t="str">
        <f aca="false">IF($A251="N/A"," ",IF(CC=2,$DF251*DD251*CU251,0))</f>
        <v> </v>
      </c>
      <c r="DO251" s="342" t="str">
        <f aca="false">IF($A251="N/A"," ",IF(CC=2,$DF251*DE251*CV251,0))</f>
        <v> </v>
      </c>
      <c r="DP251" s="343" t="str">
        <f aca="false">IF($A251="N/A"," ",IF(CC=2,SUM(DG251:DO251),0))</f>
        <v> </v>
      </c>
      <c r="DQ251" s="0" t="str">
        <f aca="false">IF(A251="N/A"," ",Perstart)</f>
        <v> </v>
      </c>
      <c r="HD251" s="0" t="str">
        <f aca="false">IF($A251="N/A"," ",VLOOKUP($A251,NumberofDaysTable,2))</f>
        <v> </v>
      </c>
      <c r="HE251" s="0" t="str">
        <f aca="false">IF($A251="N/A"," ",VLOOKUP($A251,NumberofDaysTable,3))</f>
        <v> </v>
      </c>
      <c r="HF251" s="0" t="str">
        <f aca="false">IF($A251="N/A"," ",VLOOKUP($A251,NumberofDaysTable,4))</f>
        <v> </v>
      </c>
    </row>
    <row r="252" customFormat="false" ht="12.75" hidden="false" customHeight="false" outlineLevel="0" collapsed="false">
      <c r="A252" s="308" t="str">
        <f aca="false">IF(A251="N/A","N/A",IF(EDATE(A251,1)&gt;Inputs!$K$3,"N/A",EDATE(A251,1)))</f>
        <v>N/A</v>
      </c>
      <c r="B252" s="309" t="str">
        <f aca="false">IF(A252="N/A"," ",YEAR(A252))</f>
        <v> </v>
      </c>
      <c r="C252" s="310" t="str">
        <f aca="false">IF(A252="N/A"," ",VLOOKUP(A252,ScaledPrice,10))</f>
        <v> </v>
      </c>
      <c r="D252" s="311" t="str">
        <f aca="false">IF(A252="N/A"," ",(VLOOKUP(MONTH($A252),Hrtable,2))/1000)</f>
        <v> </v>
      </c>
      <c r="E252" s="312" t="str">
        <f aca="false">IF($A252="N/A"," ",(C252-'Pricing Inputs'!T285)*D252)</f>
        <v> </v>
      </c>
      <c r="F252" s="313" t="str">
        <f aca="false">IF(A252="N/A"," ",$F240*(1+VOMesc))</f>
        <v> </v>
      </c>
      <c r="G252" s="313" t="str">
        <f aca="false">IF(A252="N/A"," ",Perstart/IF(AND(Dayrun&gt;=4,Dayrun&lt;=6),16,IF(AND(Dayrun&gt;=7,Dayrun&lt;=9),8,24))/(BM252/CK252))</f>
        <v> </v>
      </c>
      <c r="H252" s="314" t="str">
        <f aca="false">IF(A252="N/A"," ",(C252*D252)+F252+G252)</f>
        <v> </v>
      </c>
      <c r="I252" s="315" t="str">
        <f aca="false">VLOOKUP(A252,ScaledPrice,(IF(AND(Dayrun&gt;=1,Dayrun&lt;=6),2,4)))</f>
        <v> </v>
      </c>
      <c r="J252" s="315" t="str">
        <f aca="false">IF(A252="N/A"," ",IF(AND(Dayrun&gt;=1,Dayrun&lt;=6),I252,(VLOOKUP(A252,ScaledPrice,2))*(2-(VLOOKUP(A252,ScaledPrice,3)))))</f>
        <v> </v>
      </c>
      <c r="K252" s="315" t="str">
        <f aca="false">IF(A252="N/A"," ",IF(AND(Dayrun&gt;=1,Dayrun&lt;=3),VLOOKUP(A252,ScaledPrice,9),0))</f>
        <v> </v>
      </c>
      <c r="L252" s="315" t="str">
        <f aca="false">IF(A252="N/A"," ",IF(OR(Dayrun=2,Dayrun=3,Dayrun=5,Dayrun=6,Dayrun=8,Dayrun=9),VLOOKUP(A252,ScaledPrice,IF(AND(Dayrun&gt;=2,Dayrun&lt;=6),5,6)),0))</f>
        <v> </v>
      </c>
      <c r="M252" s="315" t="str">
        <f aca="false">IF(A252="N/A"," ",IF(OR(Dayrun=2,Dayrun=3,Dayrun=5,Dayrun=6,Dayrun=8,Dayrun=9),IF(AND(Dayrun&gt;=2,Dayrun&lt;=6),L252,(VLOOKUP(A252,ScaledPrice,5))*(2-(VLOOKUP(A252,ScaledPrice,3)))),0))</f>
        <v> </v>
      </c>
      <c r="N252" s="315" t="str">
        <f aca="false">IF(A252="N/A"," ",IF(AND(Dayrun&gt;1,Dayrun&lt;=3),VLOOKUP(A252,ScaledPrice,9),0))</f>
        <v> </v>
      </c>
      <c r="O252" s="315" t="str">
        <f aca="false">IF(A252="N/A"," ",IF(OR(Dayrun=3,Dayrun=6,Dayrun=9),(VLOOKUP(A252,ScaledPrice,IF(AND(Dayrun&gt;=3,Dayrun&lt;=6),7,8))),0))</f>
        <v> </v>
      </c>
      <c r="P252" s="315" t="str">
        <f aca="false">IF(A252="N/A"," ",IF(OR(Dayrun=3,Dayrun=6,Dayrun=9),IF(AND(Dayrun&gt;=3,Dayrun&lt;=6),O252,(VLOOKUP(A252,ScaledPrice,7))*(2-(VLOOKUP(A252,ScaledPrice,3)))),0))</f>
        <v> </v>
      </c>
      <c r="Q252" s="315" t="str">
        <f aca="false">IF(A252="N/A"," ",IF(AND(Dayrun&gt;2,Dayrun&lt;=3),VLOOKUP(A252,ScaledPrice,9),0))</f>
        <v> </v>
      </c>
      <c r="R252" s="316" t="str">
        <f aca="false">IF($A252="N/A"," ",IF(Pricetype=2,MAX(I252-$H252,0),IF(Pricetype=1,(xSPRDOPT(I252,$E252,$CI252,0,($CD252+IF(Smile=TRUE(),VLOOKUP(MAX(-5,$H252-I252),Volsmile,2),0)),$CG252,$CH252,($A252-DateToday)+15,1,0)),I252-$H252)))</f>
        <v> </v>
      </c>
      <c r="S252" s="316" t="str">
        <f aca="false">IF($A252="N/A"," ",IF(Pricetype=2,MAX(J252-$H252,0),IF(Pricetype=1,(xSPRDOPT(J252,$E252,$CI252,0,($CD252+IF(Smile=TRUE(),VLOOKUP(MAX(-5,$H252-J252),Volsmile,2),0)),$CG252,$CH252,($A252-DateToday)+15,1,0)),J252-$H252)))</f>
        <v> </v>
      </c>
      <c r="T252" s="317" t="str">
        <f aca="false">IF($A252="N/A"," ",(IF(Pricetype=2,IF((K252-$H252)&lt;=0,0,(K252-$H252)),IF(K252&lt;&gt;0,(K252-$H252),0))))</f>
        <v> </v>
      </c>
      <c r="U252" s="316" t="str">
        <f aca="false">IF($A252="N/A"," ",IF(Pricetype=2,MAX(L252-$H252,0),IF(L252&lt;&gt;0,IF(Pricetype=1,(xSPRDOPT(L252,$E252,$CI252,0,($CD252+IF(Smile=TRUE(),VLOOKUP(MAX(-5,$H252-L252),Volsmile,2),0)),$CG252,$CH252,($A252-DateToday)+15,1,0)),L252-$H252),0)))</f>
        <v> </v>
      </c>
      <c r="V252" s="316" t="str">
        <f aca="false">IF($A252="N/A"," ",IF(Pricetype=2,MAX(M252-$H252,0),IF(M252&lt;&gt;0,IF(Pricetype=1,(xSPRDOPT(M252,$E252,$CI252,0,($CD252+IF(Smile=TRUE(),VLOOKUP(MAX(-5,$H252-M252),Volsmile,2),0)),$CG252,$CH252,($A252-DateToday)+15,1,0)),M252-$H252),0)))</f>
        <v> </v>
      </c>
      <c r="W252" s="317" t="str">
        <f aca="false">IF($A252="N/A"," ",(IF(Pricetype=2,IF((N252-$H252)&lt;=0,0,(N252-$H252)),IF(N252&lt;&gt;0,(N252-$H252),0))))</f>
        <v> </v>
      </c>
      <c r="X252" s="316" t="str">
        <f aca="false">IF($A252="N/A"," ",IF(Pricetype=2,MAX(O252-$H252,0),IF(O252&lt;&gt;0,IF(Pricetype=1,(xSPRDOPT(O252,$E252,$CI252,0,($CD252+IF(Smile=TRUE(),VLOOKUP(MAX(-5,$H252-O252),Volsmile,2),0)),$CG252,$CH252,($A252-DateToday)+15,1,0)),O252-$H252),0)))</f>
        <v> </v>
      </c>
      <c r="Y252" s="316" t="str">
        <f aca="false">IF($A252="N/A"," ",IF(Pricetype=2,MAX(P252-$H252,0),IF(P252&lt;&gt;0,IF(Pricetype=1,(xSPRDOPT(P252,$E252,$CI252,0,($CD252+IF(Smile=TRUE(),VLOOKUP(MAX(-5,$H252-P252),Volsmile,2),0)),$CG252,$CH252,($A252-DateToday)+15,1,0)),P252-$H252),0)))</f>
        <v> </v>
      </c>
      <c r="Z252" s="317" t="str">
        <f aca="false">IF($A252="N/A"," ",(IF(Pricetype=2,IF((Q252-$H252)&lt;=0,0,(Q252-$H252)),IF(Q252&lt;&gt;0,(Q252-$H252),0))))</f>
        <v> </v>
      </c>
      <c r="AA252" s="318" t="str">
        <f aca="false">IF($A252="N/A"," ",IF(VLOOKUP(MONTH(A252),ManualTable,2)=1,(IF(0&lt;&gt;R252,IF(Pricetype=1,(xSPRDOPT(I252,$E252,$CI252,0,($CD252+IF(Smile=TRUE(),VLOOKUP(MAX(-5,$H252-I252),Volsmile,2),0)),$CG252,$CH252,($A252-DateToday)+15,1,1))*(8*$HD252),8*$HD252),0)),0))</f>
        <v> </v>
      </c>
      <c r="AB252" s="318" t="str">
        <f aca="false">IF($A252="N/A"," ",IF(VLOOKUP(MONTH(A252),ManualTable,3)=1,(IF(S252&lt;&gt;0,IF(Pricetype=1,(xSPRDOPT(J252,$E252,$CI252,0,($CD252+IF(Smile=TRUE(),VLOOKUP(MAX(-5,$H252-J252),Volsmile,2),0)),$CG252,$CH252,($A252-DateToday)+15,1,1))*(8*$HD252),8*$HD252),0)),0))</f>
        <v> </v>
      </c>
      <c r="AC252" s="318" t="str">
        <f aca="false">IF($A252="N/A"," ",IF(VLOOKUP(MONTH(A252),ManualTable,4)=1,(IF(T252&lt;&gt;0,(8*$HD252),0)),0))</f>
        <v> </v>
      </c>
      <c r="AD252" s="318" t="str">
        <f aca="false">IF($A252="N/A"," ",IF(VLOOKUP(MONTH(A252),ManualTable,5)=1,(IF(U252&lt;&gt;0,IF(Pricetype=1,(xSPRDOPT(L252,$E252,$CI252,0,($CD252+IF(Smile=TRUE(),VLOOKUP(MAX(-5,$H252-L252),Volsmile,2),0)),$CG252,$CH252,($A252-DateToday)+15,1,1))*(8*$HE252),8*$HE252),0)),0))</f>
        <v> </v>
      </c>
      <c r="AE252" s="318" t="str">
        <f aca="false">IF($A252="N/A"," ",IF(VLOOKUP(MONTH(A252),ManualTable,6)=1,(IF(V252&lt;&gt;0,IF(Pricetype=1,(xSPRDOPT(M252,$E252,$CI252,0,($CD252+IF(Smile=TRUE(),VLOOKUP(MAX(-5,$H252-M252),Volsmile,2),0)),$CG252,$CH252,($A252-DateToday)+15,1,1))*(8*$HE252),8*$HE252),0)),0))</f>
        <v> </v>
      </c>
      <c r="AF252" s="318" t="str">
        <f aca="false">IF($A252="N/A"," ",IF(VLOOKUP(MONTH(A252),ManualTable,7)=1,(IF(W252&lt;&gt;0,(8*$HE252),0)),0))</f>
        <v> </v>
      </c>
      <c r="AG252" s="318" t="str">
        <f aca="false">IF($A252="N/A"," ",IF(VLOOKUP(MONTH(A252),ManualTable,8)=1,(IF(X252&lt;&gt;0,IF(Pricetype=1,(xSPRDOPT(O252,$E252,$CI252,0,($CD252+IF(Smile=TRUE(),VLOOKUP(MAX(-5,$H252-O252),Volsmile,2),0)),$CG252,$CH252,($A252-DateToday)+15,1,1))*(8*$HF252),8*$HF252),0)),0))</f>
        <v> </v>
      </c>
      <c r="AH252" s="318" t="str">
        <f aca="false">IF($A252="N/A"," ",IF(VLOOKUP(MONTH(A252),ManualTable,9)=1,(IF(Y252&lt;&gt;0,IF(Pricetype=1,(xSPRDOPT(P252,$E252,$CI252,0,($CD252+IF(Smile=TRUE(),VLOOKUP(MAX(-5,$H252-P252),Volsmile,2),0)),$CG252,$CH252,($A252-DateToday)+15,1,1))*(8*$HF252),8*$HF252),0)),0))</f>
        <v> </v>
      </c>
      <c r="AI252" s="318" t="str">
        <f aca="false">IF($A252="N/A"," ",IF(VLOOKUP(MONTH(A252),ManualTable,10)=1,(IF(Z252&lt;&gt;0,(8*($HF252)),0)),0))</f>
        <v> </v>
      </c>
      <c r="AJ252" s="344" t="str">
        <f aca="false">IF($A252="N/A"," ",RANK(R252,$R$244:$Z$255))</f>
        <v> </v>
      </c>
      <c r="AK252" s="321" t="str">
        <f aca="false">IF($A252="N/A"," ",RANK(S252,$R$244:$Z$255))</f>
        <v> </v>
      </c>
      <c r="AL252" s="321" t="str">
        <f aca="false">IF($A252="N/A"," ",RANK(T252,$R$244:$Z$255))</f>
        <v> </v>
      </c>
      <c r="AM252" s="321" t="str">
        <f aca="false">IF($A252="N/A"," ",RANK(U252,$R$244:$Z$255))</f>
        <v> </v>
      </c>
      <c r="AN252" s="321" t="str">
        <f aca="false">IF($A252="N/A"," ",RANK(V252,$R$244:$Z$255))</f>
        <v> </v>
      </c>
      <c r="AO252" s="321" t="str">
        <f aca="false">IF($A252="N/A"," ",RANK(W252,$R$244:$Z$255))</f>
        <v> </v>
      </c>
      <c r="AP252" s="321" t="str">
        <f aca="false">IF($A252="N/A"," ",RANK(X252,$R$244:$Z$255))</f>
        <v> </v>
      </c>
      <c r="AQ252" s="321" t="str">
        <f aca="false">IF($A252="N/A"," ",RANK(Y252,$R$244:$Z$255))</f>
        <v> </v>
      </c>
      <c r="AR252" s="345" t="str">
        <f aca="false">IF($A252="N/A"," ",RANK(Z252,$R$244:$Z$255))</f>
        <v> </v>
      </c>
      <c r="AS252" s="323" t="str">
        <f aca="false">IF($A252="N/A"," ",IF(AJ252&lt;=$AR$2,AA252,0))</f>
        <v> </v>
      </c>
      <c r="AT252" s="325" t="str">
        <f aca="false">IF($A252="N/A"," ",IF(AK252&lt;=$AR$2,AB252,0))</f>
        <v> </v>
      </c>
      <c r="AU252" s="325" t="str">
        <f aca="false">IF($A252="N/A"," ",IF(AL252&lt;=$AR$2,AC252,0))</f>
        <v> </v>
      </c>
      <c r="AV252" s="325" t="str">
        <f aca="false">IF($A252="N/A"," ",IF(AM252&lt;=$AR$2,AD252,0))</f>
        <v> </v>
      </c>
      <c r="AW252" s="325" t="str">
        <f aca="false">IF($A252="N/A"," ",IF(AN252&lt;=$AR$2,AE252,0))</f>
        <v> </v>
      </c>
      <c r="AX252" s="325" t="str">
        <f aca="false">IF($A252="N/A"," ",IF(AO252&lt;=$AR$2,AF252,0))</f>
        <v> </v>
      </c>
      <c r="AY252" s="325" t="str">
        <f aca="false">IF($A252="N/A"," ",IF(AP252&lt;=$AR$2,AG252,0))</f>
        <v> </v>
      </c>
      <c r="AZ252" s="325" t="str">
        <f aca="false">IF($A252="N/A"," ",IF(AQ252&lt;=$AR$2,AH252,0))</f>
        <v> </v>
      </c>
      <c r="BA252" s="325" t="str">
        <f aca="false">IF($A252="N/A"," ",IF(AR252&lt;=$AR$2,AI252,0))</f>
        <v> </v>
      </c>
      <c r="BB252" s="347"/>
      <c r="BC252" s="326" t="str">
        <f aca="false">IF($A252="N/A"," ",IF(AND(AJ252=$AR$2+1,AS252=0),MIN($BB$255,AA252),0))</f>
        <v> </v>
      </c>
      <c r="BD252" s="346" t="str">
        <f aca="false">IF($A252="N/A"," ",IF(AND(AK252=$AR$2+1,AT252=0),MIN($BB$255,AB252),0))</f>
        <v> </v>
      </c>
      <c r="BE252" s="346" t="str">
        <f aca="false">IF($A252="N/A"," ",IF(AND(AL252=$AR$2+1,AU252=0),MIN($BB$255,AC252),0))</f>
        <v> </v>
      </c>
      <c r="BF252" s="346" t="str">
        <f aca="false">IF($A252="N/A"," ",IF(AND(AM252=$AR$2+1,AV252=0),MIN($BB$255,AD252),0))</f>
        <v> </v>
      </c>
      <c r="BG252" s="346" t="str">
        <f aca="false">IF($A252="N/A"," ",IF(AND(AN252=$AR$2+1,AW252=0),MIN($BB$255,AE252),0))</f>
        <v> </v>
      </c>
      <c r="BH252" s="346" t="str">
        <f aca="false">IF($A252="N/A"," ",IF(AND(AO252=$AR$2+1,AX252=0),MIN($BB$255,AF252),0))</f>
        <v> </v>
      </c>
      <c r="BI252" s="346" t="str">
        <f aca="false">IF($A252="N/A"," ",IF(AND(AP252=$AR$2+1,AY252=0),MIN($BB$255,AG252),0))</f>
        <v> </v>
      </c>
      <c r="BJ252" s="346" t="str">
        <f aca="false">IF($A252="N/A"," ",IF(AND(AQ252=$AR$2+1,AZ252=0),MIN($BB$255,AH252),0))</f>
        <v> </v>
      </c>
      <c r="BK252" s="346" t="str">
        <f aca="false">IF($A252="N/A"," ",IF(AND(AR252=$AR$2+1,BA252=0),MIN($BB$255,AI252),0))</f>
        <v> </v>
      </c>
      <c r="BL252" s="345"/>
      <c r="BM252" s="329" t="str">
        <f aca="false">IF($A252="N/A"," ",(IF(MONTH(A252)&gt;=4,IF(MONTH(A252)&lt;=10,Inputs!$F$13-Inputs!$G$13,Inputs!$F$14-Inputs!$G$14),Inputs!$F$14-Inputs!$G$14))*$CK252*Availability)</f>
        <v> </v>
      </c>
      <c r="BN252" s="330" t="str">
        <f aca="false">IF($A252="N/A"," ",(IF(AS252&gt;0,($BM252*(8*($HD252))*R252),0)+IF(BC252&gt;0,($BM252*((BC252/AA252)*8*$HD252)*R252),0)))</f>
        <v> </v>
      </c>
      <c r="BO252" s="330" t="str">
        <f aca="false">IF($A252="N/A"," ",(IF(AT252&gt;0,($BM252*(8*($HD252))*S252),0)+IF(BD252&gt;0,($BM252*((BD252/AB252)*8*$HD252)*S252),0)))</f>
        <v> </v>
      </c>
      <c r="BP252" s="330" t="str">
        <f aca="false">IF($A252="N/A"," ",(IF(AU252&gt;0,($BM252*(8*($HD252))*T252),0)+IF(BE252&gt;0,($BM252*((BE252))*T252),0)))</f>
        <v> </v>
      </c>
      <c r="BQ252" s="330" t="str">
        <f aca="false">IF($A252="N/A"," ",(IF(AV252&gt;0,($BM252*(8*($HE252))*U252),0)+IF(BF252&gt;0,($BM252*((BF252/AD252)*8*$HE252)*U252),0)))</f>
        <v> </v>
      </c>
      <c r="BR252" s="330" t="str">
        <f aca="false">IF($A252="N/A"," ",(IF(AW252&gt;0,($BM252*(8*($HE252))*V252),0)+IF(BG252&gt;0,($BM252*((BG252/AE252)*8*$HE252)*V252),0)))</f>
        <v> </v>
      </c>
      <c r="BS252" s="330" t="str">
        <f aca="false">IF($A252="N/A"," ",(IF(AX252&gt;0,($BM252*(8*($HE252))*W252),0)+IF(BH252&gt;0,($BM252*((BH252))*W252),0)))</f>
        <v> </v>
      </c>
      <c r="BT252" s="330" t="str">
        <f aca="false">IF($A252="N/A"," ",(IF(AY252&gt;0,($BM252*(8*($HF252))*X252),0)+IF(BI252&gt;0,($BM252*((BI252/AG252)*8*$HF252)*X252),0)))</f>
        <v> </v>
      </c>
      <c r="BU252" s="330" t="str">
        <f aca="false">IF($A252="N/A"," ",(IF(AZ252&gt;0,($BM252*(8*($HF252))*Y252),0)+IF(BJ252&gt;0,($BM252*((BJ252/AH252)*8*$HF252)*Y252),0)))</f>
        <v> </v>
      </c>
      <c r="BV252" s="330" t="str">
        <f aca="false">IF($A252="N/A"," ",(IF(BA252&gt;0,($BM252*(8*($HF252))*Z252),0)+IF(BK252&gt;0,($BM252*((BK252))*Z252),0)))</f>
        <v> </v>
      </c>
      <c r="BW252" s="330" t="str">
        <f aca="false">IF($A252="N/A"," ",SUM(BN252:BV252))</f>
        <v> </v>
      </c>
      <c r="BX252" s="331" t="str">
        <f aca="false">IF($A252="N/A"," ",(H252*(SUM(AS252:BA252)+SUM(BC252:BK252))*BM252))</f>
        <v> </v>
      </c>
      <c r="BY252" s="332" t="str">
        <f aca="false">IF($A252="N/A"," ",((C252*D252)*(SUM($AS252:$BA252)+SUM($BC252:$BK252))*$BM252))</f>
        <v> </v>
      </c>
      <c r="BZ252" s="332" t="str">
        <f aca="false">IF($A252="N/A"," ",(F252*(SUM($AS252:$BA252)+SUM($BC252:$BK252))*$BM252))</f>
        <v> </v>
      </c>
      <c r="CA252" s="333" t="str">
        <f aca="false">IF($A252="N/A"," ",(G252*(SUM($AS252:$BA252)+SUM($BC252:$BK252))*$BM252))</f>
        <v> </v>
      </c>
      <c r="CB252" s="334" t="str">
        <f aca="false">IF(A252="N/A"," ",(VLOOKUP(A252,PowerVolTable,(IF(BMO=2,7,IF(BMO=1,6,8))),FALSE())))</f>
        <v> </v>
      </c>
      <c r="CC252" s="334" t="str">
        <f aca="false">IF(A252="N/A"," ",(VLOOKUP(A252,IntraPowerVol,(IF(BMO=2,3,IF(BMO=1,2,4))),FALSE())*VLOOKUP(MONTH($A252),Volscale,2)))</f>
        <v> </v>
      </c>
      <c r="CD252" s="335" t="str">
        <f aca="false">IF($A252="N/A"," ",(IF(DateToday&gt;$A252,$CC252,((($CB252^2)*((($A252-1)-DateToday)/((EOMONTH($A252,0)+1)-DateToday-15)))+((($CC252)^2)*((15)/((EOMONTH($A252,0)+1)-DateToday-15))))^0.5)))</f>
        <v> </v>
      </c>
      <c r="CE252" s="334" t="str">
        <f aca="false">IF($A252="N/A"," ",(VLOOKUP($A252,GasVolTable,(IF(BMO=2,6,IF(BMO=1,7,5))),FALSE())))</f>
        <v> </v>
      </c>
      <c r="CF252" s="334" t="str">
        <f aca="false">IF($A252="N/A"," ",(VLOOKUP($A252,OmicronVol,(IF(BMO=2,3,IF(BMO=1,4,2))),FALSE())))</f>
        <v> </v>
      </c>
      <c r="CG252" s="335" t="str">
        <f aca="false">IF($A252="N/A"," ",(IF(DateToday&gt;$A252,$CF252,((($CE252^2)*((($A252-1)-DateToday)/((EOMONTH($A252,0)+1)-DateToday-15)))+((($CF252)^2)*((15)/((EOMONTH($A252,0)+1)-DateToday-15))))^0.5)))</f>
        <v> </v>
      </c>
      <c r="CH252" s="334" t="str">
        <f aca="false">IF($A252="N/A"," ",VLOOKUP($A252,CorrelationTable,2,FALSE()))</f>
        <v> </v>
      </c>
      <c r="CI252" s="336" t="str">
        <f aca="false">IF($A252="N/A"," ",F252+G252+(D252*('Pricing Inputs'!T285)))</f>
        <v> </v>
      </c>
      <c r="CJ252" s="334" t="str">
        <f aca="false">IF($A252="N/A"," ",IF(PV=1,0,'Pricing Inputs'!U285))</f>
        <v> </v>
      </c>
      <c r="CK252" s="337" t="str">
        <f aca="false">IF($A252="N/A"," ",(1+CJ252/2)^(-2*((EOMONTH(A252,0)+20)-DateToday)/365.25))</f>
        <v> </v>
      </c>
      <c r="CL252" s="338" t="str">
        <f aca="false">IF(A252="N/A"," ",IF(CC=2,(VLOOKUP(MONTH($A252),Hrtable,3))/1000,0))</f>
        <v> </v>
      </c>
      <c r="CM252" s="339" t="str">
        <f aca="false">IF(A252="N/A"," ",IF(CC=2,(CL252*C252)+F252,0))</f>
        <v> </v>
      </c>
      <c r="CN252" s="340" t="str">
        <f aca="false">IF($A252="N/A"," ",IF(CC=2,(VLOOKUP(A252,ScaledPrice,(IF(AND(Dayrun&gt;=1,Dayrun&lt;=6),2,4)))-((IF(R252&lt;&gt;0,$D252,$CL252)*$C252)+$F252+$G252)),0))</f>
        <v> </v>
      </c>
      <c r="CO252" s="340" t="str">
        <f aca="false">IF($A252="N/A"," ",IF(CC=2,(IF(AND(Dayrun&gt;=1,Dayrun&lt;=6),I252,(VLOOKUP(A252,ScaledPrice,2))*(2-(VLOOKUP(A252,ScaledPrice,3))))-((IF(S252&lt;&gt;0,$D252,$CL252)*$C252)+$F252+$G252)),0))</f>
        <v> </v>
      </c>
      <c r="CP252" s="340" t="str">
        <f aca="false">IF(A252="N/A"," ",IF(CC=2,(VLOOKUP(A252,ScaledPrice,9)-((IF(T252&lt;&gt;0,$D252,$CL252)*$C252)+$F252+$G252)),0))</f>
        <v> </v>
      </c>
      <c r="CQ252" s="340" t="str">
        <f aca="false">IF(A252="N/A"," ",IF(CC=2,(IF(OR(Dayrun=2,Dayrun=3,Dayrun=5,Dayrun=6,Dayrun=8,Dayrun=9),VLOOKUP(A252,ScaledPrice,IF(AND(Dayrun&gt;=2,Dayrun&lt;=6),5,6)),0)-((IF(U252&lt;&gt;0,$D252,$CL252)*$C252)+$F252+$G252)),0))</f>
        <v> </v>
      </c>
      <c r="CR252" s="340" t="str">
        <f aca="false">IF(A252="N/A"," ",IF(CC=2,(IF(OR(Dayrun=2,Dayrun=3,Dayrun=5,Dayrun=6,Dayrun=8,Dayrun=9),IF(AND(Dayrun&gt;=2,Dayrun&lt;=6),L252,(VLOOKUP(A252,ScaledPrice,5))*(2-(VLOOKUP(A252,ScaledPrice,3)))),0)-((IF(V252&lt;&gt;0,$D252,$CL252)*$C252)+$F252+$G252)),0))</f>
        <v> </v>
      </c>
      <c r="CS252" s="340" t="str">
        <f aca="false">IF(A252="N/A"," ",IF(CC=2,(VLOOKUP(A252,ScaledPrice,9)-((IF(W252&lt;&gt;0,$D252,$CL252)*$C252)+$F252+$G252)),0))</f>
        <v> </v>
      </c>
      <c r="CT252" s="340" t="str">
        <f aca="false">IF(A252="N/A"," ",IF(CC=2,(IF(OR(Dayrun=3,Dayrun=6,Dayrun=9),(VLOOKUP(A252,ScaledPrice,IF(AND(Dayrun&gt;=3,Dayrun&lt;=6),7,8))),0)-((IF(X252&lt;&gt;0,$D252,$CL252)*$C252)+$F252+$G252)),0))</f>
        <v> </v>
      </c>
      <c r="CU252" s="340" t="str">
        <f aca="false">IF(A252="N/A"," ",IF(CC=2,(IF(OR(Dayrun=3,Dayrun=6,Dayrun=9),IF(AND(Dayrun&gt;=3,Dayrun&lt;=6),O252,(VLOOKUP(A252,ScaledPrice,7))*(2-(VLOOKUP(A252,ScaledPrice,3)))),0)-((IF(Y252&lt;&gt;0,$D252,$CL252)*$C252)+$F252+$G252)),0))</f>
        <v> </v>
      </c>
      <c r="CV252" s="340" t="str">
        <f aca="false">IF(A252="N/A"," ",IF(CC=2,(VLOOKUP(A252,ScaledPrice,9)-((IF(Z252&lt;&gt;0,$D252,$CL252)*$C252)+$F252+$G252)),0))</f>
        <v> </v>
      </c>
      <c r="CW252" s="318" t="str">
        <f aca="false">IF($A252="N/A"," ",IF(0&lt;&gt;CN252,IF(CC=2,8*$HD252,0),0))</f>
        <v> </v>
      </c>
      <c r="CX252" s="318" t="str">
        <f aca="false">IF($A252="N/A"," ",IF(0&lt;&gt;CO252,IF(CC=2,8*$HD252,0),0))</f>
        <v> </v>
      </c>
      <c r="CY252" s="318" t="str">
        <f aca="false">IF($A252="N/A"," ",IF(0&lt;&gt;CP252,IF(CC=2,8*$HD252,0),0))</f>
        <v> </v>
      </c>
      <c r="CZ252" s="318" t="str">
        <f aca="false">IF($A252="N/A"," ",IF(0&lt;&gt;CQ252,IF(CC=2,8*$HE252,0),0))</f>
        <v> </v>
      </c>
      <c r="DA252" s="318" t="str">
        <f aca="false">IF($A252="N/A"," ",IF(0&lt;&gt;CR252,IF(CC=2,8*$HE252,0),0))</f>
        <v> </v>
      </c>
      <c r="DB252" s="318" t="str">
        <f aca="false">IF($A252="N/A"," ",IF(0&lt;&gt;CS252,IF(CC=2,8*$HE252,0),0))</f>
        <v> </v>
      </c>
      <c r="DC252" s="318" t="str">
        <f aca="false">IF($A252="N/A"," ",IF(0&lt;&gt;CT252,IF(CC=2,8*$HF252,0),0))</f>
        <v> </v>
      </c>
      <c r="DD252" s="318" t="str">
        <f aca="false">IF($A252="N/A"," ",IF(0&lt;&gt;CU252,IF(CC=2,8*$HF252,0),0))</f>
        <v> </v>
      </c>
      <c r="DE252" s="318" t="str">
        <f aca="false">IF($A252="N/A"," ",IF(0&lt;&gt;CV252,IF(CC=2,8*$HF252,0),0))</f>
        <v> </v>
      </c>
      <c r="DF252" s="341" t="str">
        <f aca="false">IF($A252="N/A"," ",IF(CC=2,(IF(MONTH(A252)&gt;=4,IF(MONTH(A252)&lt;=10,Inputs!$G$13,Inputs!$G$14),Inputs!$G$14))*$CK252,0))</f>
        <v> </v>
      </c>
      <c r="DG252" s="342" t="str">
        <f aca="false">IF($A252="N/A"," ",IF(CC=2,$DF252*CW252*CN252,0))</f>
        <v> </v>
      </c>
      <c r="DH252" s="342" t="str">
        <f aca="false">IF($A252="N/A"," ",IF(CC=2,$DF252*CX252*CO252,0))</f>
        <v> </v>
      </c>
      <c r="DI252" s="342" t="str">
        <f aca="false">IF($A252="N/A"," ",IF(CC=2,$DF252*CY252*CP252,0))</f>
        <v> </v>
      </c>
      <c r="DJ252" s="342" t="str">
        <f aca="false">IF($A252="N/A"," ",IF(CC=2,$DF252*CZ252*CQ252,0))</f>
        <v> </v>
      </c>
      <c r="DK252" s="342" t="str">
        <f aca="false">IF($A252="N/A"," ",IF(CC=2,$DF252*DA252*CR252,0))</f>
        <v> </v>
      </c>
      <c r="DL252" s="342" t="str">
        <f aca="false">IF($A252="N/A"," ",IF(CC=2,$DF252*DB252*CS252,0))</f>
        <v> </v>
      </c>
      <c r="DM252" s="342" t="str">
        <f aca="false">IF($A252="N/A"," ",IF(CC=2,$DF252*DC252*CT252,0))</f>
        <v> </v>
      </c>
      <c r="DN252" s="342" t="str">
        <f aca="false">IF($A252="N/A"," ",IF(CC=2,$DF252*DD252*CU252,0))</f>
        <v> </v>
      </c>
      <c r="DO252" s="342" t="str">
        <f aca="false">IF($A252="N/A"," ",IF(CC=2,$DF252*DE252*CV252,0))</f>
        <v> </v>
      </c>
      <c r="DP252" s="343" t="str">
        <f aca="false">IF($A252="N/A"," ",IF(CC=2,SUM(DG252:DO252),0))</f>
        <v> </v>
      </c>
      <c r="DQ252" s="0" t="str">
        <f aca="false">IF(A252="N/A"," ",Perstart)</f>
        <v> </v>
      </c>
      <c r="HD252" s="0" t="str">
        <f aca="false">IF($A252="N/A"," ",VLOOKUP($A252,NumberofDaysTable,2))</f>
        <v> </v>
      </c>
      <c r="HE252" s="0" t="str">
        <f aca="false">IF($A252="N/A"," ",VLOOKUP($A252,NumberofDaysTable,3))</f>
        <v> </v>
      </c>
      <c r="HF252" s="0" t="str">
        <f aca="false">IF($A252="N/A"," ",VLOOKUP($A252,NumberofDaysTable,4))</f>
        <v> </v>
      </c>
    </row>
    <row r="253" customFormat="false" ht="12.75" hidden="false" customHeight="false" outlineLevel="0" collapsed="false">
      <c r="A253" s="308" t="str">
        <f aca="false">IF(A252="N/A","N/A",IF(EDATE(A252,1)&gt;Inputs!$K$3,"N/A",EDATE(A252,1)))</f>
        <v>N/A</v>
      </c>
      <c r="B253" s="309" t="str">
        <f aca="false">IF(A253="N/A"," ",YEAR(A253))</f>
        <v> </v>
      </c>
      <c r="C253" s="310" t="str">
        <f aca="false">IF(A253="N/A"," ",VLOOKUP(A253,ScaledPrice,10))</f>
        <v> </v>
      </c>
      <c r="D253" s="311" t="str">
        <f aca="false">IF(A253="N/A"," ",(VLOOKUP(MONTH($A253),Hrtable,2))/1000)</f>
        <v> </v>
      </c>
      <c r="E253" s="312" t="str">
        <f aca="false">IF($A253="N/A"," ",(C253-'Pricing Inputs'!T286)*D253)</f>
        <v> </v>
      </c>
      <c r="F253" s="313" t="str">
        <f aca="false">IF(A253="N/A"," ",$F241*(1+VOMesc))</f>
        <v> </v>
      </c>
      <c r="G253" s="313" t="str">
        <f aca="false">IF(A253="N/A"," ",Perstart/IF(AND(Dayrun&gt;=4,Dayrun&lt;=6),16,IF(AND(Dayrun&gt;=7,Dayrun&lt;=9),8,24))/(BM253/CK253))</f>
        <v> </v>
      </c>
      <c r="H253" s="314" t="str">
        <f aca="false">IF(A253="N/A"," ",(C253*D253)+F253+G253)</f>
        <v> </v>
      </c>
      <c r="I253" s="315" t="str">
        <f aca="false">VLOOKUP(A253,ScaledPrice,(IF(AND(Dayrun&gt;=1,Dayrun&lt;=6),2,4)))</f>
        <v> </v>
      </c>
      <c r="J253" s="315" t="str">
        <f aca="false">IF(A253="N/A"," ",IF(AND(Dayrun&gt;=1,Dayrun&lt;=6),I253,(VLOOKUP(A253,ScaledPrice,2))*(2-(VLOOKUP(A253,ScaledPrice,3)))))</f>
        <v> </v>
      </c>
      <c r="K253" s="315" t="str">
        <f aca="false">IF(A253="N/A"," ",IF(AND(Dayrun&gt;=1,Dayrun&lt;=3),VLOOKUP(A253,ScaledPrice,9),0))</f>
        <v> </v>
      </c>
      <c r="L253" s="315" t="str">
        <f aca="false">IF(A253="N/A"," ",IF(OR(Dayrun=2,Dayrun=3,Dayrun=5,Dayrun=6,Dayrun=8,Dayrun=9),VLOOKUP(A253,ScaledPrice,IF(AND(Dayrun&gt;=2,Dayrun&lt;=6),5,6)),0))</f>
        <v> </v>
      </c>
      <c r="M253" s="315" t="str">
        <f aca="false">IF(A253="N/A"," ",IF(OR(Dayrun=2,Dayrun=3,Dayrun=5,Dayrun=6,Dayrun=8,Dayrun=9),IF(AND(Dayrun&gt;=2,Dayrun&lt;=6),L253,(VLOOKUP(A253,ScaledPrice,5))*(2-(VLOOKUP(A253,ScaledPrice,3)))),0))</f>
        <v> </v>
      </c>
      <c r="N253" s="315" t="str">
        <f aca="false">IF(A253="N/A"," ",IF(AND(Dayrun&gt;1,Dayrun&lt;=3),VLOOKUP(A253,ScaledPrice,9),0))</f>
        <v> </v>
      </c>
      <c r="O253" s="315" t="str">
        <f aca="false">IF(A253="N/A"," ",IF(OR(Dayrun=3,Dayrun=6,Dayrun=9),(VLOOKUP(A253,ScaledPrice,IF(AND(Dayrun&gt;=3,Dayrun&lt;=6),7,8))),0))</f>
        <v> </v>
      </c>
      <c r="P253" s="315" t="str">
        <f aca="false">IF(A253="N/A"," ",IF(OR(Dayrun=3,Dayrun=6,Dayrun=9),IF(AND(Dayrun&gt;=3,Dayrun&lt;=6),O253,(VLOOKUP(A253,ScaledPrice,7))*(2-(VLOOKUP(A253,ScaledPrice,3)))),0))</f>
        <v> </v>
      </c>
      <c r="Q253" s="315" t="str">
        <f aca="false">IF(A253="N/A"," ",IF(AND(Dayrun&gt;2,Dayrun&lt;=3),VLOOKUP(A253,ScaledPrice,9),0))</f>
        <v> </v>
      </c>
      <c r="R253" s="316" t="str">
        <f aca="false">IF($A253="N/A"," ",IF(Pricetype=2,MAX(I253-$H253,0),IF(Pricetype=1,(xSPRDOPT(I253,$E253,$CI253,0,($CD253+IF(Smile=TRUE(),VLOOKUP(MAX(-5,$H253-I253),Volsmile,2),0)),$CG253,$CH253,($A253-DateToday)+15,1,0)),I253-$H253)))</f>
        <v> </v>
      </c>
      <c r="S253" s="316" t="str">
        <f aca="false">IF($A253="N/A"," ",IF(Pricetype=2,MAX(J253-$H253,0),IF(Pricetype=1,(xSPRDOPT(J253,$E253,$CI253,0,($CD253+IF(Smile=TRUE(),VLOOKUP(MAX(-5,$H253-J253),Volsmile,2),0)),$CG253,$CH253,($A253-DateToday)+15,1,0)),J253-$H253)))</f>
        <v> </v>
      </c>
      <c r="T253" s="317" t="str">
        <f aca="false">IF($A253="N/A"," ",(IF(Pricetype=2,IF((K253-$H253)&lt;=0,0,(K253-$H253)),IF(K253&lt;&gt;0,(K253-$H253),0))))</f>
        <v> </v>
      </c>
      <c r="U253" s="316" t="str">
        <f aca="false">IF($A253="N/A"," ",IF(Pricetype=2,MAX(L253-$H253,0),IF(L253&lt;&gt;0,IF(Pricetype=1,(xSPRDOPT(L253,$E253,$CI253,0,($CD253+IF(Smile=TRUE(),VLOOKUP(MAX(-5,$H253-L253),Volsmile,2),0)),$CG253,$CH253,($A253-DateToday)+15,1,0)),L253-$H253),0)))</f>
        <v> </v>
      </c>
      <c r="V253" s="316" t="str">
        <f aca="false">IF($A253="N/A"," ",IF(Pricetype=2,MAX(M253-$H253,0),IF(M253&lt;&gt;0,IF(Pricetype=1,(xSPRDOPT(M253,$E253,$CI253,0,($CD253+IF(Smile=TRUE(),VLOOKUP(MAX(-5,$H253-M253),Volsmile,2),0)),$CG253,$CH253,($A253-DateToday)+15,1,0)),M253-$H253),0)))</f>
        <v> </v>
      </c>
      <c r="W253" s="317" t="str">
        <f aca="false">IF($A253="N/A"," ",(IF(Pricetype=2,IF((N253-$H253)&lt;=0,0,(N253-$H253)),IF(N253&lt;&gt;0,(N253-$H253),0))))</f>
        <v> </v>
      </c>
      <c r="X253" s="316" t="str">
        <f aca="false">IF($A253="N/A"," ",IF(Pricetype=2,MAX(O253-$H253,0),IF(O253&lt;&gt;0,IF(Pricetype=1,(xSPRDOPT(O253,$E253,$CI253,0,($CD253+IF(Smile=TRUE(),VLOOKUP(MAX(-5,$H253-O253),Volsmile,2),0)),$CG253,$CH253,($A253-DateToday)+15,1,0)),O253-$H253),0)))</f>
        <v> </v>
      </c>
      <c r="Y253" s="316" t="str">
        <f aca="false">IF($A253="N/A"," ",IF(Pricetype=2,MAX(P253-$H253,0),IF(P253&lt;&gt;0,IF(Pricetype=1,(xSPRDOPT(P253,$E253,$CI253,0,($CD253+IF(Smile=TRUE(),VLOOKUP(MAX(-5,$H253-P253),Volsmile,2),0)),$CG253,$CH253,($A253-DateToday)+15,1,0)),P253-$H253),0)))</f>
        <v> </v>
      </c>
      <c r="Z253" s="317" t="str">
        <f aca="false">IF($A253="N/A"," ",(IF(Pricetype=2,IF((Q253-$H253)&lt;=0,0,(Q253-$H253)),IF(Q253&lt;&gt;0,(Q253-$H253),0))))</f>
        <v> </v>
      </c>
      <c r="AA253" s="318" t="str">
        <f aca="false">IF($A253="N/A"," ",IF(VLOOKUP(MONTH(A253),ManualTable,2)=1,(IF(0&lt;&gt;R253,IF(Pricetype=1,(xSPRDOPT(I253,$E253,$CI253,0,($CD253+IF(Smile=TRUE(),VLOOKUP(MAX(-5,$H253-I253),Volsmile,2),0)),$CG253,$CH253,($A253-DateToday)+15,1,1))*(8*$HD253),8*$HD253),0)),0))</f>
        <v> </v>
      </c>
      <c r="AB253" s="318" t="str">
        <f aca="false">IF($A253="N/A"," ",IF(VLOOKUP(MONTH(A253),ManualTable,3)=1,(IF(S253&lt;&gt;0,IF(Pricetype=1,(xSPRDOPT(J253,$E253,$CI253,0,($CD253+IF(Smile=TRUE(),VLOOKUP(MAX(-5,$H253-J253),Volsmile,2),0)),$CG253,$CH253,($A253-DateToday)+15,1,1))*(8*$HD253),8*$HD253),0)),0))</f>
        <v> </v>
      </c>
      <c r="AC253" s="318" t="str">
        <f aca="false">IF($A253="N/A"," ",IF(VLOOKUP(MONTH(A253),ManualTable,4)=1,(IF(T253&lt;&gt;0,(8*$HD253),0)),0))</f>
        <v> </v>
      </c>
      <c r="AD253" s="318" t="str">
        <f aca="false">IF($A253="N/A"," ",IF(VLOOKUP(MONTH(A253),ManualTable,5)=1,(IF(U253&lt;&gt;0,IF(Pricetype=1,(xSPRDOPT(L253,$E253,$CI253,0,($CD253+IF(Smile=TRUE(),VLOOKUP(MAX(-5,$H253-L253),Volsmile,2),0)),$CG253,$CH253,($A253-DateToday)+15,1,1))*(8*$HE253),8*$HE253),0)),0))</f>
        <v> </v>
      </c>
      <c r="AE253" s="318" t="str">
        <f aca="false">IF($A253="N/A"," ",IF(VLOOKUP(MONTH(A253),ManualTable,6)=1,(IF(V253&lt;&gt;0,IF(Pricetype=1,(xSPRDOPT(M253,$E253,$CI253,0,($CD253+IF(Smile=TRUE(),VLOOKUP(MAX(-5,$H253-M253),Volsmile,2),0)),$CG253,$CH253,($A253-DateToday)+15,1,1))*(8*$HE253),8*$HE253),0)),0))</f>
        <v> </v>
      </c>
      <c r="AF253" s="318" t="str">
        <f aca="false">IF($A253="N/A"," ",IF(VLOOKUP(MONTH(A253),ManualTable,7)=1,(IF(W253&lt;&gt;0,(8*$HE253),0)),0))</f>
        <v> </v>
      </c>
      <c r="AG253" s="318" t="str">
        <f aca="false">IF($A253="N/A"," ",IF(VLOOKUP(MONTH(A253),ManualTable,8)=1,(IF(X253&lt;&gt;0,IF(Pricetype=1,(xSPRDOPT(O253,$E253,$CI253,0,($CD253+IF(Smile=TRUE(),VLOOKUP(MAX(-5,$H253-O253),Volsmile,2),0)),$CG253,$CH253,($A253-DateToday)+15,1,1))*(8*$HF253),8*$HF253),0)),0))</f>
        <v> </v>
      </c>
      <c r="AH253" s="318" t="str">
        <f aca="false">IF($A253="N/A"," ",IF(VLOOKUP(MONTH(A253),ManualTable,9)=1,(IF(Y253&lt;&gt;0,IF(Pricetype=1,(xSPRDOPT(P253,$E253,$CI253,0,($CD253+IF(Smile=TRUE(),VLOOKUP(MAX(-5,$H253-P253),Volsmile,2),0)),$CG253,$CH253,($A253-DateToday)+15,1,1))*(8*$HF253),8*$HF253),0)),0))</f>
        <v> </v>
      </c>
      <c r="AI253" s="318" t="str">
        <f aca="false">IF($A253="N/A"," ",IF(VLOOKUP(MONTH(A253),ManualTable,10)=1,(IF(Z253&lt;&gt;0,(8*($HF253)),0)),0))</f>
        <v> </v>
      </c>
      <c r="AJ253" s="344" t="str">
        <f aca="false">IF($A253="N/A"," ",RANK(R253,$R$244:$Z$255))</f>
        <v> </v>
      </c>
      <c r="AK253" s="321" t="str">
        <f aca="false">IF($A253="N/A"," ",RANK(S253,$R$244:$Z$255))</f>
        <v> </v>
      </c>
      <c r="AL253" s="321" t="str">
        <f aca="false">IF($A253="N/A"," ",RANK(T253,$R$244:$Z$255))</f>
        <v> </v>
      </c>
      <c r="AM253" s="321" t="str">
        <f aca="false">IF($A253="N/A"," ",RANK(U253,$R$244:$Z$255))</f>
        <v> </v>
      </c>
      <c r="AN253" s="321" t="str">
        <f aca="false">IF($A253="N/A"," ",RANK(V253,$R$244:$Z$255))</f>
        <v> </v>
      </c>
      <c r="AO253" s="321" t="str">
        <f aca="false">IF($A253="N/A"," ",RANK(W253,$R$244:$Z$255))</f>
        <v> </v>
      </c>
      <c r="AP253" s="321" t="str">
        <f aca="false">IF($A253="N/A"," ",RANK(X253,$R$244:$Z$255))</f>
        <v> </v>
      </c>
      <c r="AQ253" s="321" t="str">
        <f aca="false">IF($A253="N/A"," ",RANK(Y253,$R$244:$Z$255))</f>
        <v> </v>
      </c>
      <c r="AR253" s="345" t="str">
        <f aca="false">IF($A253="N/A"," ",RANK(Z253,$R$244:$Z$255))</f>
        <v> </v>
      </c>
      <c r="AS253" s="323" t="str">
        <f aca="false">IF($A253="N/A"," ",IF(AJ253&lt;=$AR$2,AA253,0))</f>
        <v> </v>
      </c>
      <c r="AT253" s="325" t="str">
        <f aca="false">IF($A253="N/A"," ",IF(AK253&lt;=$AR$2,AB253,0))</f>
        <v> </v>
      </c>
      <c r="AU253" s="325" t="str">
        <f aca="false">IF($A253="N/A"," ",IF(AL253&lt;=$AR$2,AC253,0))</f>
        <v> </v>
      </c>
      <c r="AV253" s="325" t="str">
        <f aca="false">IF($A253="N/A"," ",IF(AM253&lt;=$AR$2,AD253,0))</f>
        <v> </v>
      </c>
      <c r="AW253" s="325" t="str">
        <f aca="false">IF($A253="N/A"," ",IF(AN253&lt;=$AR$2,AE253,0))</f>
        <v> </v>
      </c>
      <c r="AX253" s="325" t="str">
        <f aca="false">IF($A253="N/A"," ",IF(AO253&lt;=$AR$2,AF253,0))</f>
        <v> </v>
      </c>
      <c r="AY253" s="325" t="str">
        <f aca="false">IF($A253="N/A"," ",IF(AP253&lt;=$AR$2,AG253,0))</f>
        <v> </v>
      </c>
      <c r="AZ253" s="325" t="str">
        <f aca="false">IF($A253="N/A"," ",IF(AQ253&lt;=$AR$2,AH253,0))</f>
        <v> </v>
      </c>
      <c r="BA253" s="325" t="str">
        <f aca="false">IF($A253="N/A"," ",IF(AR253&lt;=$AR$2,AI253,0))</f>
        <v> </v>
      </c>
      <c r="BB253" s="348" t="s">
        <v>1319</v>
      </c>
      <c r="BC253" s="326" t="str">
        <f aca="false">IF($A253="N/A"," ",IF(AND(AJ253=$AR$2+1,AS253=0),MIN($BB$255,AA253),0))</f>
        <v> </v>
      </c>
      <c r="BD253" s="346" t="str">
        <f aca="false">IF($A253="N/A"," ",IF(AND(AK253=$AR$2+1,AT253=0),MIN($BB$255,AB253),0))</f>
        <v> </v>
      </c>
      <c r="BE253" s="346" t="str">
        <f aca="false">IF($A253="N/A"," ",IF(AND(AL253=$AR$2+1,AU253=0),MIN($BB$255,AC253),0))</f>
        <v> </v>
      </c>
      <c r="BF253" s="346" t="str">
        <f aca="false">IF($A253="N/A"," ",IF(AND(AM253=$AR$2+1,AV253=0),MIN($BB$255,AD253),0))</f>
        <v> </v>
      </c>
      <c r="BG253" s="346" t="str">
        <f aca="false">IF($A253="N/A"," ",IF(AND(AN253=$AR$2+1,AW253=0),MIN($BB$255,AE253),0))</f>
        <v> </v>
      </c>
      <c r="BH253" s="346" t="str">
        <f aca="false">IF($A253="N/A"," ",IF(AND(AO253=$AR$2+1,AX253=0),MIN($BB$255,AF253),0))</f>
        <v> </v>
      </c>
      <c r="BI253" s="346" t="str">
        <f aca="false">IF($A253="N/A"," ",IF(AND(AP253=$AR$2+1,AY253=0),MIN($BB$255,AG253),0))</f>
        <v> </v>
      </c>
      <c r="BJ253" s="346" t="str">
        <f aca="false">IF($A253="N/A"," ",IF(AND(AQ253=$AR$2+1,AZ253=0),MIN($BB$255,AH253),0))</f>
        <v> </v>
      </c>
      <c r="BK253" s="346" t="str">
        <f aca="false">IF($A253="N/A"," ",IF(AND(AR253=$AR$2+1,BA253=0),MIN($BB$255,AI253),0))</f>
        <v> </v>
      </c>
      <c r="BL253" s="347" t="s">
        <v>1359</v>
      </c>
      <c r="BM253" s="329" t="str">
        <f aca="false">IF($A253="N/A"," ",(IF(MONTH(A253)&gt;=4,IF(MONTH(A253)&lt;=10,Inputs!$F$13-Inputs!$G$13,Inputs!$F$14-Inputs!$G$14),Inputs!$F$14-Inputs!$G$14))*$CK253*Availability)</f>
        <v> </v>
      </c>
      <c r="BN253" s="330" t="str">
        <f aca="false">IF($A253="N/A"," ",(IF(AS253&gt;0,($BM253*(8*($HD253))*R253),0)+IF(BC253&gt;0,($BM253*((BC253/AA253)*8*$HD253)*R253),0)))</f>
        <v> </v>
      </c>
      <c r="BO253" s="330" t="str">
        <f aca="false">IF($A253="N/A"," ",(IF(AT253&gt;0,($BM253*(8*($HD253))*S253),0)+IF(BD253&gt;0,($BM253*((BD253/AB253)*8*$HD253)*S253),0)))</f>
        <v> </v>
      </c>
      <c r="BP253" s="330" t="str">
        <f aca="false">IF($A253="N/A"," ",(IF(AU253&gt;0,($BM253*(8*($HD253))*T253),0)+IF(BE253&gt;0,($BM253*((BE253))*T253),0)))</f>
        <v> </v>
      </c>
      <c r="BQ253" s="330" t="str">
        <f aca="false">IF($A253="N/A"," ",(IF(AV253&gt;0,($BM253*(8*($HE253))*U253),0)+IF(BF253&gt;0,($BM253*((BF253/AD253)*8*$HE253)*U253),0)))</f>
        <v> </v>
      </c>
      <c r="BR253" s="330" t="str">
        <f aca="false">IF($A253="N/A"," ",(IF(AW253&gt;0,($BM253*(8*($HE253))*V253),0)+IF(BG253&gt;0,($BM253*((BG253/AE253)*8*$HE253)*V253),0)))</f>
        <v> </v>
      </c>
      <c r="BS253" s="330" t="str">
        <f aca="false">IF($A253="N/A"," ",(IF(AX253&gt;0,($BM253*(8*($HE253))*W253),0)+IF(BH253&gt;0,($BM253*((BH253))*W253),0)))</f>
        <v> </v>
      </c>
      <c r="BT253" s="330" t="str">
        <f aca="false">IF($A253="N/A"," ",(IF(AY253&gt;0,($BM253*(8*($HF253))*X253),0)+IF(BI253&gt;0,($BM253*((BI253/AG253)*8*$HF253)*X253),0)))</f>
        <v> </v>
      </c>
      <c r="BU253" s="330" t="str">
        <f aca="false">IF($A253="N/A"," ",(IF(AZ253&gt;0,($BM253*(8*($HF253))*Y253),0)+IF(BJ253&gt;0,($BM253*((BJ253/AH253)*8*$HF253)*Y253),0)))</f>
        <v> </v>
      </c>
      <c r="BV253" s="330" t="str">
        <f aca="false">IF($A253="N/A"," ",(IF(BA253&gt;0,($BM253*(8*($HF253))*Z253),0)+IF(BK253&gt;0,($BM253*((BK253))*Z253),0)))</f>
        <v> </v>
      </c>
      <c r="BW253" s="330" t="str">
        <f aca="false">IF($A253="N/A"," ",SUM(BN253:BV253))</f>
        <v> </v>
      </c>
      <c r="BX253" s="331" t="str">
        <f aca="false">IF($A253="N/A"," ",(H253*(SUM(AS253:BA253)+SUM(BC253:BK253))*BM253))</f>
        <v> </v>
      </c>
      <c r="BY253" s="332" t="str">
        <f aca="false">IF($A253="N/A"," ",((C253*D253)*(SUM($AS253:$BA253)+SUM($BC253:$BK253))*$BM253))</f>
        <v> </v>
      </c>
      <c r="BZ253" s="332" t="str">
        <f aca="false">IF($A253="N/A"," ",(F253*(SUM($AS253:$BA253)+SUM($BC253:$BK253))*$BM253))</f>
        <v> </v>
      </c>
      <c r="CA253" s="333" t="str">
        <f aca="false">IF($A253="N/A"," ",(G253*(SUM($AS253:$BA253)+SUM($BC253:$BK253))*$BM253))</f>
        <v> </v>
      </c>
      <c r="CB253" s="334" t="str">
        <f aca="false">IF(A253="N/A"," ",(VLOOKUP(A253,PowerVolTable,(IF(BMO=2,7,IF(BMO=1,6,8))),FALSE())))</f>
        <v> </v>
      </c>
      <c r="CC253" s="334" t="str">
        <f aca="false">IF(A253="N/A"," ",(VLOOKUP(A253,IntraPowerVol,(IF(BMO=2,3,IF(BMO=1,2,4))),FALSE())*VLOOKUP(MONTH($A253),Volscale,2)))</f>
        <v> </v>
      </c>
      <c r="CD253" s="335" t="str">
        <f aca="false">IF($A253="N/A"," ",(IF(DateToday&gt;$A253,$CC253,((($CB253^2)*((($A253-1)-DateToday)/((EOMONTH($A253,0)+1)-DateToday-15)))+((($CC253)^2)*((15)/((EOMONTH($A253,0)+1)-DateToday-15))))^0.5)))</f>
        <v> </v>
      </c>
      <c r="CE253" s="334" t="str">
        <f aca="false">IF($A253="N/A"," ",(VLOOKUP($A253,GasVolTable,(IF(BMO=2,6,IF(BMO=1,7,5))),FALSE())))</f>
        <v> </v>
      </c>
      <c r="CF253" s="334" t="str">
        <f aca="false">IF($A253="N/A"," ",(VLOOKUP($A253,OmicronVol,(IF(BMO=2,3,IF(BMO=1,4,2))),FALSE())))</f>
        <v> </v>
      </c>
      <c r="CG253" s="335" t="str">
        <f aca="false">IF($A253="N/A"," ",(IF(DateToday&gt;$A253,$CF253,((($CE253^2)*((($A253-1)-DateToday)/((EOMONTH($A253,0)+1)-DateToday-15)))+((($CF253)^2)*((15)/((EOMONTH($A253,0)+1)-DateToday-15))))^0.5)))</f>
        <v> </v>
      </c>
      <c r="CH253" s="334" t="str">
        <f aca="false">IF($A253="N/A"," ",VLOOKUP($A253,CorrelationTable,2,FALSE()))</f>
        <v> </v>
      </c>
      <c r="CI253" s="336" t="str">
        <f aca="false">IF($A253="N/A"," ",F253+G253+(D253*('Pricing Inputs'!T286)))</f>
        <v> </v>
      </c>
      <c r="CJ253" s="334" t="str">
        <f aca="false">IF($A253="N/A"," ",IF(PV=1,0,'Pricing Inputs'!U286))</f>
        <v> </v>
      </c>
      <c r="CK253" s="337" t="str">
        <f aca="false">IF($A253="N/A"," ",(1+CJ253/2)^(-2*((EOMONTH(A253,0)+20)-DateToday)/365.25))</f>
        <v> </v>
      </c>
      <c r="CL253" s="338" t="str">
        <f aca="false">IF(A253="N/A"," ",IF(CC=2,(VLOOKUP(MONTH($A253),Hrtable,3))/1000,0))</f>
        <v> </v>
      </c>
      <c r="CM253" s="339" t="str">
        <f aca="false">IF(A253="N/A"," ",IF(CC=2,(CL253*C253)+F253,0))</f>
        <v> </v>
      </c>
      <c r="CN253" s="340" t="str">
        <f aca="false">IF($A253="N/A"," ",IF(CC=2,(VLOOKUP(A253,ScaledPrice,(IF(AND(Dayrun&gt;=1,Dayrun&lt;=6),2,4)))-((IF(R253&lt;&gt;0,$D253,$CL253)*$C253)+$F253+$G253)),0))</f>
        <v> </v>
      </c>
      <c r="CO253" s="340" t="str">
        <f aca="false">IF($A253="N/A"," ",IF(CC=2,(IF(AND(Dayrun&gt;=1,Dayrun&lt;=6),I253,(VLOOKUP(A253,ScaledPrice,2))*(2-(VLOOKUP(A253,ScaledPrice,3))))-((IF(S253&lt;&gt;0,$D253,$CL253)*$C253)+$F253+$G253)),0))</f>
        <v> </v>
      </c>
      <c r="CP253" s="340" t="str">
        <f aca="false">IF(A253="N/A"," ",IF(CC=2,(VLOOKUP(A253,ScaledPrice,9)-((IF(T253&lt;&gt;0,$D253,$CL253)*$C253)+$F253+$G253)),0))</f>
        <v> </v>
      </c>
      <c r="CQ253" s="340" t="str">
        <f aca="false">IF(A253="N/A"," ",IF(CC=2,(IF(OR(Dayrun=2,Dayrun=3,Dayrun=5,Dayrun=6,Dayrun=8,Dayrun=9),VLOOKUP(A253,ScaledPrice,IF(AND(Dayrun&gt;=2,Dayrun&lt;=6),5,6)),0)-((IF(U253&lt;&gt;0,$D253,$CL253)*$C253)+$F253+$G253)),0))</f>
        <v> </v>
      </c>
      <c r="CR253" s="340" t="str">
        <f aca="false">IF(A253="N/A"," ",IF(CC=2,(IF(OR(Dayrun=2,Dayrun=3,Dayrun=5,Dayrun=6,Dayrun=8,Dayrun=9),IF(AND(Dayrun&gt;=2,Dayrun&lt;=6),L253,(VLOOKUP(A253,ScaledPrice,5))*(2-(VLOOKUP(A253,ScaledPrice,3)))),0)-((IF(V253&lt;&gt;0,$D253,$CL253)*$C253)+$F253+$G253)),0))</f>
        <v> </v>
      </c>
      <c r="CS253" s="340" t="str">
        <f aca="false">IF(A253="N/A"," ",IF(CC=2,(VLOOKUP(A253,ScaledPrice,9)-((IF(W253&lt;&gt;0,$D253,$CL253)*$C253)+$F253+$G253)),0))</f>
        <v> </v>
      </c>
      <c r="CT253" s="340" t="str">
        <f aca="false">IF(A253="N/A"," ",IF(CC=2,(IF(OR(Dayrun=3,Dayrun=6,Dayrun=9),(VLOOKUP(A253,ScaledPrice,IF(AND(Dayrun&gt;=3,Dayrun&lt;=6),7,8))),0)-((IF(X253&lt;&gt;0,$D253,$CL253)*$C253)+$F253+$G253)),0))</f>
        <v> </v>
      </c>
      <c r="CU253" s="340" t="str">
        <f aca="false">IF(A253="N/A"," ",IF(CC=2,(IF(OR(Dayrun=3,Dayrun=6,Dayrun=9),IF(AND(Dayrun&gt;=3,Dayrun&lt;=6),O253,(VLOOKUP(A253,ScaledPrice,7))*(2-(VLOOKUP(A253,ScaledPrice,3)))),0)-((IF(Y253&lt;&gt;0,$D253,$CL253)*$C253)+$F253+$G253)),0))</f>
        <v> </v>
      </c>
      <c r="CV253" s="340" t="str">
        <f aca="false">IF(A253="N/A"," ",IF(CC=2,(VLOOKUP(A253,ScaledPrice,9)-((IF(Z253&lt;&gt;0,$D253,$CL253)*$C253)+$F253+$G253)),0))</f>
        <v> </v>
      </c>
      <c r="CW253" s="318" t="str">
        <f aca="false">IF($A253="N/A"," ",IF(0&lt;&gt;CN253,IF(CC=2,8*$HD253,0),0))</f>
        <v> </v>
      </c>
      <c r="CX253" s="318" t="str">
        <f aca="false">IF($A253="N/A"," ",IF(0&lt;&gt;CO253,IF(CC=2,8*$HD253,0),0))</f>
        <v> </v>
      </c>
      <c r="CY253" s="318" t="str">
        <f aca="false">IF($A253="N/A"," ",IF(0&lt;&gt;CP253,IF(CC=2,8*$HD253,0),0))</f>
        <v> </v>
      </c>
      <c r="CZ253" s="318" t="str">
        <f aca="false">IF($A253="N/A"," ",IF(0&lt;&gt;CQ253,IF(CC=2,8*$HE253,0),0))</f>
        <v> </v>
      </c>
      <c r="DA253" s="318" t="str">
        <f aca="false">IF($A253="N/A"," ",IF(0&lt;&gt;CR253,IF(CC=2,8*$HE253,0),0))</f>
        <v> </v>
      </c>
      <c r="DB253" s="318" t="str">
        <f aca="false">IF($A253="N/A"," ",IF(0&lt;&gt;CS253,IF(CC=2,8*$HE253,0),0))</f>
        <v> </v>
      </c>
      <c r="DC253" s="318" t="str">
        <f aca="false">IF($A253="N/A"," ",IF(0&lt;&gt;CT253,IF(CC=2,8*$HF253,0),0))</f>
        <v> </v>
      </c>
      <c r="DD253" s="318" t="str">
        <f aca="false">IF($A253="N/A"," ",IF(0&lt;&gt;CU253,IF(CC=2,8*$HF253,0),0))</f>
        <v> </v>
      </c>
      <c r="DE253" s="318" t="str">
        <f aca="false">IF($A253="N/A"," ",IF(0&lt;&gt;CV253,IF(CC=2,8*$HF253,0),0))</f>
        <v> </v>
      </c>
      <c r="DF253" s="341" t="str">
        <f aca="false">IF($A253="N/A"," ",IF(CC=2,(IF(MONTH(A253)&gt;=4,IF(MONTH(A253)&lt;=10,Inputs!$G$13,Inputs!$G$14),Inputs!$G$14))*$CK253,0))</f>
        <v> </v>
      </c>
      <c r="DG253" s="342" t="str">
        <f aca="false">IF($A253="N/A"," ",IF(CC=2,$DF253*CW253*CN253,0))</f>
        <v> </v>
      </c>
      <c r="DH253" s="342" t="str">
        <f aca="false">IF($A253="N/A"," ",IF(CC=2,$DF253*CX253*CO253,0))</f>
        <v> </v>
      </c>
      <c r="DI253" s="342" t="str">
        <f aca="false">IF($A253="N/A"," ",IF(CC=2,$DF253*CY253*CP253,0))</f>
        <v> </v>
      </c>
      <c r="DJ253" s="342" t="str">
        <f aca="false">IF($A253="N/A"," ",IF(CC=2,$DF253*CZ253*CQ253,0))</f>
        <v> </v>
      </c>
      <c r="DK253" s="342" t="str">
        <f aca="false">IF($A253="N/A"," ",IF(CC=2,$DF253*DA253*CR253,0))</f>
        <v> </v>
      </c>
      <c r="DL253" s="342" t="str">
        <f aca="false">IF($A253="N/A"," ",IF(CC=2,$DF253*DB253*CS253,0))</f>
        <v> </v>
      </c>
      <c r="DM253" s="342" t="str">
        <f aca="false">IF($A253="N/A"," ",IF(CC=2,$DF253*DC253*CT253,0))</f>
        <v> </v>
      </c>
      <c r="DN253" s="342" t="str">
        <f aca="false">IF($A253="N/A"," ",IF(CC=2,$DF253*DD253*CU253,0))</f>
        <v> </v>
      </c>
      <c r="DO253" s="342" t="str">
        <f aca="false">IF($A253="N/A"," ",IF(CC=2,$DF253*DE253*CV253,0))</f>
        <v> </v>
      </c>
      <c r="DP253" s="343" t="str">
        <f aca="false">IF($A253="N/A"," ",IF(CC=2,SUM(DG253:DO253),0))</f>
        <v> </v>
      </c>
      <c r="DQ253" s="0" t="str">
        <f aca="false">IF(A253="N/A"," ",Perstart)</f>
        <v> </v>
      </c>
      <c r="HD253" s="0" t="str">
        <f aca="false">IF($A253="N/A"," ",VLOOKUP($A253,NumberofDaysTable,2))</f>
        <v> </v>
      </c>
      <c r="HE253" s="0" t="str">
        <f aca="false">IF($A253="N/A"," ",VLOOKUP($A253,NumberofDaysTable,3))</f>
        <v> </v>
      </c>
      <c r="HF253" s="0" t="str">
        <f aca="false">IF($A253="N/A"," ",VLOOKUP($A253,NumberofDaysTable,4))</f>
        <v> </v>
      </c>
    </row>
    <row r="254" customFormat="false" ht="12.75" hidden="false" customHeight="false" outlineLevel="0" collapsed="false">
      <c r="A254" s="308" t="str">
        <f aca="false">IF(A253="N/A","N/A",IF(EDATE(A253,1)&gt;Inputs!$K$3,"N/A",EDATE(A253,1)))</f>
        <v>N/A</v>
      </c>
      <c r="B254" s="309" t="str">
        <f aca="false">IF(A254="N/A"," ",YEAR(A254))</f>
        <v> </v>
      </c>
      <c r="C254" s="310" t="str">
        <f aca="false">IF(A254="N/A"," ",VLOOKUP(A254,ScaledPrice,10))</f>
        <v> </v>
      </c>
      <c r="D254" s="311" t="str">
        <f aca="false">IF(A254="N/A"," ",(VLOOKUP(MONTH($A254),Hrtable,2))/1000)</f>
        <v> </v>
      </c>
      <c r="E254" s="312" t="str">
        <f aca="false">IF($A254="N/A"," ",(C254-'Pricing Inputs'!T287)*D254)</f>
        <v> </v>
      </c>
      <c r="F254" s="313" t="str">
        <f aca="false">IF(A254="N/A"," ",$F242*(1+VOMesc))</f>
        <v> </v>
      </c>
      <c r="G254" s="313" t="str">
        <f aca="false">IF(A254="N/A"," ",Perstart/IF(AND(Dayrun&gt;=4,Dayrun&lt;=6),16,IF(AND(Dayrun&gt;=7,Dayrun&lt;=9),8,24))/(BM254/CK254))</f>
        <v> </v>
      </c>
      <c r="H254" s="314" t="str">
        <f aca="false">IF(A254="N/A"," ",(C254*D254)+F254+G254)</f>
        <v> </v>
      </c>
      <c r="I254" s="315" t="str">
        <f aca="false">VLOOKUP(A254,ScaledPrice,(IF(AND(Dayrun&gt;=1,Dayrun&lt;=6),2,4)))</f>
        <v> </v>
      </c>
      <c r="J254" s="315" t="str">
        <f aca="false">IF(A254="N/A"," ",IF(AND(Dayrun&gt;=1,Dayrun&lt;=6),I254,(VLOOKUP(A254,ScaledPrice,2))*(2-(VLOOKUP(A254,ScaledPrice,3)))))</f>
        <v> </v>
      </c>
      <c r="K254" s="315" t="str">
        <f aca="false">IF(A254="N/A"," ",IF(AND(Dayrun&gt;=1,Dayrun&lt;=3),VLOOKUP(A254,ScaledPrice,9),0))</f>
        <v> </v>
      </c>
      <c r="L254" s="315" t="str">
        <f aca="false">IF(A254="N/A"," ",IF(OR(Dayrun=2,Dayrun=3,Dayrun=5,Dayrun=6,Dayrun=8,Dayrun=9),VLOOKUP(A254,ScaledPrice,IF(AND(Dayrun&gt;=2,Dayrun&lt;=6),5,6)),0))</f>
        <v> </v>
      </c>
      <c r="M254" s="315" t="str">
        <f aca="false">IF(A254="N/A"," ",IF(OR(Dayrun=2,Dayrun=3,Dayrun=5,Dayrun=6,Dayrun=8,Dayrun=9),IF(AND(Dayrun&gt;=2,Dayrun&lt;=6),L254,(VLOOKUP(A254,ScaledPrice,5))*(2-(VLOOKUP(A254,ScaledPrice,3)))),0))</f>
        <v> </v>
      </c>
      <c r="N254" s="315" t="str">
        <f aca="false">IF(A254="N/A"," ",IF(AND(Dayrun&gt;1,Dayrun&lt;=3),VLOOKUP(A254,ScaledPrice,9),0))</f>
        <v> </v>
      </c>
      <c r="O254" s="315" t="str">
        <f aca="false">IF(A254="N/A"," ",IF(OR(Dayrun=3,Dayrun=6,Dayrun=9),(VLOOKUP(A254,ScaledPrice,IF(AND(Dayrun&gt;=3,Dayrun&lt;=6),7,8))),0))</f>
        <v> </v>
      </c>
      <c r="P254" s="315" t="str">
        <f aca="false">IF(A254="N/A"," ",IF(OR(Dayrun=3,Dayrun=6,Dayrun=9),IF(AND(Dayrun&gt;=3,Dayrun&lt;=6),O254,(VLOOKUP(A254,ScaledPrice,7))*(2-(VLOOKUP(A254,ScaledPrice,3)))),0))</f>
        <v> </v>
      </c>
      <c r="Q254" s="315" t="str">
        <f aca="false">IF(A254="N/A"," ",IF(AND(Dayrun&gt;2,Dayrun&lt;=3),VLOOKUP(A254,ScaledPrice,9),0))</f>
        <v> </v>
      </c>
      <c r="R254" s="316" t="str">
        <f aca="false">IF($A254="N/A"," ",IF(Pricetype=2,MAX(I254-$H254,0),IF(Pricetype=1,(xSPRDOPT(I254,$E254,$CI254,0,($CD254+IF(Smile=TRUE(),VLOOKUP(MAX(-5,$H254-I254),Volsmile,2),0)),$CG254,$CH254,($A254-DateToday)+15,1,0)),I254-$H254)))</f>
        <v> </v>
      </c>
      <c r="S254" s="316" t="str">
        <f aca="false">IF($A254="N/A"," ",IF(Pricetype=2,MAX(J254-$H254,0),IF(Pricetype=1,(xSPRDOPT(J254,$E254,$CI254,0,($CD254+IF(Smile=TRUE(),VLOOKUP(MAX(-5,$H254-J254),Volsmile,2),0)),$CG254,$CH254,($A254-DateToday)+15,1,0)),J254-$H254)))</f>
        <v> </v>
      </c>
      <c r="T254" s="317" t="str">
        <f aca="false">IF($A254="N/A"," ",(IF(Pricetype=2,IF((K254-$H254)&lt;=0,0,(K254-$H254)),IF(K254&lt;&gt;0,(K254-$H254),0))))</f>
        <v> </v>
      </c>
      <c r="U254" s="316" t="str">
        <f aca="false">IF($A254="N/A"," ",IF(Pricetype=2,MAX(L254-$H254,0),IF(L254&lt;&gt;0,IF(Pricetype=1,(xSPRDOPT(L254,$E254,$CI254,0,($CD254+IF(Smile=TRUE(),VLOOKUP(MAX(-5,$H254-L254),Volsmile,2),0)),$CG254,$CH254,($A254-DateToday)+15,1,0)),L254-$H254),0)))</f>
        <v> </v>
      </c>
      <c r="V254" s="316" t="str">
        <f aca="false">IF($A254="N/A"," ",IF(Pricetype=2,MAX(M254-$H254,0),IF(M254&lt;&gt;0,IF(Pricetype=1,(xSPRDOPT(M254,$E254,$CI254,0,($CD254+IF(Smile=TRUE(),VLOOKUP(MAX(-5,$H254-M254),Volsmile,2),0)),$CG254,$CH254,($A254-DateToday)+15,1,0)),M254-$H254),0)))</f>
        <v> </v>
      </c>
      <c r="W254" s="317" t="str">
        <f aca="false">IF($A254="N/A"," ",(IF(Pricetype=2,IF((N254-$H254)&lt;=0,0,(N254-$H254)),IF(N254&lt;&gt;0,(N254-$H254),0))))</f>
        <v> </v>
      </c>
      <c r="X254" s="316" t="str">
        <f aca="false">IF($A254="N/A"," ",IF(Pricetype=2,MAX(O254-$H254,0),IF(O254&lt;&gt;0,IF(Pricetype=1,(xSPRDOPT(O254,$E254,$CI254,0,($CD254+IF(Smile=TRUE(),VLOOKUP(MAX(-5,$H254-O254),Volsmile,2),0)),$CG254,$CH254,($A254-DateToday)+15,1,0)),O254-$H254),0)))</f>
        <v> </v>
      </c>
      <c r="Y254" s="316" t="str">
        <f aca="false">IF($A254="N/A"," ",IF(Pricetype=2,MAX(P254-$H254,0),IF(P254&lt;&gt;0,IF(Pricetype=1,(xSPRDOPT(P254,$E254,$CI254,0,($CD254+IF(Smile=TRUE(),VLOOKUP(MAX(-5,$H254-P254),Volsmile,2),0)),$CG254,$CH254,($A254-DateToday)+15,1,0)),P254-$H254),0)))</f>
        <v> </v>
      </c>
      <c r="Z254" s="317" t="str">
        <f aca="false">IF($A254="N/A"," ",(IF(Pricetype=2,IF((Q254-$H254)&lt;=0,0,(Q254-$H254)),IF(Q254&lt;&gt;0,(Q254-$H254),0))))</f>
        <v> </v>
      </c>
      <c r="AA254" s="318" t="str">
        <f aca="false">IF($A254="N/A"," ",IF(VLOOKUP(MONTH(A254),ManualTable,2)=1,(IF(0&lt;&gt;R254,IF(Pricetype=1,(xSPRDOPT(I254,$E254,$CI254,0,($CD254+IF(Smile=TRUE(),VLOOKUP(MAX(-5,$H254-I254),Volsmile,2),0)),$CG254,$CH254,($A254-DateToday)+15,1,1))*(8*$HD254),8*$HD254),0)),0))</f>
        <v> </v>
      </c>
      <c r="AB254" s="318" t="str">
        <f aca="false">IF($A254="N/A"," ",IF(VLOOKUP(MONTH(A254),ManualTable,3)=1,(IF(S254&lt;&gt;0,IF(Pricetype=1,(xSPRDOPT(J254,$E254,$CI254,0,($CD254+IF(Smile=TRUE(),VLOOKUP(MAX(-5,$H254-J254),Volsmile,2),0)),$CG254,$CH254,($A254-DateToday)+15,1,1))*(8*$HD254),8*$HD254),0)),0))</f>
        <v> </v>
      </c>
      <c r="AC254" s="318" t="str">
        <f aca="false">IF($A254="N/A"," ",IF(VLOOKUP(MONTH(A254),ManualTable,4)=1,(IF(T254&lt;&gt;0,(8*$HD254),0)),0))</f>
        <v> </v>
      </c>
      <c r="AD254" s="318" t="str">
        <f aca="false">IF($A254="N/A"," ",IF(VLOOKUP(MONTH(A254),ManualTable,5)=1,(IF(U254&lt;&gt;0,IF(Pricetype=1,(xSPRDOPT(L254,$E254,$CI254,0,($CD254+IF(Smile=TRUE(),VLOOKUP(MAX(-5,$H254-L254),Volsmile,2),0)),$CG254,$CH254,($A254-DateToday)+15,1,1))*(8*$HE254),8*$HE254),0)),0))</f>
        <v> </v>
      </c>
      <c r="AE254" s="318" t="str">
        <f aca="false">IF($A254="N/A"," ",IF(VLOOKUP(MONTH(A254),ManualTable,6)=1,(IF(V254&lt;&gt;0,IF(Pricetype=1,(xSPRDOPT(M254,$E254,$CI254,0,($CD254+IF(Smile=TRUE(),VLOOKUP(MAX(-5,$H254-M254),Volsmile,2),0)),$CG254,$CH254,($A254-DateToday)+15,1,1))*(8*$HE254),8*$HE254),0)),0))</f>
        <v> </v>
      </c>
      <c r="AF254" s="318" t="str">
        <f aca="false">IF($A254="N/A"," ",IF(VLOOKUP(MONTH(A254),ManualTable,7)=1,(IF(W254&lt;&gt;0,(8*$HE254),0)),0))</f>
        <v> </v>
      </c>
      <c r="AG254" s="318" t="str">
        <f aca="false">IF($A254="N/A"," ",IF(VLOOKUP(MONTH(A254),ManualTable,8)=1,(IF(X254&lt;&gt;0,IF(Pricetype=1,(xSPRDOPT(O254,$E254,$CI254,0,($CD254+IF(Smile=TRUE(),VLOOKUP(MAX(-5,$H254-O254),Volsmile,2),0)),$CG254,$CH254,($A254-DateToday)+15,1,1))*(8*$HF254),8*$HF254),0)),0))</f>
        <v> </v>
      </c>
      <c r="AH254" s="318" t="str">
        <f aca="false">IF($A254="N/A"," ",IF(VLOOKUP(MONTH(A254),ManualTable,9)=1,(IF(Y254&lt;&gt;0,IF(Pricetype=1,(xSPRDOPT(P254,$E254,$CI254,0,($CD254+IF(Smile=TRUE(),VLOOKUP(MAX(-5,$H254-P254),Volsmile,2),0)),$CG254,$CH254,($A254-DateToday)+15,1,1))*(8*$HF254),8*$HF254),0)),0))</f>
        <v> </v>
      </c>
      <c r="AI254" s="318" t="str">
        <f aca="false">IF($A254="N/A"," ",IF(VLOOKUP(MONTH(A254),ManualTable,10)=1,(IF(Z254&lt;&gt;0,(8*($HF254)),0)),0))</f>
        <v> </v>
      </c>
      <c r="AJ254" s="344" t="str">
        <f aca="false">IF($A254="N/A"," ",RANK(R254,$R$244:$Z$255))</f>
        <v> </v>
      </c>
      <c r="AK254" s="321" t="str">
        <f aca="false">IF($A254="N/A"," ",RANK(S254,$R$244:$Z$255))</f>
        <v> </v>
      </c>
      <c r="AL254" s="321" t="str">
        <f aca="false">IF($A254="N/A"," ",RANK(T254,$R$244:$Z$255))</f>
        <v> </v>
      </c>
      <c r="AM254" s="321" t="str">
        <f aca="false">IF($A254="N/A"," ",RANK(U254,$R$244:$Z$255))</f>
        <v> </v>
      </c>
      <c r="AN254" s="321" t="str">
        <f aca="false">IF($A254="N/A"," ",RANK(V254,$R$244:$Z$255))</f>
        <v> </v>
      </c>
      <c r="AO254" s="321" t="str">
        <f aca="false">IF($A254="N/A"," ",RANK(W254,$R$244:$Z$255))</f>
        <v> </v>
      </c>
      <c r="AP254" s="321" t="str">
        <f aca="false">IF($A254="N/A"," ",RANK(X254,$R$244:$Z$255))</f>
        <v> </v>
      </c>
      <c r="AQ254" s="321" t="str">
        <f aca="false">IF($A254="N/A"," ",RANK(Y254,$R$244:$Z$255))</f>
        <v> </v>
      </c>
      <c r="AR254" s="345" t="str">
        <f aca="false">IF($A254="N/A"," ",RANK(Z254,$R$244:$Z$255))</f>
        <v> </v>
      </c>
      <c r="AS254" s="323" t="str">
        <f aca="false">IF($A254="N/A"," ",IF(AJ254&lt;=$AR$2,AA254,0))</f>
        <v> </v>
      </c>
      <c r="AT254" s="325" t="str">
        <f aca="false">IF($A254="N/A"," ",IF(AK254&lt;=$AR$2,AB254,0))</f>
        <v> </v>
      </c>
      <c r="AU254" s="325" t="str">
        <f aca="false">IF($A254="N/A"," ",IF(AL254&lt;=$AR$2,AC254,0))</f>
        <v> </v>
      </c>
      <c r="AV254" s="325" t="str">
        <f aca="false">IF($A254="N/A"," ",IF(AM254&lt;=$AR$2,AD254,0))</f>
        <v> </v>
      </c>
      <c r="AW254" s="325" t="str">
        <f aca="false">IF($A254="N/A"," ",IF(AN254&lt;=$AR$2,AE254,0))</f>
        <v> </v>
      </c>
      <c r="AX254" s="325" t="str">
        <f aca="false">IF($A254="N/A"," ",IF(AO254&lt;=$AR$2,AF254,0))</f>
        <v> </v>
      </c>
      <c r="AY254" s="325" t="str">
        <f aca="false">IF($A254="N/A"," ",IF(AP254&lt;=$AR$2,AG254,0))</f>
        <v> </v>
      </c>
      <c r="AZ254" s="325" t="str">
        <f aca="false">IF($A254="N/A"," ",IF(AQ254&lt;=$AR$2,AH254,0))</f>
        <v> </v>
      </c>
      <c r="BA254" s="325" t="str">
        <f aca="false">IF($A254="N/A"," ",IF(AR254&lt;=$AR$2,AI254,0))</f>
        <v> </v>
      </c>
      <c r="BB254" s="345" t="n">
        <f aca="false">SUM(AS244:BA255)</f>
        <v>0</v>
      </c>
      <c r="BC254" s="326" t="str">
        <f aca="false">IF($A254="N/A"," ",IF(AND(AJ254=$AR$2+1,AS254=0),MIN($BB$255,AA254),0))</f>
        <v> </v>
      </c>
      <c r="BD254" s="346" t="str">
        <f aca="false">IF($A254="N/A"," ",IF(AND(AK254=$AR$2+1,AT254=0),MIN($BB$255,AB254),0))</f>
        <v> </v>
      </c>
      <c r="BE254" s="346" t="str">
        <f aca="false">IF($A254="N/A"," ",IF(AND(AL254=$AR$2+1,AU254=0),MIN($BB$255,AC254),0))</f>
        <v> </v>
      </c>
      <c r="BF254" s="346" t="str">
        <f aca="false">IF($A254="N/A"," ",IF(AND(AM254=$AR$2+1,AV254=0),MIN($BB$255,AD254),0))</f>
        <v> </v>
      </c>
      <c r="BG254" s="346" t="str">
        <f aca="false">IF($A254="N/A"," ",IF(AND(AN254=$AR$2+1,AW254=0),MIN($BB$255,AE254),0))</f>
        <v> </v>
      </c>
      <c r="BH254" s="346" t="str">
        <f aca="false">IF($A254="N/A"," ",IF(AND(AO254=$AR$2+1,AX254=0),MIN($BB$255,AF254),0))</f>
        <v> </v>
      </c>
      <c r="BI254" s="346" t="str">
        <f aca="false">IF($A254="N/A"," ",IF(AND(AP254=$AR$2+1,AY254=0),MIN($BB$255,AG254),0))</f>
        <v> </v>
      </c>
      <c r="BJ254" s="346" t="str">
        <f aca="false">IF($A254="N/A"," ",IF(AND(AQ254=$AR$2+1,AZ254=0),MIN($BB$255,AH254),0))</f>
        <v> </v>
      </c>
      <c r="BK254" s="346" t="str">
        <f aca="false">IF($A254="N/A"," ",IF(AND(AR254=$AR$2+1,BA254=0),MIN($BB$255,AI254),0))</f>
        <v> </v>
      </c>
      <c r="BL254" s="345" t="n">
        <f aca="false">SUM(BC244:BK255)</f>
        <v>0</v>
      </c>
      <c r="BM254" s="329" t="str">
        <f aca="false">IF($A254="N/A"," ",(IF(MONTH(A254)&gt;=4,IF(MONTH(A254)&lt;=10,Inputs!$F$13-Inputs!$G$13,Inputs!$F$14-Inputs!$G$14),Inputs!$F$14-Inputs!$G$14))*$CK254*Availability)</f>
        <v> </v>
      </c>
      <c r="BN254" s="330" t="str">
        <f aca="false">IF($A254="N/A"," ",(IF(AS254&gt;0,($BM254*(8*($HD254))*R254),0)+IF(BC254&gt;0,($BM254*((BC254/AA254)*8*$HD254)*R254),0)))</f>
        <v> </v>
      </c>
      <c r="BO254" s="330" t="str">
        <f aca="false">IF($A254="N/A"," ",(IF(AT254&gt;0,($BM254*(8*($HD254))*S254),0)+IF(BD254&gt;0,($BM254*((BD254/AB254)*8*$HD254)*S254),0)))</f>
        <v> </v>
      </c>
      <c r="BP254" s="330" t="str">
        <f aca="false">IF($A254="N/A"," ",(IF(AU254&gt;0,($BM254*(8*($HD254))*T254),0)+IF(BE254&gt;0,($BM254*((BE254))*T254),0)))</f>
        <v> </v>
      </c>
      <c r="BQ254" s="330" t="str">
        <f aca="false">IF($A254="N/A"," ",(IF(AV254&gt;0,($BM254*(8*($HE254))*U254),0)+IF(BF254&gt;0,($BM254*((BF254/AD254)*8*$HE254)*U254),0)))</f>
        <v> </v>
      </c>
      <c r="BR254" s="330" t="str">
        <f aca="false">IF($A254="N/A"," ",(IF(AW254&gt;0,($BM254*(8*($HE254))*V254),0)+IF(BG254&gt;0,($BM254*((BG254/AE254)*8*$HE254)*V254),0)))</f>
        <v> </v>
      </c>
      <c r="BS254" s="330" t="str">
        <f aca="false">IF($A254="N/A"," ",(IF(AX254&gt;0,($BM254*(8*($HE254))*W254),0)+IF(BH254&gt;0,($BM254*((BH254))*W254),0)))</f>
        <v> </v>
      </c>
      <c r="BT254" s="330" t="str">
        <f aca="false">IF($A254="N/A"," ",(IF(AY254&gt;0,($BM254*(8*($HF254))*X254),0)+IF(BI254&gt;0,($BM254*((BI254/AG254)*8*$HF254)*X254),0)))</f>
        <v> </v>
      </c>
      <c r="BU254" s="330" t="str">
        <f aca="false">IF($A254="N/A"," ",(IF(AZ254&gt;0,($BM254*(8*($HF254))*Y254),0)+IF(BJ254&gt;0,($BM254*((BJ254/AH254)*8*$HF254)*Y254),0)))</f>
        <v> </v>
      </c>
      <c r="BV254" s="330" t="str">
        <f aca="false">IF($A254="N/A"," ",(IF(BA254&gt;0,($BM254*(8*($HF254))*Z254),0)+IF(BK254&gt;0,($BM254*((BK254))*Z254),0)))</f>
        <v> </v>
      </c>
      <c r="BW254" s="330" t="str">
        <f aca="false">IF($A254="N/A"," ",SUM(BN254:BV254))</f>
        <v> </v>
      </c>
      <c r="BX254" s="331" t="str">
        <f aca="false">IF($A254="N/A"," ",(H254*(SUM(AS254:BA254)+SUM(BC254:BK254))*BM254))</f>
        <v> </v>
      </c>
      <c r="BY254" s="332" t="str">
        <f aca="false">IF($A254="N/A"," ",((C254*D254)*(SUM($AS254:$BA254)+SUM($BC254:$BK254))*$BM254))</f>
        <v> </v>
      </c>
      <c r="BZ254" s="332" t="str">
        <f aca="false">IF($A254="N/A"," ",(F254*(SUM($AS254:$BA254)+SUM($BC254:$BK254))*$BM254))</f>
        <v> </v>
      </c>
      <c r="CA254" s="333" t="str">
        <f aca="false">IF($A254="N/A"," ",(G254*(SUM($AS254:$BA254)+SUM($BC254:$BK254))*$BM254))</f>
        <v> </v>
      </c>
      <c r="CB254" s="334" t="str">
        <f aca="false">IF(A254="N/A"," ",(VLOOKUP(A254,PowerVolTable,(IF(BMO=2,7,IF(BMO=1,6,8))),FALSE())))</f>
        <v> </v>
      </c>
      <c r="CC254" s="334" t="str">
        <f aca="false">IF(A254="N/A"," ",(VLOOKUP(A254,IntraPowerVol,(IF(BMO=2,3,IF(BMO=1,2,4))),FALSE())*VLOOKUP(MONTH($A254),Volscale,2)))</f>
        <v> </v>
      </c>
      <c r="CD254" s="335" t="str">
        <f aca="false">IF($A254="N/A"," ",(IF(DateToday&gt;$A254,$CC254,((($CB254^2)*((($A254-1)-DateToday)/((EOMONTH($A254,0)+1)-DateToday-15)))+((($CC254)^2)*((15)/((EOMONTH($A254,0)+1)-DateToday-15))))^0.5)))</f>
        <v> </v>
      </c>
      <c r="CE254" s="334" t="str">
        <f aca="false">IF($A254="N/A"," ",(VLOOKUP($A254,GasVolTable,(IF(BMO=2,6,IF(BMO=1,7,5))),FALSE())))</f>
        <v> </v>
      </c>
      <c r="CF254" s="334" t="str">
        <f aca="false">IF($A254="N/A"," ",(VLOOKUP($A254,OmicronVol,(IF(BMO=2,3,IF(BMO=1,4,2))),FALSE())))</f>
        <v> </v>
      </c>
      <c r="CG254" s="335" t="str">
        <f aca="false">IF($A254="N/A"," ",(IF(DateToday&gt;$A254,$CF254,((($CE254^2)*((($A254-1)-DateToday)/((EOMONTH($A254,0)+1)-DateToday-15)))+((($CF254)^2)*((15)/((EOMONTH($A254,0)+1)-DateToday-15))))^0.5)))</f>
        <v> </v>
      </c>
      <c r="CH254" s="334" t="str">
        <f aca="false">IF($A254="N/A"," ",VLOOKUP($A254,CorrelationTable,2,FALSE()))</f>
        <v> </v>
      </c>
      <c r="CI254" s="336" t="str">
        <f aca="false">IF($A254="N/A"," ",F254+G254+(D254*('Pricing Inputs'!T287)))</f>
        <v> </v>
      </c>
      <c r="CJ254" s="334" t="str">
        <f aca="false">IF($A254="N/A"," ",IF(PV=1,0,'Pricing Inputs'!U287))</f>
        <v> </v>
      </c>
      <c r="CK254" s="337" t="str">
        <f aca="false">IF($A254="N/A"," ",(1+CJ254/2)^(-2*((EOMONTH(A254,0)+20)-DateToday)/365.25))</f>
        <v> </v>
      </c>
      <c r="CL254" s="338" t="str">
        <f aca="false">IF(A254="N/A"," ",IF(CC=2,(VLOOKUP(MONTH($A254),Hrtable,3))/1000,0))</f>
        <v> </v>
      </c>
      <c r="CM254" s="339" t="str">
        <f aca="false">IF(A254="N/A"," ",IF(CC=2,(CL254*C254)+F254,0))</f>
        <v> </v>
      </c>
      <c r="CN254" s="340" t="str">
        <f aca="false">IF($A254="N/A"," ",IF(CC=2,(VLOOKUP(A254,ScaledPrice,(IF(AND(Dayrun&gt;=1,Dayrun&lt;=6),2,4)))-((IF(R254&lt;&gt;0,$D254,$CL254)*$C254)+$F254+$G254)),0))</f>
        <v> </v>
      </c>
      <c r="CO254" s="340" t="str">
        <f aca="false">IF($A254="N/A"," ",IF(CC=2,(IF(AND(Dayrun&gt;=1,Dayrun&lt;=6),I254,(VLOOKUP(A254,ScaledPrice,2))*(2-(VLOOKUP(A254,ScaledPrice,3))))-((IF(S254&lt;&gt;0,$D254,$CL254)*$C254)+$F254+$G254)),0))</f>
        <v> </v>
      </c>
      <c r="CP254" s="340" t="str">
        <f aca="false">IF(A254="N/A"," ",IF(CC=2,(VLOOKUP(A254,ScaledPrice,9)-((IF(T254&lt;&gt;0,$D254,$CL254)*$C254)+$F254+$G254)),0))</f>
        <v> </v>
      </c>
      <c r="CQ254" s="340" t="str">
        <f aca="false">IF(A254="N/A"," ",IF(CC=2,(IF(OR(Dayrun=2,Dayrun=3,Dayrun=5,Dayrun=6,Dayrun=8,Dayrun=9),VLOOKUP(A254,ScaledPrice,IF(AND(Dayrun&gt;=2,Dayrun&lt;=6),5,6)),0)-((IF(U254&lt;&gt;0,$D254,$CL254)*$C254)+$F254+$G254)),0))</f>
        <v> </v>
      </c>
      <c r="CR254" s="340" t="str">
        <f aca="false">IF(A254="N/A"," ",IF(CC=2,(IF(OR(Dayrun=2,Dayrun=3,Dayrun=5,Dayrun=6,Dayrun=8,Dayrun=9),IF(AND(Dayrun&gt;=2,Dayrun&lt;=6),L254,(VLOOKUP(A254,ScaledPrice,5))*(2-(VLOOKUP(A254,ScaledPrice,3)))),0)-((IF(V254&lt;&gt;0,$D254,$CL254)*$C254)+$F254+$G254)),0))</f>
        <v> </v>
      </c>
      <c r="CS254" s="340" t="str">
        <f aca="false">IF(A254="N/A"," ",IF(CC=2,(VLOOKUP(A254,ScaledPrice,9)-((IF(W254&lt;&gt;0,$D254,$CL254)*$C254)+$F254+$G254)),0))</f>
        <v> </v>
      </c>
      <c r="CT254" s="340" t="str">
        <f aca="false">IF(A254="N/A"," ",IF(CC=2,(IF(OR(Dayrun=3,Dayrun=6,Dayrun=9),(VLOOKUP(A254,ScaledPrice,IF(AND(Dayrun&gt;=3,Dayrun&lt;=6),7,8))),0)-((IF(X254&lt;&gt;0,$D254,$CL254)*$C254)+$F254+$G254)),0))</f>
        <v> </v>
      </c>
      <c r="CU254" s="340" t="str">
        <f aca="false">IF(A254="N/A"," ",IF(CC=2,(IF(OR(Dayrun=3,Dayrun=6,Dayrun=9),IF(AND(Dayrun&gt;=3,Dayrun&lt;=6),O254,(VLOOKUP(A254,ScaledPrice,7))*(2-(VLOOKUP(A254,ScaledPrice,3)))),0)-((IF(Y254&lt;&gt;0,$D254,$CL254)*$C254)+$F254+$G254)),0))</f>
        <v> </v>
      </c>
      <c r="CV254" s="340" t="str">
        <f aca="false">IF(A254="N/A"," ",IF(CC=2,(VLOOKUP(A254,ScaledPrice,9)-((IF(Z254&lt;&gt;0,$D254,$CL254)*$C254)+$F254+$G254)),0))</f>
        <v> </v>
      </c>
      <c r="CW254" s="318" t="str">
        <f aca="false">IF($A254="N/A"," ",IF(0&lt;&gt;CN254,IF(CC=2,8*$HD254,0),0))</f>
        <v> </v>
      </c>
      <c r="CX254" s="318" t="str">
        <f aca="false">IF($A254="N/A"," ",IF(0&lt;&gt;CO254,IF(CC=2,8*$HD254,0),0))</f>
        <v> </v>
      </c>
      <c r="CY254" s="318" t="str">
        <f aca="false">IF($A254="N/A"," ",IF(0&lt;&gt;CP254,IF(CC=2,8*$HD254,0),0))</f>
        <v> </v>
      </c>
      <c r="CZ254" s="318" t="str">
        <f aca="false">IF($A254="N/A"," ",IF(0&lt;&gt;CQ254,IF(CC=2,8*$HE254,0),0))</f>
        <v> </v>
      </c>
      <c r="DA254" s="318" t="str">
        <f aca="false">IF($A254="N/A"," ",IF(0&lt;&gt;CR254,IF(CC=2,8*$HE254,0),0))</f>
        <v> </v>
      </c>
      <c r="DB254" s="318" t="str">
        <f aca="false">IF($A254="N/A"," ",IF(0&lt;&gt;CS254,IF(CC=2,8*$HE254,0),0))</f>
        <v> </v>
      </c>
      <c r="DC254" s="318" t="str">
        <f aca="false">IF($A254="N/A"," ",IF(0&lt;&gt;CT254,IF(CC=2,8*$HF254,0),0))</f>
        <v> </v>
      </c>
      <c r="DD254" s="318" t="str">
        <f aca="false">IF($A254="N/A"," ",IF(0&lt;&gt;CU254,IF(CC=2,8*$HF254,0),0))</f>
        <v> </v>
      </c>
      <c r="DE254" s="318" t="str">
        <f aca="false">IF($A254="N/A"," ",IF(0&lt;&gt;CV254,IF(CC=2,8*$HF254,0),0))</f>
        <v> </v>
      </c>
      <c r="DF254" s="341" t="str">
        <f aca="false">IF($A254="N/A"," ",IF(CC=2,(IF(MONTH(A254)&gt;=4,IF(MONTH(A254)&lt;=10,Inputs!$G$13,Inputs!$G$14),Inputs!$G$14))*$CK254,0))</f>
        <v> </v>
      </c>
      <c r="DG254" s="342" t="str">
        <f aca="false">IF($A254="N/A"," ",IF(CC=2,$DF254*CW254*CN254,0))</f>
        <v> </v>
      </c>
      <c r="DH254" s="342" t="str">
        <f aca="false">IF($A254="N/A"," ",IF(CC=2,$DF254*CX254*CO254,0))</f>
        <v> </v>
      </c>
      <c r="DI254" s="342" t="str">
        <f aca="false">IF($A254="N/A"," ",IF(CC=2,$DF254*CY254*CP254,0))</f>
        <v> </v>
      </c>
      <c r="DJ254" s="342" t="str">
        <f aca="false">IF($A254="N/A"," ",IF(CC=2,$DF254*CZ254*CQ254,0))</f>
        <v> </v>
      </c>
      <c r="DK254" s="342" t="str">
        <f aca="false">IF($A254="N/A"," ",IF(CC=2,$DF254*DA254*CR254,0))</f>
        <v> </v>
      </c>
      <c r="DL254" s="342" t="str">
        <f aca="false">IF($A254="N/A"," ",IF(CC=2,$DF254*DB254*CS254,0))</f>
        <v> </v>
      </c>
      <c r="DM254" s="342" t="str">
        <f aca="false">IF($A254="N/A"," ",IF(CC=2,$DF254*DC254*CT254,0))</f>
        <v> </v>
      </c>
      <c r="DN254" s="342" t="str">
        <f aca="false">IF($A254="N/A"," ",IF(CC=2,$DF254*DD254*CU254,0))</f>
        <v> </v>
      </c>
      <c r="DO254" s="342" t="str">
        <f aca="false">IF($A254="N/A"," ",IF(CC=2,$DF254*DE254*CV254,0))</f>
        <v> </v>
      </c>
      <c r="DP254" s="343" t="str">
        <f aca="false">IF($A254="N/A"," ",IF(CC=2,SUM(DG254:DO254),0))</f>
        <v> </v>
      </c>
      <c r="DQ254" s="0" t="str">
        <f aca="false">IF(A254="N/A"," ",Perstart)</f>
        <v> </v>
      </c>
      <c r="HD254" s="0" t="str">
        <f aca="false">IF($A254="N/A"," ",VLOOKUP($A254,NumberofDaysTable,2))</f>
        <v> </v>
      </c>
      <c r="HE254" s="0" t="str">
        <f aca="false">IF($A254="N/A"," ",VLOOKUP($A254,NumberofDaysTable,3))</f>
        <v> </v>
      </c>
      <c r="HF254" s="0" t="str">
        <f aca="false">IF($A254="N/A"," ",VLOOKUP($A254,NumberofDaysTable,4))</f>
        <v> </v>
      </c>
    </row>
    <row r="255" customFormat="false" ht="12.75" hidden="false" customHeight="false" outlineLevel="0" collapsed="false">
      <c r="A255" s="308" t="str">
        <f aca="false">IF(A254="N/A","N/A",IF(EDATE(A254,1)&gt;Inputs!$K$3,"N/A",EDATE(A254,1)))</f>
        <v>N/A</v>
      </c>
      <c r="B255" s="309" t="str">
        <f aca="false">IF(A255="N/A"," ",YEAR(A255))</f>
        <v> </v>
      </c>
      <c r="C255" s="310" t="str">
        <f aca="false">IF(A255="N/A"," ",VLOOKUP(A255,ScaledPrice,10))</f>
        <v> </v>
      </c>
      <c r="D255" s="311" t="str">
        <f aca="false">IF(A255="N/A"," ",(VLOOKUP(MONTH($A255),Hrtable,2))/1000)</f>
        <v> </v>
      </c>
      <c r="E255" s="312" t="str">
        <f aca="false">IF($A255="N/A"," ",(C255-'Pricing Inputs'!T288)*D255)</f>
        <v> </v>
      </c>
      <c r="F255" s="313" t="str">
        <f aca="false">IF(A255="N/A"," ",$F243*(1+VOMesc))</f>
        <v> </v>
      </c>
      <c r="G255" s="313" t="str">
        <f aca="false">IF(A255="N/A"," ",Perstart/IF(AND(Dayrun&gt;=4,Dayrun&lt;=6),16,IF(AND(Dayrun&gt;=7,Dayrun&lt;=9),8,24))/(BM255/CK255))</f>
        <v> </v>
      </c>
      <c r="H255" s="314" t="str">
        <f aca="false">IF(A255="N/A"," ",(C255*D255)+F255+G255)</f>
        <v> </v>
      </c>
      <c r="I255" s="315" t="str">
        <f aca="false">VLOOKUP(A255,ScaledPrice,(IF(AND(Dayrun&gt;=1,Dayrun&lt;=6),2,4)))</f>
        <v> </v>
      </c>
      <c r="J255" s="315" t="str">
        <f aca="false">IF(A255="N/A"," ",IF(AND(Dayrun&gt;=1,Dayrun&lt;=6),I255,(VLOOKUP(A255,ScaledPrice,2))*(2-(VLOOKUP(A255,ScaledPrice,3)))))</f>
        <v> </v>
      </c>
      <c r="K255" s="315" t="str">
        <f aca="false">IF(A255="N/A"," ",IF(AND(Dayrun&gt;=1,Dayrun&lt;=3),VLOOKUP(A255,ScaledPrice,9),0))</f>
        <v> </v>
      </c>
      <c r="L255" s="315" t="str">
        <f aca="false">IF(A255="N/A"," ",IF(OR(Dayrun=2,Dayrun=3,Dayrun=5,Dayrun=6,Dayrun=8,Dayrun=9),VLOOKUP(A255,ScaledPrice,IF(AND(Dayrun&gt;=2,Dayrun&lt;=6),5,6)),0))</f>
        <v> </v>
      </c>
      <c r="M255" s="315" t="str">
        <f aca="false">IF(A255="N/A"," ",IF(OR(Dayrun=2,Dayrun=3,Dayrun=5,Dayrun=6,Dayrun=8,Dayrun=9),IF(AND(Dayrun&gt;=2,Dayrun&lt;=6),L255,(VLOOKUP(A255,ScaledPrice,5))*(2-(VLOOKUP(A255,ScaledPrice,3)))),0))</f>
        <v> </v>
      </c>
      <c r="N255" s="315" t="str">
        <f aca="false">IF(A255="N/A"," ",IF(AND(Dayrun&gt;1,Dayrun&lt;=3),VLOOKUP(A255,ScaledPrice,9),0))</f>
        <v> </v>
      </c>
      <c r="O255" s="315" t="str">
        <f aca="false">IF(A255="N/A"," ",IF(OR(Dayrun=3,Dayrun=6,Dayrun=9),(VLOOKUP(A255,ScaledPrice,IF(AND(Dayrun&gt;=3,Dayrun&lt;=6),7,8))),0))</f>
        <v> </v>
      </c>
      <c r="P255" s="315" t="str">
        <f aca="false">IF(A255="N/A"," ",IF(OR(Dayrun=3,Dayrun=6,Dayrun=9),IF(AND(Dayrun&gt;=3,Dayrun&lt;=6),O255,(VLOOKUP(A255,ScaledPrice,7))*(2-(VLOOKUP(A255,ScaledPrice,3)))),0))</f>
        <v> </v>
      </c>
      <c r="Q255" s="315" t="str">
        <f aca="false">IF(A255="N/A"," ",IF(AND(Dayrun&gt;2,Dayrun&lt;=3),VLOOKUP(A255,ScaledPrice,9),0))</f>
        <v> </v>
      </c>
      <c r="R255" s="316" t="str">
        <f aca="false">IF($A255="N/A"," ",IF(Pricetype=2,MAX(I255-$H255,0),IF(Pricetype=1,(xSPRDOPT(I255,$E255,$CI255,0,($CD255+IF(Smile=TRUE(),VLOOKUP(MAX(-5,$H255-I255),Volsmile,2),0)),$CG255,$CH255,($A255-DateToday)+15,1,0)),I255-$H255)))</f>
        <v> </v>
      </c>
      <c r="S255" s="316" t="str">
        <f aca="false">IF($A255="N/A"," ",IF(Pricetype=2,MAX(J255-$H255,0),IF(Pricetype=1,(xSPRDOPT(J255,$E255,$CI255,0,($CD255+IF(Smile=TRUE(),VLOOKUP(MAX(-5,$H255-J255),Volsmile,2),0)),$CG255,$CH255,($A255-DateToday)+15,1,0)),J255-$H255)))</f>
        <v> </v>
      </c>
      <c r="T255" s="317" t="str">
        <f aca="false">IF($A255="N/A"," ",(IF(Pricetype=2,IF((K255-$H255)&lt;=0,0,(K255-$H255)),IF(K255&lt;&gt;0,(K255-$H255),0))))</f>
        <v> </v>
      </c>
      <c r="U255" s="316" t="str">
        <f aca="false">IF($A255="N/A"," ",IF(Pricetype=2,MAX(L255-$H255,0),IF(L255&lt;&gt;0,IF(Pricetype=1,(xSPRDOPT(L255,$E255,$CI255,0,($CD255+IF(Smile=TRUE(),VLOOKUP(MAX(-5,$H255-L255),Volsmile,2),0)),$CG255,$CH255,($A255-DateToday)+15,1,0)),L255-$H255),0)))</f>
        <v> </v>
      </c>
      <c r="V255" s="316" t="str">
        <f aca="false">IF($A255="N/A"," ",IF(Pricetype=2,MAX(M255-$H255,0),IF(M255&lt;&gt;0,IF(Pricetype=1,(xSPRDOPT(M255,$E255,$CI255,0,($CD255+IF(Smile=TRUE(),VLOOKUP(MAX(-5,$H255-M255),Volsmile,2),0)),$CG255,$CH255,($A255-DateToday)+15,1,0)),M255-$H255),0)))</f>
        <v> </v>
      </c>
      <c r="W255" s="317" t="str">
        <f aca="false">IF($A255="N/A"," ",(IF(Pricetype=2,IF((N255-$H255)&lt;=0,0,(N255-$H255)),IF(N255&lt;&gt;0,(N255-$H255),0))))</f>
        <v> </v>
      </c>
      <c r="X255" s="316" t="str">
        <f aca="false">IF($A255="N/A"," ",IF(Pricetype=2,MAX(O255-$H255,0),IF(O255&lt;&gt;0,IF(Pricetype=1,(xSPRDOPT(O255,$E255,$CI255,0,($CD255+IF(Smile=TRUE(),VLOOKUP(MAX(-5,$H255-O255),Volsmile,2),0)),$CG255,$CH255,($A255-DateToday)+15,1,0)),O255-$H255),0)))</f>
        <v> </v>
      </c>
      <c r="Y255" s="316" t="str">
        <f aca="false">IF($A255="N/A"," ",IF(Pricetype=2,MAX(P255-$H255,0),IF(P255&lt;&gt;0,IF(Pricetype=1,(xSPRDOPT(P255,$E255,$CI255,0,($CD255+IF(Smile=TRUE(),VLOOKUP(MAX(-5,$H255-P255),Volsmile,2),0)),$CG255,$CH255,($A255-DateToday)+15,1,0)),P255-$H255),0)))</f>
        <v> </v>
      </c>
      <c r="Z255" s="317" t="str">
        <f aca="false">IF($A255="N/A"," ",(IF(Pricetype=2,IF((Q255-$H255)&lt;=0,0,(Q255-$H255)),IF(Q255&lt;&gt;0,(Q255-$H255),0))))</f>
        <v> </v>
      </c>
      <c r="AA255" s="318" t="str">
        <f aca="false">IF($A255="N/A"," ",IF(VLOOKUP(MONTH(A255),ManualTable,2)=1,(IF(0&lt;&gt;R255,IF(Pricetype=1,(xSPRDOPT(I255,$E255,$CI255,0,($CD255+IF(Smile=TRUE(),VLOOKUP(MAX(-5,$H255-I255),Volsmile,2),0)),$CG255,$CH255,($A255-DateToday)+15,1,1))*(8*$HD255),8*$HD255),0)),0))</f>
        <v> </v>
      </c>
      <c r="AB255" s="318" t="str">
        <f aca="false">IF($A255="N/A"," ",IF(VLOOKUP(MONTH(A255),ManualTable,3)=1,(IF(S255&lt;&gt;0,IF(Pricetype=1,(xSPRDOPT(J255,$E255,$CI255,0,($CD255+IF(Smile=TRUE(),VLOOKUP(MAX(-5,$H255-J255),Volsmile,2),0)),$CG255,$CH255,($A255-DateToday)+15,1,1))*(8*$HD255),8*$HD255),0)),0))</f>
        <v> </v>
      </c>
      <c r="AC255" s="318" t="str">
        <f aca="false">IF($A255="N/A"," ",IF(VLOOKUP(MONTH(A255),ManualTable,4)=1,(IF(T255&lt;&gt;0,(8*$HD255),0)),0))</f>
        <v> </v>
      </c>
      <c r="AD255" s="318" t="str">
        <f aca="false">IF($A255="N/A"," ",IF(VLOOKUP(MONTH(A255),ManualTable,5)=1,(IF(U255&lt;&gt;0,IF(Pricetype=1,(xSPRDOPT(L255,$E255,$CI255,0,($CD255+IF(Smile=TRUE(),VLOOKUP(MAX(-5,$H255-L255),Volsmile,2),0)),$CG255,$CH255,($A255-DateToday)+15,1,1))*(8*$HE255),8*$HE255),0)),0))</f>
        <v> </v>
      </c>
      <c r="AE255" s="318" t="str">
        <f aca="false">IF($A255="N/A"," ",IF(VLOOKUP(MONTH(A255),ManualTable,6)=1,(IF(V255&lt;&gt;0,IF(Pricetype=1,(xSPRDOPT(M255,$E255,$CI255,0,($CD255+IF(Smile=TRUE(),VLOOKUP(MAX(-5,$H255-M255),Volsmile,2),0)),$CG255,$CH255,($A255-DateToday)+15,1,1))*(8*$HE255),8*$HE255),0)),0))</f>
        <v> </v>
      </c>
      <c r="AF255" s="318" t="str">
        <f aca="false">IF($A255="N/A"," ",IF(VLOOKUP(MONTH(A255),ManualTable,7)=1,(IF(W255&lt;&gt;0,(8*$HE255),0)),0))</f>
        <v> </v>
      </c>
      <c r="AG255" s="318" t="str">
        <f aca="false">IF($A255="N/A"," ",IF(VLOOKUP(MONTH(A255),ManualTable,8)=1,(IF(X255&lt;&gt;0,IF(Pricetype=1,(xSPRDOPT(O255,$E255,$CI255,0,($CD255+IF(Smile=TRUE(),VLOOKUP(MAX(-5,$H255-O255),Volsmile,2),0)),$CG255,$CH255,($A255-DateToday)+15,1,1))*(8*$HF255),8*$HF255),0)),0))</f>
        <v> </v>
      </c>
      <c r="AH255" s="318" t="str">
        <f aca="false">IF($A255="N/A"," ",IF(VLOOKUP(MONTH(A255),ManualTable,9)=1,(IF(Y255&lt;&gt;0,IF(Pricetype=1,(xSPRDOPT(P255,$E255,$CI255,0,($CD255+IF(Smile=TRUE(),VLOOKUP(MAX(-5,$H255-P255),Volsmile,2),0)),$CG255,$CH255,($A255-DateToday)+15,1,1))*(8*$HF255),8*$HF255),0)),0))</f>
        <v> </v>
      </c>
      <c r="AI255" s="318" t="str">
        <f aca="false">IF($A255="N/A"," ",IF(VLOOKUP(MONTH(A255),ManualTable,10)=1,(IF(Z255&lt;&gt;0,(8*($HF255)),0)),0))</f>
        <v> </v>
      </c>
      <c r="AJ255" s="349" t="str">
        <f aca="false">IF($A255="N/A"," ",RANK(R255,$R$244:$Z$255))</f>
        <v> </v>
      </c>
      <c r="AK255" s="350" t="str">
        <f aca="false">IF($A255="N/A"," ",RANK(S255,$R$244:$Z$255))</f>
        <v> </v>
      </c>
      <c r="AL255" s="350" t="str">
        <f aca="false">IF($A255="N/A"," ",RANK(T255,$R$244:$Z$255))</f>
        <v> </v>
      </c>
      <c r="AM255" s="350" t="str">
        <f aca="false">IF($A255="N/A"," ",RANK(U255,$R$244:$Z$255))</f>
        <v> </v>
      </c>
      <c r="AN255" s="350" t="str">
        <f aca="false">IF($A255="N/A"," ",RANK(V255,$R$244:$Z$255))</f>
        <v> </v>
      </c>
      <c r="AO255" s="350" t="str">
        <f aca="false">IF($A255="N/A"," ",RANK(W255,$R$244:$Z$255))</f>
        <v> </v>
      </c>
      <c r="AP255" s="350" t="str">
        <f aca="false">IF($A255="N/A"," ",RANK(X255,$R$244:$Z$255))</f>
        <v> </v>
      </c>
      <c r="AQ255" s="350" t="str">
        <f aca="false">IF($A255="N/A"," ",RANK(Y255,$R$244:$Z$255))</f>
        <v> </v>
      </c>
      <c r="AR255" s="351" t="str">
        <f aca="false">IF($A255="N/A"," ",RANK(Z255,$R$244:$Z$255))</f>
        <v> </v>
      </c>
      <c r="AS255" s="352" t="str">
        <f aca="false">IF($A255="N/A"," ",IF(AJ255&lt;=$AR$2,AA255,0))</f>
        <v> </v>
      </c>
      <c r="AT255" s="353" t="str">
        <f aca="false">IF($A255="N/A"," ",IF(AK255&lt;=$AR$2,AB255,0))</f>
        <v> </v>
      </c>
      <c r="AU255" s="353" t="str">
        <f aca="false">IF($A255="N/A"," ",IF(AL255&lt;=$AR$2,AC255,0))</f>
        <v> </v>
      </c>
      <c r="AV255" s="353" t="str">
        <f aca="false">IF($A255="N/A"," ",IF(AM255&lt;=$AR$2,AD255,0))</f>
        <v> </v>
      </c>
      <c r="AW255" s="353" t="str">
        <f aca="false">IF($A255="N/A"," ",IF(AN255&lt;=$AR$2,AE255,0))</f>
        <v> </v>
      </c>
      <c r="AX255" s="353" t="str">
        <f aca="false">IF($A255="N/A"," ",IF(AO255&lt;=$AR$2,AF255,0))</f>
        <v> </v>
      </c>
      <c r="AY255" s="353" t="str">
        <f aca="false">IF($A255="N/A"," ",IF(AP255&lt;=$AR$2,AG255,0))</f>
        <v> </v>
      </c>
      <c r="AZ255" s="353" t="str">
        <f aca="false">IF($A255="N/A"," ",IF(AQ255&lt;=$AR$2,AH255,0))</f>
        <v> </v>
      </c>
      <c r="BA255" s="353" t="str">
        <f aca="false">IF($A255="N/A"," ",IF(AR255&lt;=$AR$2,AI255,0))</f>
        <v> </v>
      </c>
      <c r="BB255" s="351" t="n">
        <f aca="false">IF(($AZ$2-BB254)&gt;=0,$AZ$2-BB254,0)</f>
        <v>980</v>
      </c>
      <c r="BC255" s="354" t="str">
        <f aca="false">IF($A255="N/A"," ",IF(AND(AJ255=$AR$2+1,AS255=0),MIN($BB$255,AA255),0))</f>
        <v> </v>
      </c>
      <c r="BD255" s="355" t="str">
        <f aca="false">IF($A255="N/A"," ",IF(AND(AK255=$AR$2+1,AT255=0),MIN($BB$255,AB255),0))</f>
        <v> </v>
      </c>
      <c r="BE255" s="355" t="str">
        <f aca="false">IF($A255="N/A"," ",IF(AND(AL255=$AR$2+1,AU255=0),MIN($BB$255,AC255),0))</f>
        <v> </v>
      </c>
      <c r="BF255" s="355" t="str">
        <f aca="false">IF($A255="N/A"," ",IF(AND(AM255=$AR$2+1,AV255=0),MIN($BB$255,AD255),0))</f>
        <v> </v>
      </c>
      <c r="BG255" s="355" t="str">
        <f aca="false">IF($A255="N/A"," ",IF(AND(AN255=$AR$2+1,AW255=0),MIN($BB$255,AE255),0))</f>
        <v> </v>
      </c>
      <c r="BH255" s="355" t="str">
        <f aca="false">IF($A255="N/A"," ",IF(AND(AO255=$AR$2+1,AX255=0),MIN($BB$255,AF255),0))</f>
        <v> </v>
      </c>
      <c r="BI255" s="355" t="str">
        <f aca="false">IF($A255="N/A"," ",IF(AND(AP255=$AR$2+1,AY255=0),MIN($BB$255,AG255),0))</f>
        <v> </v>
      </c>
      <c r="BJ255" s="355" t="str">
        <f aca="false">IF($A255="N/A"," ",IF(AND(AQ255=$AR$2+1,AZ255=0),MIN($BB$255,AH255),0))</f>
        <v> </v>
      </c>
      <c r="BK255" s="355" t="str">
        <f aca="false">IF($A255="N/A"," ",IF(AND(AR255=$AR$2+1,BA255=0),MIN($BB$255,AI255),0))</f>
        <v> </v>
      </c>
      <c r="BL255" s="356" t="n">
        <f aca="false">BB254+BL254</f>
        <v>0</v>
      </c>
      <c r="BM255" s="329" t="str">
        <f aca="false">IF($A255="N/A"," ",(IF(MONTH(A255)&gt;=4,IF(MONTH(A255)&lt;=10,Inputs!$F$13-Inputs!$G$13,Inputs!$F$14-Inputs!$G$14),Inputs!$F$14-Inputs!$G$14))*$CK255*Availability)</f>
        <v> </v>
      </c>
      <c r="BN255" s="330" t="str">
        <f aca="false">IF($A255="N/A"," ",(IF(AS255&gt;0,($BM255*(8*($HD255))*R255),0)+IF(BC255&gt;0,($BM255*((BC255/AA255)*8*$HD255)*R255),0)))</f>
        <v> </v>
      </c>
      <c r="BO255" s="330" t="str">
        <f aca="false">IF($A255="N/A"," ",(IF(AT255&gt;0,($BM255*(8*($HD255))*S255),0)+IF(BD255&gt;0,($BM255*((BD255/AB255)*8*$HD255)*S255),0)))</f>
        <v> </v>
      </c>
      <c r="BP255" s="330" t="str">
        <f aca="false">IF($A255="N/A"," ",(IF(AU255&gt;0,($BM255*(8*($HD255))*T255),0)+IF(BE255&gt;0,($BM255*((BE255))*T255),0)))</f>
        <v> </v>
      </c>
      <c r="BQ255" s="330" t="str">
        <f aca="false">IF($A255="N/A"," ",(IF(AV255&gt;0,($BM255*(8*($HE255))*U255),0)+IF(BF255&gt;0,($BM255*((BF255/AD255)*8*$HE255)*U255),0)))</f>
        <v> </v>
      </c>
      <c r="BR255" s="330" t="str">
        <f aca="false">IF($A255="N/A"," ",(IF(AW255&gt;0,($BM255*(8*($HE255))*V255),0)+IF(BG255&gt;0,($BM255*((BG255/AE255)*8*$HE255)*V255),0)))</f>
        <v> </v>
      </c>
      <c r="BS255" s="330" t="str">
        <f aca="false">IF($A255="N/A"," ",(IF(AX255&gt;0,($BM255*(8*($HE255))*W255),0)+IF(BH255&gt;0,($BM255*((BH255))*W255),0)))</f>
        <v> </v>
      </c>
      <c r="BT255" s="330" t="str">
        <f aca="false">IF($A255="N/A"," ",(IF(AY255&gt;0,($BM255*(8*($HF255))*X255),0)+IF(BI255&gt;0,($BM255*((BI255/AG255)*8*$HF255)*X255),0)))</f>
        <v> </v>
      </c>
      <c r="BU255" s="330" t="str">
        <f aca="false">IF($A255="N/A"," ",(IF(AZ255&gt;0,($BM255*(8*($HF255))*Y255),0)+IF(BJ255&gt;0,($BM255*((BJ255/AH255)*8*$HF255)*Y255),0)))</f>
        <v> </v>
      </c>
      <c r="BV255" s="330" t="str">
        <f aca="false">IF($A255="N/A"," ",(IF(BA255&gt;0,($BM255*(8*($HF255))*Z255),0)+IF(BK255&gt;0,($BM255*((BK255))*Z255),0)))</f>
        <v> </v>
      </c>
      <c r="BW255" s="330" t="str">
        <f aca="false">IF($A255="N/A"," ",SUM(BN255:BV255))</f>
        <v> </v>
      </c>
      <c r="BX255" s="331" t="str">
        <f aca="false">IF($A255="N/A"," ",(H255*(SUM(AS255:BA255)+SUM(BC255:BK255))*BM255))</f>
        <v> </v>
      </c>
      <c r="BY255" s="332" t="str">
        <f aca="false">IF($A255="N/A"," ",((C255*D255)*(SUM($AS255:$BA255)+SUM($BC255:$BK255))*$BM255))</f>
        <v> </v>
      </c>
      <c r="BZ255" s="332" t="str">
        <f aca="false">IF($A255="N/A"," ",(F255*(SUM($AS255:$BA255)+SUM($BC255:$BK255))*$BM255))</f>
        <v> </v>
      </c>
      <c r="CA255" s="333" t="str">
        <f aca="false">IF($A255="N/A"," ",(G255*(SUM($AS255:$BA255)+SUM($BC255:$BK255))*$BM255))</f>
        <v> </v>
      </c>
      <c r="CB255" s="334" t="str">
        <f aca="false">IF(A255="N/A"," ",(VLOOKUP(A255,PowerVolTable,(IF(BMO=2,7,IF(BMO=1,6,8))),FALSE())))</f>
        <v> </v>
      </c>
      <c r="CC255" s="334" t="str">
        <f aca="false">IF(A255="N/A"," ",(VLOOKUP(A255,IntraPowerVol,(IF(BMO=2,3,IF(BMO=1,2,4))),FALSE())*VLOOKUP(MONTH($A255),Volscale,2)))</f>
        <v> </v>
      </c>
      <c r="CD255" s="335" t="str">
        <f aca="false">IF($A255="N/A"," ",(IF(DateToday&gt;$A255,$CC255,((($CB255^2)*((($A255-1)-DateToday)/((EOMONTH($A255,0)+1)-DateToday-15)))+((($CC255)^2)*((15)/((EOMONTH($A255,0)+1)-DateToday-15))))^0.5)))</f>
        <v> </v>
      </c>
      <c r="CE255" s="334" t="str">
        <f aca="false">IF($A255="N/A"," ",(VLOOKUP($A255,GasVolTable,(IF(BMO=2,6,IF(BMO=1,7,5))),FALSE())))</f>
        <v> </v>
      </c>
      <c r="CF255" s="334" t="str">
        <f aca="false">IF($A255="N/A"," ",(VLOOKUP($A255,OmicronVol,(IF(BMO=2,3,IF(BMO=1,4,2))),FALSE())))</f>
        <v> </v>
      </c>
      <c r="CG255" s="335" t="str">
        <f aca="false">IF($A255="N/A"," ",(IF(DateToday&gt;$A255,$CF255,((($CE255^2)*((($A255-1)-DateToday)/((EOMONTH($A255,0)+1)-DateToday-15)))+((($CF255)^2)*((15)/((EOMONTH($A255,0)+1)-DateToday-15))))^0.5)))</f>
        <v> </v>
      </c>
      <c r="CH255" s="334" t="str">
        <f aca="false">IF($A255="N/A"," ",VLOOKUP($A255,CorrelationTable,2,FALSE()))</f>
        <v> </v>
      </c>
      <c r="CI255" s="336" t="str">
        <f aca="false">IF($A255="N/A"," ",F255+G255+(D255*('Pricing Inputs'!T288)))</f>
        <v> </v>
      </c>
      <c r="CJ255" s="334" t="str">
        <f aca="false">IF($A255="N/A"," ",IF(PV=1,0,'Pricing Inputs'!U288))</f>
        <v> </v>
      </c>
      <c r="CK255" s="337" t="str">
        <f aca="false">IF($A255="N/A"," ",(1+CJ255/2)^(-2*((EOMONTH(A255,0)+20)-DateToday)/365.25))</f>
        <v> </v>
      </c>
      <c r="CL255" s="338" t="str">
        <f aca="false">IF(A255="N/A"," ",IF(CC=2,(VLOOKUP(MONTH($A255),Hrtable,3))/1000,0))</f>
        <v> </v>
      </c>
      <c r="CM255" s="339" t="str">
        <f aca="false">IF(A255="N/A"," ",IF(CC=2,(CL255*C255)+F255,0))</f>
        <v> </v>
      </c>
      <c r="CN255" s="340" t="str">
        <f aca="false">IF($A255="N/A"," ",IF(CC=2,(VLOOKUP(A255,ScaledPrice,(IF(AND(Dayrun&gt;=1,Dayrun&lt;=6),2,4)))-((IF(R255&lt;&gt;0,$D255,$CL255)*$C255)+$F255+$G255)),0))</f>
        <v> </v>
      </c>
      <c r="CO255" s="340" t="str">
        <f aca="false">IF($A255="N/A"," ",IF(CC=2,(IF(AND(Dayrun&gt;=1,Dayrun&lt;=6),I255,(VLOOKUP(A255,ScaledPrice,2))*(2-(VLOOKUP(A255,ScaledPrice,3))))-((IF(S255&lt;&gt;0,$D255,$CL255)*$C255)+$F255+$G255)),0))</f>
        <v> </v>
      </c>
      <c r="CP255" s="340" t="str">
        <f aca="false">IF(A255="N/A"," ",IF(CC=2,(VLOOKUP(A255,ScaledPrice,9)-((IF(T255&lt;&gt;0,$D255,$CL255)*$C255)+$F255+$G255)),0))</f>
        <v> </v>
      </c>
      <c r="CQ255" s="340" t="str">
        <f aca="false">IF(A255="N/A"," ",IF(CC=2,(IF(OR(Dayrun=2,Dayrun=3,Dayrun=5,Dayrun=6,Dayrun=8,Dayrun=9),VLOOKUP(A255,ScaledPrice,IF(AND(Dayrun&gt;=2,Dayrun&lt;=6),5,6)),0)-((IF(U255&lt;&gt;0,$D255,$CL255)*$C255)+$F255+$G255)),0))</f>
        <v> </v>
      </c>
      <c r="CR255" s="340" t="str">
        <f aca="false">IF(A255="N/A"," ",IF(CC=2,(IF(OR(Dayrun=2,Dayrun=3,Dayrun=5,Dayrun=6,Dayrun=8,Dayrun=9),IF(AND(Dayrun&gt;=2,Dayrun&lt;=6),L255,(VLOOKUP(A255,ScaledPrice,5))*(2-(VLOOKUP(A255,ScaledPrice,3)))),0)-((IF(V255&lt;&gt;0,$D255,$CL255)*$C255)+$F255+$G255)),0))</f>
        <v> </v>
      </c>
      <c r="CS255" s="340" t="str">
        <f aca="false">IF(A255="N/A"," ",IF(CC=2,(VLOOKUP(A255,ScaledPrice,9)-((IF(W255&lt;&gt;0,$D255,$CL255)*$C255)+$F255+$G255)),0))</f>
        <v> </v>
      </c>
      <c r="CT255" s="340" t="str">
        <f aca="false">IF(A255="N/A"," ",IF(CC=2,(IF(OR(Dayrun=3,Dayrun=6,Dayrun=9),(VLOOKUP(A255,ScaledPrice,IF(AND(Dayrun&gt;=3,Dayrun&lt;=6),7,8))),0)-((IF(X255&lt;&gt;0,$D255,$CL255)*$C255)+$F255+$G255)),0))</f>
        <v> </v>
      </c>
      <c r="CU255" s="340" t="str">
        <f aca="false">IF(A255="N/A"," ",IF(CC=2,(IF(OR(Dayrun=3,Dayrun=6,Dayrun=9),IF(AND(Dayrun&gt;=3,Dayrun&lt;=6),O255,(VLOOKUP(A255,ScaledPrice,7))*(2-(VLOOKUP(A255,ScaledPrice,3)))),0)-((IF(Y255&lt;&gt;0,$D255,$CL255)*$C255)+$F255+$G255)),0))</f>
        <v> </v>
      </c>
      <c r="CV255" s="340" t="str">
        <f aca="false">IF(A255="N/A"," ",IF(CC=2,(VLOOKUP(A255,ScaledPrice,9)-((IF(Z255&lt;&gt;0,$D255,$CL255)*$C255)+$F255+$G255)),0))</f>
        <v> </v>
      </c>
      <c r="CW255" s="318" t="str">
        <f aca="false">IF($A255="N/A"," ",IF(0&lt;&gt;CN255,IF(CC=2,8*$HD255,0),0))</f>
        <v> </v>
      </c>
      <c r="CX255" s="318" t="str">
        <f aca="false">IF($A255="N/A"," ",IF(0&lt;&gt;CO255,IF(CC=2,8*$HD255,0),0))</f>
        <v> </v>
      </c>
      <c r="CY255" s="318" t="str">
        <f aca="false">IF($A255="N/A"," ",IF(0&lt;&gt;CP255,IF(CC=2,8*$HD255,0),0))</f>
        <v> </v>
      </c>
      <c r="CZ255" s="318" t="str">
        <f aca="false">IF($A255="N/A"," ",IF(0&lt;&gt;CQ255,IF(CC=2,8*$HE255,0),0))</f>
        <v> </v>
      </c>
      <c r="DA255" s="318" t="str">
        <f aca="false">IF($A255="N/A"," ",IF(0&lt;&gt;CR255,IF(CC=2,8*$HE255,0),0))</f>
        <v> </v>
      </c>
      <c r="DB255" s="318" t="str">
        <f aca="false">IF($A255="N/A"," ",IF(0&lt;&gt;CS255,IF(CC=2,8*$HE255,0),0))</f>
        <v> </v>
      </c>
      <c r="DC255" s="318" t="str">
        <f aca="false">IF($A255="N/A"," ",IF(0&lt;&gt;CT255,IF(CC=2,8*$HF255,0),0))</f>
        <v> </v>
      </c>
      <c r="DD255" s="318" t="str">
        <f aca="false">IF($A255="N/A"," ",IF(0&lt;&gt;CU255,IF(CC=2,8*$HF255,0),0))</f>
        <v> </v>
      </c>
      <c r="DE255" s="318" t="str">
        <f aca="false">IF($A255="N/A"," ",IF(0&lt;&gt;CV255,IF(CC=2,8*$HF255,0),0))</f>
        <v> </v>
      </c>
      <c r="DF255" s="341" t="str">
        <f aca="false">IF($A255="N/A"," ",IF(CC=2,(IF(MONTH(A255)&gt;=4,IF(MONTH(A255)&lt;=10,Inputs!$G$13,Inputs!$G$14),Inputs!$G$14))*$CK255,0))</f>
        <v> </v>
      </c>
      <c r="DG255" s="342" t="str">
        <f aca="false">IF($A255="N/A"," ",IF(CC=2,$DF255*CW255*CN255,0))</f>
        <v> </v>
      </c>
      <c r="DH255" s="342" t="str">
        <f aca="false">IF($A255="N/A"," ",IF(CC=2,$DF255*CX255*CO255,0))</f>
        <v> </v>
      </c>
      <c r="DI255" s="342" t="str">
        <f aca="false">IF($A255="N/A"," ",IF(CC=2,$DF255*CY255*CP255,0))</f>
        <v> </v>
      </c>
      <c r="DJ255" s="342" t="str">
        <f aca="false">IF($A255="N/A"," ",IF(CC=2,$DF255*CZ255*CQ255,0))</f>
        <v> </v>
      </c>
      <c r="DK255" s="342" t="str">
        <f aca="false">IF($A255="N/A"," ",IF(CC=2,$DF255*DA255*CR255,0))</f>
        <v> </v>
      </c>
      <c r="DL255" s="342" t="str">
        <f aca="false">IF($A255="N/A"," ",IF(CC=2,$DF255*DB255*CS255,0))</f>
        <v> </v>
      </c>
      <c r="DM255" s="342" t="str">
        <f aca="false">IF($A255="N/A"," ",IF(CC=2,$DF255*DC255*CT255,0))</f>
        <v> </v>
      </c>
      <c r="DN255" s="342" t="str">
        <f aca="false">IF($A255="N/A"," ",IF(CC=2,$DF255*DD255*CU255,0))</f>
        <v> </v>
      </c>
      <c r="DO255" s="342" t="str">
        <f aca="false">IF($A255="N/A"," ",IF(CC=2,$DF255*DE255*CV255,0))</f>
        <v> </v>
      </c>
      <c r="DP255" s="343" t="str">
        <f aca="false">IF($A255="N/A"," ",IF(CC=2,SUM(DG255:DO255),0))</f>
        <v> </v>
      </c>
      <c r="DQ255" s="0" t="str">
        <f aca="false">IF(A255="N/A"," ",Perstart)</f>
        <v> </v>
      </c>
      <c r="HD255" s="0" t="str">
        <f aca="false">IF($A255="N/A"," ",VLOOKUP($A255,NumberofDaysTable,2))</f>
        <v> </v>
      </c>
      <c r="HE255" s="0" t="str">
        <f aca="false">IF($A255="N/A"," ",VLOOKUP($A255,NumberofDaysTable,3))</f>
        <v> </v>
      </c>
      <c r="HF255" s="0" t="str">
        <f aca="false">IF($A255="N/A"," ",VLOOKUP($A255,NumberofDaysTable,4))</f>
        <v> </v>
      </c>
    </row>
    <row r="256" customFormat="false" ht="12.75" hidden="false" customHeight="false" outlineLevel="0" collapsed="false">
      <c r="A256" s="362"/>
      <c r="B256" s="362"/>
      <c r="P256" s="84"/>
      <c r="Q256" s="363"/>
      <c r="CL256" s="364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</row>
    <row r="257" customFormat="false" ht="12.75" hidden="false" customHeight="false" outlineLevel="0" collapsed="false">
      <c r="A257" s="362"/>
      <c r="B257" s="362"/>
      <c r="P257" s="84"/>
      <c r="Q257" s="363"/>
      <c r="CL257" s="364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</row>
    <row r="258" customFormat="false" ht="12.75" hidden="false" customHeight="false" outlineLevel="0" collapsed="false">
      <c r="A258" s="362"/>
      <c r="B258" s="362"/>
      <c r="P258" s="84"/>
      <c r="Q258" s="363"/>
      <c r="CL258" s="364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</row>
    <row r="259" customFormat="false" ht="12.75" hidden="false" customHeight="false" outlineLevel="0" collapsed="false">
      <c r="A259" s="362"/>
      <c r="B259" s="362"/>
      <c r="P259" s="84"/>
      <c r="Q259" s="363"/>
      <c r="CL259" s="364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</row>
    <row r="260" customFormat="false" ht="12.75" hidden="false" customHeight="false" outlineLevel="0" collapsed="false">
      <c r="A260" s="362"/>
      <c r="B260" s="362"/>
      <c r="P260" s="84"/>
      <c r="Q260" s="363"/>
      <c r="CL260" s="364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</row>
    <row r="261" customFormat="false" ht="12.75" hidden="false" customHeight="false" outlineLevel="0" collapsed="false">
      <c r="A261" s="362"/>
      <c r="B261" s="362"/>
      <c r="P261" s="84"/>
      <c r="Q261" s="363"/>
      <c r="CL261" s="364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</row>
    <row r="262" customFormat="false" ht="12.75" hidden="false" customHeight="false" outlineLevel="0" collapsed="false">
      <c r="A262" s="362"/>
      <c r="B262" s="362"/>
      <c r="P262" s="84"/>
      <c r="Q262" s="363"/>
      <c r="CL262" s="364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</row>
    <row r="263" customFormat="false" ht="12.75" hidden="false" customHeight="false" outlineLevel="0" collapsed="false">
      <c r="A263" s="362"/>
      <c r="B263" s="362"/>
      <c r="P263" s="84"/>
      <c r="Q263" s="363"/>
      <c r="CL263" s="364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</row>
    <row r="264" customFormat="false" ht="12.75" hidden="false" customHeight="false" outlineLevel="0" collapsed="false">
      <c r="A264" s="362"/>
      <c r="B264" s="362"/>
      <c r="P264" s="84"/>
      <c r="Q264" s="363"/>
      <c r="CL264" s="364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</row>
    <row r="265" customFormat="false" ht="12.75" hidden="false" customHeight="false" outlineLevel="0" collapsed="false">
      <c r="A265" s="362"/>
      <c r="B265" s="362"/>
      <c r="P265" s="84"/>
      <c r="Q265" s="363"/>
      <c r="CL265" s="364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</row>
    <row r="266" customFormat="false" ht="12.75" hidden="false" customHeight="false" outlineLevel="0" collapsed="false">
      <c r="A266" s="362"/>
      <c r="B266" s="362"/>
      <c r="P266" s="84"/>
      <c r="Q266" s="363"/>
      <c r="CL266" s="364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</row>
    <row r="267" customFormat="false" ht="12.75" hidden="false" customHeight="false" outlineLevel="0" collapsed="false">
      <c r="A267" s="362"/>
      <c r="B267" s="362"/>
      <c r="P267" s="84"/>
      <c r="Q267" s="363"/>
      <c r="CL267" s="364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</row>
    <row r="268" customFormat="false" ht="12.75" hidden="false" customHeight="false" outlineLevel="0" collapsed="false">
      <c r="A268" s="362"/>
      <c r="B268" s="362"/>
      <c r="P268" s="84"/>
      <c r="Q268" s="363"/>
      <c r="CL268" s="364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</row>
    <row r="269" customFormat="false" ht="12.75" hidden="false" customHeight="false" outlineLevel="0" collapsed="false">
      <c r="A269" s="362"/>
      <c r="B269" s="362"/>
      <c r="P269" s="84"/>
      <c r="Q269" s="363"/>
      <c r="CL269" s="364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</row>
    <row r="270" customFormat="false" ht="12.75" hidden="false" customHeight="false" outlineLevel="0" collapsed="false">
      <c r="A270" s="362"/>
      <c r="B270" s="362"/>
      <c r="P270" s="84"/>
      <c r="Q270" s="363"/>
      <c r="CL270" s="364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</row>
    <row r="271" customFormat="false" ht="12.75" hidden="false" customHeight="false" outlineLevel="0" collapsed="false">
      <c r="A271" s="362"/>
      <c r="B271" s="362"/>
      <c r="P271" s="84"/>
      <c r="Q271" s="363"/>
      <c r="CL271" s="364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</row>
    <row r="272" customFormat="false" ht="12.75" hidden="false" customHeight="false" outlineLevel="0" collapsed="false">
      <c r="A272" s="362"/>
      <c r="B272" s="362"/>
      <c r="P272" s="84"/>
      <c r="Q272" s="363"/>
      <c r="CL272" s="364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</row>
    <row r="273" customFormat="false" ht="12.75" hidden="false" customHeight="false" outlineLevel="0" collapsed="false">
      <c r="A273" s="362"/>
      <c r="B273" s="362"/>
      <c r="P273" s="84"/>
      <c r="Q273" s="363"/>
      <c r="CL273" s="364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</row>
    <row r="274" customFormat="false" ht="12.75" hidden="false" customHeight="false" outlineLevel="0" collapsed="false">
      <c r="A274" s="362"/>
      <c r="B274" s="362"/>
      <c r="P274" s="84"/>
      <c r="Q274" s="363"/>
      <c r="CL274" s="364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</row>
    <row r="275" customFormat="false" ht="12.75" hidden="false" customHeight="false" outlineLevel="0" collapsed="false">
      <c r="A275" s="362"/>
      <c r="B275" s="362"/>
      <c r="P275" s="84"/>
      <c r="Q275" s="363"/>
      <c r="CL275" s="364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</row>
    <row r="276" customFormat="false" ht="12.75" hidden="false" customHeight="false" outlineLevel="0" collapsed="false">
      <c r="A276" s="362"/>
      <c r="B276" s="362"/>
      <c r="P276" s="84"/>
      <c r="Q276" s="363"/>
      <c r="CL276" s="364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</row>
    <row r="277" customFormat="false" ht="12.75" hidden="false" customHeight="false" outlineLevel="0" collapsed="false">
      <c r="A277" s="362"/>
      <c r="B277" s="362"/>
      <c r="P277" s="84"/>
      <c r="Q277" s="363"/>
      <c r="CL277" s="364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</row>
    <row r="278" customFormat="false" ht="12.75" hidden="false" customHeight="false" outlineLevel="0" collapsed="false">
      <c r="A278" s="362"/>
      <c r="B278" s="362"/>
      <c r="P278" s="84"/>
      <c r="Q278" s="363"/>
      <c r="CL278" s="364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</row>
    <row r="279" customFormat="false" ht="12.75" hidden="false" customHeight="false" outlineLevel="0" collapsed="false">
      <c r="A279" s="362"/>
      <c r="B279" s="362"/>
      <c r="P279" s="84"/>
      <c r="Q279" s="363"/>
      <c r="CL279" s="364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</row>
    <row r="280" customFormat="false" ht="12.75" hidden="false" customHeight="false" outlineLevel="0" collapsed="false">
      <c r="A280" s="362"/>
      <c r="B280" s="362"/>
      <c r="P280" s="84"/>
      <c r="Q280" s="363"/>
      <c r="CL280" s="364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</row>
    <row r="281" customFormat="false" ht="12.75" hidden="false" customHeight="false" outlineLevel="0" collapsed="false">
      <c r="A281" s="362"/>
      <c r="B281" s="362"/>
      <c r="P281" s="84"/>
      <c r="Q281" s="363"/>
      <c r="CL281" s="364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</row>
    <row r="282" customFormat="false" ht="12.75" hidden="false" customHeight="false" outlineLevel="0" collapsed="false">
      <c r="A282" s="362"/>
      <c r="B282" s="362"/>
      <c r="P282" s="84"/>
      <c r="Q282" s="363"/>
      <c r="CL282" s="364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</row>
    <row r="283" customFormat="false" ht="12.75" hidden="false" customHeight="false" outlineLevel="0" collapsed="false">
      <c r="A283" s="362"/>
      <c r="B283" s="362"/>
      <c r="P283" s="84"/>
      <c r="Q283" s="363"/>
      <c r="CL283" s="364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</row>
    <row r="284" customFormat="false" ht="12.75" hidden="false" customHeight="false" outlineLevel="0" collapsed="false">
      <c r="A284" s="362"/>
      <c r="B284" s="362"/>
      <c r="P284" s="84"/>
      <c r="Q284" s="363"/>
      <c r="CL284" s="364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</row>
    <row r="285" customFormat="false" ht="12.75" hidden="false" customHeight="false" outlineLevel="0" collapsed="false">
      <c r="A285" s="362"/>
      <c r="B285" s="362"/>
      <c r="P285" s="84"/>
      <c r="Q285" s="363"/>
      <c r="CL285" s="364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</row>
    <row r="286" customFormat="false" ht="12.75" hidden="false" customHeight="false" outlineLevel="0" collapsed="false">
      <c r="A286" s="362"/>
      <c r="B286" s="362"/>
      <c r="P286" s="84"/>
      <c r="Q286" s="363"/>
      <c r="CL286" s="364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</row>
    <row r="287" customFormat="false" ht="12.75" hidden="false" customHeight="false" outlineLevel="0" collapsed="false">
      <c r="A287" s="362"/>
      <c r="B287" s="362"/>
      <c r="P287" s="84"/>
      <c r="Q287" s="363"/>
      <c r="CL287" s="364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</row>
    <row r="288" customFormat="false" ht="12.75" hidden="false" customHeight="false" outlineLevel="0" collapsed="false">
      <c r="A288" s="362"/>
      <c r="B288" s="362"/>
      <c r="P288" s="84"/>
      <c r="Q288" s="363"/>
      <c r="CL288" s="364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</row>
    <row r="289" customFormat="false" ht="12.75" hidden="false" customHeight="false" outlineLevel="0" collapsed="false">
      <c r="A289" s="362"/>
      <c r="B289" s="362"/>
      <c r="P289" s="84"/>
      <c r="Q289" s="363"/>
      <c r="CL289" s="364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</row>
    <row r="290" customFormat="false" ht="12.75" hidden="false" customHeight="false" outlineLevel="0" collapsed="false">
      <c r="A290" s="362"/>
      <c r="B290" s="362"/>
      <c r="P290" s="84"/>
      <c r="Q290" s="363"/>
      <c r="CL290" s="364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</row>
    <row r="291" customFormat="false" ht="12.75" hidden="false" customHeight="false" outlineLevel="0" collapsed="false">
      <c r="A291" s="362"/>
      <c r="B291" s="362"/>
      <c r="P291" s="84"/>
      <c r="Q291" s="363"/>
      <c r="CL291" s="364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</row>
    <row r="292" customFormat="false" ht="12.75" hidden="false" customHeight="false" outlineLevel="0" collapsed="false">
      <c r="A292" s="362"/>
      <c r="B292" s="362"/>
      <c r="P292" s="84"/>
      <c r="Q292" s="363"/>
      <c r="CL292" s="364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</row>
    <row r="293" customFormat="false" ht="12.75" hidden="false" customHeight="false" outlineLevel="0" collapsed="false">
      <c r="A293" s="362"/>
      <c r="B293" s="362"/>
      <c r="P293" s="84"/>
      <c r="Q293" s="363"/>
      <c r="CL293" s="364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</row>
    <row r="294" customFormat="false" ht="12.75" hidden="false" customHeight="false" outlineLevel="0" collapsed="false">
      <c r="A294" s="362"/>
      <c r="B294" s="362"/>
      <c r="P294" s="84"/>
      <c r="Q294" s="363"/>
      <c r="CL294" s="364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</row>
    <row r="295" customFormat="false" ht="12.75" hidden="false" customHeight="false" outlineLevel="0" collapsed="false">
      <c r="A295" s="362"/>
      <c r="B295" s="362"/>
      <c r="P295" s="84"/>
      <c r="Q295" s="363"/>
      <c r="CL295" s="364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</row>
    <row r="296" customFormat="false" ht="12.75" hidden="false" customHeight="false" outlineLevel="0" collapsed="false">
      <c r="A296" s="362"/>
      <c r="B296" s="362"/>
      <c r="P296" s="84"/>
      <c r="Q296" s="363"/>
      <c r="CL296" s="364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</row>
    <row r="297" customFormat="false" ht="12.75" hidden="false" customHeight="false" outlineLevel="0" collapsed="false">
      <c r="A297" s="362"/>
      <c r="B297" s="362"/>
      <c r="P297" s="84"/>
      <c r="Q297" s="363"/>
      <c r="CL297" s="364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</row>
    <row r="298" customFormat="false" ht="12.75" hidden="false" customHeight="false" outlineLevel="0" collapsed="false">
      <c r="A298" s="362"/>
      <c r="B298" s="362"/>
      <c r="P298" s="84"/>
      <c r="Q298" s="363"/>
      <c r="CL298" s="364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</row>
    <row r="299" customFormat="false" ht="12.75" hidden="false" customHeight="false" outlineLevel="0" collapsed="false">
      <c r="A299" s="362"/>
      <c r="B299" s="362"/>
      <c r="P299" s="84"/>
      <c r="Q299" s="363"/>
      <c r="CL299" s="364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</row>
    <row r="300" customFormat="false" ht="12.75" hidden="false" customHeight="false" outlineLevel="0" collapsed="false">
      <c r="A300" s="362"/>
      <c r="B300" s="362"/>
      <c r="P300" s="84"/>
      <c r="Q300" s="363"/>
      <c r="CL300" s="364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</row>
    <row r="301" customFormat="false" ht="12.75" hidden="false" customHeight="false" outlineLevel="0" collapsed="false">
      <c r="A301" s="362"/>
      <c r="B301" s="362"/>
      <c r="P301" s="84"/>
      <c r="Q301" s="363"/>
      <c r="CL301" s="364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</row>
    <row r="302" customFormat="false" ht="12.75" hidden="false" customHeight="false" outlineLevel="0" collapsed="false">
      <c r="A302" s="362"/>
      <c r="B302" s="362"/>
      <c r="P302" s="84"/>
      <c r="Q302" s="363"/>
      <c r="CL302" s="364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</row>
    <row r="303" customFormat="false" ht="12.75" hidden="false" customHeight="false" outlineLevel="0" collapsed="false">
      <c r="A303" s="362"/>
      <c r="B303" s="362"/>
      <c r="P303" s="84"/>
      <c r="Q303" s="363"/>
      <c r="CL303" s="364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</row>
    <row r="304" customFormat="false" ht="12.75" hidden="false" customHeight="false" outlineLevel="0" collapsed="false">
      <c r="A304" s="362"/>
      <c r="B304" s="362"/>
      <c r="P304" s="84"/>
      <c r="Q304" s="363"/>
      <c r="CL304" s="364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</row>
    <row r="305" customFormat="false" ht="12.75" hidden="false" customHeight="false" outlineLevel="0" collapsed="false">
      <c r="A305" s="362"/>
      <c r="B305" s="362"/>
      <c r="P305" s="84"/>
      <c r="Q305" s="363"/>
      <c r="CL305" s="364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</row>
    <row r="306" customFormat="false" ht="12.75" hidden="false" customHeight="false" outlineLevel="0" collapsed="false">
      <c r="A306" s="362"/>
      <c r="B306" s="362"/>
      <c r="P306" s="84"/>
      <c r="Q306" s="363"/>
      <c r="CL306" s="364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</row>
    <row r="307" customFormat="false" ht="12.75" hidden="false" customHeight="false" outlineLevel="0" collapsed="false">
      <c r="A307" s="362"/>
      <c r="B307" s="362"/>
      <c r="P307" s="84"/>
      <c r="Q307" s="363"/>
      <c r="CL307" s="364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</row>
    <row r="308" customFormat="false" ht="12.75" hidden="false" customHeight="false" outlineLevel="0" collapsed="false">
      <c r="A308" s="362"/>
      <c r="B308" s="362"/>
      <c r="P308" s="84"/>
      <c r="Q308" s="363"/>
      <c r="CL308" s="364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</row>
    <row r="309" customFormat="false" ht="12.75" hidden="false" customHeight="false" outlineLevel="0" collapsed="false">
      <c r="A309" s="362"/>
      <c r="B309" s="362"/>
      <c r="P309" s="84"/>
      <c r="Q309" s="363"/>
      <c r="CL309" s="364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</row>
    <row r="310" customFormat="false" ht="12.75" hidden="false" customHeight="false" outlineLevel="0" collapsed="false">
      <c r="A310" s="362"/>
      <c r="B310" s="362"/>
      <c r="P310" s="84"/>
      <c r="Q310" s="363"/>
      <c r="CL310" s="364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</row>
    <row r="311" customFormat="false" ht="12.75" hidden="false" customHeight="false" outlineLevel="0" collapsed="false">
      <c r="A311" s="362"/>
      <c r="B311" s="362"/>
      <c r="P311" s="84"/>
      <c r="Q311" s="363"/>
      <c r="CL311" s="364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</row>
    <row r="312" customFormat="false" ht="12.75" hidden="false" customHeight="false" outlineLevel="0" collapsed="false">
      <c r="A312" s="362"/>
      <c r="B312" s="362"/>
      <c r="P312" s="84"/>
      <c r="Q312" s="363"/>
      <c r="CL312" s="364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</row>
    <row r="313" customFormat="false" ht="12.75" hidden="false" customHeight="false" outlineLevel="0" collapsed="false">
      <c r="A313" s="362"/>
      <c r="B313" s="362"/>
      <c r="P313" s="84"/>
      <c r="Q313" s="363"/>
      <c r="CL313" s="364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</row>
    <row r="314" customFormat="false" ht="12.75" hidden="false" customHeight="false" outlineLevel="0" collapsed="false">
      <c r="A314" s="362"/>
      <c r="B314" s="362"/>
      <c r="P314" s="84"/>
      <c r="Q314" s="363"/>
      <c r="CL314" s="364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</row>
    <row r="315" customFormat="false" ht="12.75" hidden="false" customHeight="false" outlineLevel="0" collapsed="false">
      <c r="A315" s="362"/>
      <c r="B315" s="362"/>
      <c r="P315" s="84"/>
      <c r="Q315" s="363"/>
      <c r="CL315" s="364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</row>
    <row r="316" customFormat="false" ht="12.75" hidden="false" customHeight="false" outlineLevel="0" collapsed="false">
      <c r="A316" s="362"/>
      <c r="B316" s="362"/>
      <c r="P316" s="84"/>
      <c r="Q316" s="363"/>
      <c r="CL316" s="364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</row>
    <row r="317" customFormat="false" ht="12.75" hidden="false" customHeight="false" outlineLevel="0" collapsed="false">
      <c r="A317" s="362"/>
      <c r="B317" s="362"/>
      <c r="P317" s="84"/>
      <c r="Q317" s="363"/>
      <c r="CL317" s="364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</row>
    <row r="318" customFormat="false" ht="12.75" hidden="false" customHeight="false" outlineLevel="0" collapsed="false">
      <c r="A318" s="362"/>
      <c r="B318" s="362"/>
      <c r="P318" s="84"/>
      <c r="Q318" s="363"/>
      <c r="CL318" s="364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</row>
    <row r="319" customFormat="false" ht="12.75" hidden="false" customHeight="false" outlineLevel="0" collapsed="false">
      <c r="A319" s="362"/>
      <c r="B319" s="362"/>
      <c r="P319" s="84"/>
      <c r="Q319" s="363"/>
      <c r="CL319" s="364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</row>
    <row r="320" customFormat="false" ht="12.75" hidden="false" customHeight="false" outlineLevel="0" collapsed="false">
      <c r="A320" s="362"/>
      <c r="B320" s="362"/>
      <c r="P320" s="84"/>
      <c r="Q320" s="363"/>
      <c r="CL320" s="364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</row>
    <row r="321" customFormat="false" ht="12.75" hidden="false" customHeight="false" outlineLevel="0" collapsed="false">
      <c r="A321" s="362"/>
      <c r="B321" s="362"/>
      <c r="P321" s="84"/>
      <c r="Q321" s="363"/>
      <c r="CL321" s="364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</row>
    <row r="322" customFormat="false" ht="12.75" hidden="false" customHeight="false" outlineLevel="0" collapsed="false">
      <c r="A322" s="362"/>
      <c r="B322" s="362"/>
      <c r="P322" s="84"/>
      <c r="Q322" s="363"/>
      <c r="CL322" s="364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</row>
    <row r="323" customFormat="false" ht="12.75" hidden="false" customHeight="false" outlineLevel="0" collapsed="false">
      <c r="A323" s="362"/>
      <c r="B323" s="362"/>
      <c r="P323" s="84"/>
      <c r="Q323" s="363"/>
      <c r="CL323" s="364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</row>
    <row r="324" customFormat="false" ht="12.75" hidden="false" customHeight="false" outlineLevel="0" collapsed="false">
      <c r="A324" s="362"/>
      <c r="B324" s="362"/>
      <c r="P324" s="84"/>
      <c r="Q324" s="363"/>
      <c r="CL324" s="364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</row>
    <row r="325" customFormat="false" ht="12.75" hidden="false" customHeight="false" outlineLevel="0" collapsed="false">
      <c r="A325" s="362"/>
      <c r="B325" s="362"/>
      <c r="P325" s="84"/>
      <c r="Q325" s="363"/>
      <c r="CL325" s="364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</row>
    <row r="326" customFormat="false" ht="12.75" hidden="false" customHeight="false" outlineLevel="0" collapsed="false">
      <c r="A326" s="362"/>
      <c r="B326" s="362"/>
      <c r="P326" s="84"/>
      <c r="Q326" s="363"/>
      <c r="CL326" s="364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</row>
    <row r="327" customFormat="false" ht="12.75" hidden="false" customHeight="false" outlineLevel="0" collapsed="false">
      <c r="A327" s="362"/>
      <c r="B327" s="362"/>
      <c r="P327" s="84"/>
      <c r="Q327" s="363"/>
      <c r="CL327" s="364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</row>
    <row r="328" customFormat="false" ht="12.75" hidden="false" customHeight="false" outlineLevel="0" collapsed="false">
      <c r="A328" s="362"/>
      <c r="B328" s="362"/>
      <c r="P328" s="84"/>
      <c r="Q328" s="363"/>
      <c r="CL328" s="364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</row>
    <row r="329" customFormat="false" ht="12.75" hidden="false" customHeight="false" outlineLevel="0" collapsed="false">
      <c r="A329" s="362"/>
      <c r="B329" s="362"/>
      <c r="P329" s="84"/>
      <c r="Q329" s="363"/>
      <c r="CL329" s="364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</row>
    <row r="330" customFormat="false" ht="12.75" hidden="false" customHeight="false" outlineLevel="0" collapsed="false">
      <c r="A330" s="362"/>
      <c r="B330" s="362"/>
      <c r="P330" s="84"/>
      <c r="Q330" s="363"/>
      <c r="CL330" s="364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</row>
    <row r="331" customFormat="false" ht="12.75" hidden="false" customHeight="false" outlineLevel="0" collapsed="false">
      <c r="A331" s="362"/>
      <c r="B331" s="362"/>
      <c r="P331" s="84"/>
      <c r="Q331" s="363"/>
      <c r="CL331" s="364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</row>
    <row r="332" customFormat="false" ht="12.75" hidden="false" customHeight="false" outlineLevel="0" collapsed="false">
      <c r="A332" s="362"/>
      <c r="B332" s="362"/>
      <c r="P332" s="84"/>
      <c r="Q332" s="363"/>
      <c r="CL332" s="364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</row>
    <row r="333" customFormat="false" ht="12.75" hidden="false" customHeight="false" outlineLevel="0" collapsed="false">
      <c r="A333" s="362"/>
      <c r="B333" s="362"/>
      <c r="P333" s="84"/>
      <c r="Q333" s="363"/>
      <c r="CL333" s="364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</row>
    <row r="334" customFormat="false" ht="12.75" hidden="false" customHeight="false" outlineLevel="0" collapsed="false">
      <c r="A334" s="362"/>
      <c r="B334" s="362"/>
      <c r="P334" s="84"/>
      <c r="Q334" s="363"/>
      <c r="CL334" s="364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</row>
    <row r="335" customFormat="false" ht="12.75" hidden="false" customHeight="false" outlineLevel="0" collapsed="false">
      <c r="A335" s="362"/>
      <c r="B335" s="362"/>
      <c r="P335" s="84"/>
      <c r="Q335" s="363"/>
      <c r="CL335" s="364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</row>
    <row r="336" customFormat="false" ht="12.75" hidden="false" customHeight="false" outlineLevel="0" collapsed="false">
      <c r="A336" s="362"/>
      <c r="B336" s="362"/>
      <c r="P336" s="84"/>
      <c r="Q336" s="363"/>
      <c r="CL336" s="364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</row>
    <row r="337" customFormat="false" ht="12.75" hidden="false" customHeight="false" outlineLevel="0" collapsed="false">
      <c r="A337" s="362"/>
      <c r="B337" s="362"/>
      <c r="P337" s="84"/>
      <c r="Q337" s="363"/>
      <c r="CL337" s="364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</row>
    <row r="338" customFormat="false" ht="12.75" hidden="false" customHeight="false" outlineLevel="0" collapsed="false">
      <c r="A338" s="362"/>
      <c r="B338" s="362"/>
      <c r="P338" s="84"/>
      <c r="Q338" s="363"/>
      <c r="CL338" s="364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</row>
    <row r="339" customFormat="false" ht="12.75" hidden="false" customHeight="false" outlineLevel="0" collapsed="false">
      <c r="A339" s="362"/>
      <c r="B339" s="362"/>
      <c r="P339" s="84"/>
      <c r="Q339" s="363"/>
      <c r="CL339" s="364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</row>
    <row r="340" customFormat="false" ht="12.75" hidden="false" customHeight="false" outlineLevel="0" collapsed="false">
      <c r="A340" s="362"/>
      <c r="B340" s="362"/>
      <c r="P340" s="84"/>
      <c r="Q340" s="363"/>
      <c r="CL340" s="364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</row>
    <row r="341" customFormat="false" ht="12.75" hidden="false" customHeight="false" outlineLevel="0" collapsed="false">
      <c r="A341" s="362"/>
      <c r="B341" s="362"/>
      <c r="P341" s="84"/>
      <c r="Q341" s="363"/>
      <c r="CL341" s="364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</row>
    <row r="342" customFormat="false" ht="12.75" hidden="false" customHeight="false" outlineLevel="0" collapsed="false">
      <c r="A342" s="362"/>
      <c r="B342" s="362"/>
      <c r="P342" s="84"/>
      <c r="Q342" s="363"/>
      <c r="CL342" s="364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</row>
    <row r="343" customFormat="false" ht="12.75" hidden="false" customHeight="false" outlineLevel="0" collapsed="false">
      <c r="A343" s="362"/>
      <c r="B343" s="362"/>
      <c r="P343" s="84"/>
      <c r="Q343" s="363"/>
      <c r="CL343" s="364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</row>
    <row r="344" customFormat="false" ht="12.75" hidden="false" customHeight="false" outlineLevel="0" collapsed="false">
      <c r="A344" s="362"/>
      <c r="B344" s="362"/>
      <c r="P344" s="84"/>
      <c r="Q344" s="363"/>
      <c r="CL344" s="364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</row>
    <row r="345" customFormat="false" ht="12.75" hidden="false" customHeight="false" outlineLevel="0" collapsed="false">
      <c r="A345" s="362"/>
      <c r="B345" s="362"/>
      <c r="P345" s="84"/>
      <c r="Q345" s="363"/>
      <c r="CL345" s="364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</row>
    <row r="346" customFormat="false" ht="12.75" hidden="false" customHeight="false" outlineLevel="0" collapsed="false">
      <c r="A346" s="362"/>
      <c r="B346" s="362"/>
      <c r="P346" s="84"/>
      <c r="Q346" s="363"/>
      <c r="CL346" s="364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</row>
    <row r="347" customFormat="false" ht="12.75" hidden="false" customHeight="false" outlineLevel="0" collapsed="false">
      <c r="A347" s="362"/>
      <c r="B347" s="362"/>
      <c r="P347" s="84"/>
      <c r="Q347" s="363"/>
      <c r="CL347" s="364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</row>
    <row r="348" customFormat="false" ht="12.75" hidden="false" customHeight="false" outlineLevel="0" collapsed="false">
      <c r="A348" s="362"/>
      <c r="B348" s="362"/>
      <c r="P348" s="84"/>
      <c r="Q348" s="363"/>
      <c r="CL348" s="364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</row>
    <row r="349" customFormat="false" ht="12.75" hidden="false" customHeight="false" outlineLevel="0" collapsed="false">
      <c r="A349" s="362"/>
      <c r="B349" s="362"/>
      <c r="P349" s="84"/>
      <c r="Q349" s="363"/>
      <c r="CL349" s="364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</row>
    <row r="350" customFormat="false" ht="12.75" hidden="false" customHeight="false" outlineLevel="0" collapsed="false">
      <c r="A350" s="362"/>
      <c r="B350" s="362"/>
      <c r="P350" s="84"/>
      <c r="Q350" s="363"/>
      <c r="CL350" s="364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</row>
    <row r="351" customFormat="false" ht="12.75" hidden="false" customHeight="false" outlineLevel="0" collapsed="false">
      <c r="A351" s="362"/>
      <c r="B351" s="362"/>
      <c r="P351" s="84"/>
      <c r="Q351" s="363"/>
      <c r="CL351" s="364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</row>
    <row r="352" customFormat="false" ht="12.75" hidden="false" customHeight="false" outlineLevel="0" collapsed="false">
      <c r="A352" s="362"/>
      <c r="B352" s="362"/>
      <c r="P352" s="84"/>
      <c r="Q352" s="363"/>
      <c r="CL352" s="364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</row>
    <row r="353" customFormat="false" ht="12.75" hidden="false" customHeight="false" outlineLevel="0" collapsed="false">
      <c r="A353" s="362"/>
      <c r="B353" s="362"/>
      <c r="P353" s="84"/>
      <c r="Q353" s="363"/>
      <c r="CL353" s="364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</row>
    <row r="354" customFormat="false" ht="12.75" hidden="false" customHeight="false" outlineLevel="0" collapsed="false">
      <c r="A354" s="362"/>
      <c r="B354" s="362"/>
      <c r="P354" s="84"/>
      <c r="Q354" s="363"/>
      <c r="CL354" s="364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</row>
    <row r="355" customFormat="false" ht="12.75" hidden="false" customHeight="false" outlineLevel="0" collapsed="false">
      <c r="A355" s="362"/>
      <c r="B355" s="362"/>
      <c r="P355" s="84"/>
      <c r="Q355" s="363"/>
      <c r="CL355" s="364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</row>
    <row r="356" customFormat="false" ht="12.75" hidden="false" customHeight="false" outlineLevel="0" collapsed="false">
      <c r="A356" s="362"/>
      <c r="B356" s="362"/>
      <c r="P356" s="84"/>
      <c r="Q356" s="363"/>
      <c r="CL356" s="364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</row>
    <row r="357" customFormat="false" ht="12.75" hidden="false" customHeight="false" outlineLevel="0" collapsed="false">
      <c r="A357" s="362"/>
      <c r="B357" s="362"/>
      <c r="P357" s="84"/>
      <c r="Q357" s="363"/>
      <c r="CL357" s="364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</row>
    <row r="358" customFormat="false" ht="12.75" hidden="false" customHeight="false" outlineLevel="0" collapsed="false">
      <c r="A358" s="362"/>
      <c r="B358" s="362"/>
      <c r="P358" s="84"/>
      <c r="Q358" s="363"/>
      <c r="CL358" s="364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</row>
    <row r="359" customFormat="false" ht="12.75" hidden="false" customHeight="false" outlineLevel="0" collapsed="false">
      <c r="A359" s="362"/>
      <c r="B359" s="362"/>
      <c r="P359" s="84"/>
      <c r="Q359" s="363"/>
      <c r="CL359" s="364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</row>
    <row r="360" customFormat="false" ht="12.75" hidden="false" customHeight="false" outlineLevel="0" collapsed="false">
      <c r="A360" s="362"/>
      <c r="B360" s="362"/>
      <c r="P360" s="84"/>
      <c r="Q360" s="363"/>
      <c r="CL360" s="364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</row>
    <row r="361" customFormat="false" ht="12.75" hidden="false" customHeight="false" outlineLevel="0" collapsed="false">
      <c r="A361" s="362"/>
      <c r="B361" s="362"/>
      <c r="P361" s="84"/>
      <c r="Q361" s="363"/>
      <c r="CL361" s="364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</row>
    <row r="362" customFormat="false" ht="12.75" hidden="false" customHeight="false" outlineLevel="0" collapsed="false">
      <c r="A362" s="362"/>
      <c r="B362" s="362"/>
      <c r="P362" s="84"/>
      <c r="Q362" s="363"/>
      <c r="CL362" s="364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</row>
    <row r="363" customFormat="false" ht="12.75" hidden="false" customHeight="false" outlineLevel="0" collapsed="false">
      <c r="A363" s="362"/>
      <c r="B363" s="362"/>
      <c r="P363" s="84"/>
      <c r="Q363" s="363"/>
      <c r="CL363" s="364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</row>
    <row r="364" customFormat="false" ht="12.75" hidden="false" customHeight="false" outlineLevel="0" collapsed="false">
      <c r="A364" s="362"/>
      <c r="B364" s="362"/>
      <c r="P364" s="84"/>
      <c r="Q364" s="363"/>
      <c r="CL364" s="364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</row>
    <row r="365" customFormat="false" ht="12.75" hidden="false" customHeight="false" outlineLevel="0" collapsed="false">
      <c r="A365" s="362"/>
      <c r="B365" s="362"/>
      <c r="P365" s="84"/>
      <c r="Q365" s="363"/>
      <c r="CL365" s="364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</row>
    <row r="366" customFormat="false" ht="12.75" hidden="false" customHeight="false" outlineLevel="0" collapsed="false">
      <c r="A366" s="362"/>
      <c r="B366" s="362"/>
      <c r="P366" s="84"/>
      <c r="Q366" s="363"/>
      <c r="CL366" s="364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</row>
    <row r="367" customFormat="false" ht="12.75" hidden="false" customHeight="false" outlineLevel="0" collapsed="false">
      <c r="A367" s="362"/>
      <c r="B367" s="362"/>
      <c r="P367" s="84"/>
      <c r="Q367" s="363"/>
      <c r="CL367" s="364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</row>
    <row r="368" customFormat="false" ht="12.75" hidden="false" customHeight="false" outlineLevel="0" collapsed="false">
      <c r="A368" s="362"/>
      <c r="B368" s="362"/>
      <c r="P368" s="84"/>
      <c r="Q368" s="363"/>
      <c r="CL368" s="364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</row>
    <row r="369" customFormat="false" ht="12.75" hidden="false" customHeight="false" outlineLevel="0" collapsed="false">
      <c r="A369" s="362"/>
      <c r="B369" s="362"/>
      <c r="P369" s="84"/>
      <c r="Q369" s="363"/>
      <c r="CL369" s="364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</row>
    <row r="370" customFormat="false" ht="12.75" hidden="false" customHeight="false" outlineLevel="0" collapsed="false">
      <c r="A370" s="362"/>
      <c r="B370" s="362"/>
      <c r="P370" s="84"/>
      <c r="Q370" s="363"/>
      <c r="CL370" s="364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</row>
    <row r="371" customFormat="false" ht="12.75" hidden="false" customHeight="false" outlineLevel="0" collapsed="false">
      <c r="A371" s="362"/>
      <c r="B371" s="362"/>
      <c r="P371" s="84"/>
      <c r="Q371" s="363"/>
      <c r="CL371" s="364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</row>
    <row r="372" customFormat="false" ht="12.75" hidden="false" customHeight="false" outlineLevel="0" collapsed="false">
      <c r="A372" s="362"/>
      <c r="B372" s="362"/>
      <c r="P372" s="84"/>
      <c r="Q372" s="363"/>
      <c r="CL372" s="364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</row>
    <row r="373" customFormat="false" ht="12.75" hidden="false" customHeight="false" outlineLevel="0" collapsed="false">
      <c r="A373" s="362"/>
      <c r="B373" s="362"/>
      <c r="P373" s="84"/>
      <c r="Q373" s="363"/>
      <c r="CL373" s="364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</row>
    <row r="374" customFormat="false" ht="12.75" hidden="false" customHeight="false" outlineLevel="0" collapsed="false">
      <c r="A374" s="362"/>
      <c r="B374" s="362"/>
      <c r="P374" s="84"/>
      <c r="Q374" s="363"/>
      <c r="CL374" s="364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</row>
    <row r="375" customFormat="false" ht="12.75" hidden="false" customHeight="false" outlineLevel="0" collapsed="false">
      <c r="A375" s="362"/>
      <c r="B375" s="362"/>
      <c r="P375" s="84"/>
      <c r="Q375" s="363"/>
      <c r="CL375" s="364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</row>
    <row r="376" customFormat="false" ht="12.75" hidden="false" customHeight="false" outlineLevel="0" collapsed="false">
      <c r="A376" s="362"/>
      <c r="B376" s="362"/>
      <c r="P376" s="84"/>
      <c r="Q376" s="363"/>
      <c r="CL376" s="364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</row>
    <row r="377" customFormat="false" ht="12.75" hidden="false" customHeight="false" outlineLevel="0" collapsed="false">
      <c r="A377" s="362"/>
      <c r="B377" s="362"/>
      <c r="P377" s="84"/>
      <c r="Q377" s="363"/>
      <c r="CL377" s="364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</row>
    <row r="378" customFormat="false" ht="12.75" hidden="false" customHeight="false" outlineLevel="0" collapsed="false">
      <c r="A378" s="362"/>
      <c r="B378" s="362"/>
      <c r="P378" s="84"/>
      <c r="Q378" s="363"/>
      <c r="CL378" s="364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</row>
    <row r="379" customFormat="false" ht="12.75" hidden="false" customHeight="false" outlineLevel="0" collapsed="false">
      <c r="A379" s="362"/>
      <c r="B379" s="362"/>
      <c r="P379" s="84"/>
      <c r="Q379" s="363"/>
      <c r="CL379" s="364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</row>
    <row r="380" customFormat="false" ht="12.75" hidden="false" customHeight="false" outlineLevel="0" collapsed="false">
      <c r="A380" s="362"/>
      <c r="B380" s="362"/>
      <c r="P380" s="84"/>
      <c r="Q380" s="363"/>
      <c r="CL380" s="364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</row>
    <row r="381" customFormat="false" ht="12.75" hidden="false" customHeight="false" outlineLevel="0" collapsed="false">
      <c r="A381" s="362"/>
      <c r="B381" s="362"/>
      <c r="P381" s="84"/>
      <c r="Q381" s="363"/>
      <c r="CL381" s="364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</row>
    <row r="382" customFormat="false" ht="12.75" hidden="false" customHeight="false" outlineLevel="0" collapsed="false">
      <c r="A382" s="362"/>
      <c r="B382" s="362"/>
      <c r="P382" s="84"/>
      <c r="Q382" s="363"/>
      <c r="CL382" s="364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</row>
    <row r="383" customFormat="false" ht="12.75" hidden="false" customHeight="false" outlineLevel="0" collapsed="false">
      <c r="A383" s="362"/>
      <c r="B383" s="362"/>
      <c r="P383" s="84"/>
      <c r="Q383" s="363"/>
      <c r="CL383" s="364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</row>
    <row r="384" customFormat="false" ht="12.75" hidden="false" customHeight="false" outlineLevel="0" collapsed="false">
      <c r="A384" s="362"/>
      <c r="B384" s="362"/>
      <c r="P384" s="84"/>
      <c r="Q384" s="363"/>
      <c r="CL384" s="364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</row>
    <row r="385" customFormat="false" ht="12.75" hidden="false" customHeight="false" outlineLevel="0" collapsed="false">
      <c r="A385" s="362"/>
      <c r="B385" s="362"/>
      <c r="P385" s="84"/>
      <c r="Q385" s="363"/>
      <c r="CL385" s="364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</row>
    <row r="386" customFormat="false" ht="12.75" hidden="false" customHeight="false" outlineLevel="0" collapsed="false">
      <c r="A386" s="362"/>
      <c r="B386" s="362"/>
      <c r="P386" s="84"/>
      <c r="Q386" s="363"/>
      <c r="CL386" s="364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</row>
    <row r="387" customFormat="false" ht="12.75" hidden="false" customHeight="false" outlineLevel="0" collapsed="false">
      <c r="A387" s="362"/>
      <c r="B387" s="362"/>
      <c r="P387" s="84"/>
      <c r="Q387" s="363"/>
      <c r="CL387" s="364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</row>
    <row r="388" customFormat="false" ht="12.75" hidden="false" customHeight="false" outlineLevel="0" collapsed="false">
      <c r="A388" s="362"/>
      <c r="B388" s="362"/>
      <c r="P388" s="84"/>
      <c r="Q388" s="363"/>
      <c r="CL388" s="364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</row>
    <row r="389" customFormat="false" ht="12.75" hidden="false" customHeight="false" outlineLevel="0" collapsed="false">
      <c r="A389" s="362"/>
      <c r="B389" s="362"/>
      <c r="P389" s="84"/>
      <c r="Q389" s="363"/>
      <c r="CL389" s="364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</row>
    <row r="390" customFormat="false" ht="12.75" hidden="false" customHeight="false" outlineLevel="0" collapsed="false">
      <c r="A390" s="362"/>
      <c r="B390" s="362"/>
      <c r="P390" s="84"/>
      <c r="Q390" s="363"/>
      <c r="CL390" s="364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</row>
    <row r="391" customFormat="false" ht="12.75" hidden="false" customHeight="false" outlineLevel="0" collapsed="false">
      <c r="A391" s="362"/>
      <c r="B391" s="362"/>
      <c r="P391" s="84"/>
      <c r="Q391" s="363"/>
      <c r="CL391" s="364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</row>
    <row r="392" customFormat="false" ht="12.75" hidden="false" customHeight="false" outlineLevel="0" collapsed="false">
      <c r="A392" s="362"/>
      <c r="B392" s="362"/>
      <c r="P392" s="84"/>
      <c r="Q392" s="363"/>
      <c r="CL392" s="364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</row>
    <row r="393" customFormat="false" ht="12.75" hidden="false" customHeight="false" outlineLevel="0" collapsed="false">
      <c r="A393" s="362"/>
      <c r="B393" s="362"/>
      <c r="P393" s="84"/>
      <c r="Q393" s="363"/>
      <c r="CL393" s="364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</row>
    <row r="394" customFormat="false" ht="12.75" hidden="false" customHeight="false" outlineLevel="0" collapsed="false">
      <c r="A394" s="362"/>
      <c r="B394" s="362"/>
      <c r="P394" s="84"/>
      <c r="Q394" s="363"/>
      <c r="CL394" s="364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</row>
    <row r="395" customFormat="false" ht="12.75" hidden="false" customHeight="false" outlineLevel="0" collapsed="false">
      <c r="A395" s="362"/>
      <c r="B395" s="362"/>
      <c r="P395" s="84"/>
      <c r="Q395" s="363"/>
      <c r="CL395" s="364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</row>
    <row r="396" customFormat="false" ht="12.75" hidden="false" customHeight="false" outlineLevel="0" collapsed="false">
      <c r="A396" s="362"/>
      <c r="B396" s="362"/>
      <c r="P396" s="84"/>
      <c r="Q396" s="363"/>
      <c r="CL396" s="364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</row>
    <row r="397" customFormat="false" ht="12.75" hidden="false" customHeight="false" outlineLevel="0" collapsed="false">
      <c r="A397" s="362"/>
      <c r="B397" s="362"/>
      <c r="P397" s="84"/>
      <c r="Q397" s="363"/>
      <c r="CL397" s="364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</row>
    <row r="398" customFormat="false" ht="12.75" hidden="false" customHeight="false" outlineLevel="0" collapsed="false">
      <c r="A398" s="362"/>
      <c r="B398" s="362"/>
      <c r="P398" s="84"/>
      <c r="Q398" s="363"/>
      <c r="CL398" s="364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</row>
    <row r="399" customFormat="false" ht="12.75" hidden="false" customHeight="false" outlineLevel="0" collapsed="false">
      <c r="A399" s="362"/>
      <c r="B399" s="362"/>
      <c r="P399" s="84"/>
      <c r="Q399" s="363"/>
      <c r="CL399" s="364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</row>
    <row r="400" customFormat="false" ht="12.75" hidden="false" customHeight="false" outlineLevel="0" collapsed="false">
      <c r="A400" s="362"/>
      <c r="B400" s="362"/>
      <c r="P400" s="84"/>
      <c r="Q400" s="363"/>
      <c r="CL400" s="364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</row>
    <row r="401" customFormat="false" ht="12.75" hidden="false" customHeight="false" outlineLevel="0" collapsed="false">
      <c r="A401" s="362"/>
      <c r="B401" s="362"/>
      <c r="P401" s="84"/>
      <c r="Q401" s="363"/>
      <c r="CL401" s="364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</row>
    <row r="402" customFormat="false" ht="12.75" hidden="false" customHeight="false" outlineLevel="0" collapsed="false">
      <c r="A402" s="362"/>
      <c r="B402" s="362"/>
      <c r="P402" s="84"/>
      <c r="Q402" s="363"/>
      <c r="CL402" s="364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</row>
    <row r="403" customFormat="false" ht="12.75" hidden="false" customHeight="false" outlineLevel="0" collapsed="false">
      <c r="A403" s="362"/>
      <c r="B403" s="362"/>
      <c r="P403" s="84"/>
      <c r="Q403" s="363"/>
      <c r="CL403" s="364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</row>
    <row r="404" customFormat="false" ht="12.75" hidden="false" customHeight="false" outlineLevel="0" collapsed="false">
      <c r="A404" s="362"/>
      <c r="B404" s="362"/>
      <c r="P404" s="84"/>
      <c r="Q404" s="363"/>
      <c r="CL404" s="364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</row>
    <row r="405" customFormat="false" ht="12.75" hidden="false" customHeight="false" outlineLevel="0" collapsed="false">
      <c r="A405" s="362"/>
      <c r="B405" s="362"/>
      <c r="P405" s="84"/>
      <c r="Q405" s="363"/>
      <c r="CL405" s="364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</row>
    <row r="406" customFormat="false" ht="12.75" hidden="false" customHeight="false" outlineLevel="0" collapsed="false">
      <c r="A406" s="362"/>
      <c r="B406" s="362"/>
      <c r="P406" s="84"/>
      <c r="Q406" s="363"/>
      <c r="CL406" s="364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</row>
    <row r="407" customFormat="false" ht="12.75" hidden="false" customHeight="false" outlineLevel="0" collapsed="false">
      <c r="A407" s="362"/>
      <c r="B407" s="362"/>
      <c r="P407" s="84"/>
      <c r="Q407" s="363"/>
      <c r="CL407" s="364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</row>
    <row r="408" customFormat="false" ht="12.75" hidden="false" customHeight="false" outlineLevel="0" collapsed="false">
      <c r="A408" s="362"/>
      <c r="B408" s="362"/>
      <c r="P408" s="84"/>
      <c r="Q408" s="363"/>
      <c r="CL408" s="364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</row>
    <row r="409" customFormat="false" ht="12.75" hidden="false" customHeight="false" outlineLevel="0" collapsed="false">
      <c r="A409" s="362"/>
      <c r="B409" s="362"/>
      <c r="P409" s="84"/>
      <c r="Q409" s="363"/>
      <c r="CL409" s="364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</row>
    <row r="410" customFormat="false" ht="12.75" hidden="false" customHeight="false" outlineLevel="0" collapsed="false">
      <c r="A410" s="362"/>
      <c r="B410" s="362"/>
      <c r="P410" s="84"/>
      <c r="Q410" s="363"/>
      <c r="CL410" s="364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</row>
    <row r="411" customFormat="false" ht="12.75" hidden="false" customHeight="false" outlineLevel="0" collapsed="false">
      <c r="A411" s="362"/>
      <c r="B411" s="362"/>
      <c r="P411" s="84"/>
      <c r="Q411" s="363"/>
      <c r="CL411" s="364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</row>
    <row r="412" customFormat="false" ht="12.75" hidden="false" customHeight="false" outlineLevel="0" collapsed="false">
      <c r="A412" s="362"/>
      <c r="B412" s="362"/>
      <c r="P412" s="84"/>
      <c r="Q412" s="363"/>
      <c r="CL412" s="364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</row>
    <row r="413" customFormat="false" ht="12.75" hidden="false" customHeight="false" outlineLevel="0" collapsed="false">
      <c r="A413" s="362"/>
      <c r="B413" s="362"/>
      <c r="P413" s="84"/>
      <c r="Q413" s="363"/>
      <c r="CL413" s="364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</row>
    <row r="414" customFormat="false" ht="12.75" hidden="false" customHeight="false" outlineLevel="0" collapsed="false">
      <c r="A414" s="362"/>
      <c r="B414" s="362"/>
      <c r="P414" s="84"/>
      <c r="Q414" s="363"/>
      <c r="CL414" s="364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</row>
    <row r="415" customFormat="false" ht="12.75" hidden="false" customHeight="false" outlineLevel="0" collapsed="false">
      <c r="A415" s="362"/>
      <c r="B415" s="362"/>
      <c r="P415" s="84"/>
      <c r="Q415" s="363"/>
      <c r="CL415" s="364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</row>
    <row r="416" customFormat="false" ht="12.75" hidden="false" customHeight="false" outlineLevel="0" collapsed="false">
      <c r="A416" s="362"/>
      <c r="B416" s="362"/>
      <c r="P416" s="84"/>
      <c r="Q416" s="363"/>
      <c r="CL416" s="364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</row>
    <row r="417" customFormat="false" ht="12.75" hidden="false" customHeight="false" outlineLevel="0" collapsed="false">
      <c r="A417" s="362"/>
      <c r="B417" s="362"/>
      <c r="P417" s="84"/>
      <c r="Q417" s="363"/>
      <c r="CL417" s="364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</row>
    <row r="418" customFormat="false" ht="12.75" hidden="false" customHeight="false" outlineLevel="0" collapsed="false">
      <c r="A418" s="362"/>
      <c r="B418" s="362"/>
      <c r="P418" s="84"/>
      <c r="Q418" s="363"/>
      <c r="CL418" s="364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</row>
    <row r="419" customFormat="false" ht="12.75" hidden="false" customHeight="false" outlineLevel="0" collapsed="false">
      <c r="A419" s="362"/>
      <c r="B419" s="362"/>
      <c r="P419" s="84"/>
      <c r="Q419" s="363"/>
      <c r="CL419" s="364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</row>
    <row r="420" customFormat="false" ht="12.75" hidden="false" customHeight="false" outlineLevel="0" collapsed="false">
      <c r="A420" s="362"/>
      <c r="B420" s="362"/>
      <c r="P420" s="84"/>
      <c r="Q420" s="363"/>
      <c r="CL420" s="364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</row>
    <row r="421" customFormat="false" ht="12.75" hidden="false" customHeight="false" outlineLevel="0" collapsed="false">
      <c r="A421" s="362"/>
      <c r="B421" s="362"/>
      <c r="P421" s="84"/>
      <c r="Q421" s="363"/>
      <c r="CL421" s="364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</row>
    <row r="422" customFormat="false" ht="12.75" hidden="false" customHeight="false" outlineLevel="0" collapsed="false">
      <c r="A422" s="362"/>
      <c r="B422" s="362"/>
      <c r="P422" s="84"/>
      <c r="Q422" s="363"/>
      <c r="CL422" s="364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</row>
    <row r="423" customFormat="false" ht="12.75" hidden="false" customHeight="false" outlineLevel="0" collapsed="false">
      <c r="A423" s="362"/>
      <c r="B423" s="362"/>
      <c r="P423" s="84"/>
      <c r="Q423" s="363"/>
      <c r="CL423" s="364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</row>
    <row r="424" customFormat="false" ht="12.75" hidden="false" customHeight="false" outlineLevel="0" collapsed="false">
      <c r="A424" s="362"/>
      <c r="B424" s="362"/>
      <c r="P424" s="84"/>
      <c r="Q424" s="363"/>
      <c r="CL424" s="364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</row>
    <row r="425" customFormat="false" ht="12.75" hidden="false" customHeight="false" outlineLevel="0" collapsed="false">
      <c r="A425" s="362"/>
      <c r="B425" s="362"/>
      <c r="P425" s="84"/>
      <c r="Q425" s="363"/>
      <c r="CL425" s="364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</row>
    <row r="426" customFormat="false" ht="12.75" hidden="false" customHeight="false" outlineLevel="0" collapsed="false">
      <c r="A426" s="362"/>
      <c r="B426" s="362"/>
      <c r="P426" s="84"/>
      <c r="Q426" s="363"/>
      <c r="CL426" s="364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</row>
    <row r="427" customFormat="false" ht="12.75" hidden="false" customHeight="false" outlineLevel="0" collapsed="false">
      <c r="A427" s="362"/>
      <c r="B427" s="362"/>
      <c r="P427" s="84"/>
      <c r="Q427" s="363"/>
      <c r="CL427" s="364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</row>
    <row r="428" customFormat="false" ht="12.75" hidden="false" customHeight="false" outlineLevel="0" collapsed="false">
      <c r="A428" s="362"/>
      <c r="B428" s="362"/>
      <c r="P428" s="84"/>
      <c r="Q428" s="363"/>
      <c r="CL428" s="364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</row>
    <row r="429" customFormat="false" ht="12.75" hidden="false" customHeight="false" outlineLevel="0" collapsed="false">
      <c r="A429" s="362"/>
      <c r="B429" s="362"/>
      <c r="P429" s="84"/>
      <c r="Q429" s="363"/>
      <c r="CL429" s="364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</row>
    <row r="430" customFormat="false" ht="12.75" hidden="false" customHeight="false" outlineLevel="0" collapsed="false">
      <c r="A430" s="362"/>
      <c r="B430" s="362"/>
      <c r="P430" s="84"/>
      <c r="Q430" s="363"/>
      <c r="CL430" s="364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</row>
    <row r="431" customFormat="false" ht="12.75" hidden="false" customHeight="false" outlineLevel="0" collapsed="false">
      <c r="A431" s="362"/>
      <c r="B431" s="362"/>
      <c r="P431" s="84"/>
      <c r="Q431" s="363"/>
      <c r="CL431" s="364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</row>
    <row r="432" customFormat="false" ht="12.75" hidden="false" customHeight="false" outlineLevel="0" collapsed="false">
      <c r="A432" s="362"/>
      <c r="B432" s="362"/>
      <c r="P432" s="84"/>
      <c r="Q432" s="363"/>
      <c r="CL432" s="364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</row>
    <row r="433" customFormat="false" ht="12.75" hidden="false" customHeight="false" outlineLevel="0" collapsed="false">
      <c r="A433" s="362"/>
      <c r="B433" s="362"/>
      <c r="P433" s="84"/>
      <c r="Q433" s="363"/>
      <c r="CL433" s="364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</row>
    <row r="434" customFormat="false" ht="12.75" hidden="false" customHeight="false" outlineLevel="0" collapsed="false">
      <c r="A434" s="362"/>
      <c r="B434" s="362"/>
      <c r="P434" s="84"/>
      <c r="Q434" s="363"/>
      <c r="CL434" s="364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</row>
    <row r="435" customFormat="false" ht="12.75" hidden="false" customHeight="false" outlineLevel="0" collapsed="false">
      <c r="A435" s="362"/>
      <c r="B435" s="362"/>
      <c r="P435" s="84"/>
      <c r="Q435" s="363"/>
      <c r="CL435" s="364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</row>
    <row r="436" customFormat="false" ht="12.75" hidden="false" customHeight="false" outlineLevel="0" collapsed="false">
      <c r="A436" s="362"/>
      <c r="B436" s="362"/>
      <c r="P436" s="84"/>
      <c r="Q436" s="363"/>
      <c r="CL436" s="364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</row>
    <row r="437" customFormat="false" ht="12.75" hidden="false" customHeight="false" outlineLevel="0" collapsed="false">
      <c r="A437" s="362"/>
      <c r="B437" s="362"/>
      <c r="P437" s="84"/>
      <c r="Q437" s="363"/>
      <c r="CL437" s="364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</row>
    <row r="438" customFormat="false" ht="12.75" hidden="false" customHeight="false" outlineLevel="0" collapsed="false">
      <c r="A438" s="362"/>
      <c r="B438" s="362"/>
      <c r="P438" s="84"/>
      <c r="Q438" s="363"/>
      <c r="CL438" s="364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</row>
    <row r="439" customFormat="false" ht="12.75" hidden="false" customHeight="false" outlineLevel="0" collapsed="false">
      <c r="A439" s="362"/>
      <c r="B439" s="362"/>
      <c r="P439" s="84"/>
      <c r="Q439" s="363"/>
      <c r="CL439" s="364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</row>
    <row r="440" customFormat="false" ht="12.75" hidden="false" customHeight="false" outlineLevel="0" collapsed="false">
      <c r="A440" s="362"/>
      <c r="B440" s="362"/>
      <c r="P440" s="84"/>
      <c r="Q440" s="363"/>
      <c r="CL440" s="364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</row>
    <row r="441" customFormat="false" ht="12.75" hidden="false" customHeight="false" outlineLevel="0" collapsed="false">
      <c r="A441" s="362"/>
      <c r="B441" s="362"/>
      <c r="P441" s="84"/>
      <c r="Q441" s="363"/>
      <c r="CL441" s="364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</row>
    <row r="442" customFormat="false" ht="12.75" hidden="false" customHeight="false" outlineLevel="0" collapsed="false">
      <c r="A442" s="362"/>
      <c r="B442" s="362"/>
      <c r="P442" s="84"/>
      <c r="Q442" s="363"/>
      <c r="CL442" s="364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</row>
    <row r="443" customFormat="false" ht="12.75" hidden="false" customHeight="false" outlineLevel="0" collapsed="false">
      <c r="A443" s="362"/>
      <c r="B443" s="362"/>
      <c r="P443" s="84"/>
      <c r="Q443" s="363"/>
      <c r="CL443" s="364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</row>
    <row r="444" customFormat="false" ht="12.75" hidden="false" customHeight="false" outlineLevel="0" collapsed="false">
      <c r="A444" s="362"/>
      <c r="B444" s="362"/>
      <c r="P444" s="84"/>
      <c r="Q444" s="363"/>
      <c r="CL444" s="364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</row>
    <row r="445" customFormat="false" ht="12.75" hidden="false" customHeight="false" outlineLevel="0" collapsed="false">
      <c r="A445" s="362"/>
      <c r="B445" s="362"/>
      <c r="P445" s="84"/>
      <c r="Q445" s="363"/>
      <c r="CL445" s="364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</row>
    <row r="446" customFormat="false" ht="12.75" hidden="false" customHeight="false" outlineLevel="0" collapsed="false">
      <c r="A446" s="362"/>
      <c r="B446" s="362"/>
      <c r="P446" s="84"/>
      <c r="Q446" s="363"/>
      <c r="CL446" s="364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</row>
    <row r="447" customFormat="false" ht="12.75" hidden="false" customHeight="false" outlineLevel="0" collapsed="false">
      <c r="A447" s="362"/>
      <c r="B447" s="362"/>
      <c r="P447" s="84"/>
      <c r="Q447" s="363"/>
      <c r="CL447" s="364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</row>
    <row r="448" customFormat="false" ht="12.75" hidden="false" customHeight="false" outlineLevel="0" collapsed="false">
      <c r="A448" s="362"/>
      <c r="B448" s="362"/>
      <c r="P448" s="84"/>
      <c r="Q448" s="363"/>
      <c r="CL448" s="364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</row>
    <row r="449" customFormat="false" ht="12.75" hidden="false" customHeight="false" outlineLevel="0" collapsed="false">
      <c r="A449" s="362"/>
      <c r="B449" s="362"/>
      <c r="P449" s="84"/>
      <c r="Q449" s="363"/>
      <c r="CL449" s="364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</row>
    <row r="450" customFormat="false" ht="12.75" hidden="false" customHeight="false" outlineLevel="0" collapsed="false">
      <c r="A450" s="362"/>
      <c r="B450" s="362"/>
      <c r="P450" s="84"/>
      <c r="Q450" s="363"/>
      <c r="CL450" s="364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</row>
    <row r="451" customFormat="false" ht="12.75" hidden="false" customHeight="false" outlineLevel="0" collapsed="false">
      <c r="A451" s="362"/>
      <c r="B451" s="362"/>
      <c r="P451" s="84"/>
      <c r="Q451" s="363"/>
      <c r="CL451" s="364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</row>
    <row r="452" customFormat="false" ht="12.75" hidden="false" customHeight="false" outlineLevel="0" collapsed="false">
      <c r="A452" s="362"/>
      <c r="B452" s="362"/>
      <c r="P452" s="84"/>
      <c r="Q452" s="363"/>
      <c r="CL452" s="364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</row>
    <row r="453" customFormat="false" ht="12.75" hidden="false" customHeight="false" outlineLevel="0" collapsed="false">
      <c r="A453" s="362"/>
      <c r="B453" s="362"/>
      <c r="P453" s="84"/>
      <c r="Q453" s="363"/>
      <c r="CL453" s="364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</row>
    <row r="454" customFormat="false" ht="12.75" hidden="false" customHeight="false" outlineLevel="0" collapsed="false">
      <c r="A454" s="362"/>
      <c r="B454" s="362"/>
      <c r="P454" s="84"/>
      <c r="Q454" s="363"/>
      <c r="CL454" s="364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</row>
    <row r="455" customFormat="false" ht="12.75" hidden="false" customHeight="false" outlineLevel="0" collapsed="false">
      <c r="A455" s="362"/>
      <c r="B455" s="362"/>
      <c r="P455" s="84"/>
      <c r="Q455" s="363"/>
      <c r="CL455" s="364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</row>
    <row r="456" customFormat="false" ht="12.75" hidden="false" customHeight="false" outlineLevel="0" collapsed="false">
      <c r="A456" s="362"/>
      <c r="B456" s="362"/>
      <c r="P456" s="84"/>
      <c r="Q456" s="363"/>
      <c r="CL456" s="364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</row>
    <row r="457" customFormat="false" ht="12.75" hidden="false" customHeight="false" outlineLevel="0" collapsed="false">
      <c r="A457" s="362"/>
      <c r="B457" s="362"/>
      <c r="P457" s="84"/>
      <c r="Q457" s="363"/>
      <c r="CL457" s="364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</row>
    <row r="458" customFormat="false" ht="12.75" hidden="false" customHeight="false" outlineLevel="0" collapsed="false">
      <c r="A458" s="362"/>
      <c r="B458" s="362"/>
      <c r="P458" s="84"/>
      <c r="Q458" s="363"/>
      <c r="CL458" s="364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</row>
    <row r="459" customFormat="false" ht="12.75" hidden="false" customHeight="false" outlineLevel="0" collapsed="false">
      <c r="A459" s="362"/>
      <c r="B459" s="362"/>
      <c r="P459" s="84"/>
      <c r="Q459" s="363"/>
      <c r="CL459" s="364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</row>
    <row r="460" customFormat="false" ht="12.75" hidden="false" customHeight="false" outlineLevel="0" collapsed="false">
      <c r="A460" s="362"/>
      <c r="B460" s="362"/>
      <c r="P460" s="84"/>
      <c r="Q460" s="363"/>
      <c r="CL460" s="364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</row>
    <row r="461" customFormat="false" ht="12.75" hidden="false" customHeight="false" outlineLevel="0" collapsed="false">
      <c r="A461" s="362"/>
      <c r="B461" s="362"/>
      <c r="P461" s="84"/>
      <c r="Q461" s="363"/>
      <c r="CL461" s="364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</row>
    <row r="462" customFormat="false" ht="12.75" hidden="false" customHeight="false" outlineLevel="0" collapsed="false">
      <c r="A462" s="362"/>
      <c r="B462" s="362"/>
      <c r="P462" s="84"/>
      <c r="Q462" s="363"/>
      <c r="CL462" s="364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</row>
    <row r="463" customFormat="false" ht="12.75" hidden="false" customHeight="false" outlineLevel="0" collapsed="false">
      <c r="A463" s="362"/>
      <c r="B463" s="362"/>
      <c r="P463" s="84"/>
      <c r="Q463" s="363"/>
      <c r="CL463" s="364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</row>
    <row r="464" customFormat="false" ht="12.75" hidden="false" customHeight="false" outlineLevel="0" collapsed="false">
      <c r="A464" s="362"/>
      <c r="B464" s="362"/>
      <c r="P464" s="84"/>
      <c r="Q464" s="363"/>
      <c r="CL464" s="364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</row>
    <row r="465" customFormat="false" ht="12.75" hidden="false" customHeight="false" outlineLevel="0" collapsed="false">
      <c r="A465" s="362"/>
      <c r="B465" s="362"/>
      <c r="P465" s="84"/>
      <c r="Q465" s="363"/>
      <c r="CL465" s="364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</row>
    <row r="466" customFormat="false" ht="12.75" hidden="false" customHeight="false" outlineLevel="0" collapsed="false">
      <c r="A466" s="362"/>
      <c r="B466" s="362"/>
      <c r="P466" s="84"/>
      <c r="Q466" s="363"/>
      <c r="CL466" s="364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</row>
    <row r="467" customFormat="false" ht="12.75" hidden="false" customHeight="false" outlineLevel="0" collapsed="false">
      <c r="A467" s="362"/>
      <c r="B467" s="362"/>
      <c r="P467" s="84"/>
      <c r="Q467" s="363"/>
      <c r="CL467" s="364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</row>
    <row r="468" customFormat="false" ht="12.75" hidden="false" customHeight="false" outlineLevel="0" collapsed="false">
      <c r="A468" s="362"/>
      <c r="B468" s="362"/>
      <c r="P468" s="84"/>
      <c r="Q468" s="363"/>
      <c r="CL468" s="364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</row>
    <row r="469" customFormat="false" ht="12.75" hidden="false" customHeight="false" outlineLevel="0" collapsed="false">
      <c r="A469" s="362"/>
      <c r="B469" s="362"/>
      <c r="P469" s="84"/>
      <c r="Q469" s="363"/>
      <c r="CL469" s="364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</row>
    <row r="470" customFormat="false" ht="12.75" hidden="false" customHeight="false" outlineLevel="0" collapsed="false">
      <c r="A470" s="362"/>
      <c r="B470" s="362"/>
      <c r="P470" s="84"/>
      <c r="Q470" s="363"/>
      <c r="CL470" s="364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</row>
    <row r="471" customFormat="false" ht="12.75" hidden="false" customHeight="false" outlineLevel="0" collapsed="false">
      <c r="A471" s="362"/>
      <c r="B471" s="362"/>
      <c r="P471" s="84"/>
      <c r="Q471" s="363"/>
      <c r="CL471" s="364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</row>
    <row r="472" customFormat="false" ht="12.75" hidden="false" customHeight="false" outlineLevel="0" collapsed="false">
      <c r="A472" s="362"/>
      <c r="B472" s="362"/>
      <c r="P472" s="84"/>
      <c r="Q472" s="363"/>
      <c r="CL472" s="364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</row>
    <row r="473" customFormat="false" ht="12.75" hidden="false" customHeight="false" outlineLevel="0" collapsed="false">
      <c r="A473" s="362"/>
      <c r="B473" s="362"/>
      <c r="P473" s="84"/>
      <c r="Q473" s="363"/>
      <c r="CL473" s="364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</row>
    <row r="474" customFormat="false" ht="12.75" hidden="false" customHeight="false" outlineLevel="0" collapsed="false">
      <c r="A474" s="362"/>
      <c r="B474" s="362"/>
      <c r="P474" s="84"/>
      <c r="Q474" s="363"/>
      <c r="CL474" s="364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</row>
    <row r="475" customFormat="false" ht="12.75" hidden="false" customHeight="false" outlineLevel="0" collapsed="false">
      <c r="A475" s="362"/>
      <c r="B475" s="362"/>
      <c r="P475" s="84"/>
      <c r="Q475" s="363"/>
      <c r="CL475" s="364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</row>
    <row r="476" customFormat="false" ht="12.75" hidden="false" customHeight="false" outlineLevel="0" collapsed="false">
      <c r="A476" s="362"/>
      <c r="B476" s="362"/>
      <c r="P476" s="84"/>
      <c r="Q476" s="363"/>
      <c r="CL476" s="364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</row>
    <row r="477" customFormat="false" ht="12.75" hidden="false" customHeight="false" outlineLevel="0" collapsed="false">
      <c r="A477" s="362"/>
      <c r="B477" s="362"/>
      <c r="P477" s="84"/>
      <c r="Q477" s="363"/>
      <c r="CL477" s="364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</row>
    <row r="478" customFormat="false" ht="12.75" hidden="false" customHeight="false" outlineLevel="0" collapsed="false">
      <c r="A478" s="362"/>
      <c r="B478" s="362"/>
      <c r="P478" s="84"/>
      <c r="Q478" s="363"/>
      <c r="CL478" s="364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</row>
    <row r="479" customFormat="false" ht="12.75" hidden="false" customHeight="false" outlineLevel="0" collapsed="false">
      <c r="A479" s="362"/>
      <c r="B479" s="362"/>
      <c r="P479" s="84"/>
      <c r="Q479" s="363"/>
      <c r="CL479" s="364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</row>
    <row r="480" customFormat="false" ht="12.75" hidden="false" customHeight="false" outlineLevel="0" collapsed="false">
      <c r="A480" s="362"/>
      <c r="B480" s="362"/>
      <c r="P480" s="84"/>
      <c r="Q480" s="363"/>
      <c r="CL480" s="364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</row>
    <row r="481" customFormat="false" ht="12.75" hidden="false" customHeight="false" outlineLevel="0" collapsed="false">
      <c r="A481" s="362"/>
      <c r="B481" s="362"/>
      <c r="P481" s="84"/>
      <c r="Q481" s="363"/>
      <c r="CL481" s="364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</row>
    <row r="482" customFormat="false" ht="12.75" hidden="false" customHeight="false" outlineLevel="0" collapsed="false">
      <c r="A482" s="362"/>
      <c r="B482" s="362"/>
      <c r="P482" s="84"/>
      <c r="Q482" s="363"/>
      <c r="CL482" s="364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</row>
    <row r="483" customFormat="false" ht="12.75" hidden="false" customHeight="false" outlineLevel="0" collapsed="false">
      <c r="A483" s="362"/>
      <c r="B483" s="362"/>
      <c r="P483" s="84"/>
      <c r="Q483" s="363"/>
      <c r="CL483" s="364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</row>
    <row r="484" customFormat="false" ht="12.75" hidden="false" customHeight="false" outlineLevel="0" collapsed="false">
      <c r="A484" s="362"/>
      <c r="B484" s="362"/>
      <c r="P484" s="84"/>
      <c r="Q484" s="363"/>
      <c r="CL484" s="364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</row>
    <row r="485" customFormat="false" ht="12.75" hidden="false" customHeight="false" outlineLevel="0" collapsed="false">
      <c r="A485" s="362"/>
      <c r="B485" s="362"/>
      <c r="P485" s="84"/>
      <c r="Q485" s="363"/>
      <c r="CL485" s="364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</row>
    <row r="486" customFormat="false" ht="12.75" hidden="false" customHeight="false" outlineLevel="0" collapsed="false">
      <c r="A486" s="362"/>
      <c r="B486" s="362"/>
      <c r="P486" s="84"/>
      <c r="Q486" s="363"/>
      <c r="CL486" s="364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</row>
    <row r="487" customFormat="false" ht="12.75" hidden="false" customHeight="false" outlineLevel="0" collapsed="false">
      <c r="A487" s="362"/>
      <c r="B487" s="362"/>
      <c r="P487" s="84"/>
      <c r="Q487" s="363"/>
      <c r="CL487" s="364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</row>
    <row r="488" customFormat="false" ht="12.75" hidden="false" customHeight="false" outlineLevel="0" collapsed="false">
      <c r="A488" s="362"/>
      <c r="B488" s="362"/>
      <c r="P488" s="84"/>
      <c r="Q488" s="363"/>
      <c r="CL488" s="364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</row>
    <row r="489" customFormat="false" ht="12.75" hidden="false" customHeight="false" outlineLevel="0" collapsed="false">
      <c r="A489" s="362"/>
      <c r="B489" s="362"/>
      <c r="P489" s="84"/>
      <c r="Q489" s="363"/>
      <c r="CL489" s="364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</row>
    <row r="490" customFormat="false" ht="12.75" hidden="false" customHeight="false" outlineLevel="0" collapsed="false">
      <c r="A490" s="362"/>
      <c r="B490" s="362"/>
      <c r="P490" s="84"/>
      <c r="Q490" s="363"/>
      <c r="CL490" s="364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</row>
    <row r="491" customFormat="false" ht="12.75" hidden="false" customHeight="false" outlineLevel="0" collapsed="false">
      <c r="A491" s="362"/>
      <c r="B491" s="362"/>
      <c r="P491" s="84"/>
      <c r="Q491" s="363"/>
      <c r="CL491" s="364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</row>
    <row r="492" customFormat="false" ht="12.75" hidden="false" customHeight="false" outlineLevel="0" collapsed="false">
      <c r="A492" s="362"/>
      <c r="B492" s="362"/>
      <c r="P492" s="84"/>
      <c r="Q492" s="363"/>
      <c r="CL492" s="364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</row>
    <row r="493" customFormat="false" ht="12.75" hidden="false" customHeight="false" outlineLevel="0" collapsed="false">
      <c r="A493" s="362"/>
      <c r="B493" s="362"/>
      <c r="P493" s="84"/>
      <c r="Q493" s="363"/>
      <c r="CL493" s="364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</row>
    <row r="494" customFormat="false" ht="12.75" hidden="false" customHeight="false" outlineLevel="0" collapsed="false">
      <c r="A494" s="362"/>
      <c r="B494" s="362"/>
      <c r="P494" s="84"/>
      <c r="Q494" s="363"/>
      <c r="CL494" s="364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</row>
    <row r="495" customFormat="false" ht="12.75" hidden="false" customHeight="false" outlineLevel="0" collapsed="false">
      <c r="A495" s="362"/>
      <c r="B495" s="362"/>
      <c r="P495" s="84"/>
      <c r="Q495" s="363"/>
      <c r="CL495" s="364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</row>
    <row r="496" customFormat="false" ht="12.75" hidden="false" customHeight="false" outlineLevel="0" collapsed="false">
      <c r="A496" s="362"/>
      <c r="B496" s="362"/>
      <c r="P496" s="84"/>
      <c r="Q496" s="363"/>
      <c r="CL496" s="364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</row>
    <row r="497" customFormat="false" ht="12.75" hidden="false" customHeight="false" outlineLevel="0" collapsed="false">
      <c r="A497" s="362"/>
      <c r="B497" s="362"/>
      <c r="P497" s="84"/>
      <c r="Q497" s="363"/>
      <c r="CL497" s="364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</row>
    <row r="498" customFormat="false" ht="12.75" hidden="false" customHeight="false" outlineLevel="0" collapsed="false">
      <c r="A498" s="362"/>
      <c r="B498" s="362"/>
      <c r="P498" s="84"/>
      <c r="Q498" s="363"/>
      <c r="CL498" s="364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</row>
    <row r="499" customFormat="false" ht="12.75" hidden="false" customHeight="false" outlineLevel="0" collapsed="false">
      <c r="A499" s="362"/>
      <c r="B499" s="362"/>
      <c r="P499" s="84"/>
      <c r="Q499" s="363"/>
      <c r="CL499" s="364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</row>
    <row r="500" customFormat="false" ht="12.75" hidden="false" customHeight="false" outlineLevel="0" collapsed="false">
      <c r="A500" s="362"/>
      <c r="B500" s="362"/>
      <c r="P500" s="84"/>
      <c r="Q500" s="363"/>
      <c r="CL500" s="364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</row>
    <row r="501" customFormat="false" ht="12.75" hidden="false" customHeight="false" outlineLevel="0" collapsed="false">
      <c r="A501" s="362"/>
      <c r="B501" s="362"/>
      <c r="P501" s="84"/>
      <c r="Q501" s="363"/>
      <c r="CL501" s="364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</row>
    <row r="502" customFormat="false" ht="12.75" hidden="false" customHeight="false" outlineLevel="0" collapsed="false">
      <c r="A502" s="362"/>
      <c r="B502" s="362"/>
      <c r="P502" s="84"/>
      <c r="Q502" s="363"/>
      <c r="CL502" s="364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</row>
    <row r="503" customFormat="false" ht="12.75" hidden="false" customHeight="false" outlineLevel="0" collapsed="false">
      <c r="A503" s="362"/>
      <c r="B503" s="362"/>
      <c r="P503" s="84"/>
      <c r="Q503" s="363"/>
      <c r="CL503" s="364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</row>
    <row r="504" customFormat="false" ht="12.75" hidden="false" customHeight="false" outlineLevel="0" collapsed="false">
      <c r="A504" s="362"/>
      <c r="B504" s="362"/>
      <c r="P504" s="84"/>
      <c r="Q504" s="363"/>
      <c r="CL504" s="364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</row>
    <row r="505" customFormat="false" ht="12.75" hidden="false" customHeight="false" outlineLevel="0" collapsed="false">
      <c r="A505" s="362"/>
      <c r="B505" s="362"/>
      <c r="P505" s="84"/>
      <c r="Q505" s="363"/>
      <c r="CL505" s="364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</row>
    <row r="506" customFormat="false" ht="12.75" hidden="false" customHeight="false" outlineLevel="0" collapsed="false">
      <c r="A506" s="362"/>
      <c r="B506" s="362"/>
      <c r="P506" s="84"/>
      <c r="Q506" s="363"/>
      <c r="CL506" s="364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</row>
    <row r="507" customFormat="false" ht="12.75" hidden="false" customHeight="false" outlineLevel="0" collapsed="false">
      <c r="A507" s="362"/>
      <c r="B507" s="362"/>
      <c r="P507" s="84"/>
      <c r="Q507" s="363"/>
      <c r="CL507" s="364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</row>
    <row r="508" customFormat="false" ht="12.75" hidden="false" customHeight="false" outlineLevel="0" collapsed="false">
      <c r="A508" s="362"/>
      <c r="B508" s="362"/>
      <c r="P508" s="84"/>
      <c r="Q508" s="363"/>
      <c r="CL508" s="364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</row>
    <row r="509" customFormat="false" ht="12.75" hidden="false" customHeight="false" outlineLevel="0" collapsed="false">
      <c r="A509" s="362"/>
      <c r="B509" s="362"/>
      <c r="P509" s="84"/>
      <c r="Q509" s="363"/>
      <c r="CL509" s="364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</row>
    <row r="510" customFormat="false" ht="12.75" hidden="false" customHeight="false" outlineLevel="0" collapsed="false">
      <c r="A510" s="362"/>
      <c r="B510" s="362"/>
      <c r="P510" s="84"/>
      <c r="Q510" s="363"/>
      <c r="CL510" s="364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</row>
    <row r="511" customFormat="false" ht="12.75" hidden="false" customHeight="false" outlineLevel="0" collapsed="false">
      <c r="A511" s="362"/>
      <c r="B511" s="362"/>
      <c r="P511" s="84"/>
      <c r="Q511" s="363"/>
      <c r="CL511" s="364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</row>
    <row r="512" customFormat="false" ht="12.75" hidden="false" customHeight="false" outlineLevel="0" collapsed="false">
      <c r="A512" s="362"/>
      <c r="B512" s="362"/>
      <c r="P512" s="84"/>
      <c r="Q512" s="363"/>
      <c r="CL512" s="364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</row>
    <row r="513" customFormat="false" ht="12.75" hidden="false" customHeight="false" outlineLevel="0" collapsed="false">
      <c r="A513" s="362"/>
      <c r="B513" s="362"/>
      <c r="P513" s="84"/>
      <c r="Q513" s="363"/>
      <c r="CL513" s="364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</row>
    <row r="514" customFormat="false" ht="12.75" hidden="false" customHeight="false" outlineLevel="0" collapsed="false">
      <c r="A514" s="362"/>
      <c r="B514" s="362"/>
      <c r="P514" s="84"/>
      <c r="Q514" s="363"/>
      <c r="CL514" s="364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</row>
    <row r="515" customFormat="false" ht="12.75" hidden="false" customHeight="false" outlineLevel="0" collapsed="false">
      <c r="A515" s="362"/>
      <c r="B515" s="362"/>
      <c r="P515" s="84"/>
      <c r="Q515" s="363"/>
      <c r="CL515" s="364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</row>
    <row r="516" customFormat="false" ht="12.75" hidden="false" customHeight="false" outlineLevel="0" collapsed="false">
      <c r="A516" s="362"/>
      <c r="B516" s="362"/>
      <c r="P516" s="84"/>
      <c r="Q516" s="363"/>
      <c r="CL516" s="364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</row>
    <row r="517" customFormat="false" ht="12.75" hidden="false" customHeight="false" outlineLevel="0" collapsed="false">
      <c r="A517" s="362"/>
      <c r="B517" s="362"/>
      <c r="P517" s="84"/>
      <c r="Q517" s="363"/>
      <c r="CL517" s="364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</row>
    <row r="518" customFormat="false" ht="12.75" hidden="false" customHeight="false" outlineLevel="0" collapsed="false">
      <c r="A518" s="362"/>
      <c r="B518" s="362"/>
      <c r="P518" s="84"/>
      <c r="Q518" s="363"/>
      <c r="CL518" s="364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</row>
    <row r="519" customFormat="false" ht="12.75" hidden="false" customHeight="false" outlineLevel="0" collapsed="false">
      <c r="A519" s="362"/>
      <c r="B519" s="362"/>
      <c r="P519" s="84"/>
      <c r="Q519" s="363"/>
      <c r="CL519" s="364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</row>
    <row r="520" customFormat="false" ht="12.75" hidden="false" customHeight="false" outlineLevel="0" collapsed="false">
      <c r="A520" s="362"/>
      <c r="B520" s="362"/>
      <c r="P520" s="84"/>
      <c r="Q520" s="363"/>
      <c r="CL520" s="364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</row>
    <row r="521" customFormat="false" ht="12.75" hidden="false" customHeight="false" outlineLevel="0" collapsed="false">
      <c r="A521" s="362"/>
      <c r="B521" s="362"/>
      <c r="P521" s="84"/>
      <c r="Q521" s="363"/>
      <c r="CL521" s="364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</row>
    <row r="522" customFormat="false" ht="12.75" hidden="false" customHeight="false" outlineLevel="0" collapsed="false">
      <c r="A522" s="362"/>
      <c r="B522" s="362"/>
      <c r="P522" s="84"/>
      <c r="Q522" s="363"/>
      <c r="CL522" s="364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</row>
    <row r="523" customFormat="false" ht="12.75" hidden="false" customHeight="false" outlineLevel="0" collapsed="false">
      <c r="A523" s="362"/>
      <c r="B523" s="362"/>
      <c r="P523" s="84"/>
      <c r="Q523" s="363"/>
      <c r="CL523" s="364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</row>
    <row r="524" customFormat="false" ht="12.75" hidden="false" customHeight="false" outlineLevel="0" collapsed="false">
      <c r="A524" s="362"/>
      <c r="B524" s="362"/>
      <c r="P524" s="84"/>
      <c r="Q524" s="363"/>
      <c r="CL524" s="364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</row>
    <row r="525" customFormat="false" ht="12.75" hidden="false" customHeight="false" outlineLevel="0" collapsed="false">
      <c r="A525" s="362"/>
      <c r="B525" s="362"/>
      <c r="P525" s="84"/>
      <c r="Q525" s="363"/>
      <c r="CL525" s="364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</row>
    <row r="526" customFormat="false" ht="12.75" hidden="false" customHeight="false" outlineLevel="0" collapsed="false">
      <c r="A526" s="362"/>
      <c r="B526" s="362"/>
      <c r="P526" s="84"/>
      <c r="Q526" s="363"/>
      <c r="CL526" s="364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</row>
    <row r="527" customFormat="false" ht="12.75" hidden="false" customHeight="false" outlineLevel="0" collapsed="false">
      <c r="A527" s="362"/>
      <c r="B527" s="362"/>
      <c r="P527" s="84"/>
      <c r="Q527" s="363"/>
      <c r="CL527" s="364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</row>
    <row r="528" customFormat="false" ht="12.75" hidden="false" customHeight="false" outlineLevel="0" collapsed="false">
      <c r="A528" s="362"/>
      <c r="B528" s="362"/>
      <c r="P528" s="84"/>
      <c r="Q528" s="363"/>
      <c r="CL528" s="364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</row>
    <row r="529" customFormat="false" ht="12.75" hidden="false" customHeight="false" outlineLevel="0" collapsed="false">
      <c r="A529" s="362"/>
      <c r="B529" s="362"/>
      <c r="P529" s="84"/>
      <c r="Q529" s="363"/>
      <c r="CL529" s="364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</row>
    <row r="530" customFormat="false" ht="12.75" hidden="false" customHeight="false" outlineLevel="0" collapsed="false">
      <c r="A530" s="362"/>
      <c r="B530" s="362"/>
      <c r="P530" s="84"/>
      <c r="Q530" s="363"/>
      <c r="CL530" s="364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</row>
    <row r="531" customFormat="false" ht="12.75" hidden="false" customHeight="false" outlineLevel="0" collapsed="false">
      <c r="A531" s="362"/>
      <c r="B531" s="362"/>
      <c r="P531" s="84"/>
      <c r="Q531" s="363"/>
      <c r="CL531" s="364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</row>
    <row r="532" customFormat="false" ht="12.75" hidden="false" customHeight="false" outlineLevel="0" collapsed="false">
      <c r="A532" s="362"/>
      <c r="B532" s="362"/>
      <c r="P532" s="84"/>
      <c r="Q532" s="363"/>
      <c r="CL532" s="364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</row>
    <row r="533" customFormat="false" ht="12.75" hidden="false" customHeight="false" outlineLevel="0" collapsed="false">
      <c r="A533" s="362"/>
      <c r="B533" s="362"/>
      <c r="P533" s="84"/>
      <c r="Q533" s="363"/>
      <c r="CL533" s="364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</row>
    <row r="534" customFormat="false" ht="12.75" hidden="false" customHeight="false" outlineLevel="0" collapsed="false">
      <c r="A534" s="362"/>
      <c r="B534" s="362"/>
      <c r="P534" s="84"/>
      <c r="Q534" s="363"/>
      <c r="CL534" s="364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</row>
    <row r="535" customFormat="false" ht="12.75" hidden="false" customHeight="false" outlineLevel="0" collapsed="false">
      <c r="A535" s="362"/>
      <c r="B535" s="362"/>
      <c r="P535" s="84"/>
      <c r="Q535" s="363"/>
      <c r="CL535" s="364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</row>
    <row r="536" customFormat="false" ht="12.75" hidden="false" customHeight="false" outlineLevel="0" collapsed="false">
      <c r="A536" s="362"/>
      <c r="B536" s="362"/>
      <c r="P536" s="84"/>
      <c r="Q536" s="363"/>
      <c r="CL536" s="364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</row>
    <row r="537" customFormat="false" ht="12.75" hidden="false" customHeight="false" outlineLevel="0" collapsed="false">
      <c r="A537" s="362"/>
      <c r="B537" s="362"/>
      <c r="P537" s="84"/>
      <c r="Q537" s="363"/>
      <c r="CL537" s="364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</row>
    <row r="538" customFormat="false" ht="12.75" hidden="false" customHeight="false" outlineLevel="0" collapsed="false">
      <c r="A538" s="362"/>
      <c r="B538" s="362"/>
      <c r="P538" s="84"/>
      <c r="Q538" s="363"/>
      <c r="CL538" s="364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</row>
    <row r="539" customFormat="false" ht="12.75" hidden="false" customHeight="false" outlineLevel="0" collapsed="false">
      <c r="A539" s="362"/>
      <c r="B539" s="362"/>
      <c r="P539" s="84"/>
      <c r="Q539" s="363"/>
      <c r="CL539" s="364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</row>
    <row r="540" customFormat="false" ht="12.75" hidden="false" customHeight="false" outlineLevel="0" collapsed="false">
      <c r="A540" s="362"/>
      <c r="B540" s="362"/>
      <c r="P540" s="84"/>
      <c r="Q540" s="363"/>
      <c r="CL540" s="364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</row>
    <row r="541" customFormat="false" ht="12.75" hidden="false" customHeight="false" outlineLevel="0" collapsed="false">
      <c r="A541" s="362"/>
      <c r="B541" s="362"/>
      <c r="P541" s="84"/>
      <c r="Q541" s="363"/>
      <c r="CL541" s="364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</row>
    <row r="542" customFormat="false" ht="12.75" hidden="false" customHeight="false" outlineLevel="0" collapsed="false">
      <c r="A542" s="362"/>
      <c r="B542" s="362"/>
      <c r="P542" s="84"/>
      <c r="Q542" s="363"/>
      <c r="CL542" s="364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</row>
    <row r="543" customFormat="false" ht="12.75" hidden="false" customHeight="false" outlineLevel="0" collapsed="false">
      <c r="A543" s="362"/>
      <c r="B543" s="362"/>
      <c r="P543" s="84"/>
      <c r="Q543" s="363"/>
      <c r="CL543" s="364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</row>
    <row r="544" customFormat="false" ht="12.75" hidden="false" customHeight="false" outlineLevel="0" collapsed="false">
      <c r="A544" s="362"/>
      <c r="B544" s="362"/>
      <c r="P544" s="84"/>
      <c r="Q544" s="363"/>
      <c r="CL544" s="364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</row>
    <row r="545" customFormat="false" ht="12.75" hidden="false" customHeight="false" outlineLevel="0" collapsed="false">
      <c r="A545" s="362"/>
      <c r="B545" s="362"/>
      <c r="P545" s="84"/>
      <c r="Q545" s="363"/>
      <c r="CL545" s="364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</row>
    <row r="546" customFormat="false" ht="12.75" hidden="false" customHeight="false" outlineLevel="0" collapsed="false">
      <c r="A546" s="362"/>
      <c r="B546" s="362"/>
      <c r="P546" s="84"/>
      <c r="Q546" s="363"/>
      <c r="CL546" s="364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</row>
    <row r="547" customFormat="false" ht="12.75" hidden="false" customHeight="false" outlineLevel="0" collapsed="false">
      <c r="A547" s="362"/>
      <c r="B547" s="362"/>
      <c r="P547" s="84"/>
      <c r="Q547" s="363"/>
      <c r="CL547" s="364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</row>
    <row r="548" customFormat="false" ht="12.75" hidden="false" customHeight="false" outlineLevel="0" collapsed="false">
      <c r="A548" s="362"/>
      <c r="B548" s="362"/>
      <c r="P548" s="84"/>
      <c r="Q548" s="363"/>
      <c r="CL548" s="364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</row>
    <row r="549" customFormat="false" ht="12.75" hidden="false" customHeight="false" outlineLevel="0" collapsed="false">
      <c r="A549" s="362"/>
      <c r="B549" s="362"/>
      <c r="P549" s="84"/>
      <c r="Q549" s="363"/>
      <c r="CL549" s="364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</row>
    <row r="550" customFormat="false" ht="12.75" hidden="false" customHeight="false" outlineLevel="0" collapsed="false">
      <c r="A550" s="362"/>
      <c r="B550" s="362"/>
      <c r="P550" s="84"/>
      <c r="Q550" s="363"/>
      <c r="CL550" s="364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</row>
    <row r="551" customFormat="false" ht="12.75" hidden="false" customHeight="false" outlineLevel="0" collapsed="false">
      <c r="A551" s="362"/>
      <c r="B551" s="362"/>
      <c r="P551" s="84"/>
      <c r="Q551" s="363"/>
      <c r="CL551" s="364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</row>
    <row r="552" customFormat="false" ht="12.75" hidden="false" customHeight="false" outlineLevel="0" collapsed="false">
      <c r="A552" s="362"/>
      <c r="B552" s="362"/>
      <c r="P552" s="84"/>
      <c r="Q552" s="363"/>
      <c r="CL552" s="364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</row>
    <row r="553" customFormat="false" ht="12.75" hidden="false" customHeight="false" outlineLevel="0" collapsed="false">
      <c r="A553" s="362"/>
      <c r="B553" s="362"/>
      <c r="P553" s="84"/>
      <c r="Q553" s="363"/>
      <c r="CL553" s="364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</row>
    <row r="554" customFormat="false" ht="12.75" hidden="false" customHeight="false" outlineLevel="0" collapsed="false">
      <c r="A554" s="362"/>
      <c r="B554" s="362"/>
      <c r="P554" s="84"/>
      <c r="Q554" s="363"/>
      <c r="CL554" s="364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</row>
    <row r="555" customFormat="false" ht="12.75" hidden="false" customHeight="false" outlineLevel="0" collapsed="false">
      <c r="A555" s="362"/>
      <c r="B555" s="362"/>
      <c r="P555" s="84"/>
      <c r="Q555" s="363"/>
      <c r="CL555" s="364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</row>
    <row r="556" customFormat="false" ht="12.75" hidden="false" customHeight="false" outlineLevel="0" collapsed="false">
      <c r="A556" s="362"/>
      <c r="B556" s="362"/>
      <c r="P556" s="84"/>
      <c r="Q556" s="363"/>
      <c r="CL556" s="364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</row>
    <row r="557" customFormat="false" ht="12.75" hidden="false" customHeight="false" outlineLevel="0" collapsed="false">
      <c r="A557" s="362"/>
      <c r="B557" s="362"/>
      <c r="P557" s="84"/>
      <c r="Q557" s="363"/>
      <c r="CL557" s="364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</row>
    <row r="558" customFormat="false" ht="12.75" hidden="false" customHeight="false" outlineLevel="0" collapsed="false">
      <c r="A558" s="362"/>
      <c r="B558" s="362"/>
      <c r="P558" s="84"/>
      <c r="Q558" s="363"/>
      <c r="CL558" s="364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</row>
    <row r="559" customFormat="false" ht="12.75" hidden="false" customHeight="false" outlineLevel="0" collapsed="false">
      <c r="A559" s="362"/>
      <c r="B559" s="362"/>
      <c r="P559" s="84"/>
      <c r="Q559" s="363"/>
      <c r="CL559" s="364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</row>
    <row r="560" customFormat="false" ht="12.75" hidden="false" customHeight="false" outlineLevel="0" collapsed="false">
      <c r="A560" s="362"/>
      <c r="B560" s="362"/>
      <c r="P560" s="84"/>
      <c r="Q560" s="363"/>
      <c r="CL560" s="364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</row>
    <row r="561" customFormat="false" ht="12.75" hidden="false" customHeight="false" outlineLevel="0" collapsed="false">
      <c r="A561" s="362"/>
      <c r="B561" s="362"/>
      <c r="P561" s="84"/>
      <c r="Q561" s="363"/>
      <c r="CL561" s="364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</row>
    <row r="562" customFormat="false" ht="12.75" hidden="false" customHeight="false" outlineLevel="0" collapsed="false">
      <c r="A562" s="362"/>
      <c r="B562" s="362"/>
      <c r="P562" s="84"/>
      <c r="Q562" s="363"/>
      <c r="CL562" s="364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</row>
    <row r="563" customFormat="false" ht="12.75" hidden="false" customHeight="false" outlineLevel="0" collapsed="false">
      <c r="A563" s="362"/>
      <c r="B563" s="362"/>
      <c r="P563" s="84"/>
      <c r="Q563" s="363"/>
      <c r="CL563" s="364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</row>
    <row r="564" customFormat="false" ht="12.75" hidden="false" customHeight="false" outlineLevel="0" collapsed="false">
      <c r="A564" s="362"/>
      <c r="B564" s="362"/>
      <c r="P564" s="84"/>
      <c r="Q564" s="363"/>
      <c r="CL564" s="364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</row>
    <row r="565" customFormat="false" ht="12.75" hidden="false" customHeight="false" outlineLevel="0" collapsed="false">
      <c r="A565" s="362"/>
      <c r="B565" s="362"/>
      <c r="P565" s="84"/>
      <c r="Q565" s="363"/>
    </row>
    <row r="566" customFormat="false" ht="12.75" hidden="false" customHeight="false" outlineLevel="0" collapsed="false">
      <c r="A566" s="362"/>
      <c r="B566" s="362"/>
      <c r="P566" s="84"/>
      <c r="Q566" s="363"/>
    </row>
    <row r="567" customFormat="false" ht="12.75" hidden="false" customHeight="false" outlineLevel="0" collapsed="false">
      <c r="A567" s="362"/>
      <c r="B567" s="362"/>
      <c r="P567" s="84"/>
      <c r="Q567" s="363"/>
    </row>
    <row r="568" customFormat="false" ht="12.75" hidden="false" customHeight="false" outlineLevel="0" collapsed="false">
      <c r="A568" s="362"/>
      <c r="B568" s="362"/>
      <c r="P568" s="84"/>
      <c r="Q568" s="363"/>
    </row>
    <row r="569" customFormat="false" ht="12.75" hidden="false" customHeight="false" outlineLevel="0" collapsed="false">
      <c r="A569" s="362"/>
      <c r="B569" s="362"/>
      <c r="P569" s="84"/>
      <c r="Q569" s="363"/>
    </row>
    <row r="570" customFormat="false" ht="12.75" hidden="false" customHeight="false" outlineLevel="0" collapsed="false">
      <c r="A570" s="362"/>
      <c r="B570" s="362"/>
      <c r="P570" s="84"/>
      <c r="Q570" s="363"/>
    </row>
    <row r="571" customFormat="false" ht="12.75" hidden="false" customHeight="false" outlineLevel="0" collapsed="false">
      <c r="A571" s="362"/>
      <c r="B571" s="362"/>
      <c r="P571" s="84"/>
      <c r="Q571" s="363"/>
    </row>
    <row r="572" customFormat="false" ht="12.75" hidden="false" customHeight="false" outlineLevel="0" collapsed="false">
      <c r="A572" s="362"/>
      <c r="B572" s="362"/>
      <c r="P572" s="84"/>
      <c r="Q572" s="363"/>
    </row>
    <row r="573" customFormat="false" ht="12.75" hidden="false" customHeight="false" outlineLevel="0" collapsed="false">
      <c r="A573" s="362"/>
      <c r="B573" s="362"/>
      <c r="P573" s="84"/>
      <c r="Q573" s="363"/>
    </row>
    <row r="574" customFormat="false" ht="12.75" hidden="false" customHeight="false" outlineLevel="0" collapsed="false">
      <c r="A574" s="362"/>
      <c r="B574" s="362"/>
      <c r="P574" s="84"/>
      <c r="Q574" s="363"/>
    </row>
    <row r="575" customFormat="false" ht="12.75" hidden="false" customHeight="false" outlineLevel="0" collapsed="false">
      <c r="A575" s="362"/>
      <c r="B575" s="362"/>
      <c r="P575" s="84"/>
      <c r="Q575" s="363"/>
    </row>
    <row r="576" customFormat="false" ht="12.75" hidden="false" customHeight="false" outlineLevel="0" collapsed="false">
      <c r="A576" s="362"/>
      <c r="B576" s="362"/>
      <c r="P576" s="84"/>
      <c r="Q576" s="363"/>
    </row>
    <row r="577" customFormat="false" ht="12.75" hidden="false" customHeight="false" outlineLevel="0" collapsed="false">
      <c r="A577" s="362"/>
      <c r="B577" s="362"/>
      <c r="P577" s="84"/>
      <c r="Q577" s="363"/>
    </row>
    <row r="578" customFormat="false" ht="12.75" hidden="false" customHeight="false" outlineLevel="0" collapsed="false">
      <c r="A578" s="362"/>
      <c r="B578" s="362"/>
      <c r="P578" s="84"/>
      <c r="Q578" s="363"/>
    </row>
    <row r="579" customFormat="false" ht="12.75" hidden="false" customHeight="false" outlineLevel="0" collapsed="false">
      <c r="A579" s="362"/>
      <c r="B579" s="362"/>
      <c r="P579" s="84"/>
      <c r="Q579" s="363"/>
    </row>
    <row r="580" customFormat="false" ht="12.75" hidden="false" customHeight="false" outlineLevel="0" collapsed="false">
      <c r="A580" s="362"/>
      <c r="B580" s="362"/>
      <c r="P580" s="84"/>
      <c r="Q580" s="363"/>
    </row>
    <row r="581" customFormat="false" ht="12.75" hidden="false" customHeight="false" outlineLevel="0" collapsed="false">
      <c r="A581" s="362"/>
      <c r="B581" s="362"/>
      <c r="P581" s="84"/>
      <c r="Q581" s="363"/>
    </row>
    <row r="582" customFormat="false" ht="12.75" hidden="false" customHeight="false" outlineLevel="0" collapsed="false">
      <c r="A582" s="362"/>
      <c r="B582" s="362"/>
      <c r="P582" s="84"/>
      <c r="Q582" s="363"/>
    </row>
    <row r="583" customFormat="false" ht="12.75" hidden="false" customHeight="false" outlineLevel="0" collapsed="false">
      <c r="A583" s="362"/>
      <c r="B583" s="362"/>
      <c r="P583" s="84"/>
      <c r="Q583" s="363"/>
    </row>
    <row r="584" customFormat="false" ht="12.75" hidden="false" customHeight="false" outlineLevel="0" collapsed="false">
      <c r="A584" s="362"/>
      <c r="B584" s="362"/>
      <c r="P584" s="84"/>
      <c r="Q584" s="363"/>
    </row>
    <row r="585" customFormat="false" ht="12.75" hidden="false" customHeight="false" outlineLevel="0" collapsed="false">
      <c r="A585" s="362"/>
      <c r="B585" s="362"/>
      <c r="P585" s="84"/>
      <c r="Q585" s="363"/>
    </row>
    <row r="586" customFormat="false" ht="12.75" hidden="false" customHeight="false" outlineLevel="0" collapsed="false">
      <c r="A586" s="362"/>
      <c r="B586" s="362"/>
      <c r="P586" s="84"/>
      <c r="Q586" s="363"/>
    </row>
    <row r="587" customFormat="false" ht="12.75" hidden="false" customHeight="false" outlineLevel="0" collapsed="false">
      <c r="A587" s="362"/>
      <c r="B587" s="362"/>
      <c r="P587" s="84"/>
      <c r="Q587" s="363"/>
    </row>
    <row r="588" customFormat="false" ht="12.75" hidden="false" customHeight="false" outlineLevel="0" collapsed="false">
      <c r="A588" s="362"/>
      <c r="B588" s="362"/>
      <c r="P588" s="84"/>
      <c r="Q588" s="363"/>
    </row>
    <row r="589" customFormat="false" ht="12.75" hidden="false" customHeight="false" outlineLevel="0" collapsed="false">
      <c r="A589" s="362"/>
      <c r="B589" s="362"/>
      <c r="P589" s="84"/>
      <c r="Q589" s="363"/>
    </row>
    <row r="590" customFormat="false" ht="12.75" hidden="false" customHeight="false" outlineLevel="0" collapsed="false">
      <c r="A590" s="362"/>
      <c r="B590" s="362"/>
      <c r="P590" s="84"/>
      <c r="Q590" s="363"/>
    </row>
    <row r="591" customFormat="false" ht="12.75" hidden="false" customHeight="false" outlineLevel="0" collapsed="false">
      <c r="A591" s="362"/>
      <c r="B591" s="362"/>
      <c r="P591" s="84"/>
      <c r="Q591" s="363"/>
    </row>
    <row r="592" customFormat="false" ht="12.75" hidden="false" customHeight="false" outlineLevel="0" collapsed="false">
      <c r="A592" s="362"/>
      <c r="B592" s="362"/>
      <c r="P592" s="84"/>
      <c r="Q592" s="363"/>
    </row>
    <row r="593" customFormat="false" ht="12.75" hidden="false" customHeight="false" outlineLevel="0" collapsed="false">
      <c r="A593" s="362"/>
      <c r="B593" s="362"/>
      <c r="P593" s="84"/>
      <c r="Q593" s="363"/>
    </row>
    <row r="594" customFormat="false" ht="12.75" hidden="false" customHeight="false" outlineLevel="0" collapsed="false">
      <c r="A594" s="362"/>
      <c r="B594" s="362"/>
      <c r="P594" s="84"/>
      <c r="Q594" s="363"/>
    </row>
    <row r="595" customFormat="false" ht="12.75" hidden="false" customHeight="false" outlineLevel="0" collapsed="false">
      <c r="A595" s="362"/>
      <c r="B595" s="362"/>
      <c r="P595" s="84"/>
      <c r="Q595" s="363"/>
    </row>
    <row r="596" customFormat="false" ht="12.75" hidden="false" customHeight="false" outlineLevel="0" collapsed="false">
      <c r="A596" s="362"/>
      <c r="B596" s="362"/>
      <c r="P596" s="84"/>
      <c r="Q596" s="363"/>
    </row>
    <row r="597" customFormat="false" ht="12.75" hidden="false" customHeight="false" outlineLevel="0" collapsed="false">
      <c r="A597" s="362"/>
      <c r="B597" s="362"/>
      <c r="P597" s="84"/>
      <c r="Q597" s="363"/>
    </row>
    <row r="598" customFormat="false" ht="12.75" hidden="false" customHeight="false" outlineLevel="0" collapsed="false">
      <c r="A598" s="362"/>
      <c r="B598" s="362"/>
      <c r="P598" s="84"/>
      <c r="Q598" s="363"/>
    </row>
    <row r="599" customFormat="false" ht="12.75" hidden="false" customHeight="false" outlineLevel="0" collapsed="false">
      <c r="A599" s="362"/>
      <c r="B599" s="362"/>
      <c r="P599" s="84"/>
      <c r="Q599" s="363"/>
    </row>
    <row r="600" customFormat="false" ht="12.75" hidden="false" customHeight="false" outlineLevel="0" collapsed="false">
      <c r="A600" s="362"/>
      <c r="B600" s="362"/>
      <c r="P600" s="84"/>
      <c r="Q600" s="363"/>
    </row>
    <row r="601" customFormat="false" ht="12.75" hidden="false" customHeight="false" outlineLevel="0" collapsed="false">
      <c r="A601" s="362"/>
      <c r="B601" s="362"/>
      <c r="P601" s="84"/>
      <c r="Q601" s="363"/>
    </row>
    <row r="602" customFormat="false" ht="12.75" hidden="false" customHeight="false" outlineLevel="0" collapsed="false">
      <c r="A602" s="362"/>
      <c r="B602" s="362"/>
      <c r="P602" s="84"/>
      <c r="Q602" s="363"/>
    </row>
    <row r="603" customFormat="false" ht="12.75" hidden="false" customHeight="false" outlineLevel="0" collapsed="false">
      <c r="A603" s="362"/>
      <c r="B603" s="362"/>
      <c r="P603" s="84"/>
      <c r="Q603" s="363"/>
    </row>
    <row r="604" customFormat="false" ht="12.75" hidden="false" customHeight="false" outlineLevel="0" collapsed="false">
      <c r="A604" s="362"/>
      <c r="B604" s="362"/>
      <c r="P604" s="84"/>
      <c r="Q604" s="363"/>
    </row>
    <row r="605" customFormat="false" ht="12.75" hidden="false" customHeight="false" outlineLevel="0" collapsed="false">
      <c r="A605" s="362"/>
      <c r="B605" s="362"/>
      <c r="P605" s="84"/>
      <c r="Q605" s="363"/>
    </row>
    <row r="606" customFormat="false" ht="12.75" hidden="false" customHeight="false" outlineLevel="0" collapsed="false">
      <c r="A606" s="362"/>
      <c r="B606" s="362"/>
      <c r="P606" s="84"/>
      <c r="Q606" s="363"/>
    </row>
    <row r="607" customFormat="false" ht="12.75" hidden="false" customHeight="false" outlineLevel="0" collapsed="false">
      <c r="A607" s="362"/>
      <c r="B607" s="362"/>
      <c r="P607" s="84"/>
      <c r="Q607" s="363"/>
    </row>
    <row r="608" customFormat="false" ht="12.75" hidden="false" customHeight="false" outlineLevel="0" collapsed="false">
      <c r="A608" s="362"/>
      <c r="B608" s="362"/>
      <c r="P608" s="84"/>
      <c r="Q608" s="363"/>
    </row>
    <row r="609" customFormat="false" ht="12.75" hidden="false" customHeight="false" outlineLevel="0" collapsed="false">
      <c r="A609" s="362"/>
      <c r="B609" s="362"/>
      <c r="P609" s="84"/>
      <c r="Q609" s="363"/>
    </row>
    <row r="610" customFormat="false" ht="12.75" hidden="false" customHeight="false" outlineLevel="0" collapsed="false">
      <c r="A610" s="362"/>
      <c r="B610" s="362"/>
      <c r="P610" s="84"/>
      <c r="Q610" s="363"/>
    </row>
    <row r="611" customFormat="false" ht="12.75" hidden="false" customHeight="false" outlineLevel="0" collapsed="false">
      <c r="A611" s="362"/>
      <c r="B611" s="362"/>
      <c r="P611" s="84"/>
      <c r="Q611" s="363"/>
    </row>
    <row r="612" customFormat="false" ht="12.75" hidden="false" customHeight="false" outlineLevel="0" collapsed="false">
      <c r="A612" s="362"/>
      <c r="B612" s="362"/>
      <c r="P612" s="84"/>
      <c r="Q612" s="363"/>
    </row>
    <row r="613" customFormat="false" ht="12.75" hidden="false" customHeight="false" outlineLevel="0" collapsed="false">
      <c r="A613" s="362"/>
      <c r="B613" s="362"/>
      <c r="P613" s="84"/>
      <c r="Q613" s="363"/>
    </row>
    <row r="614" customFormat="false" ht="12.75" hidden="false" customHeight="false" outlineLevel="0" collapsed="false">
      <c r="A614" s="362"/>
      <c r="B614" s="362"/>
      <c r="P614" s="84"/>
      <c r="Q614" s="363"/>
    </row>
    <row r="615" customFormat="false" ht="12.75" hidden="false" customHeight="false" outlineLevel="0" collapsed="false">
      <c r="A615" s="362"/>
      <c r="B615" s="362"/>
      <c r="P615" s="84"/>
      <c r="Q615" s="363"/>
    </row>
    <row r="616" customFormat="false" ht="12.75" hidden="false" customHeight="false" outlineLevel="0" collapsed="false">
      <c r="A616" s="362"/>
      <c r="B616" s="362"/>
      <c r="P616" s="84"/>
      <c r="Q616" s="363"/>
    </row>
    <row r="617" customFormat="false" ht="12.75" hidden="false" customHeight="false" outlineLevel="0" collapsed="false">
      <c r="A617" s="362"/>
      <c r="B617" s="362"/>
      <c r="P617" s="84"/>
      <c r="Q617" s="363"/>
    </row>
    <row r="618" customFormat="false" ht="12.75" hidden="false" customHeight="false" outlineLevel="0" collapsed="false">
      <c r="A618" s="362"/>
      <c r="B618" s="362"/>
      <c r="P618" s="84"/>
      <c r="Q618" s="363"/>
    </row>
    <row r="619" customFormat="false" ht="12.75" hidden="false" customHeight="false" outlineLevel="0" collapsed="false">
      <c r="A619" s="362"/>
      <c r="B619" s="362"/>
      <c r="P619" s="84"/>
      <c r="Q619" s="363"/>
    </row>
    <row r="620" customFormat="false" ht="12.75" hidden="false" customHeight="false" outlineLevel="0" collapsed="false">
      <c r="A620" s="362"/>
      <c r="B620" s="362"/>
      <c r="P620" s="84"/>
      <c r="Q620" s="363"/>
    </row>
    <row r="621" customFormat="false" ht="12.75" hidden="false" customHeight="false" outlineLevel="0" collapsed="false">
      <c r="A621" s="362"/>
      <c r="B621" s="362"/>
      <c r="P621" s="84"/>
      <c r="Q621" s="363"/>
    </row>
    <row r="622" customFormat="false" ht="12.75" hidden="false" customHeight="false" outlineLevel="0" collapsed="false">
      <c r="A622" s="362"/>
      <c r="B622" s="362"/>
      <c r="P622" s="84"/>
      <c r="Q622" s="363"/>
    </row>
    <row r="623" customFormat="false" ht="12.75" hidden="false" customHeight="false" outlineLevel="0" collapsed="false">
      <c r="A623" s="362"/>
      <c r="B623" s="362"/>
      <c r="P623" s="84"/>
      <c r="Q623" s="363"/>
    </row>
    <row r="624" customFormat="false" ht="12.75" hidden="false" customHeight="false" outlineLevel="0" collapsed="false">
      <c r="A624" s="362"/>
      <c r="B624" s="362"/>
      <c r="P624" s="84"/>
      <c r="Q624" s="363"/>
    </row>
    <row r="625" customFormat="false" ht="12.75" hidden="false" customHeight="false" outlineLevel="0" collapsed="false">
      <c r="A625" s="362"/>
      <c r="B625" s="362"/>
      <c r="P625" s="84"/>
      <c r="Q625" s="363"/>
    </row>
    <row r="626" customFormat="false" ht="12.75" hidden="false" customHeight="false" outlineLevel="0" collapsed="false">
      <c r="A626" s="362"/>
      <c r="B626" s="362"/>
      <c r="P626" s="84"/>
      <c r="Q626" s="363"/>
    </row>
    <row r="627" customFormat="false" ht="12.75" hidden="false" customHeight="false" outlineLevel="0" collapsed="false">
      <c r="A627" s="362"/>
      <c r="B627" s="362"/>
      <c r="P627" s="84"/>
      <c r="Q627" s="363"/>
    </row>
    <row r="628" customFormat="false" ht="12.75" hidden="false" customHeight="false" outlineLevel="0" collapsed="false">
      <c r="A628" s="362"/>
      <c r="B628" s="362"/>
      <c r="P628" s="84"/>
      <c r="Q628" s="363"/>
    </row>
    <row r="629" customFormat="false" ht="12.75" hidden="false" customHeight="false" outlineLevel="0" collapsed="false">
      <c r="A629" s="362"/>
      <c r="B629" s="362"/>
      <c r="P629" s="84"/>
      <c r="Q629" s="363"/>
    </row>
    <row r="630" customFormat="false" ht="12.75" hidden="false" customHeight="false" outlineLevel="0" collapsed="false">
      <c r="A630" s="362"/>
      <c r="B630" s="362"/>
      <c r="P630" s="84"/>
      <c r="Q630" s="363"/>
    </row>
    <row r="631" customFormat="false" ht="12.75" hidden="false" customHeight="false" outlineLevel="0" collapsed="false">
      <c r="A631" s="362"/>
      <c r="B631" s="362"/>
      <c r="P631" s="84"/>
      <c r="Q631" s="363"/>
    </row>
    <row r="632" customFormat="false" ht="12.75" hidden="false" customHeight="false" outlineLevel="0" collapsed="false">
      <c r="A632" s="362"/>
      <c r="B632" s="362"/>
      <c r="P632" s="84"/>
      <c r="Q632" s="363"/>
    </row>
    <row r="633" customFormat="false" ht="12.75" hidden="false" customHeight="false" outlineLevel="0" collapsed="false">
      <c r="A633" s="362"/>
      <c r="B633" s="362"/>
      <c r="P633" s="84"/>
      <c r="Q633" s="363"/>
    </row>
    <row r="634" customFormat="false" ht="12.75" hidden="false" customHeight="false" outlineLevel="0" collapsed="false">
      <c r="A634" s="362"/>
      <c r="B634" s="362"/>
      <c r="P634" s="84"/>
      <c r="Q634" s="363"/>
    </row>
    <row r="635" customFormat="false" ht="12.75" hidden="false" customHeight="false" outlineLevel="0" collapsed="false">
      <c r="A635" s="362"/>
      <c r="B635" s="362"/>
      <c r="P635" s="84"/>
      <c r="Q635" s="363"/>
    </row>
    <row r="636" customFormat="false" ht="12.75" hidden="false" customHeight="false" outlineLevel="0" collapsed="false">
      <c r="A636" s="362"/>
      <c r="B636" s="362"/>
      <c r="P636" s="84"/>
      <c r="Q636" s="363"/>
    </row>
    <row r="637" customFormat="false" ht="12.75" hidden="false" customHeight="false" outlineLevel="0" collapsed="false">
      <c r="A637" s="362"/>
      <c r="B637" s="362"/>
      <c r="P637" s="84"/>
      <c r="Q637" s="363"/>
    </row>
    <row r="638" customFormat="false" ht="12.75" hidden="false" customHeight="false" outlineLevel="0" collapsed="false">
      <c r="A638" s="362"/>
      <c r="B638" s="362"/>
      <c r="P638" s="84"/>
      <c r="Q638" s="363"/>
    </row>
    <row r="639" customFormat="false" ht="12.75" hidden="false" customHeight="false" outlineLevel="0" collapsed="false">
      <c r="A639" s="362"/>
      <c r="B639" s="362"/>
      <c r="P639" s="84"/>
      <c r="Q639" s="363"/>
    </row>
    <row r="640" customFormat="false" ht="12.75" hidden="false" customHeight="false" outlineLevel="0" collapsed="false">
      <c r="A640" s="362"/>
      <c r="B640" s="362"/>
      <c r="P640" s="84"/>
      <c r="Q640" s="363"/>
    </row>
    <row r="641" customFormat="false" ht="12.75" hidden="false" customHeight="false" outlineLevel="0" collapsed="false">
      <c r="A641" s="362"/>
      <c r="B641" s="362"/>
      <c r="P641" s="84"/>
      <c r="Q641" s="363"/>
    </row>
    <row r="642" customFormat="false" ht="12.75" hidden="false" customHeight="false" outlineLevel="0" collapsed="false">
      <c r="A642" s="362"/>
      <c r="B642" s="362"/>
      <c r="P642" s="84"/>
      <c r="Q642" s="363"/>
    </row>
    <row r="643" customFormat="false" ht="12.75" hidden="false" customHeight="false" outlineLevel="0" collapsed="false">
      <c r="A643" s="362"/>
      <c r="B643" s="362"/>
      <c r="P643" s="84"/>
      <c r="Q643" s="363"/>
    </row>
    <row r="644" customFormat="false" ht="12.75" hidden="false" customHeight="false" outlineLevel="0" collapsed="false">
      <c r="A644" s="362"/>
      <c r="B644" s="362"/>
      <c r="P644" s="84"/>
      <c r="Q644" s="363"/>
    </row>
    <row r="645" customFormat="false" ht="12.75" hidden="false" customHeight="false" outlineLevel="0" collapsed="false">
      <c r="A645" s="362"/>
      <c r="B645" s="362"/>
      <c r="P645" s="84"/>
      <c r="Q645" s="363"/>
    </row>
    <row r="646" customFormat="false" ht="12.75" hidden="false" customHeight="false" outlineLevel="0" collapsed="false">
      <c r="A646" s="362"/>
      <c r="B646" s="362"/>
      <c r="P646" s="84"/>
      <c r="Q646" s="363"/>
    </row>
    <row r="647" customFormat="false" ht="12.75" hidden="false" customHeight="false" outlineLevel="0" collapsed="false">
      <c r="A647" s="362"/>
      <c r="B647" s="362"/>
      <c r="P647" s="84"/>
      <c r="Q647" s="363"/>
    </row>
    <row r="648" customFormat="false" ht="12.75" hidden="false" customHeight="false" outlineLevel="0" collapsed="false">
      <c r="A648" s="362"/>
      <c r="B648" s="362"/>
      <c r="P648" s="84"/>
      <c r="Q648" s="363"/>
    </row>
    <row r="649" customFormat="false" ht="12.75" hidden="false" customHeight="false" outlineLevel="0" collapsed="false">
      <c r="A649" s="362"/>
      <c r="B649" s="362"/>
      <c r="P649" s="84"/>
      <c r="Q649" s="363"/>
    </row>
    <row r="650" customFormat="false" ht="12.75" hidden="false" customHeight="false" outlineLevel="0" collapsed="false">
      <c r="A650" s="362"/>
      <c r="B650" s="362"/>
      <c r="P650" s="84"/>
      <c r="Q650" s="363"/>
    </row>
    <row r="651" customFormat="false" ht="12.75" hidden="false" customHeight="false" outlineLevel="0" collapsed="false">
      <c r="A651" s="362"/>
      <c r="B651" s="362"/>
      <c r="P651" s="84"/>
      <c r="Q651" s="363"/>
    </row>
    <row r="652" customFormat="false" ht="12.75" hidden="false" customHeight="false" outlineLevel="0" collapsed="false">
      <c r="A652" s="362"/>
      <c r="B652" s="362"/>
      <c r="P652" s="84"/>
      <c r="Q652" s="363"/>
    </row>
    <row r="653" customFormat="false" ht="12.75" hidden="false" customHeight="false" outlineLevel="0" collapsed="false">
      <c r="A653" s="362"/>
      <c r="B653" s="362"/>
      <c r="P653" s="84"/>
      <c r="Q653" s="363"/>
    </row>
    <row r="654" customFormat="false" ht="12.75" hidden="false" customHeight="false" outlineLevel="0" collapsed="false">
      <c r="A654" s="362"/>
      <c r="B654" s="362"/>
      <c r="P654" s="84"/>
      <c r="Q654" s="363"/>
    </row>
    <row r="655" customFormat="false" ht="12.75" hidden="false" customHeight="false" outlineLevel="0" collapsed="false">
      <c r="A655" s="362"/>
      <c r="B655" s="362"/>
      <c r="P655" s="84"/>
      <c r="Q655" s="363"/>
    </row>
    <row r="656" customFormat="false" ht="12.75" hidden="false" customHeight="false" outlineLevel="0" collapsed="false">
      <c r="A656" s="362"/>
      <c r="B656" s="362"/>
      <c r="P656" s="84"/>
      <c r="Q656" s="363"/>
    </row>
    <row r="657" customFormat="false" ht="12.75" hidden="false" customHeight="false" outlineLevel="0" collapsed="false">
      <c r="A657" s="362"/>
      <c r="B657" s="362"/>
      <c r="P657" s="84"/>
      <c r="Q657" s="363"/>
    </row>
    <row r="658" customFormat="false" ht="12.75" hidden="false" customHeight="false" outlineLevel="0" collapsed="false">
      <c r="A658" s="362"/>
      <c r="B658" s="362"/>
      <c r="P658" s="84"/>
      <c r="Q658" s="363"/>
    </row>
    <row r="659" customFormat="false" ht="12.75" hidden="false" customHeight="false" outlineLevel="0" collapsed="false">
      <c r="A659" s="362"/>
      <c r="B659" s="362"/>
      <c r="P659" s="84"/>
      <c r="Q659" s="363"/>
    </row>
    <row r="660" customFormat="false" ht="12.75" hidden="false" customHeight="false" outlineLevel="0" collapsed="false">
      <c r="A660" s="362"/>
      <c r="B660" s="362"/>
      <c r="P660" s="84"/>
      <c r="Q660" s="363"/>
    </row>
    <row r="661" customFormat="false" ht="12.75" hidden="false" customHeight="false" outlineLevel="0" collapsed="false">
      <c r="A661" s="362"/>
      <c r="B661" s="362"/>
      <c r="P661" s="84"/>
      <c r="Q661" s="363"/>
    </row>
    <row r="662" customFormat="false" ht="12.75" hidden="false" customHeight="false" outlineLevel="0" collapsed="false">
      <c r="A662" s="362"/>
      <c r="B662" s="362"/>
      <c r="P662" s="84"/>
      <c r="Q662" s="363"/>
    </row>
    <row r="663" customFormat="false" ht="12.75" hidden="false" customHeight="false" outlineLevel="0" collapsed="false">
      <c r="A663" s="362"/>
      <c r="B663" s="362"/>
      <c r="P663" s="84"/>
      <c r="Q663" s="363"/>
    </row>
    <row r="664" customFormat="false" ht="12.75" hidden="false" customHeight="false" outlineLevel="0" collapsed="false">
      <c r="A664" s="362"/>
      <c r="B664" s="362"/>
      <c r="P664" s="84"/>
      <c r="Q664" s="363"/>
    </row>
    <row r="665" customFormat="false" ht="12.75" hidden="false" customHeight="false" outlineLevel="0" collapsed="false">
      <c r="A665" s="362"/>
      <c r="B665" s="362"/>
      <c r="P665" s="84"/>
      <c r="Q665" s="363"/>
    </row>
    <row r="666" customFormat="false" ht="12.75" hidden="false" customHeight="false" outlineLevel="0" collapsed="false">
      <c r="A666" s="362"/>
      <c r="B666" s="362"/>
      <c r="P666" s="84"/>
      <c r="Q666" s="363"/>
    </row>
    <row r="667" customFormat="false" ht="12.75" hidden="false" customHeight="false" outlineLevel="0" collapsed="false">
      <c r="A667" s="362"/>
      <c r="B667" s="362"/>
      <c r="P667" s="84"/>
      <c r="Q667" s="363"/>
    </row>
    <row r="668" customFormat="false" ht="12.75" hidden="false" customHeight="false" outlineLevel="0" collapsed="false">
      <c r="A668" s="362"/>
      <c r="B668" s="362"/>
      <c r="P668" s="84"/>
      <c r="Q668" s="363"/>
    </row>
    <row r="669" customFormat="false" ht="12.75" hidden="false" customHeight="false" outlineLevel="0" collapsed="false">
      <c r="A669" s="362"/>
      <c r="B669" s="362"/>
      <c r="P669" s="84"/>
      <c r="Q669" s="363"/>
    </row>
    <row r="670" customFormat="false" ht="12.75" hidden="false" customHeight="false" outlineLevel="0" collapsed="false">
      <c r="A670" s="362"/>
      <c r="B670" s="362"/>
      <c r="P670" s="84"/>
      <c r="Q670" s="363"/>
    </row>
    <row r="671" customFormat="false" ht="12.75" hidden="false" customHeight="false" outlineLevel="0" collapsed="false">
      <c r="A671" s="362"/>
      <c r="B671" s="362"/>
      <c r="P671" s="84"/>
      <c r="Q671" s="363"/>
    </row>
    <row r="672" customFormat="false" ht="12.75" hidden="false" customHeight="false" outlineLevel="0" collapsed="false">
      <c r="A672" s="362"/>
      <c r="B672" s="362"/>
      <c r="P672" s="84"/>
      <c r="Q672" s="363"/>
    </row>
    <row r="673" customFormat="false" ht="12.75" hidden="false" customHeight="false" outlineLevel="0" collapsed="false">
      <c r="A673" s="362"/>
      <c r="B673" s="362"/>
      <c r="P673" s="84"/>
      <c r="Q673" s="363"/>
    </row>
    <row r="674" customFormat="false" ht="12.75" hidden="false" customHeight="false" outlineLevel="0" collapsed="false">
      <c r="A674" s="362"/>
      <c r="B674" s="362"/>
      <c r="P674" s="84"/>
      <c r="Q674" s="363"/>
    </row>
    <row r="675" customFormat="false" ht="12.75" hidden="false" customHeight="false" outlineLevel="0" collapsed="false">
      <c r="A675" s="362"/>
      <c r="B675" s="362"/>
      <c r="P675" s="84"/>
      <c r="Q675" s="363"/>
    </row>
    <row r="676" customFormat="false" ht="12.75" hidden="false" customHeight="false" outlineLevel="0" collapsed="false">
      <c r="A676" s="362"/>
      <c r="B676" s="362"/>
      <c r="P676" s="84"/>
      <c r="Q676" s="363"/>
    </row>
    <row r="677" customFormat="false" ht="12.75" hidden="false" customHeight="false" outlineLevel="0" collapsed="false">
      <c r="A677" s="362"/>
      <c r="B677" s="362"/>
      <c r="P677" s="84"/>
      <c r="Q677" s="363"/>
    </row>
    <row r="678" customFormat="false" ht="12.75" hidden="false" customHeight="false" outlineLevel="0" collapsed="false">
      <c r="A678" s="362"/>
      <c r="B678" s="362"/>
      <c r="P678" s="84"/>
      <c r="Q678" s="363"/>
    </row>
    <row r="679" customFormat="false" ht="12.75" hidden="false" customHeight="false" outlineLevel="0" collapsed="false">
      <c r="A679" s="362"/>
      <c r="B679" s="362"/>
      <c r="P679" s="84"/>
      <c r="Q679" s="363"/>
    </row>
    <row r="680" customFormat="false" ht="12.75" hidden="false" customHeight="false" outlineLevel="0" collapsed="false">
      <c r="A680" s="362"/>
      <c r="B680" s="362"/>
      <c r="P680" s="84"/>
      <c r="Q680" s="363"/>
    </row>
    <row r="681" customFormat="false" ht="12.75" hidden="false" customHeight="false" outlineLevel="0" collapsed="false">
      <c r="A681" s="362"/>
      <c r="B681" s="362"/>
      <c r="P681" s="84"/>
      <c r="Q681" s="363"/>
    </row>
    <row r="682" customFormat="false" ht="12.75" hidden="false" customHeight="false" outlineLevel="0" collapsed="false">
      <c r="A682" s="362"/>
      <c r="B682" s="362"/>
      <c r="P682" s="84"/>
      <c r="Q682" s="363"/>
    </row>
    <row r="683" customFormat="false" ht="12.75" hidden="false" customHeight="false" outlineLevel="0" collapsed="false">
      <c r="A683" s="362"/>
      <c r="B683" s="362"/>
      <c r="P683" s="84"/>
      <c r="Q683" s="363"/>
    </row>
    <row r="684" customFormat="false" ht="12.75" hidden="false" customHeight="false" outlineLevel="0" collapsed="false">
      <c r="A684" s="362"/>
      <c r="B684" s="362"/>
      <c r="P684" s="84"/>
      <c r="Q684" s="363"/>
    </row>
    <row r="685" customFormat="false" ht="12.75" hidden="false" customHeight="false" outlineLevel="0" collapsed="false">
      <c r="A685" s="362"/>
      <c r="B685" s="362"/>
      <c r="P685" s="84"/>
      <c r="Q685" s="363"/>
    </row>
    <row r="686" customFormat="false" ht="12.75" hidden="false" customHeight="false" outlineLevel="0" collapsed="false">
      <c r="A686" s="362"/>
      <c r="B686" s="362"/>
      <c r="P686" s="84"/>
      <c r="Q686" s="363"/>
    </row>
    <row r="687" customFormat="false" ht="12.75" hidden="false" customHeight="false" outlineLevel="0" collapsed="false">
      <c r="A687" s="362"/>
      <c r="B687" s="362"/>
      <c r="P687" s="84"/>
      <c r="Q687" s="363"/>
    </row>
    <row r="688" customFormat="false" ht="12.75" hidden="false" customHeight="false" outlineLevel="0" collapsed="false">
      <c r="A688" s="362"/>
      <c r="B688" s="362"/>
      <c r="P688" s="84"/>
      <c r="Q688" s="363"/>
    </row>
    <row r="689" customFormat="false" ht="12.75" hidden="false" customHeight="false" outlineLevel="0" collapsed="false">
      <c r="A689" s="362"/>
      <c r="B689" s="362"/>
      <c r="P689" s="84"/>
      <c r="Q689" s="363"/>
    </row>
    <row r="690" customFormat="false" ht="12.75" hidden="false" customHeight="false" outlineLevel="0" collapsed="false">
      <c r="A690" s="362"/>
      <c r="B690" s="362"/>
      <c r="P690" s="84"/>
      <c r="Q690" s="363"/>
    </row>
    <row r="691" customFormat="false" ht="12.75" hidden="false" customHeight="false" outlineLevel="0" collapsed="false">
      <c r="A691" s="362"/>
      <c r="B691" s="362"/>
      <c r="P691" s="84"/>
      <c r="Q691" s="363"/>
    </row>
    <row r="692" customFormat="false" ht="12.75" hidden="false" customHeight="false" outlineLevel="0" collapsed="false">
      <c r="A692" s="362"/>
      <c r="B692" s="362"/>
      <c r="P692" s="84"/>
      <c r="Q692" s="363"/>
    </row>
    <row r="693" customFormat="false" ht="12.75" hidden="false" customHeight="false" outlineLevel="0" collapsed="false">
      <c r="A693" s="362"/>
      <c r="B693" s="362"/>
      <c r="P693" s="84"/>
      <c r="Q693" s="363"/>
    </row>
    <row r="694" customFormat="false" ht="12.75" hidden="false" customHeight="false" outlineLevel="0" collapsed="false">
      <c r="A694" s="362"/>
      <c r="B694" s="362"/>
      <c r="P694" s="84"/>
      <c r="Q694" s="363"/>
    </row>
    <row r="695" customFormat="false" ht="12.75" hidden="false" customHeight="false" outlineLevel="0" collapsed="false">
      <c r="A695" s="362"/>
      <c r="B695" s="362"/>
      <c r="P695" s="84"/>
      <c r="Q695" s="363"/>
    </row>
    <row r="696" customFormat="false" ht="12.75" hidden="false" customHeight="false" outlineLevel="0" collapsed="false">
      <c r="A696" s="362"/>
      <c r="B696" s="362"/>
      <c r="P696" s="84"/>
      <c r="Q696" s="363"/>
    </row>
    <row r="697" customFormat="false" ht="12.75" hidden="false" customHeight="false" outlineLevel="0" collapsed="false">
      <c r="A697" s="362"/>
      <c r="B697" s="362"/>
      <c r="P697" s="84"/>
      <c r="Q697" s="363"/>
    </row>
    <row r="698" customFormat="false" ht="12.75" hidden="false" customHeight="false" outlineLevel="0" collapsed="false">
      <c r="A698" s="362"/>
      <c r="B698" s="362"/>
      <c r="P698" s="84"/>
      <c r="Q698" s="363"/>
    </row>
    <row r="699" customFormat="false" ht="12.75" hidden="false" customHeight="false" outlineLevel="0" collapsed="false">
      <c r="A699" s="362"/>
      <c r="B699" s="362"/>
      <c r="P699" s="84"/>
      <c r="Q699" s="363"/>
    </row>
    <row r="700" customFormat="false" ht="12.75" hidden="false" customHeight="false" outlineLevel="0" collapsed="false">
      <c r="A700" s="362"/>
      <c r="B700" s="362"/>
      <c r="P700" s="84"/>
      <c r="Q700" s="363"/>
    </row>
    <row r="701" customFormat="false" ht="12.75" hidden="false" customHeight="false" outlineLevel="0" collapsed="false">
      <c r="A701" s="362"/>
      <c r="B701" s="362"/>
      <c r="P701" s="84"/>
      <c r="Q701" s="363"/>
    </row>
    <row r="702" customFormat="false" ht="12.75" hidden="false" customHeight="false" outlineLevel="0" collapsed="false">
      <c r="A702" s="362"/>
      <c r="B702" s="362"/>
      <c r="P702" s="84"/>
      <c r="Q702" s="363"/>
    </row>
    <row r="703" customFormat="false" ht="12.75" hidden="false" customHeight="false" outlineLevel="0" collapsed="false">
      <c r="A703" s="362"/>
      <c r="B703" s="362"/>
      <c r="P703" s="84"/>
      <c r="Q703" s="363"/>
    </row>
    <row r="704" customFormat="false" ht="12.75" hidden="false" customHeight="false" outlineLevel="0" collapsed="false">
      <c r="A704" s="362"/>
      <c r="B704" s="362"/>
      <c r="P704" s="84"/>
      <c r="Q704" s="363"/>
    </row>
    <row r="705" customFormat="false" ht="12.75" hidden="false" customHeight="false" outlineLevel="0" collapsed="false">
      <c r="A705" s="362"/>
      <c r="B705" s="362"/>
      <c r="P705" s="84"/>
      <c r="Q705" s="363"/>
    </row>
    <row r="706" customFormat="false" ht="12.75" hidden="false" customHeight="false" outlineLevel="0" collapsed="false">
      <c r="A706" s="362"/>
      <c r="B706" s="362"/>
      <c r="P706" s="84"/>
      <c r="Q706" s="363"/>
    </row>
    <row r="707" customFormat="false" ht="12.75" hidden="false" customHeight="false" outlineLevel="0" collapsed="false">
      <c r="A707" s="362"/>
      <c r="B707" s="362"/>
      <c r="P707" s="84"/>
      <c r="Q707" s="363"/>
    </row>
    <row r="708" customFormat="false" ht="12.75" hidden="false" customHeight="false" outlineLevel="0" collapsed="false">
      <c r="A708" s="362"/>
      <c r="B708" s="362"/>
      <c r="P708" s="84"/>
      <c r="Q708" s="363"/>
    </row>
    <row r="709" customFormat="false" ht="12.75" hidden="false" customHeight="false" outlineLevel="0" collapsed="false">
      <c r="A709" s="362"/>
      <c r="B709" s="362"/>
      <c r="P709" s="84"/>
      <c r="Q709" s="363"/>
    </row>
    <row r="710" customFormat="false" ht="12.75" hidden="false" customHeight="false" outlineLevel="0" collapsed="false">
      <c r="A710" s="362"/>
      <c r="B710" s="362"/>
      <c r="P710" s="84"/>
      <c r="Q710" s="363"/>
    </row>
    <row r="711" customFormat="false" ht="12.75" hidden="false" customHeight="false" outlineLevel="0" collapsed="false">
      <c r="A711" s="362"/>
      <c r="B711" s="362"/>
      <c r="P711" s="84"/>
      <c r="Q711" s="363"/>
    </row>
    <row r="712" customFormat="false" ht="12.75" hidden="false" customHeight="false" outlineLevel="0" collapsed="false">
      <c r="A712" s="362"/>
      <c r="B712" s="362"/>
      <c r="P712" s="84"/>
      <c r="Q712" s="363"/>
    </row>
    <row r="713" customFormat="false" ht="12.75" hidden="false" customHeight="false" outlineLevel="0" collapsed="false">
      <c r="A713" s="362"/>
      <c r="B713" s="362"/>
      <c r="P713" s="84"/>
      <c r="Q713" s="363"/>
    </row>
    <row r="714" customFormat="false" ht="12.75" hidden="false" customHeight="false" outlineLevel="0" collapsed="false">
      <c r="A714" s="362"/>
      <c r="B714" s="362"/>
      <c r="P714" s="84"/>
      <c r="Q714" s="363"/>
    </row>
    <row r="715" customFormat="false" ht="12.75" hidden="false" customHeight="false" outlineLevel="0" collapsed="false">
      <c r="A715" s="362"/>
      <c r="B715" s="362"/>
      <c r="P715" s="84"/>
      <c r="Q715" s="363"/>
    </row>
    <row r="716" customFormat="false" ht="12.75" hidden="false" customHeight="false" outlineLevel="0" collapsed="false">
      <c r="A716" s="362"/>
      <c r="B716" s="362"/>
      <c r="P716" s="84"/>
      <c r="Q716" s="363"/>
    </row>
    <row r="717" customFormat="false" ht="12.75" hidden="false" customHeight="false" outlineLevel="0" collapsed="false">
      <c r="A717" s="362"/>
      <c r="B717" s="362"/>
      <c r="P717" s="84"/>
      <c r="Q717" s="363"/>
    </row>
    <row r="718" customFormat="false" ht="12.75" hidden="false" customHeight="false" outlineLevel="0" collapsed="false">
      <c r="A718" s="362"/>
      <c r="B718" s="362"/>
      <c r="P718" s="84"/>
      <c r="Q718" s="363"/>
    </row>
    <row r="719" customFormat="false" ht="12.75" hidden="false" customHeight="false" outlineLevel="0" collapsed="false">
      <c r="A719" s="362"/>
      <c r="B719" s="362"/>
      <c r="P719" s="84"/>
      <c r="Q719" s="363"/>
    </row>
    <row r="720" customFormat="false" ht="12.75" hidden="false" customHeight="false" outlineLevel="0" collapsed="false">
      <c r="A720" s="362"/>
      <c r="B720" s="362"/>
      <c r="P720" s="84"/>
      <c r="Q720" s="363"/>
    </row>
    <row r="721" customFormat="false" ht="12.75" hidden="false" customHeight="false" outlineLevel="0" collapsed="false">
      <c r="A721" s="362"/>
      <c r="B721" s="362"/>
      <c r="P721" s="84"/>
      <c r="Q721" s="363"/>
    </row>
    <row r="722" customFormat="false" ht="12.75" hidden="false" customHeight="false" outlineLevel="0" collapsed="false">
      <c r="A722" s="362"/>
      <c r="B722" s="362"/>
      <c r="P722" s="84"/>
      <c r="Q722" s="363"/>
    </row>
    <row r="723" customFormat="false" ht="12.75" hidden="false" customHeight="false" outlineLevel="0" collapsed="false">
      <c r="A723" s="362"/>
      <c r="B723" s="362"/>
      <c r="P723" s="84"/>
      <c r="Q723" s="363"/>
    </row>
    <row r="724" customFormat="false" ht="12.75" hidden="false" customHeight="false" outlineLevel="0" collapsed="false">
      <c r="A724" s="362"/>
      <c r="B724" s="362"/>
      <c r="P724" s="84"/>
      <c r="Q724" s="363"/>
    </row>
    <row r="725" customFormat="false" ht="12.75" hidden="false" customHeight="false" outlineLevel="0" collapsed="false">
      <c r="A725" s="362"/>
      <c r="B725" s="362"/>
      <c r="P725" s="84"/>
      <c r="Q725" s="363"/>
    </row>
    <row r="726" customFormat="false" ht="12.75" hidden="false" customHeight="false" outlineLevel="0" collapsed="false">
      <c r="A726" s="362"/>
      <c r="B726" s="362"/>
      <c r="P726" s="84"/>
      <c r="Q726" s="363"/>
    </row>
    <row r="727" customFormat="false" ht="12.75" hidden="false" customHeight="false" outlineLevel="0" collapsed="false">
      <c r="A727" s="362"/>
      <c r="B727" s="362"/>
      <c r="P727" s="84"/>
      <c r="Q727" s="363"/>
    </row>
    <row r="728" customFormat="false" ht="12.75" hidden="false" customHeight="false" outlineLevel="0" collapsed="false">
      <c r="A728" s="362"/>
      <c r="B728" s="362"/>
      <c r="P728" s="84"/>
      <c r="Q728" s="363"/>
    </row>
    <row r="729" customFormat="false" ht="12.75" hidden="false" customHeight="false" outlineLevel="0" collapsed="false">
      <c r="A729" s="362"/>
      <c r="B729" s="362"/>
      <c r="P729" s="84"/>
      <c r="Q729" s="363"/>
    </row>
    <row r="730" customFormat="false" ht="12.75" hidden="false" customHeight="false" outlineLevel="0" collapsed="false">
      <c r="A730" s="362"/>
      <c r="B730" s="362"/>
      <c r="P730" s="84"/>
      <c r="Q730" s="363"/>
    </row>
    <row r="731" customFormat="false" ht="12.75" hidden="false" customHeight="false" outlineLevel="0" collapsed="false">
      <c r="A731" s="362"/>
      <c r="B731" s="362"/>
      <c r="P731" s="84"/>
      <c r="Q731" s="363"/>
    </row>
    <row r="732" customFormat="false" ht="12.75" hidden="false" customHeight="false" outlineLevel="0" collapsed="false">
      <c r="A732" s="362"/>
      <c r="B732" s="362"/>
      <c r="P732" s="84"/>
      <c r="Q732" s="363"/>
    </row>
    <row r="733" customFormat="false" ht="12.75" hidden="false" customHeight="false" outlineLevel="0" collapsed="false">
      <c r="A733" s="362"/>
      <c r="B733" s="362"/>
      <c r="P733" s="84"/>
      <c r="Q733" s="363"/>
    </row>
    <row r="734" customFormat="false" ht="12.75" hidden="false" customHeight="false" outlineLevel="0" collapsed="false">
      <c r="A734" s="362"/>
      <c r="B734" s="362"/>
      <c r="P734" s="84"/>
      <c r="Q734" s="363"/>
    </row>
    <row r="735" customFormat="false" ht="12.75" hidden="false" customHeight="false" outlineLevel="0" collapsed="false">
      <c r="A735" s="362"/>
      <c r="B735" s="362"/>
      <c r="P735" s="84"/>
      <c r="Q735" s="363"/>
    </row>
    <row r="736" customFormat="false" ht="12.75" hidden="false" customHeight="false" outlineLevel="0" collapsed="false">
      <c r="A736" s="362"/>
      <c r="B736" s="362"/>
      <c r="P736" s="84"/>
      <c r="Q736" s="363"/>
    </row>
    <row r="737" customFormat="false" ht="12.75" hidden="false" customHeight="false" outlineLevel="0" collapsed="false">
      <c r="A737" s="362"/>
      <c r="B737" s="362"/>
      <c r="P737" s="84"/>
      <c r="Q737" s="363"/>
    </row>
    <row r="738" customFormat="false" ht="12.75" hidden="false" customHeight="false" outlineLevel="0" collapsed="false">
      <c r="A738" s="362"/>
      <c r="B738" s="362"/>
      <c r="P738" s="84"/>
      <c r="Q738" s="363"/>
    </row>
    <row r="739" customFormat="false" ht="12.75" hidden="false" customHeight="false" outlineLevel="0" collapsed="false">
      <c r="A739" s="362"/>
      <c r="B739" s="362"/>
      <c r="P739" s="84"/>
      <c r="Q739" s="363"/>
    </row>
    <row r="740" customFormat="false" ht="12.75" hidden="false" customHeight="false" outlineLevel="0" collapsed="false">
      <c r="A740" s="362"/>
      <c r="B740" s="362"/>
      <c r="P740" s="84"/>
      <c r="Q740" s="363"/>
    </row>
    <row r="741" customFormat="false" ht="12.75" hidden="false" customHeight="false" outlineLevel="0" collapsed="false">
      <c r="A741" s="362"/>
      <c r="B741" s="362"/>
      <c r="P741" s="84"/>
      <c r="Q741" s="363"/>
    </row>
    <row r="742" customFormat="false" ht="12.75" hidden="false" customHeight="false" outlineLevel="0" collapsed="false">
      <c r="A742" s="362"/>
      <c r="B742" s="362"/>
      <c r="P742" s="84"/>
      <c r="Q742" s="363"/>
    </row>
    <row r="743" customFormat="false" ht="12.75" hidden="false" customHeight="false" outlineLevel="0" collapsed="false">
      <c r="A743" s="362"/>
      <c r="B743" s="362"/>
      <c r="P743" s="84"/>
      <c r="Q743" s="363"/>
    </row>
    <row r="744" customFormat="false" ht="12.75" hidden="false" customHeight="false" outlineLevel="0" collapsed="false">
      <c r="A744" s="362"/>
      <c r="B744" s="362"/>
      <c r="P744" s="84"/>
      <c r="Q744" s="363"/>
    </row>
    <row r="745" customFormat="false" ht="12.75" hidden="false" customHeight="false" outlineLevel="0" collapsed="false">
      <c r="A745" s="362"/>
      <c r="B745" s="362"/>
      <c r="P745" s="84"/>
      <c r="Q745" s="363"/>
    </row>
    <row r="746" customFormat="false" ht="12.75" hidden="false" customHeight="false" outlineLevel="0" collapsed="false">
      <c r="A746" s="362"/>
      <c r="B746" s="362"/>
      <c r="P746" s="84"/>
      <c r="Q746" s="363"/>
    </row>
    <row r="747" customFormat="false" ht="12.75" hidden="false" customHeight="false" outlineLevel="0" collapsed="false">
      <c r="A747" s="362"/>
      <c r="B747" s="362"/>
      <c r="P747" s="84"/>
      <c r="Q747" s="363"/>
    </row>
    <row r="748" customFormat="false" ht="12.75" hidden="false" customHeight="false" outlineLevel="0" collapsed="false">
      <c r="A748" s="362"/>
      <c r="B748" s="362"/>
      <c r="P748" s="84"/>
      <c r="Q748" s="363"/>
    </row>
    <row r="749" customFormat="false" ht="12.75" hidden="false" customHeight="false" outlineLevel="0" collapsed="false">
      <c r="A749" s="362"/>
      <c r="B749" s="362"/>
      <c r="P749" s="84"/>
      <c r="Q749" s="363"/>
    </row>
    <row r="750" customFormat="false" ht="12.75" hidden="false" customHeight="false" outlineLevel="0" collapsed="false">
      <c r="A750" s="362"/>
      <c r="B750" s="362"/>
      <c r="P750" s="84"/>
      <c r="Q750" s="363"/>
    </row>
    <row r="751" customFormat="false" ht="12.75" hidden="false" customHeight="false" outlineLevel="0" collapsed="false">
      <c r="A751" s="362"/>
      <c r="B751" s="362"/>
      <c r="P751" s="84"/>
      <c r="Q751" s="363"/>
    </row>
    <row r="752" customFormat="false" ht="12.75" hidden="false" customHeight="false" outlineLevel="0" collapsed="false">
      <c r="A752" s="362"/>
      <c r="B752" s="362"/>
      <c r="P752" s="84"/>
      <c r="Q752" s="363"/>
    </row>
    <row r="753" customFormat="false" ht="12.75" hidden="false" customHeight="false" outlineLevel="0" collapsed="false">
      <c r="A753" s="362"/>
      <c r="B753" s="362"/>
      <c r="P753" s="84"/>
      <c r="Q753" s="363"/>
    </row>
    <row r="754" customFormat="false" ht="12.75" hidden="false" customHeight="false" outlineLevel="0" collapsed="false">
      <c r="A754" s="362"/>
      <c r="B754" s="362"/>
      <c r="P754" s="84"/>
      <c r="Q754" s="363"/>
    </row>
    <row r="755" customFormat="false" ht="12.75" hidden="false" customHeight="false" outlineLevel="0" collapsed="false">
      <c r="A755" s="362"/>
      <c r="B755" s="362"/>
      <c r="P755" s="84"/>
      <c r="Q755" s="363"/>
    </row>
    <row r="756" customFormat="false" ht="12.75" hidden="false" customHeight="false" outlineLevel="0" collapsed="false">
      <c r="A756" s="362"/>
      <c r="B756" s="362"/>
      <c r="P756" s="84"/>
      <c r="Q756" s="363"/>
    </row>
    <row r="757" customFormat="false" ht="12.75" hidden="false" customHeight="false" outlineLevel="0" collapsed="false">
      <c r="A757" s="362"/>
      <c r="B757" s="362"/>
      <c r="P757" s="84"/>
      <c r="Q757" s="363"/>
    </row>
    <row r="758" customFormat="false" ht="12.75" hidden="false" customHeight="false" outlineLevel="0" collapsed="false">
      <c r="A758" s="362"/>
      <c r="B758" s="362"/>
      <c r="P758" s="84"/>
      <c r="Q758" s="363"/>
    </row>
    <row r="759" customFormat="false" ht="12.75" hidden="false" customHeight="false" outlineLevel="0" collapsed="false">
      <c r="A759" s="362"/>
      <c r="B759" s="362"/>
      <c r="P759" s="84"/>
      <c r="Q759" s="363"/>
    </row>
    <row r="760" customFormat="false" ht="12.75" hidden="false" customHeight="false" outlineLevel="0" collapsed="false">
      <c r="A760" s="362"/>
      <c r="B760" s="362"/>
      <c r="P760" s="84"/>
      <c r="Q760" s="363"/>
    </row>
    <row r="761" customFormat="false" ht="12.75" hidden="false" customHeight="false" outlineLevel="0" collapsed="false">
      <c r="A761" s="362"/>
      <c r="B761" s="362"/>
      <c r="P761" s="84"/>
      <c r="Q761" s="363"/>
    </row>
    <row r="762" customFormat="false" ht="12.75" hidden="false" customHeight="false" outlineLevel="0" collapsed="false">
      <c r="A762" s="362"/>
      <c r="B762" s="362"/>
      <c r="P762" s="84"/>
      <c r="Q762" s="363"/>
    </row>
    <row r="763" customFormat="false" ht="12.75" hidden="false" customHeight="false" outlineLevel="0" collapsed="false">
      <c r="A763" s="362"/>
      <c r="B763" s="362"/>
      <c r="P763" s="84"/>
      <c r="Q763" s="363"/>
    </row>
    <row r="764" customFormat="false" ht="12.75" hidden="false" customHeight="false" outlineLevel="0" collapsed="false">
      <c r="A764" s="362"/>
      <c r="B764" s="362"/>
      <c r="P764" s="84"/>
      <c r="Q764" s="363"/>
    </row>
    <row r="765" customFormat="false" ht="12.75" hidden="false" customHeight="false" outlineLevel="0" collapsed="false">
      <c r="A765" s="362"/>
      <c r="B765" s="362"/>
      <c r="P765" s="84"/>
      <c r="Q765" s="363"/>
    </row>
    <row r="766" customFormat="false" ht="12.75" hidden="false" customHeight="false" outlineLevel="0" collapsed="false">
      <c r="A766" s="362"/>
      <c r="B766" s="362"/>
      <c r="P766" s="84"/>
      <c r="Q766" s="363"/>
    </row>
    <row r="767" customFormat="false" ht="12.75" hidden="false" customHeight="false" outlineLevel="0" collapsed="false">
      <c r="A767" s="362"/>
      <c r="B767" s="362"/>
      <c r="P767" s="84"/>
      <c r="Q767" s="363"/>
    </row>
    <row r="768" customFormat="false" ht="12.75" hidden="false" customHeight="false" outlineLevel="0" collapsed="false">
      <c r="A768" s="362"/>
      <c r="B768" s="362"/>
      <c r="P768" s="84"/>
      <c r="Q768" s="363"/>
    </row>
    <row r="769" customFormat="false" ht="12.75" hidden="false" customHeight="false" outlineLevel="0" collapsed="false">
      <c r="A769" s="362"/>
      <c r="B769" s="362"/>
      <c r="P769" s="84"/>
      <c r="Q769" s="363"/>
    </row>
    <row r="770" customFormat="false" ht="12.75" hidden="false" customHeight="false" outlineLevel="0" collapsed="false">
      <c r="A770" s="362"/>
      <c r="B770" s="362"/>
      <c r="P770" s="84"/>
      <c r="Q770" s="363"/>
    </row>
    <row r="771" customFormat="false" ht="12.75" hidden="false" customHeight="false" outlineLevel="0" collapsed="false">
      <c r="A771" s="362"/>
      <c r="B771" s="362"/>
      <c r="P771" s="84"/>
      <c r="Q771" s="363"/>
    </row>
    <row r="772" customFormat="false" ht="12.75" hidden="false" customHeight="false" outlineLevel="0" collapsed="false">
      <c r="A772" s="362"/>
      <c r="B772" s="362"/>
      <c r="P772" s="84"/>
      <c r="Q772" s="363"/>
    </row>
    <row r="773" customFormat="false" ht="12.75" hidden="false" customHeight="false" outlineLevel="0" collapsed="false">
      <c r="A773" s="362"/>
      <c r="B773" s="362"/>
      <c r="P773" s="84"/>
      <c r="Q773" s="363"/>
    </row>
    <row r="774" customFormat="false" ht="12.75" hidden="false" customHeight="false" outlineLevel="0" collapsed="false">
      <c r="A774" s="362"/>
      <c r="B774" s="362"/>
      <c r="P774" s="84"/>
      <c r="Q774" s="363"/>
    </row>
    <row r="775" customFormat="false" ht="12.75" hidden="false" customHeight="false" outlineLevel="0" collapsed="false">
      <c r="A775" s="362"/>
      <c r="B775" s="362"/>
      <c r="P775" s="84"/>
      <c r="Q775" s="363"/>
    </row>
    <row r="776" customFormat="false" ht="12.75" hidden="false" customHeight="false" outlineLevel="0" collapsed="false">
      <c r="A776" s="362"/>
      <c r="B776" s="362"/>
      <c r="P776" s="84"/>
      <c r="Q776" s="363"/>
    </row>
    <row r="777" customFormat="false" ht="12.75" hidden="false" customHeight="false" outlineLevel="0" collapsed="false">
      <c r="A777" s="362"/>
      <c r="B777" s="362"/>
      <c r="P777" s="84"/>
      <c r="Q777" s="363"/>
    </row>
    <row r="778" customFormat="false" ht="12.75" hidden="false" customHeight="false" outlineLevel="0" collapsed="false">
      <c r="A778" s="362"/>
      <c r="B778" s="362"/>
      <c r="P778" s="84"/>
      <c r="Q778" s="363"/>
    </row>
    <row r="779" customFormat="false" ht="12.75" hidden="false" customHeight="false" outlineLevel="0" collapsed="false">
      <c r="A779" s="362"/>
      <c r="B779" s="362"/>
      <c r="P779" s="84"/>
      <c r="Q779" s="363"/>
    </row>
    <row r="780" customFormat="false" ht="12.75" hidden="false" customHeight="false" outlineLevel="0" collapsed="false">
      <c r="A780" s="362"/>
      <c r="B780" s="362"/>
      <c r="P780" s="84"/>
      <c r="Q780" s="363"/>
    </row>
    <row r="781" customFormat="false" ht="12.75" hidden="false" customHeight="false" outlineLevel="0" collapsed="false">
      <c r="A781" s="362"/>
      <c r="B781" s="362"/>
      <c r="P781" s="84"/>
      <c r="Q781" s="363"/>
    </row>
    <row r="782" customFormat="false" ht="12.75" hidden="false" customHeight="false" outlineLevel="0" collapsed="false">
      <c r="A782" s="362"/>
      <c r="B782" s="362"/>
      <c r="P782" s="84"/>
      <c r="Q782" s="363"/>
    </row>
    <row r="783" customFormat="false" ht="12.75" hidden="false" customHeight="false" outlineLevel="0" collapsed="false">
      <c r="A783" s="362"/>
      <c r="B783" s="362"/>
      <c r="P783" s="84"/>
      <c r="Q783" s="363"/>
    </row>
    <row r="784" customFormat="false" ht="12.75" hidden="false" customHeight="false" outlineLevel="0" collapsed="false">
      <c r="A784" s="362"/>
      <c r="B784" s="362"/>
      <c r="P784" s="84"/>
      <c r="Q784" s="363"/>
    </row>
    <row r="785" customFormat="false" ht="12.75" hidden="false" customHeight="false" outlineLevel="0" collapsed="false">
      <c r="A785" s="362"/>
      <c r="B785" s="362"/>
      <c r="P785" s="84"/>
      <c r="Q785" s="363"/>
    </row>
    <row r="786" customFormat="false" ht="12.75" hidden="false" customHeight="false" outlineLevel="0" collapsed="false">
      <c r="A786" s="362"/>
      <c r="B786" s="362"/>
      <c r="P786" s="84"/>
      <c r="Q786" s="363"/>
    </row>
    <row r="787" customFormat="false" ht="12.75" hidden="false" customHeight="false" outlineLevel="0" collapsed="false">
      <c r="A787" s="362"/>
      <c r="B787" s="362"/>
      <c r="P787" s="84"/>
      <c r="Q787" s="363"/>
    </row>
    <row r="788" customFormat="false" ht="12.75" hidden="false" customHeight="false" outlineLevel="0" collapsed="false">
      <c r="A788" s="362"/>
      <c r="B788" s="362"/>
      <c r="P788" s="84"/>
      <c r="Q788" s="363"/>
    </row>
    <row r="789" customFormat="false" ht="12.75" hidden="false" customHeight="false" outlineLevel="0" collapsed="false">
      <c r="A789" s="362"/>
      <c r="B789" s="362"/>
      <c r="P789" s="84"/>
      <c r="Q789" s="363"/>
    </row>
    <row r="790" customFormat="false" ht="12.75" hidden="false" customHeight="false" outlineLevel="0" collapsed="false">
      <c r="A790" s="362"/>
      <c r="B790" s="362"/>
      <c r="P790" s="84"/>
      <c r="Q790" s="363"/>
    </row>
    <row r="791" customFormat="false" ht="12.75" hidden="false" customHeight="false" outlineLevel="0" collapsed="false">
      <c r="A791" s="362"/>
      <c r="B791" s="362"/>
      <c r="P791" s="84"/>
      <c r="Q791" s="363"/>
    </row>
    <row r="792" customFormat="false" ht="12.75" hidden="false" customHeight="false" outlineLevel="0" collapsed="false">
      <c r="A792" s="362"/>
      <c r="B792" s="362"/>
      <c r="P792" s="84"/>
      <c r="Q792" s="363"/>
    </row>
    <row r="793" customFormat="false" ht="12.75" hidden="false" customHeight="false" outlineLevel="0" collapsed="false">
      <c r="A793" s="362"/>
      <c r="B793" s="362"/>
      <c r="P793" s="84"/>
      <c r="Q793" s="363"/>
    </row>
    <row r="794" customFormat="false" ht="12.75" hidden="false" customHeight="false" outlineLevel="0" collapsed="false">
      <c r="A794" s="362"/>
      <c r="B794" s="362"/>
      <c r="P794" s="84"/>
      <c r="Q794" s="363"/>
    </row>
    <row r="795" customFormat="false" ht="12.75" hidden="false" customHeight="false" outlineLevel="0" collapsed="false">
      <c r="A795" s="362"/>
      <c r="B795" s="362"/>
      <c r="P795" s="84"/>
      <c r="Q795" s="363"/>
    </row>
    <row r="796" customFormat="false" ht="12.75" hidden="false" customHeight="false" outlineLevel="0" collapsed="false">
      <c r="A796" s="362"/>
      <c r="B796" s="362"/>
      <c r="P796" s="84"/>
      <c r="Q796" s="363"/>
    </row>
    <row r="797" customFormat="false" ht="12.75" hidden="false" customHeight="false" outlineLevel="0" collapsed="false">
      <c r="A797" s="362"/>
      <c r="B797" s="362"/>
      <c r="P797" s="84"/>
      <c r="Q797" s="363"/>
    </row>
    <row r="798" customFormat="false" ht="12.75" hidden="false" customHeight="false" outlineLevel="0" collapsed="false">
      <c r="A798" s="362"/>
      <c r="B798" s="362"/>
      <c r="P798" s="84"/>
      <c r="Q798" s="363"/>
    </row>
    <row r="799" customFormat="false" ht="12.75" hidden="false" customHeight="false" outlineLevel="0" collapsed="false">
      <c r="A799" s="362"/>
      <c r="B799" s="362"/>
      <c r="P799" s="84"/>
      <c r="Q799" s="363"/>
    </row>
    <row r="800" customFormat="false" ht="12.75" hidden="false" customHeight="false" outlineLevel="0" collapsed="false">
      <c r="A800" s="362"/>
      <c r="B800" s="362"/>
      <c r="P800" s="84"/>
      <c r="Q800" s="363"/>
    </row>
    <row r="801" customFormat="false" ht="12.75" hidden="false" customHeight="false" outlineLevel="0" collapsed="false">
      <c r="A801" s="362"/>
      <c r="B801" s="362"/>
      <c r="P801" s="84"/>
      <c r="Q801" s="363"/>
    </row>
    <row r="802" customFormat="false" ht="12.75" hidden="false" customHeight="false" outlineLevel="0" collapsed="false">
      <c r="A802" s="362"/>
      <c r="B802" s="362"/>
      <c r="P802" s="84"/>
      <c r="Q802" s="363"/>
    </row>
    <row r="803" customFormat="false" ht="12.75" hidden="false" customHeight="false" outlineLevel="0" collapsed="false">
      <c r="A803" s="362"/>
      <c r="B803" s="362"/>
      <c r="P803" s="84"/>
      <c r="Q803" s="363"/>
    </row>
    <row r="804" customFormat="false" ht="12.75" hidden="false" customHeight="false" outlineLevel="0" collapsed="false">
      <c r="A804" s="362"/>
      <c r="B804" s="362"/>
      <c r="P804" s="84"/>
      <c r="Q804" s="363"/>
    </row>
    <row r="805" customFormat="false" ht="12.75" hidden="false" customHeight="false" outlineLevel="0" collapsed="false">
      <c r="A805" s="362"/>
      <c r="B805" s="362"/>
      <c r="P805" s="84"/>
      <c r="Q805" s="363"/>
    </row>
    <row r="806" customFormat="false" ht="12.75" hidden="false" customHeight="false" outlineLevel="0" collapsed="false">
      <c r="A806" s="362"/>
      <c r="B806" s="362"/>
      <c r="P806" s="84"/>
      <c r="Q806" s="363"/>
    </row>
    <row r="807" customFormat="false" ht="12.75" hidden="false" customHeight="false" outlineLevel="0" collapsed="false">
      <c r="A807" s="362"/>
      <c r="B807" s="362"/>
      <c r="P807" s="84"/>
      <c r="Q807" s="363"/>
    </row>
    <row r="808" customFormat="false" ht="12.75" hidden="false" customHeight="false" outlineLevel="0" collapsed="false">
      <c r="A808" s="362"/>
      <c r="B808" s="362"/>
      <c r="P808" s="84"/>
      <c r="Q808" s="363"/>
    </row>
    <row r="809" customFormat="false" ht="12.75" hidden="false" customHeight="false" outlineLevel="0" collapsed="false">
      <c r="A809" s="362"/>
      <c r="B809" s="362"/>
      <c r="P809" s="84"/>
      <c r="Q809" s="363"/>
    </row>
    <row r="810" customFormat="false" ht="12.75" hidden="false" customHeight="false" outlineLevel="0" collapsed="false">
      <c r="A810" s="362"/>
      <c r="B810" s="362"/>
      <c r="P810" s="84"/>
      <c r="Q810" s="363"/>
    </row>
    <row r="811" customFormat="false" ht="12.75" hidden="false" customHeight="false" outlineLevel="0" collapsed="false">
      <c r="A811" s="362"/>
      <c r="B811" s="362"/>
      <c r="P811" s="84"/>
      <c r="Q811" s="363"/>
    </row>
    <row r="812" customFormat="false" ht="12.75" hidden="false" customHeight="false" outlineLevel="0" collapsed="false">
      <c r="A812" s="362"/>
      <c r="B812" s="362"/>
      <c r="P812" s="84"/>
      <c r="Q812" s="363"/>
    </row>
    <row r="813" customFormat="false" ht="12.75" hidden="false" customHeight="false" outlineLevel="0" collapsed="false">
      <c r="A813" s="362"/>
      <c r="B813" s="362"/>
      <c r="P813" s="84"/>
      <c r="Q813" s="363"/>
    </row>
    <row r="814" customFormat="false" ht="12.75" hidden="false" customHeight="false" outlineLevel="0" collapsed="false">
      <c r="A814" s="362"/>
      <c r="B814" s="362"/>
      <c r="P814" s="84"/>
      <c r="Q814" s="363"/>
    </row>
    <row r="815" customFormat="false" ht="12.75" hidden="false" customHeight="false" outlineLevel="0" collapsed="false">
      <c r="A815" s="362"/>
      <c r="B815" s="362"/>
      <c r="P815" s="84"/>
      <c r="Q815" s="363"/>
    </row>
    <row r="816" customFormat="false" ht="12.75" hidden="false" customHeight="false" outlineLevel="0" collapsed="false">
      <c r="A816" s="362"/>
      <c r="B816" s="362"/>
      <c r="P816" s="84"/>
      <c r="Q816" s="363"/>
    </row>
    <row r="817" customFormat="false" ht="12.75" hidden="false" customHeight="false" outlineLevel="0" collapsed="false">
      <c r="A817" s="362"/>
      <c r="B817" s="362"/>
      <c r="P817" s="84"/>
      <c r="Q817" s="363"/>
    </row>
    <row r="818" customFormat="false" ht="12.75" hidden="false" customHeight="false" outlineLevel="0" collapsed="false">
      <c r="A818" s="362"/>
      <c r="B818" s="362"/>
      <c r="P818" s="84"/>
      <c r="Q818" s="363"/>
    </row>
    <row r="819" customFormat="false" ht="12.75" hidden="false" customHeight="false" outlineLevel="0" collapsed="false">
      <c r="A819" s="362"/>
      <c r="B819" s="362"/>
      <c r="P819" s="84"/>
      <c r="Q819" s="363"/>
    </row>
    <row r="820" customFormat="false" ht="12.75" hidden="false" customHeight="false" outlineLevel="0" collapsed="false">
      <c r="A820" s="362"/>
      <c r="B820" s="362"/>
      <c r="P820" s="84"/>
      <c r="Q820" s="363"/>
    </row>
    <row r="821" customFormat="false" ht="12.75" hidden="false" customHeight="false" outlineLevel="0" collapsed="false">
      <c r="A821" s="362"/>
      <c r="B821" s="362"/>
      <c r="P821" s="84"/>
      <c r="Q821" s="363"/>
    </row>
    <row r="822" customFormat="false" ht="12.75" hidden="false" customHeight="false" outlineLevel="0" collapsed="false">
      <c r="A822" s="362"/>
      <c r="B822" s="362"/>
      <c r="P822" s="84"/>
      <c r="Q822" s="363"/>
    </row>
    <row r="823" customFormat="false" ht="12.75" hidden="false" customHeight="false" outlineLevel="0" collapsed="false">
      <c r="A823" s="362"/>
      <c r="B823" s="362"/>
      <c r="P823" s="84"/>
      <c r="Q823" s="363"/>
    </row>
    <row r="824" customFormat="false" ht="12.75" hidden="false" customHeight="false" outlineLevel="0" collapsed="false">
      <c r="A824" s="362"/>
      <c r="B824" s="362"/>
      <c r="P824" s="84"/>
      <c r="Q824" s="363"/>
    </row>
    <row r="825" customFormat="false" ht="12.75" hidden="false" customHeight="false" outlineLevel="0" collapsed="false">
      <c r="A825" s="362"/>
      <c r="B825" s="362"/>
      <c r="P825" s="84"/>
      <c r="Q825" s="363"/>
    </row>
    <row r="826" customFormat="false" ht="12.75" hidden="false" customHeight="false" outlineLevel="0" collapsed="false">
      <c r="A826" s="362"/>
      <c r="B826" s="362"/>
      <c r="P826" s="84"/>
      <c r="Q826" s="363"/>
    </row>
    <row r="827" customFormat="false" ht="12.75" hidden="false" customHeight="false" outlineLevel="0" collapsed="false">
      <c r="A827" s="362"/>
      <c r="B827" s="362"/>
      <c r="P827" s="84"/>
      <c r="Q827" s="363"/>
    </row>
    <row r="828" customFormat="false" ht="12.75" hidden="false" customHeight="false" outlineLevel="0" collapsed="false">
      <c r="A828" s="362"/>
      <c r="B828" s="362"/>
      <c r="P828" s="84"/>
      <c r="Q828" s="363"/>
    </row>
    <row r="829" customFormat="false" ht="12.75" hidden="false" customHeight="false" outlineLevel="0" collapsed="false">
      <c r="A829" s="362"/>
      <c r="B829" s="362"/>
      <c r="P829" s="84"/>
      <c r="Q829" s="363"/>
    </row>
    <row r="830" customFormat="false" ht="12.75" hidden="false" customHeight="false" outlineLevel="0" collapsed="false">
      <c r="A830" s="362"/>
      <c r="B830" s="362"/>
      <c r="P830" s="84"/>
      <c r="Q830" s="363"/>
    </row>
    <row r="831" customFormat="false" ht="12.75" hidden="false" customHeight="false" outlineLevel="0" collapsed="false">
      <c r="A831" s="362"/>
      <c r="B831" s="362"/>
      <c r="P831" s="84"/>
      <c r="Q831" s="363"/>
    </row>
    <row r="832" customFormat="false" ht="12.75" hidden="false" customHeight="false" outlineLevel="0" collapsed="false">
      <c r="A832" s="362"/>
      <c r="B832" s="362"/>
      <c r="P832" s="84"/>
      <c r="Q832" s="363"/>
    </row>
    <row r="833" customFormat="false" ht="12.75" hidden="false" customHeight="false" outlineLevel="0" collapsed="false">
      <c r="A833" s="362"/>
      <c r="B833" s="362"/>
      <c r="P833" s="84"/>
      <c r="Q833" s="363"/>
    </row>
    <row r="834" customFormat="false" ht="12.75" hidden="false" customHeight="false" outlineLevel="0" collapsed="false">
      <c r="A834" s="362"/>
      <c r="B834" s="362"/>
      <c r="P834" s="84"/>
      <c r="Q834" s="363"/>
    </row>
    <row r="835" customFormat="false" ht="12.75" hidden="false" customHeight="false" outlineLevel="0" collapsed="false">
      <c r="A835" s="362"/>
      <c r="B835" s="362"/>
      <c r="P835" s="84"/>
      <c r="Q835" s="363"/>
    </row>
    <row r="836" customFormat="false" ht="12.75" hidden="false" customHeight="false" outlineLevel="0" collapsed="false">
      <c r="A836" s="362"/>
      <c r="B836" s="362"/>
      <c r="P836" s="84"/>
      <c r="Q836" s="363"/>
    </row>
    <row r="837" customFormat="false" ht="12.75" hidden="false" customHeight="false" outlineLevel="0" collapsed="false">
      <c r="A837" s="362"/>
      <c r="B837" s="362"/>
      <c r="P837" s="84"/>
      <c r="Q837" s="363"/>
    </row>
    <row r="838" customFormat="false" ht="12.75" hidden="false" customHeight="false" outlineLevel="0" collapsed="false">
      <c r="A838" s="362"/>
      <c r="B838" s="362"/>
      <c r="P838" s="84"/>
      <c r="Q838" s="363"/>
    </row>
    <row r="839" customFormat="false" ht="12.75" hidden="false" customHeight="false" outlineLevel="0" collapsed="false">
      <c r="A839" s="362"/>
      <c r="B839" s="362"/>
      <c r="P839" s="84"/>
      <c r="Q839" s="363"/>
    </row>
    <row r="840" customFormat="false" ht="12.75" hidden="false" customHeight="false" outlineLevel="0" collapsed="false">
      <c r="A840" s="362"/>
      <c r="B840" s="362"/>
      <c r="P840" s="84"/>
      <c r="Q840" s="363"/>
    </row>
    <row r="841" customFormat="false" ht="12.75" hidden="false" customHeight="false" outlineLevel="0" collapsed="false">
      <c r="A841" s="362"/>
      <c r="B841" s="362"/>
      <c r="P841" s="84"/>
      <c r="Q841" s="363"/>
    </row>
    <row r="842" customFormat="false" ht="12.75" hidden="false" customHeight="false" outlineLevel="0" collapsed="false">
      <c r="A842" s="362"/>
      <c r="B842" s="362"/>
      <c r="P842" s="84"/>
      <c r="Q842" s="363"/>
    </row>
    <row r="843" customFormat="false" ht="12.75" hidden="false" customHeight="false" outlineLevel="0" collapsed="false">
      <c r="A843" s="362"/>
      <c r="B843" s="362"/>
      <c r="P843" s="84"/>
      <c r="Q843" s="363"/>
    </row>
    <row r="844" customFormat="false" ht="12.75" hidden="false" customHeight="false" outlineLevel="0" collapsed="false">
      <c r="A844" s="362"/>
      <c r="B844" s="362"/>
      <c r="P844" s="84"/>
      <c r="Q844" s="363"/>
    </row>
    <row r="845" customFormat="false" ht="12.75" hidden="false" customHeight="false" outlineLevel="0" collapsed="false">
      <c r="A845" s="362"/>
      <c r="B845" s="362"/>
      <c r="P845" s="84"/>
      <c r="Q845" s="363"/>
    </row>
    <row r="846" customFormat="false" ht="12.75" hidden="false" customHeight="false" outlineLevel="0" collapsed="false">
      <c r="A846" s="362"/>
      <c r="B846" s="362"/>
      <c r="P846" s="84"/>
      <c r="Q846" s="363"/>
    </row>
    <row r="847" customFormat="false" ht="12.75" hidden="false" customHeight="false" outlineLevel="0" collapsed="false">
      <c r="A847" s="362"/>
      <c r="B847" s="362"/>
      <c r="P847" s="84"/>
      <c r="Q847" s="363"/>
    </row>
    <row r="848" customFormat="false" ht="12.75" hidden="false" customHeight="false" outlineLevel="0" collapsed="false">
      <c r="A848" s="362"/>
      <c r="B848" s="362"/>
      <c r="P848" s="84"/>
      <c r="Q848" s="363"/>
    </row>
    <row r="849" customFormat="false" ht="12.75" hidden="false" customHeight="false" outlineLevel="0" collapsed="false">
      <c r="A849" s="362"/>
      <c r="B849" s="362"/>
      <c r="P849" s="84"/>
      <c r="Q849" s="363"/>
    </row>
    <row r="850" customFormat="false" ht="12.75" hidden="false" customHeight="false" outlineLevel="0" collapsed="false">
      <c r="A850" s="362"/>
      <c r="B850" s="362"/>
      <c r="P850" s="84"/>
      <c r="Q850" s="363"/>
    </row>
    <row r="851" customFormat="false" ht="12.75" hidden="false" customHeight="false" outlineLevel="0" collapsed="false">
      <c r="A851" s="362"/>
      <c r="B851" s="362"/>
      <c r="P851" s="84"/>
      <c r="Q851" s="363"/>
    </row>
    <row r="852" customFormat="false" ht="12.75" hidden="false" customHeight="false" outlineLevel="0" collapsed="false">
      <c r="A852" s="362"/>
      <c r="B852" s="362"/>
      <c r="P852" s="84"/>
      <c r="Q852" s="363"/>
    </row>
    <row r="853" customFormat="false" ht="12.75" hidden="false" customHeight="false" outlineLevel="0" collapsed="false">
      <c r="A853" s="362"/>
      <c r="B853" s="362"/>
      <c r="P853" s="84"/>
      <c r="Q853" s="363"/>
    </row>
    <row r="854" customFormat="false" ht="12.75" hidden="false" customHeight="false" outlineLevel="0" collapsed="false">
      <c r="A854" s="362"/>
      <c r="B854" s="362"/>
      <c r="P854" s="84"/>
      <c r="Q854" s="363"/>
    </row>
    <row r="855" customFormat="false" ht="12.75" hidden="false" customHeight="false" outlineLevel="0" collapsed="false">
      <c r="A855" s="362"/>
      <c r="B855" s="362"/>
      <c r="P855" s="84"/>
      <c r="Q855" s="363"/>
    </row>
    <row r="856" customFormat="false" ht="12.75" hidden="false" customHeight="false" outlineLevel="0" collapsed="false">
      <c r="A856" s="362"/>
      <c r="B856" s="362"/>
      <c r="P856" s="84"/>
      <c r="Q856" s="363"/>
    </row>
    <row r="857" customFormat="false" ht="12.75" hidden="false" customHeight="false" outlineLevel="0" collapsed="false">
      <c r="A857" s="362"/>
      <c r="B857" s="362"/>
      <c r="P857" s="84"/>
      <c r="Q857" s="363"/>
    </row>
    <row r="858" customFormat="false" ht="12.75" hidden="false" customHeight="false" outlineLevel="0" collapsed="false">
      <c r="A858" s="362"/>
      <c r="B858" s="362"/>
      <c r="P858" s="84"/>
      <c r="Q858" s="363"/>
    </row>
    <row r="859" customFormat="false" ht="12.75" hidden="false" customHeight="false" outlineLevel="0" collapsed="false">
      <c r="A859" s="362"/>
      <c r="B859" s="362"/>
      <c r="P859" s="84"/>
      <c r="Q859" s="363"/>
    </row>
    <row r="860" customFormat="false" ht="12.75" hidden="false" customHeight="false" outlineLevel="0" collapsed="false">
      <c r="A860" s="362"/>
      <c r="B860" s="362"/>
      <c r="P860" s="84"/>
      <c r="Q860" s="363"/>
    </row>
    <row r="861" customFormat="false" ht="12.75" hidden="false" customHeight="false" outlineLevel="0" collapsed="false">
      <c r="A861" s="362"/>
      <c r="B861" s="362"/>
      <c r="P861" s="84"/>
      <c r="Q861" s="363"/>
    </row>
    <row r="862" customFormat="false" ht="12.75" hidden="false" customHeight="false" outlineLevel="0" collapsed="false">
      <c r="A862" s="362"/>
      <c r="B862" s="362"/>
      <c r="P862" s="84"/>
      <c r="Q862" s="363"/>
    </row>
    <row r="863" customFormat="false" ht="12.75" hidden="false" customHeight="false" outlineLevel="0" collapsed="false">
      <c r="A863" s="362"/>
      <c r="B863" s="362"/>
      <c r="P863" s="84"/>
      <c r="Q863" s="363"/>
    </row>
    <row r="864" customFormat="false" ht="12.75" hidden="false" customHeight="false" outlineLevel="0" collapsed="false">
      <c r="A864" s="362"/>
      <c r="B864" s="362"/>
      <c r="P864" s="84"/>
      <c r="Q864" s="363"/>
    </row>
    <row r="865" customFormat="false" ht="12.75" hidden="false" customHeight="false" outlineLevel="0" collapsed="false">
      <c r="A865" s="362"/>
      <c r="B865" s="362"/>
      <c r="P865" s="84"/>
      <c r="Q865" s="363"/>
    </row>
    <row r="866" customFormat="false" ht="12.75" hidden="false" customHeight="false" outlineLevel="0" collapsed="false">
      <c r="A866" s="362"/>
      <c r="B866" s="362"/>
      <c r="P866" s="84"/>
      <c r="Q866" s="363"/>
    </row>
    <row r="867" customFormat="false" ht="12.75" hidden="false" customHeight="false" outlineLevel="0" collapsed="false">
      <c r="A867" s="362"/>
      <c r="B867" s="362"/>
      <c r="P867" s="84"/>
      <c r="Q867" s="363"/>
    </row>
    <row r="868" customFormat="false" ht="12.75" hidden="false" customHeight="false" outlineLevel="0" collapsed="false">
      <c r="A868" s="362"/>
      <c r="B868" s="362"/>
      <c r="P868" s="84"/>
      <c r="Q868" s="363"/>
    </row>
    <row r="869" customFormat="false" ht="12.75" hidden="false" customHeight="false" outlineLevel="0" collapsed="false">
      <c r="A869" s="362"/>
      <c r="B869" s="362"/>
      <c r="P869" s="84"/>
      <c r="Q869" s="363"/>
    </row>
    <row r="870" customFormat="false" ht="12.75" hidden="false" customHeight="false" outlineLevel="0" collapsed="false">
      <c r="A870" s="362"/>
      <c r="B870" s="362"/>
      <c r="P870" s="84"/>
      <c r="Q870" s="363"/>
    </row>
    <row r="871" customFormat="false" ht="12.75" hidden="false" customHeight="false" outlineLevel="0" collapsed="false">
      <c r="A871" s="362"/>
      <c r="B871" s="362"/>
      <c r="P871" s="84"/>
      <c r="Q871" s="363"/>
    </row>
    <row r="872" customFormat="false" ht="12.75" hidden="false" customHeight="false" outlineLevel="0" collapsed="false">
      <c r="A872" s="362"/>
      <c r="B872" s="362"/>
      <c r="P872" s="84"/>
      <c r="Q872" s="363"/>
    </row>
    <row r="873" customFormat="false" ht="12.75" hidden="false" customHeight="false" outlineLevel="0" collapsed="false">
      <c r="A873" s="362"/>
      <c r="B873" s="362"/>
      <c r="P873" s="84"/>
      <c r="Q873" s="363"/>
    </row>
    <row r="874" customFormat="false" ht="12.75" hidden="false" customHeight="false" outlineLevel="0" collapsed="false">
      <c r="A874" s="362"/>
      <c r="B874" s="362"/>
      <c r="P874" s="84"/>
      <c r="Q874" s="363"/>
    </row>
    <row r="875" customFormat="false" ht="12.75" hidden="false" customHeight="false" outlineLevel="0" collapsed="false">
      <c r="A875" s="362"/>
      <c r="B875" s="362"/>
      <c r="P875" s="84"/>
      <c r="Q875" s="363"/>
    </row>
    <row r="876" customFormat="false" ht="12.75" hidden="false" customHeight="false" outlineLevel="0" collapsed="false">
      <c r="A876" s="362"/>
      <c r="B876" s="362"/>
      <c r="P876" s="84"/>
      <c r="Q876" s="363"/>
    </row>
    <row r="877" customFormat="false" ht="12.75" hidden="false" customHeight="false" outlineLevel="0" collapsed="false">
      <c r="A877" s="362"/>
      <c r="B877" s="362"/>
      <c r="P877" s="84"/>
      <c r="Q877" s="363"/>
    </row>
    <row r="878" customFormat="false" ht="12.75" hidden="false" customHeight="false" outlineLevel="0" collapsed="false">
      <c r="A878" s="362"/>
      <c r="B878" s="362"/>
      <c r="P878" s="84"/>
      <c r="Q878" s="363"/>
    </row>
    <row r="879" customFormat="false" ht="12.75" hidden="false" customHeight="false" outlineLevel="0" collapsed="false">
      <c r="A879" s="362"/>
      <c r="B879" s="362"/>
      <c r="P879" s="84"/>
      <c r="Q879" s="363"/>
    </row>
    <row r="880" customFormat="false" ht="12.75" hidden="false" customHeight="false" outlineLevel="0" collapsed="false">
      <c r="A880" s="362"/>
      <c r="B880" s="362"/>
      <c r="P880" s="84"/>
      <c r="Q880" s="363"/>
    </row>
    <row r="881" customFormat="false" ht="12.75" hidden="false" customHeight="false" outlineLevel="0" collapsed="false">
      <c r="A881" s="362"/>
      <c r="B881" s="362"/>
      <c r="P881" s="84"/>
      <c r="Q881" s="363"/>
    </row>
    <row r="882" customFormat="false" ht="12.75" hidden="false" customHeight="false" outlineLevel="0" collapsed="false">
      <c r="A882" s="362"/>
      <c r="B882" s="362"/>
      <c r="P882" s="84"/>
      <c r="Q882" s="363"/>
    </row>
    <row r="883" customFormat="false" ht="12.75" hidden="false" customHeight="false" outlineLevel="0" collapsed="false">
      <c r="A883" s="362"/>
      <c r="B883" s="362"/>
      <c r="P883" s="84"/>
      <c r="Q883" s="363"/>
    </row>
    <row r="884" customFormat="false" ht="12.75" hidden="false" customHeight="false" outlineLevel="0" collapsed="false">
      <c r="A884" s="362"/>
      <c r="B884" s="362"/>
      <c r="P884" s="84"/>
      <c r="Q884" s="363"/>
    </row>
    <row r="885" customFormat="false" ht="12.75" hidden="false" customHeight="false" outlineLevel="0" collapsed="false">
      <c r="A885" s="362"/>
      <c r="B885" s="362"/>
      <c r="P885" s="84"/>
      <c r="Q885" s="363"/>
    </row>
    <row r="886" customFormat="false" ht="12.75" hidden="false" customHeight="false" outlineLevel="0" collapsed="false">
      <c r="A886" s="362"/>
      <c r="B886" s="362"/>
      <c r="P886" s="84"/>
      <c r="Q886" s="363"/>
    </row>
    <row r="887" customFormat="false" ht="12.75" hidden="false" customHeight="false" outlineLevel="0" collapsed="false">
      <c r="A887" s="362"/>
      <c r="B887" s="362"/>
      <c r="P887" s="84"/>
      <c r="Q887" s="363"/>
    </row>
    <row r="888" customFormat="false" ht="12.75" hidden="false" customHeight="false" outlineLevel="0" collapsed="false">
      <c r="A888" s="362"/>
      <c r="B888" s="362"/>
      <c r="P888" s="84"/>
      <c r="Q888" s="363"/>
    </row>
    <row r="889" customFormat="false" ht="12.75" hidden="false" customHeight="false" outlineLevel="0" collapsed="false">
      <c r="A889" s="362"/>
      <c r="B889" s="362"/>
      <c r="P889" s="84"/>
      <c r="Q889" s="363"/>
    </row>
    <row r="890" customFormat="false" ht="12.75" hidden="false" customHeight="false" outlineLevel="0" collapsed="false">
      <c r="A890" s="362"/>
      <c r="B890" s="362"/>
      <c r="P890" s="84"/>
      <c r="Q890" s="363"/>
    </row>
    <row r="891" customFormat="false" ht="12.75" hidden="false" customHeight="false" outlineLevel="0" collapsed="false">
      <c r="A891" s="362"/>
      <c r="B891" s="362"/>
      <c r="P891" s="84"/>
      <c r="Q891" s="363"/>
    </row>
    <row r="892" customFormat="false" ht="12.75" hidden="false" customHeight="false" outlineLevel="0" collapsed="false">
      <c r="A892" s="362"/>
      <c r="B892" s="362"/>
      <c r="P892" s="84"/>
      <c r="Q892" s="363"/>
    </row>
    <row r="893" customFormat="false" ht="12.75" hidden="false" customHeight="false" outlineLevel="0" collapsed="false">
      <c r="A893" s="362"/>
      <c r="B893" s="362"/>
      <c r="P893" s="84"/>
      <c r="Q893" s="363"/>
    </row>
    <row r="894" customFormat="false" ht="12.75" hidden="false" customHeight="false" outlineLevel="0" collapsed="false">
      <c r="A894" s="362"/>
      <c r="B894" s="362"/>
      <c r="P894" s="84"/>
      <c r="Q894" s="363"/>
    </row>
    <row r="895" customFormat="false" ht="12.75" hidden="false" customHeight="false" outlineLevel="0" collapsed="false">
      <c r="A895" s="362"/>
      <c r="B895" s="362"/>
      <c r="P895" s="84"/>
      <c r="Q895" s="363"/>
    </row>
    <row r="896" customFormat="false" ht="12.75" hidden="false" customHeight="false" outlineLevel="0" collapsed="false">
      <c r="A896" s="362"/>
      <c r="B896" s="362"/>
      <c r="P896" s="84"/>
      <c r="Q896" s="363"/>
    </row>
    <row r="897" customFormat="false" ht="12.75" hidden="false" customHeight="false" outlineLevel="0" collapsed="false">
      <c r="A897" s="362"/>
      <c r="B897" s="362"/>
      <c r="P897" s="84"/>
      <c r="Q897" s="363"/>
    </row>
    <row r="898" customFormat="false" ht="12.75" hidden="false" customHeight="false" outlineLevel="0" collapsed="false">
      <c r="A898" s="362"/>
      <c r="B898" s="362"/>
      <c r="P898" s="84"/>
      <c r="Q898" s="363"/>
    </row>
    <row r="899" customFormat="false" ht="12.75" hidden="false" customHeight="false" outlineLevel="0" collapsed="false">
      <c r="A899" s="362"/>
      <c r="B899" s="362"/>
      <c r="P899" s="84"/>
      <c r="Q899" s="363"/>
    </row>
    <row r="900" customFormat="false" ht="12.75" hidden="false" customHeight="false" outlineLevel="0" collapsed="false">
      <c r="A900" s="362"/>
      <c r="B900" s="362"/>
      <c r="P900" s="84"/>
      <c r="Q900" s="363"/>
    </row>
    <row r="901" customFormat="false" ht="12.75" hidden="false" customHeight="false" outlineLevel="0" collapsed="false">
      <c r="A901" s="362"/>
      <c r="B901" s="362"/>
      <c r="P901" s="84"/>
      <c r="Q901" s="363"/>
    </row>
    <row r="902" customFormat="false" ht="12.75" hidden="false" customHeight="false" outlineLevel="0" collapsed="false">
      <c r="A902" s="362"/>
      <c r="B902" s="362"/>
      <c r="P902" s="84"/>
      <c r="Q902" s="363"/>
    </row>
    <row r="903" customFormat="false" ht="12.75" hidden="false" customHeight="false" outlineLevel="0" collapsed="false">
      <c r="A903" s="362"/>
      <c r="B903" s="362"/>
      <c r="P903" s="84"/>
      <c r="Q903" s="363"/>
    </row>
    <row r="904" customFormat="false" ht="12.75" hidden="false" customHeight="false" outlineLevel="0" collapsed="false">
      <c r="A904" s="362"/>
      <c r="B904" s="362"/>
      <c r="P904" s="84"/>
      <c r="Q904" s="363"/>
    </row>
    <row r="905" customFormat="false" ht="12.75" hidden="false" customHeight="false" outlineLevel="0" collapsed="false">
      <c r="A905" s="362"/>
      <c r="B905" s="362"/>
      <c r="P905" s="84"/>
      <c r="Q905" s="363"/>
    </row>
    <row r="906" customFormat="false" ht="12.75" hidden="false" customHeight="false" outlineLevel="0" collapsed="false">
      <c r="A906" s="362"/>
      <c r="B906" s="362"/>
      <c r="P906" s="84"/>
      <c r="Q906" s="363"/>
    </row>
    <row r="907" customFormat="false" ht="12.75" hidden="false" customHeight="false" outlineLevel="0" collapsed="false">
      <c r="A907" s="362"/>
      <c r="B907" s="362"/>
      <c r="P907" s="84"/>
      <c r="Q907" s="363"/>
    </row>
    <row r="908" customFormat="false" ht="12.75" hidden="false" customHeight="false" outlineLevel="0" collapsed="false">
      <c r="A908" s="362"/>
      <c r="B908" s="362"/>
      <c r="P908" s="84"/>
      <c r="Q908" s="363"/>
    </row>
    <row r="909" customFormat="false" ht="12.75" hidden="false" customHeight="false" outlineLevel="0" collapsed="false">
      <c r="A909" s="362"/>
      <c r="B909" s="362"/>
      <c r="P909" s="84"/>
      <c r="Q909" s="363"/>
    </row>
    <row r="910" customFormat="false" ht="12.75" hidden="false" customHeight="false" outlineLevel="0" collapsed="false">
      <c r="A910" s="362"/>
      <c r="B910" s="362"/>
      <c r="P910" s="84"/>
      <c r="Q910" s="363"/>
    </row>
    <row r="911" customFormat="false" ht="12.75" hidden="false" customHeight="false" outlineLevel="0" collapsed="false">
      <c r="A911" s="362"/>
      <c r="B911" s="362"/>
      <c r="P911" s="84"/>
      <c r="Q911" s="363"/>
    </row>
    <row r="912" customFormat="false" ht="12.75" hidden="false" customHeight="false" outlineLevel="0" collapsed="false">
      <c r="A912" s="362"/>
      <c r="B912" s="362"/>
      <c r="P912" s="84"/>
      <c r="Q912" s="363"/>
    </row>
    <row r="913" customFormat="false" ht="12.75" hidden="false" customHeight="false" outlineLevel="0" collapsed="false">
      <c r="A913" s="362"/>
      <c r="B913" s="362"/>
      <c r="P913" s="84"/>
      <c r="Q913" s="363"/>
    </row>
    <row r="914" customFormat="false" ht="12.75" hidden="false" customHeight="false" outlineLevel="0" collapsed="false">
      <c r="A914" s="362"/>
      <c r="B914" s="362"/>
      <c r="P914" s="84"/>
      <c r="Q914" s="363"/>
    </row>
    <row r="915" customFormat="false" ht="12.75" hidden="false" customHeight="false" outlineLevel="0" collapsed="false">
      <c r="A915" s="362"/>
      <c r="B915" s="362"/>
      <c r="P915" s="84"/>
      <c r="Q915" s="363"/>
    </row>
    <row r="916" customFormat="false" ht="12.75" hidden="false" customHeight="false" outlineLevel="0" collapsed="false">
      <c r="A916" s="362"/>
      <c r="B916" s="362"/>
      <c r="P916" s="84"/>
      <c r="Q916" s="363"/>
    </row>
    <row r="917" customFormat="false" ht="12.75" hidden="false" customHeight="false" outlineLevel="0" collapsed="false">
      <c r="A917" s="362"/>
      <c r="B917" s="362"/>
      <c r="P917" s="84"/>
      <c r="Q917" s="363"/>
    </row>
    <row r="918" customFormat="false" ht="12.75" hidden="false" customHeight="false" outlineLevel="0" collapsed="false">
      <c r="A918" s="362"/>
      <c r="B918" s="362"/>
      <c r="P918" s="84"/>
      <c r="Q918" s="363"/>
    </row>
    <row r="919" customFormat="false" ht="12.75" hidden="false" customHeight="false" outlineLevel="0" collapsed="false">
      <c r="A919" s="362"/>
      <c r="B919" s="362"/>
      <c r="P919" s="84"/>
      <c r="Q919" s="363"/>
    </row>
    <row r="920" customFormat="false" ht="12.75" hidden="false" customHeight="false" outlineLevel="0" collapsed="false">
      <c r="A920" s="362"/>
      <c r="B920" s="362"/>
      <c r="P920" s="84"/>
      <c r="Q920" s="363"/>
    </row>
    <row r="921" customFormat="false" ht="12.75" hidden="false" customHeight="false" outlineLevel="0" collapsed="false">
      <c r="A921" s="362"/>
      <c r="B921" s="362"/>
      <c r="P921" s="84"/>
      <c r="Q921" s="363"/>
    </row>
    <row r="922" customFormat="false" ht="12.75" hidden="false" customHeight="false" outlineLevel="0" collapsed="false">
      <c r="A922" s="362"/>
      <c r="B922" s="362"/>
      <c r="P922" s="84"/>
      <c r="Q922" s="363"/>
    </row>
    <row r="923" customFormat="false" ht="12.75" hidden="false" customHeight="false" outlineLevel="0" collapsed="false">
      <c r="A923" s="362"/>
      <c r="B923" s="362"/>
      <c r="P923" s="84"/>
      <c r="Q923" s="363"/>
    </row>
    <row r="924" customFormat="false" ht="12.75" hidden="false" customHeight="false" outlineLevel="0" collapsed="false">
      <c r="A924" s="362"/>
      <c r="B924" s="362"/>
      <c r="P924" s="84"/>
      <c r="Q924" s="363"/>
    </row>
    <row r="925" customFormat="false" ht="12.75" hidden="false" customHeight="false" outlineLevel="0" collapsed="false">
      <c r="A925" s="362"/>
      <c r="B925" s="362"/>
      <c r="P925" s="84"/>
      <c r="Q925" s="363"/>
    </row>
    <row r="926" customFormat="false" ht="12.75" hidden="false" customHeight="false" outlineLevel="0" collapsed="false">
      <c r="A926" s="362"/>
      <c r="B926" s="362"/>
      <c r="P926" s="84"/>
      <c r="Q926" s="363"/>
    </row>
    <row r="927" customFormat="false" ht="12.75" hidden="false" customHeight="false" outlineLevel="0" collapsed="false">
      <c r="A927" s="362"/>
      <c r="B927" s="362"/>
      <c r="P927" s="84"/>
      <c r="Q927" s="363"/>
    </row>
    <row r="928" customFormat="false" ht="12.75" hidden="false" customHeight="false" outlineLevel="0" collapsed="false">
      <c r="A928" s="362"/>
      <c r="B928" s="362"/>
      <c r="P928" s="84"/>
      <c r="Q928" s="363"/>
    </row>
    <row r="929" customFormat="false" ht="12.75" hidden="false" customHeight="false" outlineLevel="0" collapsed="false">
      <c r="A929" s="362"/>
      <c r="B929" s="362"/>
      <c r="P929" s="84"/>
      <c r="Q929" s="363"/>
    </row>
    <row r="930" customFormat="false" ht="12.75" hidden="false" customHeight="false" outlineLevel="0" collapsed="false">
      <c r="A930" s="362"/>
      <c r="B930" s="362"/>
      <c r="P930" s="84"/>
      <c r="Q930" s="363"/>
    </row>
    <row r="931" customFormat="false" ht="12.75" hidden="false" customHeight="false" outlineLevel="0" collapsed="false">
      <c r="A931" s="362"/>
      <c r="B931" s="362"/>
      <c r="P931" s="84"/>
      <c r="Q931" s="363"/>
    </row>
    <row r="932" customFormat="false" ht="12.75" hidden="false" customHeight="false" outlineLevel="0" collapsed="false">
      <c r="A932" s="362"/>
      <c r="B932" s="362"/>
      <c r="P932" s="84"/>
      <c r="Q932" s="363"/>
    </row>
    <row r="933" customFormat="false" ht="12.75" hidden="false" customHeight="false" outlineLevel="0" collapsed="false">
      <c r="A933" s="362"/>
      <c r="B933" s="362"/>
      <c r="P933" s="84"/>
      <c r="Q933" s="363"/>
    </row>
    <row r="934" customFormat="false" ht="12.75" hidden="false" customHeight="false" outlineLevel="0" collapsed="false">
      <c r="A934" s="362"/>
      <c r="B934" s="362"/>
      <c r="P934" s="84"/>
      <c r="Q934" s="363"/>
    </row>
    <row r="935" customFormat="false" ht="12.75" hidden="false" customHeight="false" outlineLevel="0" collapsed="false">
      <c r="A935" s="362"/>
      <c r="B935" s="362"/>
      <c r="P935" s="84"/>
      <c r="Q935" s="363"/>
    </row>
    <row r="936" customFormat="false" ht="12.75" hidden="false" customHeight="false" outlineLevel="0" collapsed="false">
      <c r="A936" s="362"/>
      <c r="B936" s="362"/>
      <c r="P936" s="84"/>
      <c r="Q936" s="363"/>
    </row>
    <row r="937" customFormat="false" ht="12.75" hidden="false" customHeight="false" outlineLevel="0" collapsed="false">
      <c r="A937" s="362"/>
      <c r="B937" s="362"/>
      <c r="P937" s="84"/>
      <c r="Q937" s="363"/>
    </row>
    <row r="938" customFormat="false" ht="12.75" hidden="false" customHeight="false" outlineLevel="0" collapsed="false">
      <c r="A938" s="362"/>
      <c r="B938" s="362"/>
      <c r="P938" s="84"/>
      <c r="Q938" s="363"/>
    </row>
    <row r="939" customFormat="false" ht="12.75" hidden="false" customHeight="false" outlineLevel="0" collapsed="false">
      <c r="A939" s="362"/>
      <c r="B939" s="362"/>
      <c r="P939" s="84"/>
      <c r="Q939" s="363"/>
    </row>
    <row r="940" customFormat="false" ht="12.75" hidden="false" customHeight="false" outlineLevel="0" collapsed="false">
      <c r="A940" s="362"/>
      <c r="B940" s="362"/>
      <c r="P940" s="84"/>
      <c r="Q940" s="363"/>
    </row>
    <row r="941" customFormat="false" ht="12.75" hidden="false" customHeight="false" outlineLevel="0" collapsed="false">
      <c r="A941" s="362"/>
      <c r="B941" s="362"/>
      <c r="P941" s="84"/>
      <c r="Q941" s="363"/>
    </row>
    <row r="942" customFormat="false" ht="12.75" hidden="false" customHeight="false" outlineLevel="0" collapsed="false">
      <c r="A942" s="362"/>
      <c r="B942" s="362"/>
      <c r="P942" s="84"/>
      <c r="Q942" s="363"/>
    </row>
    <row r="943" customFormat="false" ht="12.75" hidden="false" customHeight="false" outlineLevel="0" collapsed="false">
      <c r="A943" s="362"/>
      <c r="B943" s="362"/>
      <c r="P943" s="84"/>
      <c r="Q943" s="363"/>
    </row>
    <row r="944" customFormat="false" ht="12.75" hidden="false" customHeight="false" outlineLevel="0" collapsed="false">
      <c r="A944" s="362"/>
      <c r="B944" s="362"/>
      <c r="P944" s="84"/>
      <c r="Q944" s="363"/>
    </row>
    <row r="945" customFormat="false" ht="12.75" hidden="false" customHeight="false" outlineLevel="0" collapsed="false">
      <c r="A945" s="362"/>
      <c r="B945" s="362"/>
      <c r="P945" s="84"/>
      <c r="Q945" s="363"/>
    </row>
    <row r="946" customFormat="false" ht="12.75" hidden="false" customHeight="false" outlineLevel="0" collapsed="false">
      <c r="A946" s="362"/>
      <c r="B946" s="362"/>
      <c r="P946" s="84"/>
      <c r="Q946" s="363"/>
    </row>
    <row r="947" customFormat="false" ht="12.75" hidden="false" customHeight="false" outlineLevel="0" collapsed="false">
      <c r="A947" s="362"/>
      <c r="B947" s="362"/>
      <c r="P947" s="84"/>
      <c r="Q947" s="363"/>
    </row>
    <row r="948" customFormat="false" ht="12.75" hidden="false" customHeight="false" outlineLevel="0" collapsed="false">
      <c r="A948" s="362"/>
      <c r="B948" s="362"/>
      <c r="P948" s="84"/>
      <c r="Q948" s="363"/>
    </row>
    <row r="949" customFormat="false" ht="12.75" hidden="false" customHeight="false" outlineLevel="0" collapsed="false">
      <c r="A949" s="362"/>
      <c r="B949" s="362"/>
      <c r="P949" s="84"/>
      <c r="Q949" s="363"/>
    </row>
    <row r="950" customFormat="false" ht="12.75" hidden="false" customHeight="false" outlineLevel="0" collapsed="false">
      <c r="A950" s="362"/>
      <c r="B950" s="362"/>
      <c r="P950" s="84"/>
      <c r="Q950" s="363"/>
    </row>
    <row r="951" customFormat="false" ht="12.75" hidden="false" customHeight="false" outlineLevel="0" collapsed="false">
      <c r="A951" s="362"/>
      <c r="B951" s="362"/>
      <c r="P951" s="84"/>
      <c r="Q951" s="363"/>
    </row>
    <row r="952" customFormat="false" ht="12.75" hidden="false" customHeight="false" outlineLevel="0" collapsed="false">
      <c r="A952" s="362"/>
      <c r="B952" s="362"/>
      <c r="P952" s="84"/>
      <c r="Q952" s="363"/>
    </row>
    <row r="953" customFormat="false" ht="12.75" hidden="false" customHeight="false" outlineLevel="0" collapsed="false">
      <c r="A953" s="362"/>
      <c r="B953" s="362"/>
      <c r="P953" s="84"/>
      <c r="Q953" s="363"/>
    </row>
    <row r="954" customFormat="false" ht="12.75" hidden="false" customHeight="false" outlineLevel="0" collapsed="false">
      <c r="A954" s="362"/>
      <c r="B954" s="362"/>
      <c r="P954" s="84"/>
      <c r="Q954" s="363"/>
    </row>
    <row r="955" customFormat="false" ht="12.75" hidden="false" customHeight="false" outlineLevel="0" collapsed="false">
      <c r="A955" s="362"/>
      <c r="B955" s="362"/>
      <c r="P955" s="84"/>
      <c r="Q955" s="363"/>
    </row>
    <row r="956" customFormat="false" ht="12.75" hidden="false" customHeight="false" outlineLevel="0" collapsed="false">
      <c r="A956" s="362"/>
      <c r="B956" s="362"/>
      <c r="P956" s="84"/>
      <c r="Q956" s="363"/>
    </row>
    <row r="957" customFormat="false" ht="12.75" hidden="false" customHeight="false" outlineLevel="0" collapsed="false">
      <c r="A957" s="362"/>
      <c r="B957" s="362"/>
      <c r="P957" s="84"/>
      <c r="Q957" s="363"/>
    </row>
    <row r="958" customFormat="false" ht="12.75" hidden="false" customHeight="false" outlineLevel="0" collapsed="false">
      <c r="A958" s="362"/>
      <c r="B958" s="362"/>
      <c r="P958" s="84"/>
      <c r="Q958" s="363"/>
    </row>
    <row r="959" customFormat="false" ht="12.75" hidden="false" customHeight="false" outlineLevel="0" collapsed="false">
      <c r="A959" s="362"/>
      <c r="B959" s="362"/>
      <c r="P959" s="84"/>
      <c r="Q959" s="363"/>
    </row>
    <row r="960" customFormat="false" ht="12.75" hidden="false" customHeight="false" outlineLevel="0" collapsed="false">
      <c r="A960" s="362"/>
      <c r="B960" s="362"/>
      <c r="P960" s="84"/>
      <c r="Q960" s="363"/>
    </row>
    <row r="961" customFormat="false" ht="12.75" hidden="false" customHeight="false" outlineLevel="0" collapsed="false">
      <c r="A961" s="362"/>
      <c r="B961" s="362"/>
      <c r="P961" s="84"/>
      <c r="Q961" s="363"/>
    </row>
    <row r="962" customFormat="false" ht="12.75" hidden="false" customHeight="false" outlineLevel="0" collapsed="false">
      <c r="A962" s="362"/>
      <c r="B962" s="362"/>
      <c r="P962" s="84"/>
      <c r="Q962" s="363"/>
    </row>
    <row r="963" customFormat="false" ht="12.75" hidden="false" customHeight="false" outlineLevel="0" collapsed="false">
      <c r="A963" s="362"/>
      <c r="B963" s="362"/>
      <c r="P963" s="84"/>
      <c r="Q963" s="363"/>
    </row>
    <row r="964" customFormat="false" ht="12.75" hidden="false" customHeight="false" outlineLevel="0" collapsed="false">
      <c r="A964" s="362"/>
      <c r="B964" s="362"/>
      <c r="P964" s="84"/>
      <c r="Q964" s="363"/>
    </row>
    <row r="965" customFormat="false" ht="12.75" hidden="false" customHeight="false" outlineLevel="0" collapsed="false">
      <c r="A965" s="362"/>
      <c r="B965" s="362"/>
      <c r="P965" s="84"/>
      <c r="Q965" s="363"/>
    </row>
    <row r="966" customFormat="false" ht="12.75" hidden="false" customHeight="false" outlineLevel="0" collapsed="false">
      <c r="A966" s="362"/>
      <c r="B966" s="362"/>
      <c r="P966" s="84"/>
      <c r="Q966" s="363"/>
    </row>
    <row r="967" customFormat="false" ht="12.75" hidden="false" customHeight="false" outlineLevel="0" collapsed="false">
      <c r="A967" s="362"/>
      <c r="B967" s="362"/>
      <c r="P967" s="84"/>
      <c r="Q967" s="363"/>
    </row>
    <row r="968" customFormat="false" ht="12.75" hidden="false" customHeight="false" outlineLevel="0" collapsed="false">
      <c r="A968" s="362"/>
      <c r="B968" s="362"/>
      <c r="P968" s="84"/>
      <c r="Q968" s="363"/>
    </row>
    <row r="969" customFormat="false" ht="12.75" hidden="false" customHeight="false" outlineLevel="0" collapsed="false">
      <c r="A969" s="362"/>
      <c r="B969" s="362"/>
      <c r="P969" s="84"/>
      <c r="Q969" s="363"/>
    </row>
    <row r="970" customFormat="false" ht="12.75" hidden="false" customHeight="false" outlineLevel="0" collapsed="false">
      <c r="A970" s="362"/>
      <c r="B970" s="362"/>
      <c r="P970" s="84"/>
      <c r="Q970" s="363"/>
    </row>
    <row r="971" customFormat="false" ht="12.75" hidden="false" customHeight="false" outlineLevel="0" collapsed="false">
      <c r="A971" s="362"/>
      <c r="B971" s="362"/>
      <c r="P971" s="84"/>
      <c r="Q971" s="363"/>
    </row>
    <row r="972" customFormat="false" ht="12.75" hidden="false" customHeight="false" outlineLevel="0" collapsed="false">
      <c r="A972" s="362"/>
      <c r="B972" s="362"/>
      <c r="P972" s="84"/>
      <c r="Q972" s="363"/>
    </row>
    <row r="973" customFormat="false" ht="12.75" hidden="false" customHeight="false" outlineLevel="0" collapsed="false">
      <c r="A973" s="362"/>
      <c r="B973" s="362"/>
      <c r="P973" s="84"/>
      <c r="Q973" s="363"/>
    </row>
    <row r="974" customFormat="false" ht="12.75" hidden="false" customHeight="false" outlineLevel="0" collapsed="false">
      <c r="A974" s="362"/>
      <c r="B974" s="362"/>
      <c r="P974" s="84"/>
      <c r="Q974" s="363"/>
    </row>
    <row r="975" customFormat="false" ht="12.75" hidden="false" customHeight="false" outlineLevel="0" collapsed="false">
      <c r="A975" s="362"/>
      <c r="B975" s="362"/>
      <c r="P975" s="84"/>
      <c r="Q975" s="363"/>
    </row>
    <row r="976" customFormat="false" ht="12.75" hidden="false" customHeight="false" outlineLevel="0" collapsed="false">
      <c r="A976" s="362"/>
      <c r="B976" s="362"/>
      <c r="P976" s="84"/>
      <c r="Q976" s="363"/>
    </row>
    <row r="977" customFormat="false" ht="12.75" hidden="false" customHeight="false" outlineLevel="0" collapsed="false">
      <c r="A977" s="362"/>
      <c r="B977" s="362"/>
      <c r="P977" s="84"/>
      <c r="Q977" s="363"/>
    </row>
    <row r="978" customFormat="false" ht="12.75" hidden="false" customHeight="false" outlineLevel="0" collapsed="false">
      <c r="A978" s="362"/>
      <c r="B978" s="362"/>
      <c r="P978" s="84"/>
      <c r="Q978" s="363"/>
    </row>
    <row r="979" customFormat="false" ht="12.75" hidden="false" customHeight="false" outlineLevel="0" collapsed="false">
      <c r="A979" s="362"/>
      <c r="B979" s="362"/>
      <c r="P979" s="84"/>
      <c r="Q979" s="363"/>
    </row>
    <row r="980" customFormat="false" ht="12.75" hidden="false" customHeight="false" outlineLevel="0" collapsed="false">
      <c r="A980" s="362"/>
      <c r="B980" s="362"/>
      <c r="P980" s="84"/>
      <c r="Q980" s="363"/>
    </row>
    <row r="981" customFormat="false" ht="12.75" hidden="false" customHeight="false" outlineLevel="0" collapsed="false">
      <c r="A981" s="362"/>
      <c r="B981" s="362"/>
      <c r="P981" s="84"/>
      <c r="Q981" s="363"/>
    </row>
    <row r="982" customFormat="false" ht="12.75" hidden="false" customHeight="false" outlineLevel="0" collapsed="false">
      <c r="A982" s="362"/>
      <c r="B982" s="362"/>
      <c r="P982" s="84"/>
      <c r="Q982" s="363"/>
    </row>
    <row r="983" customFormat="false" ht="12.75" hidden="false" customHeight="false" outlineLevel="0" collapsed="false">
      <c r="A983" s="362"/>
      <c r="B983" s="362"/>
      <c r="P983" s="84"/>
      <c r="Q983" s="363"/>
    </row>
    <row r="984" customFormat="false" ht="12.75" hidden="false" customHeight="false" outlineLevel="0" collapsed="false">
      <c r="A984" s="362"/>
      <c r="B984" s="362"/>
      <c r="P984" s="84"/>
      <c r="Q984" s="363"/>
    </row>
    <row r="985" customFormat="false" ht="12.75" hidden="false" customHeight="false" outlineLevel="0" collapsed="false">
      <c r="A985" s="362"/>
      <c r="B985" s="362"/>
      <c r="P985" s="84"/>
      <c r="Q985" s="363"/>
    </row>
    <row r="986" customFormat="false" ht="12.75" hidden="false" customHeight="false" outlineLevel="0" collapsed="false">
      <c r="A986" s="362"/>
      <c r="B986" s="362"/>
      <c r="P986" s="84"/>
      <c r="Q986" s="363"/>
    </row>
    <row r="987" customFormat="false" ht="12.75" hidden="false" customHeight="false" outlineLevel="0" collapsed="false">
      <c r="A987" s="362"/>
      <c r="B987" s="362"/>
      <c r="P987" s="84"/>
      <c r="Q987" s="363"/>
    </row>
    <row r="988" customFormat="false" ht="12.75" hidden="false" customHeight="false" outlineLevel="0" collapsed="false">
      <c r="A988" s="362"/>
      <c r="B988" s="362"/>
      <c r="P988" s="84"/>
      <c r="Q988" s="363"/>
    </row>
    <row r="989" customFormat="false" ht="12.75" hidden="false" customHeight="false" outlineLevel="0" collapsed="false">
      <c r="A989" s="362"/>
      <c r="B989" s="362"/>
      <c r="P989" s="84"/>
      <c r="Q989" s="363"/>
    </row>
    <row r="990" customFormat="false" ht="12.75" hidden="false" customHeight="false" outlineLevel="0" collapsed="false">
      <c r="A990" s="362"/>
      <c r="B990" s="362"/>
      <c r="P990" s="84"/>
      <c r="Q990" s="363"/>
    </row>
    <row r="991" customFormat="false" ht="12.75" hidden="false" customHeight="false" outlineLevel="0" collapsed="false">
      <c r="A991" s="362"/>
      <c r="B991" s="362"/>
      <c r="P991" s="84"/>
      <c r="Q991" s="363"/>
    </row>
    <row r="992" customFormat="false" ht="12.75" hidden="false" customHeight="false" outlineLevel="0" collapsed="false">
      <c r="A992" s="362"/>
      <c r="B992" s="362"/>
      <c r="P992" s="84"/>
      <c r="Q992" s="363"/>
    </row>
    <row r="993" customFormat="false" ht="12.75" hidden="false" customHeight="false" outlineLevel="0" collapsed="false">
      <c r="A993" s="362"/>
      <c r="B993" s="362"/>
      <c r="P993" s="84"/>
      <c r="Q993" s="363"/>
    </row>
    <row r="994" customFormat="false" ht="12.75" hidden="false" customHeight="false" outlineLevel="0" collapsed="false">
      <c r="A994" s="362"/>
      <c r="B994" s="362"/>
      <c r="P994" s="84"/>
      <c r="Q994" s="363"/>
    </row>
    <row r="995" customFormat="false" ht="12.75" hidden="false" customHeight="false" outlineLevel="0" collapsed="false">
      <c r="A995" s="362"/>
      <c r="B995" s="362"/>
      <c r="P995" s="84"/>
      <c r="Q995" s="363"/>
    </row>
    <row r="996" customFormat="false" ht="12.75" hidden="false" customHeight="false" outlineLevel="0" collapsed="false">
      <c r="A996" s="362"/>
      <c r="B996" s="362"/>
      <c r="P996" s="84"/>
      <c r="Q996" s="363"/>
    </row>
    <row r="997" customFormat="false" ht="12.75" hidden="false" customHeight="false" outlineLevel="0" collapsed="false">
      <c r="A997" s="362"/>
      <c r="B997" s="362"/>
      <c r="P997" s="84"/>
      <c r="Q997" s="363"/>
    </row>
    <row r="998" customFormat="false" ht="12.75" hidden="false" customHeight="false" outlineLevel="0" collapsed="false">
      <c r="A998" s="362"/>
      <c r="B998" s="362"/>
      <c r="P998" s="84"/>
      <c r="Q998" s="363"/>
    </row>
    <row r="999" customFormat="false" ht="12.75" hidden="false" customHeight="false" outlineLevel="0" collapsed="false">
      <c r="A999" s="362"/>
      <c r="B999" s="362"/>
      <c r="P999" s="84"/>
      <c r="Q999" s="363"/>
    </row>
    <row r="1000" customFormat="false" ht="12.75" hidden="false" customHeight="false" outlineLevel="0" collapsed="false">
      <c r="A1000" s="362"/>
      <c r="B1000" s="362"/>
      <c r="P1000" s="84"/>
      <c r="Q1000" s="363"/>
    </row>
    <row r="1001" customFormat="false" ht="12.75" hidden="false" customHeight="false" outlineLevel="0" collapsed="false">
      <c r="A1001" s="362"/>
      <c r="B1001" s="362"/>
      <c r="P1001" s="84"/>
      <c r="Q1001" s="363"/>
    </row>
    <row r="1002" customFormat="false" ht="12.75" hidden="false" customHeight="false" outlineLevel="0" collapsed="false">
      <c r="A1002" s="362"/>
      <c r="B1002" s="362"/>
      <c r="P1002" s="84"/>
      <c r="Q1002" s="363"/>
    </row>
    <row r="1003" customFormat="false" ht="12.75" hidden="false" customHeight="false" outlineLevel="0" collapsed="false">
      <c r="A1003" s="362"/>
      <c r="B1003" s="362"/>
      <c r="P1003" s="84"/>
      <c r="Q1003" s="363"/>
    </row>
    <row r="1004" customFormat="false" ht="12.75" hidden="false" customHeight="false" outlineLevel="0" collapsed="false">
      <c r="A1004" s="362"/>
      <c r="B1004" s="362"/>
      <c r="P1004" s="84"/>
      <c r="Q1004" s="363"/>
    </row>
    <row r="1005" customFormat="false" ht="12.75" hidden="false" customHeight="false" outlineLevel="0" collapsed="false">
      <c r="A1005" s="362"/>
      <c r="B1005" s="362"/>
      <c r="P1005" s="84"/>
      <c r="Q1005" s="363"/>
    </row>
    <row r="1006" customFormat="false" ht="12.75" hidden="false" customHeight="false" outlineLevel="0" collapsed="false">
      <c r="A1006" s="362"/>
      <c r="B1006" s="362"/>
      <c r="P1006" s="84"/>
      <c r="Q1006" s="363"/>
    </row>
    <row r="1007" customFormat="false" ht="12.75" hidden="false" customHeight="false" outlineLevel="0" collapsed="false">
      <c r="A1007" s="362"/>
      <c r="B1007" s="362"/>
      <c r="P1007" s="84"/>
      <c r="Q1007" s="363"/>
    </row>
    <row r="1008" customFormat="false" ht="12.75" hidden="false" customHeight="false" outlineLevel="0" collapsed="false">
      <c r="A1008" s="362"/>
      <c r="B1008" s="362"/>
      <c r="P1008" s="84"/>
      <c r="Q1008" s="363"/>
    </row>
    <row r="1009" customFormat="false" ht="12.75" hidden="false" customHeight="false" outlineLevel="0" collapsed="false">
      <c r="A1009" s="362"/>
      <c r="B1009" s="362"/>
      <c r="P1009" s="84"/>
      <c r="Q1009" s="363"/>
    </row>
    <row r="1010" customFormat="false" ht="12.75" hidden="false" customHeight="false" outlineLevel="0" collapsed="false">
      <c r="A1010" s="362"/>
      <c r="B1010" s="362"/>
      <c r="P1010" s="84"/>
      <c r="Q1010" s="363"/>
    </row>
    <row r="1011" customFormat="false" ht="12.75" hidden="false" customHeight="false" outlineLevel="0" collapsed="false">
      <c r="A1011" s="362"/>
      <c r="B1011" s="362"/>
      <c r="P1011" s="84"/>
      <c r="Q1011" s="363"/>
    </row>
    <row r="1012" customFormat="false" ht="12.75" hidden="false" customHeight="false" outlineLevel="0" collapsed="false">
      <c r="A1012" s="362"/>
      <c r="B1012" s="362"/>
      <c r="P1012" s="84"/>
      <c r="Q1012" s="363"/>
    </row>
    <row r="1013" customFormat="false" ht="12.75" hidden="false" customHeight="false" outlineLevel="0" collapsed="false">
      <c r="A1013" s="362"/>
      <c r="B1013" s="362"/>
      <c r="P1013" s="84"/>
      <c r="Q1013" s="363"/>
    </row>
    <row r="1014" customFormat="false" ht="12.75" hidden="false" customHeight="false" outlineLevel="0" collapsed="false">
      <c r="A1014" s="362"/>
      <c r="B1014" s="362"/>
      <c r="P1014" s="84"/>
      <c r="Q1014" s="363"/>
    </row>
    <row r="1015" customFormat="false" ht="12.75" hidden="false" customHeight="false" outlineLevel="0" collapsed="false">
      <c r="A1015" s="362"/>
      <c r="B1015" s="362"/>
      <c r="P1015" s="84"/>
      <c r="Q1015" s="363"/>
    </row>
    <row r="1016" customFormat="false" ht="12.75" hidden="false" customHeight="false" outlineLevel="0" collapsed="false">
      <c r="A1016" s="362"/>
      <c r="B1016" s="362"/>
      <c r="P1016" s="84"/>
      <c r="Q1016" s="363"/>
    </row>
    <row r="1017" customFormat="false" ht="12.75" hidden="false" customHeight="false" outlineLevel="0" collapsed="false">
      <c r="A1017" s="362"/>
      <c r="B1017" s="362"/>
      <c r="P1017" s="84"/>
      <c r="Q1017" s="363"/>
    </row>
    <row r="1018" customFormat="false" ht="12.75" hidden="false" customHeight="false" outlineLevel="0" collapsed="false">
      <c r="A1018" s="362"/>
      <c r="B1018" s="362"/>
      <c r="P1018" s="84"/>
      <c r="Q1018" s="363"/>
    </row>
    <row r="1019" customFormat="false" ht="12.75" hidden="false" customHeight="false" outlineLevel="0" collapsed="false">
      <c r="A1019" s="362"/>
      <c r="B1019" s="362"/>
      <c r="P1019" s="84"/>
      <c r="Q1019" s="363"/>
    </row>
    <row r="1020" customFormat="false" ht="12.75" hidden="false" customHeight="false" outlineLevel="0" collapsed="false">
      <c r="A1020" s="362"/>
      <c r="B1020" s="362"/>
      <c r="P1020" s="84"/>
      <c r="Q1020" s="363"/>
    </row>
    <row r="1021" customFormat="false" ht="12.75" hidden="false" customHeight="false" outlineLevel="0" collapsed="false">
      <c r="A1021" s="362"/>
      <c r="B1021" s="362"/>
      <c r="P1021" s="84"/>
      <c r="Q1021" s="363"/>
    </row>
    <row r="1022" customFormat="false" ht="12.75" hidden="false" customHeight="false" outlineLevel="0" collapsed="false">
      <c r="A1022" s="362"/>
      <c r="B1022" s="362"/>
      <c r="P1022" s="84"/>
      <c r="Q1022" s="363"/>
    </row>
    <row r="1023" customFormat="false" ht="12.75" hidden="false" customHeight="false" outlineLevel="0" collapsed="false">
      <c r="A1023" s="362"/>
      <c r="B1023" s="362"/>
      <c r="P1023" s="84"/>
      <c r="Q1023" s="363"/>
    </row>
    <row r="1024" customFormat="false" ht="12.75" hidden="false" customHeight="false" outlineLevel="0" collapsed="false">
      <c r="A1024" s="362"/>
      <c r="B1024" s="362"/>
      <c r="P1024" s="84"/>
      <c r="Q1024" s="363"/>
    </row>
    <row r="1025" customFormat="false" ht="12.75" hidden="false" customHeight="false" outlineLevel="0" collapsed="false">
      <c r="A1025" s="362"/>
      <c r="B1025" s="362"/>
      <c r="P1025" s="84"/>
      <c r="Q1025" s="363"/>
    </row>
    <row r="1026" customFormat="false" ht="12.75" hidden="false" customHeight="false" outlineLevel="0" collapsed="false">
      <c r="A1026" s="362"/>
      <c r="B1026" s="362"/>
      <c r="P1026" s="84"/>
      <c r="Q1026" s="363"/>
    </row>
    <row r="1027" customFormat="false" ht="12.75" hidden="false" customHeight="false" outlineLevel="0" collapsed="false">
      <c r="A1027" s="362"/>
      <c r="B1027" s="362"/>
      <c r="P1027" s="84"/>
      <c r="Q1027" s="363"/>
    </row>
    <row r="1028" customFormat="false" ht="12.75" hidden="false" customHeight="false" outlineLevel="0" collapsed="false">
      <c r="A1028" s="362"/>
      <c r="B1028" s="362"/>
      <c r="P1028" s="84"/>
      <c r="Q1028" s="363"/>
    </row>
    <row r="1029" customFormat="false" ht="12.75" hidden="false" customHeight="false" outlineLevel="0" collapsed="false">
      <c r="A1029" s="362"/>
      <c r="B1029" s="362"/>
      <c r="P1029" s="84"/>
      <c r="Q1029" s="363"/>
    </row>
    <row r="1030" customFormat="false" ht="12.75" hidden="false" customHeight="false" outlineLevel="0" collapsed="false">
      <c r="A1030" s="362"/>
      <c r="B1030" s="362"/>
      <c r="P1030" s="84"/>
      <c r="Q1030" s="363"/>
    </row>
    <row r="1031" customFormat="false" ht="12.75" hidden="false" customHeight="false" outlineLevel="0" collapsed="false">
      <c r="A1031" s="362"/>
      <c r="B1031" s="362"/>
      <c r="P1031" s="84"/>
      <c r="Q1031" s="363"/>
    </row>
    <row r="1032" customFormat="false" ht="12.75" hidden="false" customHeight="false" outlineLevel="0" collapsed="false">
      <c r="A1032" s="362"/>
      <c r="B1032" s="362"/>
      <c r="P1032" s="84"/>
      <c r="Q1032" s="363"/>
    </row>
    <row r="1033" customFormat="false" ht="12.75" hidden="false" customHeight="false" outlineLevel="0" collapsed="false">
      <c r="A1033" s="362"/>
      <c r="B1033" s="362"/>
      <c r="P1033" s="84"/>
      <c r="Q1033" s="363"/>
    </row>
    <row r="1034" customFormat="false" ht="12.75" hidden="false" customHeight="false" outlineLevel="0" collapsed="false">
      <c r="A1034" s="362"/>
      <c r="B1034" s="362"/>
      <c r="P1034" s="84"/>
      <c r="Q1034" s="363"/>
    </row>
    <row r="1035" customFormat="false" ht="12.75" hidden="false" customHeight="false" outlineLevel="0" collapsed="false">
      <c r="A1035" s="362"/>
      <c r="B1035" s="362"/>
      <c r="P1035" s="84"/>
      <c r="Q1035" s="363"/>
    </row>
    <row r="1036" customFormat="false" ht="12.75" hidden="false" customHeight="false" outlineLevel="0" collapsed="false">
      <c r="A1036" s="362"/>
      <c r="B1036" s="362"/>
      <c r="P1036" s="84"/>
      <c r="Q1036" s="363"/>
    </row>
    <row r="1037" customFormat="false" ht="12.75" hidden="false" customHeight="false" outlineLevel="0" collapsed="false">
      <c r="A1037" s="362"/>
      <c r="B1037" s="362"/>
      <c r="P1037" s="84"/>
      <c r="Q1037" s="363"/>
    </row>
    <row r="1038" customFormat="false" ht="12.75" hidden="false" customHeight="false" outlineLevel="0" collapsed="false">
      <c r="A1038" s="362"/>
      <c r="B1038" s="362"/>
      <c r="P1038" s="84"/>
      <c r="Q1038" s="363"/>
    </row>
    <row r="1039" customFormat="false" ht="12.75" hidden="false" customHeight="false" outlineLevel="0" collapsed="false">
      <c r="A1039" s="362"/>
      <c r="B1039" s="362"/>
      <c r="P1039" s="84"/>
      <c r="Q1039" s="363"/>
    </row>
    <row r="1040" customFormat="false" ht="12.75" hidden="false" customHeight="false" outlineLevel="0" collapsed="false">
      <c r="A1040" s="362"/>
      <c r="B1040" s="362"/>
      <c r="P1040" s="84"/>
      <c r="Q1040" s="363"/>
    </row>
    <row r="1041" customFormat="false" ht="12.75" hidden="false" customHeight="false" outlineLevel="0" collapsed="false">
      <c r="A1041" s="362"/>
      <c r="B1041" s="362"/>
      <c r="P1041" s="84"/>
      <c r="Q1041" s="363"/>
    </row>
    <row r="1042" customFormat="false" ht="12.75" hidden="false" customHeight="false" outlineLevel="0" collapsed="false">
      <c r="A1042" s="362"/>
      <c r="B1042" s="362"/>
      <c r="P1042" s="84"/>
      <c r="Q1042" s="363"/>
    </row>
    <row r="1043" customFormat="false" ht="12.75" hidden="false" customHeight="false" outlineLevel="0" collapsed="false">
      <c r="A1043" s="362"/>
      <c r="B1043" s="362"/>
      <c r="P1043" s="84"/>
      <c r="Q1043" s="363"/>
    </row>
    <row r="1044" customFormat="false" ht="12.75" hidden="false" customHeight="false" outlineLevel="0" collapsed="false">
      <c r="A1044" s="362"/>
      <c r="B1044" s="362"/>
      <c r="P1044" s="84"/>
      <c r="Q1044" s="363"/>
    </row>
    <row r="1045" customFormat="false" ht="12.75" hidden="false" customHeight="false" outlineLevel="0" collapsed="false">
      <c r="A1045" s="362"/>
      <c r="B1045" s="362"/>
      <c r="P1045" s="84"/>
      <c r="Q1045" s="363"/>
    </row>
    <row r="1046" customFormat="false" ht="12.75" hidden="false" customHeight="false" outlineLevel="0" collapsed="false">
      <c r="A1046" s="362"/>
      <c r="B1046" s="362"/>
      <c r="P1046" s="84"/>
      <c r="Q1046" s="363"/>
    </row>
    <row r="1047" customFormat="false" ht="12.75" hidden="false" customHeight="false" outlineLevel="0" collapsed="false">
      <c r="A1047" s="362"/>
      <c r="B1047" s="362"/>
      <c r="P1047" s="84"/>
      <c r="Q1047" s="363"/>
    </row>
    <row r="1048" customFormat="false" ht="12.75" hidden="false" customHeight="false" outlineLevel="0" collapsed="false">
      <c r="A1048" s="362"/>
      <c r="B1048" s="362"/>
      <c r="P1048" s="84"/>
      <c r="Q1048" s="363"/>
    </row>
    <row r="1049" customFormat="false" ht="12.75" hidden="false" customHeight="false" outlineLevel="0" collapsed="false">
      <c r="A1049" s="362"/>
      <c r="B1049" s="362"/>
      <c r="P1049" s="84"/>
      <c r="Q1049" s="363"/>
    </row>
    <row r="1050" customFormat="false" ht="12.75" hidden="false" customHeight="false" outlineLevel="0" collapsed="false">
      <c r="A1050" s="362"/>
      <c r="B1050" s="362"/>
      <c r="P1050" s="84"/>
      <c r="Q1050" s="363"/>
    </row>
    <row r="1051" customFormat="false" ht="12.75" hidden="false" customHeight="false" outlineLevel="0" collapsed="false">
      <c r="A1051" s="362"/>
      <c r="B1051" s="362"/>
      <c r="P1051" s="84"/>
      <c r="Q1051" s="363"/>
    </row>
    <row r="1052" customFormat="false" ht="12.75" hidden="false" customHeight="false" outlineLevel="0" collapsed="false">
      <c r="A1052" s="362"/>
      <c r="B1052" s="362"/>
      <c r="P1052" s="84"/>
      <c r="Q1052" s="363"/>
    </row>
    <row r="1053" customFormat="false" ht="12.75" hidden="false" customHeight="false" outlineLevel="0" collapsed="false">
      <c r="A1053" s="362"/>
      <c r="B1053" s="362"/>
      <c r="P1053" s="84"/>
      <c r="Q1053" s="363"/>
    </row>
    <row r="1054" customFormat="false" ht="12.75" hidden="false" customHeight="false" outlineLevel="0" collapsed="false">
      <c r="A1054" s="362"/>
      <c r="B1054" s="362"/>
      <c r="P1054" s="84"/>
      <c r="Q1054" s="363"/>
    </row>
    <row r="1055" customFormat="false" ht="12.75" hidden="false" customHeight="false" outlineLevel="0" collapsed="false">
      <c r="A1055" s="362"/>
      <c r="B1055" s="362"/>
      <c r="P1055" s="84"/>
      <c r="Q1055" s="363"/>
    </row>
    <row r="1056" customFormat="false" ht="12.75" hidden="false" customHeight="false" outlineLevel="0" collapsed="false">
      <c r="A1056" s="362"/>
      <c r="B1056" s="362"/>
      <c r="P1056" s="84"/>
      <c r="Q1056" s="363"/>
    </row>
    <row r="1057" customFormat="false" ht="12.75" hidden="false" customHeight="false" outlineLevel="0" collapsed="false">
      <c r="A1057" s="362"/>
      <c r="B1057" s="362"/>
      <c r="P1057" s="84"/>
      <c r="Q1057" s="363"/>
    </row>
    <row r="1058" customFormat="false" ht="12.75" hidden="false" customHeight="false" outlineLevel="0" collapsed="false">
      <c r="A1058" s="362"/>
      <c r="B1058" s="362"/>
      <c r="P1058" s="84"/>
      <c r="Q1058" s="363"/>
    </row>
    <row r="1059" customFormat="false" ht="12.75" hidden="false" customHeight="false" outlineLevel="0" collapsed="false">
      <c r="A1059" s="362"/>
      <c r="B1059" s="362"/>
      <c r="P1059" s="84"/>
      <c r="Q1059" s="363"/>
    </row>
    <row r="1060" customFormat="false" ht="12.75" hidden="false" customHeight="false" outlineLevel="0" collapsed="false">
      <c r="A1060" s="362"/>
      <c r="B1060" s="362"/>
      <c r="P1060" s="84"/>
      <c r="Q1060" s="363"/>
    </row>
    <row r="1061" customFormat="false" ht="12.75" hidden="false" customHeight="false" outlineLevel="0" collapsed="false">
      <c r="A1061" s="362"/>
      <c r="B1061" s="362"/>
      <c r="P1061" s="84"/>
      <c r="Q1061" s="363"/>
    </row>
    <row r="1062" customFormat="false" ht="12.75" hidden="false" customHeight="false" outlineLevel="0" collapsed="false">
      <c r="A1062" s="362"/>
      <c r="B1062" s="362"/>
      <c r="P1062" s="84"/>
      <c r="Q1062" s="363"/>
    </row>
    <row r="1063" customFormat="false" ht="12.75" hidden="false" customHeight="false" outlineLevel="0" collapsed="false">
      <c r="A1063" s="362"/>
      <c r="B1063" s="362"/>
      <c r="P1063" s="84"/>
      <c r="Q1063" s="363"/>
    </row>
    <row r="1064" customFormat="false" ht="12.75" hidden="false" customHeight="false" outlineLevel="0" collapsed="false">
      <c r="A1064" s="362"/>
      <c r="B1064" s="362"/>
      <c r="P1064" s="84"/>
      <c r="Q1064" s="363"/>
    </row>
    <row r="1065" customFormat="false" ht="12.75" hidden="false" customHeight="false" outlineLevel="0" collapsed="false">
      <c r="A1065" s="362"/>
      <c r="B1065" s="362"/>
      <c r="P1065" s="84"/>
      <c r="Q1065" s="363"/>
    </row>
    <row r="1066" customFormat="false" ht="12.75" hidden="false" customHeight="false" outlineLevel="0" collapsed="false">
      <c r="A1066" s="362"/>
      <c r="B1066" s="362"/>
      <c r="P1066" s="84"/>
      <c r="Q1066" s="363"/>
    </row>
    <row r="1067" customFormat="false" ht="12.75" hidden="false" customHeight="false" outlineLevel="0" collapsed="false">
      <c r="A1067" s="362"/>
      <c r="B1067" s="362"/>
      <c r="P1067" s="84"/>
      <c r="Q1067" s="363"/>
    </row>
    <row r="1068" customFormat="false" ht="12.75" hidden="false" customHeight="false" outlineLevel="0" collapsed="false">
      <c r="A1068" s="362"/>
      <c r="B1068" s="362"/>
      <c r="P1068" s="84"/>
      <c r="Q1068" s="363"/>
    </row>
    <row r="1069" customFormat="false" ht="12.75" hidden="false" customHeight="false" outlineLevel="0" collapsed="false">
      <c r="A1069" s="362"/>
      <c r="B1069" s="362"/>
      <c r="P1069" s="84"/>
      <c r="Q1069" s="363"/>
    </row>
    <row r="1070" customFormat="false" ht="12.75" hidden="false" customHeight="false" outlineLevel="0" collapsed="false">
      <c r="A1070" s="362"/>
      <c r="B1070" s="362"/>
      <c r="P1070" s="84"/>
      <c r="Q1070" s="363"/>
    </row>
    <row r="1071" customFormat="false" ht="12.75" hidden="false" customHeight="false" outlineLevel="0" collapsed="false">
      <c r="A1071" s="362"/>
      <c r="B1071" s="362"/>
      <c r="P1071" s="84"/>
      <c r="Q1071" s="363"/>
    </row>
    <row r="1072" customFormat="false" ht="12.75" hidden="false" customHeight="false" outlineLevel="0" collapsed="false">
      <c r="A1072" s="362"/>
      <c r="B1072" s="362"/>
      <c r="P1072" s="84"/>
      <c r="Q1072" s="363"/>
    </row>
    <row r="1073" customFormat="false" ht="12.75" hidden="false" customHeight="false" outlineLevel="0" collapsed="false">
      <c r="A1073" s="362"/>
      <c r="B1073" s="362"/>
      <c r="P1073" s="84"/>
      <c r="Q1073" s="363"/>
    </row>
    <row r="1074" customFormat="false" ht="12.75" hidden="false" customHeight="false" outlineLevel="0" collapsed="false">
      <c r="A1074" s="362"/>
      <c r="B1074" s="362"/>
      <c r="P1074" s="84"/>
      <c r="Q1074" s="363"/>
    </row>
    <row r="1075" customFormat="false" ht="12.75" hidden="false" customHeight="false" outlineLevel="0" collapsed="false">
      <c r="A1075" s="362"/>
      <c r="B1075" s="362"/>
      <c r="P1075" s="84"/>
      <c r="Q1075" s="363"/>
    </row>
    <row r="1076" customFormat="false" ht="12.75" hidden="false" customHeight="false" outlineLevel="0" collapsed="false">
      <c r="A1076" s="362"/>
      <c r="B1076" s="362"/>
      <c r="P1076" s="84"/>
      <c r="Q1076" s="363"/>
    </row>
    <row r="1077" customFormat="false" ht="12.75" hidden="false" customHeight="false" outlineLevel="0" collapsed="false">
      <c r="A1077" s="362"/>
      <c r="B1077" s="362"/>
      <c r="P1077" s="84"/>
      <c r="Q1077" s="363"/>
    </row>
    <row r="1078" customFormat="false" ht="12.75" hidden="false" customHeight="false" outlineLevel="0" collapsed="false">
      <c r="A1078" s="362"/>
      <c r="B1078" s="362"/>
      <c r="P1078" s="84"/>
      <c r="Q1078" s="363"/>
    </row>
    <row r="1079" customFormat="false" ht="12.75" hidden="false" customHeight="false" outlineLevel="0" collapsed="false">
      <c r="A1079" s="362"/>
      <c r="B1079" s="362"/>
      <c r="P1079" s="84"/>
      <c r="Q1079" s="363"/>
    </row>
    <row r="1080" customFormat="false" ht="12.75" hidden="false" customHeight="false" outlineLevel="0" collapsed="false">
      <c r="A1080" s="362"/>
      <c r="B1080" s="362"/>
      <c r="P1080" s="84"/>
      <c r="Q1080" s="363"/>
    </row>
    <row r="1081" customFormat="false" ht="12.75" hidden="false" customHeight="false" outlineLevel="0" collapsed="false">
      <c r="A1081" s="362"/>
      <c r="B1081" s="362"/>
      <c r="P1081" s="84"/>
      <c r="Q1081" s="363"/>
    </row>
    <row r="1082" customFormat="false" ht="12.75" hidden="false" customHeight="false" outlineLevel="0" collapsed="false">
      <c r="A1082" s="362"/>
      <c r="B1082" s="362"/>
      <c r="P1082" s="84"/>
      <c r="Q1082" s="363"/>
    </row>
    <row r="1083" customFormat="false" ht="12.75" hidden="false" customHeight="false" outlineLevel="0" collapsed="false">
      <c r="A1083" s="362"/>
      <c r="B1083" s="362"/>
      <c r="P1083" s="84"/>
      <c r="Q1083" s="363"/>
    </row>
    <row r="1084" customFormat="false" ht="12.75" hidden="false" customHeight="false" outlineLevel="0" collapsed="false">
      <c r="A1084" s="362"/>
      <c r="B1084" s="362"/>
      <c r="P1084" s="84"/>
      <c r="Q1084" s="363"/>
    </row>
    <row r="1085" customFormat="false" ht="12.75" hidden="false" customHeight="false" outlineLevel="0" collapsed="false">
      <c r="A1085" s="362"/>
      <c r="B1085" s="362"/>
      <c r="P1085" s="84"/>
      <c r="Q1085" s="363"/>
    </row>
    <row r="1086" customFormat="false" ht="12.75" hidden="false" customHeight="false" outlineLevel="0" collapsed="false">
      <c r="A1086" s="362"/>
      <c r="B1086" s="362"/>
      <c r="P1086" s="84"/>
      <c r="Q1086" s="363"/>
    </row>
    <row r="1087" customFormat="false" ht="12.75" hidden="false" customHeight="false" outlineLevel="0" collapsed="false">
      <c r="A1087" s="362"/>
      <c r="B1087" s="362"/>
      <c r="P1087" s="84"/>
      <c r="Q1087" s="363"/>
    </row>
    <row r="1088" customFormat="false" ht="12.75" hidden="false" customHeight="false" outlineLevel="0" collapsed="false">
      <c r="A1088" s="362"/>
      <c r="B1088" s="362"/>
      <c r="P1088" s="84"/>
      <c r="Q1088" s="363"/>
    </row>
    <row r="1089" customFormat="false" ht="12.75" hidden="false" customHeight="false" outlineLevel="0" collapsed="false">
      <c r="A1089" s="362"/>
      <c r="B1089" s="362"/>
      <c r="P1089" s="84"/>
      <c r="Q1089" s="363"/>
    </row>
    <row r="1090" customFormat="false" ht="12.75" hidden="false" customHeight="false" outlineLevel="0" collapsed="false">
      <c r="A1090" s="362"/>
      <c r="B1090" s="362"/>
      <c r="P1090" s="84"/>
      <c r="Q1090" s="363"/>
    </row>
    <row r="1091" customFormat="false" ht="12.75" hidden="false" customHeight="false" outlineLevel="0" collapsed="false">
      <c r="A1091" s="362"/>
      <c r="B1091" s="362"/>
      <c r="P1091" s="84"/>
      <c r="Q1091" s="363"/>
    </row>
    <row r="1092" customFormat="false" ht="12.75" hidden="false" customHeight="false" outlineLevel="0" collapsed="false">
      <c r="A1092" s="362"/>
      <c r="B1092" s="362"/>
      <c r="P1092" s="84"/>
      <c r="Q1092" s="363"/>
    </row>
    <row r="1093" customFormat="false" ht="12.75" hidden="false" customHeight="false" outlineLevel="0" collapsed="false">
      <c r="A1093" s="362"/>
      <c r="B1093" s="362"/>
      <c r="P1093" s="84"/>
      <c r="Q1093" s="363"/>
    </row>
    <row r="1094" customFormat="false" ht="12.75" hidden="false" customHeight="false" outlineLevel="0" collapsed="false">
      <c r="A1094" s="362"/>
      <c r="B1094" s="362"/>
      <c r="P1094" s="84"/>
      <c r="Q1094" s="363"/>
    </row>
    <row r="1095" customFormat="false" ht="12.75" hidden="false" customHeight="false" outlineLevel="0" collapsed="false">
      <c r="A1095" s="362"/>
      <c r="B1095" s="362"/>
      <c r="P1095" s="84"/>
      <c r="Q1095" s="363"/>
    </row>
    <row r="1096" customFormat="false" ht="12.75" hidden="false" customHeight="false" outlineLevel="0" collapsed="false">
      <c r="A1096" s="362"/>
      <c r="B1096" s="362"/>
      <c r="P1096" s="84"/>
      <c r="Q1096" s="363"/>
    </row>
    <row r="1097" customFormat="false" ht="12.75" hidden="false" customHeight="false" outlineLevel="0" collapsed="false">
      <c r="A1097" s="362"/>
      <c r="B1097" s="362"/>
      <c r="P1097" s="84"/>
      <c r="Q1097" s="363"/>
    </row>
    <row r="1098" customFormat="false" ht="12.75" hidden="false" customHeight="false" outlineLevel="0" collapsed="false">
      <c r="A1098" s="362"/>
      <c r="B1098" s="362"/>
      <c r="P1098" s="84"/>
      <c r="Q1098" s="363"/>
    </row>
    <row r="1099" customFormat="false" ht="12.75" hidden="false" customHeight="false" outlineLevel="0" collapsed="false">
      <c r="A1099" s="362"/>
      <c r="B1099" s="362"/>
      <c r="P1099" s="84"/>
      <c r="Q1099" s="363"/>
    </row>
    <row r="1100" customFormat="false" ht="12.75" hidden="false" customHeight="false" outlineLevel="0" collapsed="false">
      <c r="A1100" s="362"/>
      <c r="B1100" s="362"/>
      <c r="P1100" s="84"/>
      <c r="Q1100" s="363"/>
    </row>
    <row r="1101" customFormat="false" ht="12.75" hidden="false" customHeight="false" outlineLevel="0" collapsed="false">
      <c r="A1101" s="362"/>
      <c r="B1101" s="362"/>
      <c r="P1101" s="84"/>
      <c r="Q1101" s="363"/>
    </row>
    <row r="1102" customFormat="false" ht="12.75" hidden="false" customHeight="false" outlineLevel="0" collapsed="false">
      <c r="A1102" s="362"/>
      <c r="B1102" s="362"/>
      <c r="P1102" s="84"/>
      <c r="Q1102" s="363"/>
    </row>
    <row r="1103" customFormat="false" ht="12.75" hidden="false" customHeight="false" outlineLevel="0" collapsed="false">
      <c r="A1103" s="362"/>
      <c r="B1103" s="362"/>
      <c r="P1103" s="84"/>
      <c r="Q1103" s="363"/>
    </row>
    <row r="1104" customFormat="false" ht="12.75" hidden="false" customHeight="false" outlineLevel="0" collapsed="false">
      <c r="A1104" s="362"/>
      <c r="B1104" s="362"/>
      <c r="P1104" s="84"/>
      <c r="Q1104" s="363"/>
    </row>
    <row r="1105" customFormat="false" ht="12.75" hidden="false" customHeight="false" outlineLevel="0" collapsed="false">
      <c r="A1105" s="362"/>
      <c r="B1105" s="362"/>
      <c r="P1105" s="84"/>
      <c r="Q1105" s="363"/>
    </row>
    <row r="1106" customFormat="false" ht="12.75" hidden="false" customHeight="false" outlineLevel="0" collapsed="false">
      <c r="A1106" s="362"/>
      <c r="B1106" s="362"/>
      <c r="P1106" s="84"/>
      <c r="Q1106" s="363"/>
    </row>
    <row r="1107" customFormat="false" ht="12.75" hidden="false" customHeight="false" outlineLevel="0" collapsed="false">
      <c r="A1107" s="362"/>
      <c r="B1107" s="362"/>
      <c r="P1107" s="84"/>
      <c r="Q1107" s="363"/>
    </row>
    <row r="1108" customFormat="false" ht="12.75" hidden="false" customHeight="false" outlineLevel="0" collapsed="false">
      <c r="A1108" s="362"/>
      <c r="B1108" s="362"/>
      <c r="P1108" s="84"/>
      <c r="Q1108" s="363"/>
    </row>
    <row r="1109" customFormat="false" ht="12.75" hidden="false" customHeight="false" outlineLevel="0" collapsed="false">
      <c r="A1109" s="362"/>
      <c r="B1109" s="362"/>
      <c r="P1109" s="84"/>
      <c r="Q1109" s="363"/>
    </row>
    <row r="1110" customFormat="false" ht="12.75" hidden="false" customHeight="false" outlineLevel="0" collapsed="false">
      <c r="A1110" s="362"/>
      <c r="B1110" s="362"/>
      <c r="P1110" s="84"/>
      <c r="Q1110" s="363"/>
    </row>
    <row r="1111" customFormat="false" ht="12.75" hidden="false" customHeight="false" outlineLevel="0" collapsed="false">
      <c r="A1111" s="362"/>
      <c r="B1111" s="362"/>
      <c r="P1111" s="84"/>
      <c r="Q1111" s="363"/>
    </row>
    <row r="1112" customFormat="false" ht="12.75" hidden="false" customHeight="false" outlineLevel="0" collapsed="false">
      <c r="A1112" s="362"/>
      <c r="B1112" s="362"/>
      <c r="P1112" s="84"/>
      <c r="Q1112" s="363"/>
    </row>
    <row r="1113" customFormat="false" ht="12.75" hidden="false" customHeight="false" outlineLevel="0" collapsed="false">
      <c r="A1113" s="362"/>
      <c r="B1113" s="362"/>
      <c r="P1113" s="84"/>
      <c r="Q1113" s="363"/>
    </row>
    <row r="1114" customFormat="false" ht="12.75" hidden="false" customHeight="false" outlineLevel="0" collapsed="false">
      <c r="A1114" s="362"/>
      <c r="B1114" s="362"/>
      <c r="P1114" s="84"/>
      <c r="Q1114" s="363"/>
    </row>
    <row r="1115" customFormat="false" ht="12.75" hidden="false" customHeight="false" outlineLevel="0" collapsed="false">
      <c r="A1115" s="362"/>
      <c r="B1115" s="362"/>
      <c r="P1115" s="84"/>
      <c r="Q1115" s="363"/>
    </row>
    <row r="1116" customFormat="false" ht="12.75" hidden="false" customHeight="false" outlineLevel="0" collapsed="false">
      <c r="A1116" s="362"/>
      <c r="B1116" s="362"/>
      <c r="P1116" s="84"/>
      <c r="Q1116" s="363"/>
    </row>
    <row r="1117" customFormat="false" ht="12.75" hidden="false" customHeight="false" outlineLevel="0" collapsed="false">
      <c r="A1117" s="362"/>
      <c r="B1117" s="362"/>
      <c r="P1117" s="84"/>
      <c r="Q1117" s="363"/>
    </row>
    <row r="1118" customFormat="false" ht="12.75" hidden="false" customHeight="false" outlineLevel="0" collapsed="false">
      <c r="A1118" s="362"/>
      <c r="B1118" s="362"/>
      <c r="P1118" s="84"/>
      <c r="Q1118" s="363"/>
    </row>
    <row r="1119" customFormat="false" ht="12.75" hidden="false" customHeight="false" outlineLevel="0" collapsed="false">
      <c r="A1119" s="362"/>
      <c r="B1119" s="362"/>
      <c r="P1119" s="84"/>
      <c r="Q1119" s="363"/>
    </row>
    <row r="1120" customFormat="false" ht="12.75" hidden="false" customHeight="false" outlineLevel="0" collapsed="false">
      <c r="A1120" s="362"/>
      <c r="B1120" s="362"/>
      <c r="P1120" s="84"/>
      <c r="Q1120" s="363"/>
    </row>
    <row r="1121" customFormat="false" ht="12.75" hidden="false" customHeight="false" outlineLevel="0" collapsed="false">
      <c r="A1121" s="362"/>
      <c r="B1121" s="362"/>
      <c r="P1121" s="84"/>
      <c r="Q1121" s="363"/>
    </row>
    <row r="1122" customFormat="false" ht="12.75" hidden="false" customHeight="false" outlineLevel="0" collapsed="false">
      <c r="A1122" s="362"/>
      <c r="B1122" s="362"/>
      <c r="P1122" s="84"/>
      <c r="Q1122" s="363"/>
    </row>
    <row r="1123" customFormat="false" ht="12.75" hidden="false" customHeight="false" outlineLevel="0" collapsed="false">
      <c r="A1123" s="362"/>
      <c r="B1123" s="362"/>
      <c r="P1123" s="84"/>
      <c r="Q1123" s="363"/>
    </row>
    <row r="1124" customFormat="false" ht="12.75" hidden="false" customHeight="false" outlineLevel="0" collapsed="false">
      <c r="A1124" s="362"/>
      <c r="B1124" s="362"/>
      <c r="P1124" s="84"/>
      <c r="Q1124" s="363"/>
    </row>
    <row r="1125" customFormat="false" ht="12.75" hidden="false" customHeight="false" outlineLevel="0" collapsed="false">
      <c r="A1125" s="362"/>
      <c r="B1125" s="362"/>
      <c r="P1125" s="84"/>
      <c r="Q1125" s="363"/>
    </row>
    <row r="1126" customFormat="false" ht="12.75" hidden="false" customHeight="false" outlineLevel="0" collapsed="false">
      <c r="A1126" s="362"/>
      <c r="B1126" s="362"/>
      <c r="P1126" s="84"/>
      <c r="Q1126" s="363"/>
    </row>
    <row r="1127" customFormat="false" ht="12.75" hidden="false" customHeight="false" outlineLevel="0" collapsed="false">
      <c r="A1127" s="362"/>
      <c r="B1127" s="362"/>
      <c r="P1127" s="84"/>
      <c r="Q1127" s="363"/>
    </row>
    <row r="1128" customFormat="false" ht="12.75" hidden="false" customHeight="false" outlineLevel="0" collapsed="false">
      <c r="A1128" s="362"/>
      <c r="B1128" s="362"/>
      <c r="P1128" s="84"/>
      <c r="Q1128" s="363"/>
    </row>
    <row r="1129" customFormat="false" ht="12.75" hidden="false" customHeight="false" outlineLevel="0" collapsed="false">
      <c r="A1129" s="362"/>
      <c r="B1129" s="362"/>
      <c r="P1129" s="84"/>
      <c r="Q1129" s="363"/>
    </row>
    <row r="1130" customFormat="false" ht="12.75" hidden="false" customHeight="false" outlineLevel="0" collapsed="false">
      <c r="A1130" s="362"/>
      <c r="B1130" s="362"/>
      <c r="P1130" s="84"/>
      <c r="Q1130" s="363"/>
    </row>
    <row r="1131" customFormat="false" ht="12.75" hidden="false" customHeight="false" outlineLevel="0" collapsed="false">
      <c r="A1131" s="362"/>
      <c r="B1131" s="362"/>
      <c r="P1131" s="84"/>
      <c r="Q1131" s="363"/>
    </row>
    <row r="1132" customFormat="false" ht="12.75" hidden="false" customHeight="false" outlineLevel="0" collapsed="false">
      <c r="A1132" s="362"/>
      <c r="B1132" s="362"/>
      <c r="P1132" s="84"/>
      <c r="Q1132" s="363"/>
    </row>
    <row r="1133" customFormat="false" ht="12.75" hidden="false" customHeight="false" outlineLevel="0" collapsed="false">
      <c r="A1133" s="362"/>
      <c r="B1133" s="362"/>
      <c r="P1133" s="84"/>
      <c r="Q1133" s="363"/>
    </row>
    <row r="1134" customFormat="false" ht="12.75" hidden="false" customHeight="false" outlineLevel="0" collapsed="false">
      <c r="A1134" s="362"/>
      <c r="B1134" s="362"/>
      <c r="P1134" s="84"/>
      <c r="Q1134" s="363"/>
    </row>
    <row r="1135" customFormat="false" ht="12.75" hidden="false" customHeight="false" outlineLevel="0" collapsed="false">
      <c r="A1135" s="362"/>
      <c r="B1135" s="362"/>
      <c r="P1135" s="84"/>
      <c r="Q1135" s="363"/>
    </row>
    <row r="1136" customFormat="false" ht="12.75" hidden="false" customHeight="false" outlineLevel="0" collapsed="false">
      <c r="A1136" s="362"/>
      <c r="B1136" s="362"/>
      <c r="P1136" s="84"/>
      <c r="Q1136" s="363"/>
    </row>
    <row r="1137" customFormat="false" ht="12.75" hidden="false" customHeight="false" outlineLevel="0" collapsed="false">
      <c r="A1137" s="362"/>
      <c r="B1137" s="362"/>
      <c r="P1137" s="84"/>
      <c r="Q1137" s="363"/>
    </row>
    <row r="1138" customFormat="false" ht="12.75" hidden="false" customHeight="false" outlineLevel="0" collapsed="false">
      <c r="A1138" s="362"/>
      <c r="B1138" s="362"/>
      <c r="P1138" s="84"/>
      <c r="Q1138" s="363"/>
    </row>
    <row r="1139" customFormat="false" ht="12.75" hidden="false" customHeight="false" outlineLevel="0" collapsed="false">
      <c r="A1139" s="362"/>
      <c r="B1139" s="362"/>
      <c r="P1139" s="84"/>
      <c r="Q1139" s="363"/>
    </row>
    <row r="1140" customFormat="false" ht="12.75" hidden="false" customHeight="false" outlineLevel="0" collapsed="false">
      <c r="A1140" s="362"/>
      <c r="B1140" s="362"/>
      <c r="P1140" s="84"/>
      <c r="Q1140" s="363"/>
    </row>
    <row r="1141" customFormat="false" ht="12.75" hidden="false" customHeight="false" outlineLevel="0" collapsed="false">
      <c r="A1141" s="362"/>
      <c r="B1141" s="362"/>
      <c r="P1141" s="84"/>
      <c r="Q1141" s="363"/>
    </row>
    <row r="1142" customFormat="false" ht="12.75" hidden="false" customHeight="false" outlineLevel="0" collapsed="false">
      <c r="A1142" s="362"/>
      <c r="B1142" s="362"/>
      <c r="P1142" s="84"/>
      <c r="Q1142" s="363"/>
    </row>
    <row r="1143" customFormat="false" ht="12.75" hidden="false" customHeight="false" outlineLevel="0" collapsed="false">
      <c r="A1143" s="362"/>
      <c r="B1143" s="362"/>
      <c r="P1143" s="84"/>
      <c r="Q1143" s="363"/>
    </row>
    <row r="1144" customFormat="false" ht="12.75" hidden="false" customHeight="false" outlineLevel="0" collapsed="false">
      <c r="A1144" s="362"/>
      <c r="B1144" s="362"/>
      <c r="P1144" s="84"/>
      <c r="Q1144" s="363"/>
    </row>
    <row r="1145" customFormat="false" ht="12.75" hidden="false" customHeight="false" outlineLevel="0" collapsed="false">
      <c r="A1145" s="362"/>
      <c r="B1145" s="362"/>
      <c r="P1145" s="84"/>
      <c r="Q1145" s="363"/>
    </row>
    <row r="1146" customFormat="false" ht="12.75" hidden="false" customHeight="false" outlineLevel="0" collapsed="false">
      <c r="A1146" s="362"/>
      <c r="B1146" s="362"/>
      <c r="P1146" s="84"/>
      <c r="Q1146" s="363"/>
    </row>
    <row r="1147" customFormat="false" ht="12.75" hidden="false" customHeight="false" outlineLevel="0" collapsed="false">
      <c r="A1147" s="362"/>
      <c r="B1147" s="362"/>
      <c r="P1147" s="84"/>
      <c r="Q1147" s="363"/>
    </row>
    <row r="1148" customFormat="false" ht="12.75" hidden="false" customHeight="false" outlineLevel="0" collapsed="false">
      <c r="A1148" s="362"/>
      <c r="B1148" s="362"/>
      <c r="P1148" s="84"/>
      <c r="Q1148" s="363"/>
    </row>
    <row r="1149" customFormat="false" ht="12.75" hidden="false" customHeight="false" outlineLevel="0" collapsed="false">
      <c r="A1149" s="362"/>
      <c r="B1149" s="362"/>
      <c r="P1149" s="84"/>
      <c r="Q1149" s="363"/>
    </row>
    <row r="1150" customFormat="false" ht="12.75" hidden="false" customHeight="false" outlineLevel="0" collapsed="false">
      <c r="A1150" s="362"/>
      <c r="B1150" s="362"/>
      <c r="P1150" s="84"/>
      <c r="Q1150" s="363"/>
    </row>
    <row r="1151" customFormat="false" ht="12.75" hidden="false" customHeight="false" outlineLevel="0" collapsed="false">
      <c r="A1151" s="362"/>
      <c r="B1151" s="362"/>
      <c r="P1151" s="84"/>
      <c r="Q1151" s="363"/>
    </row>
    <row r="1152" customFormat="false" ht="12.75" hidden="false" customHeight="false" outlineLevel="0" collapsed="false">
      <c r="A1152" s="362"/>
      <c r="B1152" s="362"/>
      <c r="P1152" s="84"/>
      <c r="Q1152" s="363"/>
    </row>
    <row r="1153" customFormat="false" ht="12.75" hidden="false" customHeight="false" outlineLevel="0" collapsed="false">
      <c r="A1153" s="362"/>
      <c r="B1153" s="362"/>
      <c r="P1153" s="84"/>
      <c r="Q1153" s="363"/>
    </row>
    <row r="1154" customFormat="false" ht="12.75" hidden="false" customHeight="false" outlineLevel="0" collapsed="false">
      <c r="A1154" s="362"/>
      <c r="B1154" s="362"/>
      <c r="P1154" s="84"/>
      <c r="Q1154" s="363"/>
    </row>
    <row r="1155" customFormat="false" ht="12.75" hidden="false" customHeight="false" outlineLevel="0" collapsed="false">
      <c r="A1155" s="362"/>
      <c r="B1155" s="362"/>
      <c r="P1155" s="84"/>
      <c r="Q1155" s="363"/>
    </row>
    <row r="1156" customFormat="false" ht="12.75" hidden="false" customHeight="false" outlineLevel="0" collapsed="false">
      <c r="A1156" s="362"/>
      <c r="B1156" s="362"/>
      <c r="P1156" s="84"/>
      <c r="Q1156" s="363"/>
    </row>
    <row r="1157" customFormat="false" ht="12.75" hidden="false" customHeight="false" outlineLevel="0" collapsed="false">
      <c r="A1157" s="362"/>
      <c r="B1157" s="362"/>
      <c r="P1157" s="84"/>
      <c r="Q1157" s="363"/>
    </row>
    <row r="1158" customFormat="false" ht="12.75" hidden="false" customHeight="false" outlineLevel="0" collapsed="false">
      <c r="A1158" s="362"/>
      <c r="B1158" s="362"/>
      <c r="P1158" s="84"/>
      <c r="Q1158" s="363"/>
    </row>
    <row r="1159" customFormat="false" ht="12.75" hidden="false" customHeight="false" outlineLevel="0" collapsed="false">
      <c r="A1159" s="362"/>
      <c r="B1159" s="362"/>
      <c r="P1159" s="84"/>
      <c r="Q1159" s="363"/>
    </row>
    <row r="1160" customFormat="false" ht="12.75" hidden="false" customHeight="false" outlineLevel="0" collapsed="false">
      <c r="A1160" s="362"/>
      <c r="B1160" s="362"/>
      <c r="P1160" s="84"/>
      <c r="Q1160" s="363"/>
    </row>
    <row r="1161" customFormat="false" ht="12.75" hidden="false" customHeight="false" outlineLevel="0" collapsed="false">
      <c r="A1161" s="362"/>
      <c r="B1161" s="362"/>
      <c r="P1161" s="84"/>
      <c r="Q1161" s="363"/>
    </row>
    <row r="1162" customFormat="false" ht="12.75" hidden="false" customHeight="false" outlineLevel="0" collapsed="false">
      <c r="A1162" s="362"/>
      <c r="B1162" s="362"/>
      <c r="P1162" s="84"/>
      <c r="Q1162" s="363"/>
    </row>
    <row r="1163" customFormat="false" ht="12.75" hidden="false" customHeight="false" outlineLevel="0" collapsed="false">
      <c r="A1163" s="362"/>
      <c r="B1163" s="362"/>
      <c r="P1163" s="84"/>
      <c r="Q1163" s="363"/>
    </row>
    <row r="1164" customFormat="false" ht="12.75" hidden="false" customHeight="false" outlineLevel="0" collapsed="false">
      <c r="A1164" s="362"/>
      <c r="B1164" s="362"/>
      <c r="P1164" s="84"/>
      <c r="Q1164" s="363"/>
    </row>
    <row r="1165" customFormat="false" ht="12.75" hidden="false" customHeight="false" outlineLevel="0" collapsed="false">
      <c r="A1165" s="362"/>
      <c r="B1165" s="362"/>
      <c r="P1165" s="84"/>
      <c r="Q1165" s="363"/>
    </row>
    <row r="1166" customFormat="false" ht="12.75" hidden="false" customHeight="false" outlineLevel="0" collapsed="false">
      <c r="A1166" s="362"/>
      <c r="B1166" s="362"/>
      <c r="P1166" s="84"/>
      <c r="Q1166" s="363"/>
    </row>
    <row r="1167" customFormat="false" ht="12.75" hidden="false" customHeight="false" outlineLevel="0" collapsed="false">
      <c r="A1167" s="362"/>
      <c r="B1167" s="362"/>
      <c r="P1167" s="84"/>
      <c r="Q1167" s="363"/>
    </row>
    <row r="1168" customFormat="false" ht="12.75" hidden="false" customHeight="false" outlineLevel="0" collapsed="false">
      <c r="A1168" s="362"/>
      <c r="B1168" s="362"/>
      <c r="P1168" s="84"/>
      <c r="Q1168" s="363"/>
    </row>
    <row r="1169" customFormat="false" ht="12.75" hidden="false" customHeight="false" outlineLevel="0" collapsed="false">
      <c r="A1169" s="362"/>
      <c r="B1169" s="362"/>
      <c r="P1169" s="84"/>
      <c r="Q1169" s="363"/>
    </row>
    <row r="1170" customFormat="false" ht="12.75" hidden="false" customHeight="false" outlineLevel="0" collapsed="false">
      <c r="A1170" s="362"/>
      <c r="B1170" s="362"/>
      <c r="P1170" s="84"/>
      <c r="Q1170" s="363"/>
    </row>
    <row r="1171" customFormat="false" ht="12.75" hidden="false" customHeight="false" outlineLevel="0" collapsed="false">
      <c r="A1171" s="362"/>
      <c r="B1171" s="362"/>
      <c r="P1171" s="84"/>
      <c r="Q1171" s="363"/>
    </row>
    <row r="1172" customFormat="false" ht="12.75" hidden="false" customHeight="false" outlineLevel="0" collapsed="false">
      <c r="A1172" s="362"/>
      <c r="B1172" s="362"/>
      <c r="P1172" s="84"/>
      <c r="Q1172" s="363"/>
    </row>
    <row r="1173" customFormat="false" ht="12.75" hidden="false" customHeight="false" outlineLevel="0" collapsed="false">
      <c r="A1173" s="362"/>
      <c r="B1173" s="362"/>
      <c r="P1173" s="84"/>
      <c r="Q1173" s="363"/>
    </row>
    <row r="1174" customFormat="false" ht="12.75" hidden="false" customHeight="false" outlineLevel="0" collapsed="false">
      <c r="A1174" s="362"/>
      <c r="B1174" s="362"/>
      <c r="P1174" s="84"/>
      <c r="Q1174" s="363"/>
    </row>
    <row r="1175" customFormat="false" ht="12.75" hidden="false" customHeight="false" outlineLevel="0" collapsed="false">
      <c r="A1175" s="362"/>
      <c r="B1175" s="362"/>
      <c r="P1175" s="84"/>
      <c r="Q1175" s="363"/>
    </row>
    <row r="1176" customFormat="false" ht="12.75" hidden="false" customHeight="false" outlineLevel="0" collapsed="false">
      <c r="A1176" s="362"/>
      <c r="B1176" s="362"/>
      <c r="P1176" s="84"/>
      <c r="Q1176" s="363"/>
    </row>
    <row r="1177" customFormat="false" ht="12.75" hidden="false" customHeight="false" outlineLevel="0" collapsed="false">
      <c r="A1177" s="362"/>
      <c r="B1177" s="362"/>
      <c r="P1177" s="84"/>
      <c r="Q1177" s="363"/>
    </row>
    <row r="1178" customFormat="false" ht="12.75" hidden="false" customHeight="false" outlineLevel="0" collapsed="false">
      <c r="A1178" s="362"/>
      <c r="B1178" s="362"/>
      <c r="P1178" s="84"/>
      <c r="Q1178" s="363"/>
    </row>
    <row r="1179" customFormat="false" ht="12.75" hidden="false" customHeight="false" outlineLevel="0" collapsed="false">
      <c r="A1179" s="362"/>
      <c r="B1179" s="362"/>
      <c r="P1179" s="84"/>
      <c r="Q1179" s="363"/>
    </row>
    <row r="1180" customFormat="false" ht="12.75" hidden="false" customHeight="false" outlineLevel="0" collapsed="false">
      <c r="A1180" s="362"/>
      <c r="B1180" s="362"/>
      <c r="P1180" s="84"/>
      <c r="Q1180" s="363"/>
    </row>
    <row r="1181" customFormat="false" ht="12.75" hidden="false" customHeight="false" outlineLevel="0" collapsed="false">
      <c r="A1181" s="362"/>
      <c r="B1181" s="362"/>
      <c r="P1181" s="84"/>
      <c r="Q1181" s="363"/>
    </row>
    <row r="1182" customFormat="false" ht="12.75" hidden="false" customHeight="false" outlineLevel="0" collapsed="false">
      <c r="A1182" s="362"/>
      <c r="B1182" s="362"/>
      <c r="P1182" s="84"/>
      <c r="Q1182" s="363"/>
    </row>
    <row r="1183" customFormat="false" ht="12.75" hidden="false" customHeight="false" outlineLevel="0" collapsed="false">
      <c r="A1183" s="362"/>
      <c r="B1183" s="362"/>
      <c r="P1183" s="84"/>
      <c r="Q1183" s="363"/>
    </row>
    <row r="1184" customFormat="false" ht="12.75" hidden="false" customHeight="false" outlineLevel="0" collapsed="false">
      <c r="A1184" s="362"/>
      <c r="B1184" s="362"/>
      <c r="P1184" s="84"/>
      <c r="Q1184" s="363"/>
    </row>
    <row r="1185" customFormat="false" ht="12.75" hidden="false" customHeight="false" outlineLevel="0" collapsed="false">
      <c r="A1185" s="362"/>
      <c r="B1185" s="362"/>
      <c r="P1185" s="84"/>
      <c r="Q1185" s="363"/>
    </row>
    <row r="1186" customFormat="false" ht="12.75" hidden="false" customHeight="false" outlineLevel="0" collapsed="false">
      <c r="A1186" s="362"/>
      <c r="B1186" s="362"/>
      <c r="P1186" s="84"/>
      <c r="Q1186" s="363"/>
    </row>
    <row r="1187" customFormat="false" ht="12.75" hidden="false" customHeight="false" outlineLevel="0" collapsed="false">
      <c r="A1187" s="362"/>
      <c r="B1187" s="362"/>
      <c r="P1187" s="84"/>
      <c r="Q1187" s="363"/>
    </row>
    <row r="1188" customFormat="false" ht="12.75" hidden="false" customHeight="false" outlineLevel="0" collapsed="false">
      <c r="A1188" s="362"/>
      <c r="B1188" s="362"/>
      <c r="P1188" s="84"/>
      <c r="Q1188" s="363"/>
    </row>
    <row r="1189" customFormat="false" ht="12.75" hidden="false" customHeight="false" outlineLevel="0" collapsed="false">
      <c r="A1189" s="362"/>
      <c r="B1189" s="362"/>
      <c r="P1189" s="84"/>
      <c r="Q1189" s="363"/>
    </row>
    <row r="1190" customFormat="false" ht="12.75" hidden="false" customHeight="false" outlineLevel="0" collapsed="false">
      <c r="A1190" s="362"/>
      <c r="B1190" s="362"/>
      <c r="P1190" s="84"/>
      <c r="Q1190" s="363"/>
    </row>
    <row r="1191" customFormat="false" ht="12.75" hidden="false" customHeight="false" outlineLevel="0" collapsed="false">
      <c r="A1191" s="362"/>
      <c r="B1191" s="362"/>
      <c r="P1191" s="84"/>
      <c r="Q1191" s="363"/>
    </row>
    <row r="1192" customFormat="false" ht="12.75" hidden="false" customHeight="false" outlineLevel="0" collapsed="false">
      <c r="A1192" s="362"/>
      <c r="B1192" s="362"/>
      <c r="P1192" s="84"/>
      <c r="Q1192" s="363"/>
    </row>
    <row r="1193" customFormat="false" ht="12.75" hidden="false" customHeight="false" outlineLevel="0" collapsed="false">
      <c r="A1193" s="362"/>
      <c r="B1193" s="362"/>
      <c r="P1193" s="84"/>
      <c r="Q1193" s="363"/>
    </row>
    <row r="1194" customFormat="false" ht="12.75" hidden="false" customHeight="false" outlineLevel="0" collapsed="false">
      <c r="A1194" s="362"/>
      <c r="B1194" s="362"/>
      <c r="P1194" s="84"/>
      <c r="Q1194" s="363"/>
    </row>
    <row r="1195" customFormat="false" ht="12.75" hidden="false" customHeight="false" outlineLevel="0" collapsed="false">
      <c r="A1195" s="362"/>
      <c r="B1195" s="362"/>
      <c r="P1195" s="84"/>
      <c r="Q1195" s="363"/>
    </row>
    <row r="1196" customFormat="false" ht="12.75" hidden="false" customHeight="false" outlineLevel="0" collapsed="false">
      <c r="A1196" s="362"/>
      <c r="B1196" s="362"/>
      <c r="P1196" s="84"/>
      <c r="Q1196" s="363"/>
    </row>
    <row r="1197" customFormat="false" ht="12.75" hidden="false" customHeight="false" outlineLevel="0" collapsed="false">
      <c r="A1197" s="362"/>
      <c r="B1197" s="362"/>
      <c r="P1197" s="84"/>
      <c r="Q1197" s="363"/>
    </row>
    <row r="1198" customFormat="false" ht="12.75" hidden="false" customHeight="false" outlineLevel="0" collapsed="false">
      <c r="A1198" s="362"/>
      <c r="B1198" s="362"/>
      <c r="P1198" s="84"/>
      <c r="Q1198" s="363"/>
    </row>
    <row r="1199" customFormat="false" ht="12.75" hidden="false" customHeight="false" outlineLevel="0" collapsed="false">
      <c r="A1199" s="362"/>
      <c r="B1199" s="362"/>
      <c r="P1199" s="84"/>
      <c r="Q1199" s="363"/>
    </row>
    <row r="1200" customFormat="false" ht="12.75" hidden="false" customHeight="false" outlineLevel="0" collapsed="false">
      <c r="A1200" s="362"/>
      <c r="B1200" s="362"/>
      <c r="P1200" s="84"/>
      <c r="Q1200" s="363"/>
    </row>
    <row r="1201" customFormat="false" ht="12.75" hidden="false" customHeight="false" outlineLevel="0" collapsed="false">
      <c r="A1201" s="362"/>
      <c r="B1201" s="362"/>
      <c r="P1201" s="84"/>
      <c r="Q1201" s="363"/>
    </row>
    <row r="1202" customFormat="false" ht="12.75" hidden="false" customHeight="false" outlineLevel="0" collapsed="false">
      <c r="A1202" s="362"/>
      <c r="B1202" s="362"/>
      <c r="P1202" s="84"/>
      <c r="Q1202" s="363"/>
    </row>
    <row r="1203" customFormat="false" ht="12.75" hidden="false" customHeight="false" outlineLevel="0" collapsed="false">
      <c r="A1203" s="362"/>
      <c r="B1203" s="362"/>
      <c r="P1203" s="84"/>
      <c r="Q1203" s="363"/>
    </row>
    <row r="1204" customFormat="false" ht="12.75" hidden="false" customHeight="false" outlineLevel="0" collapsed="false">
      <c r="A1204" s="362"/>
      <c r="B1204" s="362"/>
      <c r="P1204" s="84"/>
      <c r="Q1204" s="363"/>
    </row>
    <row r="1205" customFormat="false" ht="12.75" hidden="false" customHeight="false" outlineLevel="0" collapsed="false">
      <c r="A1205" s="362"/>
      <c r="B1205" s="362"/>
      <c r="P1205" s="84"/>
      <c r="Q1205" s="363"/>
    </row>
    <row r="1206" customFormat="false" ht="12.75" hidden="false" customHeight="false" outlineLevel="0" collapsed="false">
      <c r="A1206" s="362"/>
      <c r="B1206" s="362"/>
      <c r="P1206" s="84"/>
      <c r="Q1206" s="363"/>
    </row>
    <row r="1207" customFormat="false" ht="12.75" hidden="false" customHeight="false" outlineLevel="0" collapsed="false">
      <c r="A1207" s="362"/>
      <c r="B1207" s="362"/>
      <c r="P1207" s="84"/>
      <c r="Q1207" s="363"/>
    </row>
    <row r="1208" customFormat="false" ht="12.75" hidden="false" customHeight="false" outlineLevel="0" collapsed="false">
      <c r="A1208" s="362"/>
      <c r="B1208" s="362"/>
      <c r="P1208" s="84"/>
      <c r="Q1208" s="363"/>
    </row>
    <row r="1209" customFormat="false" ht="12.75" hidden="false" customHeight="false" outlineLevel="0" collapsed="false">
      <c r="A1209" s="362"/>
      <c r="B1209" s="362"/>
      <c r="P1209" s="84"/>
      <c r="Q1209" s="363"/>
    </row>
    <row r="1210" customFormat="false" ht="12.75" hidden="false" customHeight="false" outlineLevel="0" collapsed="false">
      <c r="A1210" s="362"/>
      <c r="B1210" s="362"/>
      <c r="P1210" s="84"/>
      <c r="Q1210" s="363"/>
    </row>
    <row r="1211" customFormat="false" ht="12.75" hidden="false" customHeight="false" outlineLevel="0" collapsed="false">
      <c r="A1211" s="362"/>
      <c r="B1211" s="362"/>
      <c r="P1211" s="84"/>
      <c r="Q1211" s="363"/>
    </row>
    <row r="1212" customFormat="false" ht="12.75" hidden="false" customHeight="false" outlineLevel="0" collapsed="false">
      <c r="A1212" s="362"/>
      <c r="B1212" s="362"/>
      <c r="P1212" s="84"/>
      <c r="Q1212" s="363"/>
    </row>
    <row r="1213" customFormat="false" ht="12.75" hidden="false" customHeight="false" outlineLevel="0" collapsed="false">
      <c r="A1213" s="362"/>
      <c r="B1213" s="362"/>
      <c r="P1213" s="84"/>
      <c r="Q1213" s="363"/>
    </row>
    <row r="1214" customFormat="false" ht="12.75" hidden="false" customHeight="false" outlineLevel="0" collapsed="false">
      <c r="A1214" s="362"/>
      <c r="B1214" s="362"/>
      <c r="P1214" s="84"/>
      <c r="Q1214" s="363"/>
    </row>
    <row r="1215" customFormat="false" ht="12.75" hidden="false" customHeight="false" outlineLevel="0" collapsed="false">
      <c r="A1215" s="362"/>
      <c r="B1215" s="362"/>
      <c r="P1215" s="84"/>
      <c r="Q1215" s="363"/>
    </row>
    <row r="1216" customFormat="false" ht="12.75" hidden="false" customHeight="false" outlineLevel="0" collapsed="false">
      <c r="A1216" s="362"/>
      <c r="B1216" s="362"/>
      <c r="P1216" s="84"/>
      <c r="Q1216" s="363"/>
    </row>
    <row r="1217" customFormat="false" ht="12.75" hidden="false" customHeight="false" outlineLevel="0" collapsed="false">
      <c r="A1217" s="362"/>
      <c r="B1217" s="362"/>
      <c r="P1217" s="84"/>
      <c r="Q1217" s="363"/>
    </row>
    <row r="1218" customFormat="false" ht="12.75" hidden="false" customHeight="false" outlineLevel="0" collapsed="false">
      <c r="A1218" s="362"/>
      <c r="B1218" s="362"/>
      <c r="P1218" s="84"/>
      <c r="Q1218" s="363"/>
    </row>
    <row r="1219" customFormat="false" ht="12.75" hidden="false" customHeight="false" outlineLevel="0" collapsed="false">
      <c r="A1219" s="362"/>
      <c r="B1219" s="362"/>
      <c r="P1219" s="84"/>
      <c r="Q1219" s="363"/>
    </row>
    <row r="1220" customFormat="false" ht="12.75" hidden="false" customHeight="false" outlineLevel="0" collapsed="false">
      <c r="A1220" s="362"/>
      <c r="B1220" s="362"/>
      <c r="P1220" s="84"/>
      <c r="Q1220" s="363"/>
    </row>
    <row r="1221" customFormat="false" ht="12.75" hidden="false" customHeight="false" outlineLevel="0" collapsed="false">
      <c r="A1221" s="362"/>
      <c r="B1221" s="362"/>
      <c r="P1221" s="84"/>
      <c r="Q1221" s="363"/>
    </row>
    <row r="1222" customFormat="false" ht="12.75" hidden="false" customHeight="false" outlineLevel="0" collapsed="false">
      <c r="A1222" s="362"/>
      <c r="B1222" s="362"/>
      <c r="P1222" s="84"/>
      <c r="Q1222" s="363"/>
    </row>
    <row r="1223" customFormat="false" ht="12.75" hidden="false" customHeight="false" outlineLevel="0" collapsed="false">
      <c r="A1223" s="362"/>
      <c r="B1223" s="362"/>
      <c r="P1223" s="84"/>
      <c r="Q1223" s="363"/>
    </row>
    <row r="1224" customFormat="false" ht="12.75" hidden="false" customHeight="false" outlineLevel="0" collapsed="false">
      <c r="A1224" s="362"/>
      <c r="B1224" s="362"/>
      <c r="P1224" s="84"/>
      <c r="Q1224" s="363"/>
    </row>
    <row r="1225" customFormat="false" ht="12.75" hidden="false" customHeight="false" outlineLevel="0" collapsed="false">
      <c r="A1225" s="362"/>
      <c r="B1225" s="362"/>
      <c r="P1225" s="84"/>
      <c r="Q1225" s="363"/>
    </row>
    <row r="1226" customFormat="false" ht="12.75" hidden="false" customHeight="false" outlineLevel="0" collapsed="false">
      <c r="A1226" s="362"/>
      <c r="B1226" s="362"/>
      <c r="P1226" s="84"/>
      <c r="Q1226" s="363"/>
    </row>
    <row r="1227" customFormat="false" ht="12.75" hidden="false" customHeight="false" outlineLevel="0" collapsed="false">
      <c r="A1227" s="362"/>
      <c r="B1227" s="362"/>
      <c r="P1227" s="84"/>
      <c r="Q1227" s="363"/>
    </row>
    <row r="1228" customFormat="false" ht="12.75" hidden="false" customHeight="false" outlineLevel="0" collapsed="false">
      <c r="A1228" s="362"/>
      <c r="B1228" s="362"/>
      <c r="P1228" s="84"/>
      <c r="Q1228" s="363"/>
    </row>
    <row r="1229" customFormat="false" ht="12.75" hidden="false" customHeight="false" outlineLevel="0" collapsed="false">
      <c r="A1229" s="362"/>
      <c r="B1229" s="362"/>
      <c r="P1229" s="84"/>
      <c r="Q1229" s="363"/>
    </row>
    <row r="1230" customFormat="false" ht="12.75" hidden="false" customHeight="false" outlineLevel="0" collapsed="false">
      <c r="A1230" s="362"/>
      <c r="B1230" s="362"/>
      <c r="P1230" s="84"/>
      <c r="Q1230" s="363"/>
    </row>
    <row r="1231" customFormat="false" ht="12.75" hidden="false" customHeight="false" outlineLevel="0" collapsed="false">
      <c r="A1231" s="362"/>
      <c r="B1231" s="362"/>
      <c r="P1231" s="84"/>
      <c r="Q1231" s="363"/>
    </row>
    <row r="1232" customFormat="false" ht="12.75" hidden="false" customHeight="false" outlineLevel="0" collapsed="false">
      <c r="A1232" s="362"/>
      <c r="B1232" s="362"/>
      <c r="P1232" s="84"/>
      <c r="Q1232" s="363"/>
    </row>
    <row r="1233" customFormat="false" ht="12.75" hidden="false" customHeight="false" outlineLevel="0" collapsed="false">
      <c r="A1233" s="362"/>
      <c r="B1233" s="362"/>
      <c r="P1233" s="84"/>
      <c r="Q1233" s="363"/>
    </row>
    <row r="1234" customFormat="false" ht="12.75" hidden="false" customHeight="false" outlineLevel="0" collapsed="false">
      <c r="A1234" s="362"/>
      <c r="B1234" s="362"/>
      <c r="P1234" s="84"/>
      <c r="Q1234" s="363"/>
    </row>
    <row r="1235" customFormat="false" ht="12.75" hidden="false" customHeight="false" outlineLevel="0" collapsed="false">
      <c r="A1235" s="362"/>
      <c r="B1235" s="362"/>
      <c r="P1235" s="84"/>
      <c r="Q1235" s="363"/>
    </row>
    <row r="1236" customFormat="false" ht="12.75" hidden="false" customHeight="false" outlineLevel="0" collapsed="false">
      <c r="A1236" s="362"/>
      <c r="B1236" s="362"/>
      <c r="P1236" s="84"/>
      <c r="Q1236" s="363"/>
    </row>
    <row r="1237" customFormat="false" ht="12.75" hidden="false" customHeight="false" outlineLevel="0" collapsed="false">
      <c r="A1237" s="362"/>
      <c r="B1237" s="362"/>
      <c r="P1237" s="84"/>
      <c r="Q1237" s="363"/>
    </row>
    <row r="1238" customFormat="false" ht="12.75" hidden="false" customHeight="false" outlineLevel="0" collapsed="false">
      <c r="A1238" s="362"/>
      <c r="B1238" s="362"/>
      <c r="P1238" s="84"/>
      <c r="Q1238" s="363"/>
    </row>
    <row r="1239" customFormat="false" ht="12.75" hidden="false" customHeight="false" outlineLevel="0" collapsed="false">
      <c r="A1239" s="362"/>
      <c r="B1239" s="362"/>
      <c r="P1239" s="84"/>
      <c r="Q1239" s="363"/>
    </row>
    <row r="1240" customFormat="false" ht="12.75" hidden="false" customHeight="false" outlineLevel="0" collapsed="false">
      <c r="A1240" s="362"/>
      <c r="B1240" s="362"/>
      <c r="P1240" s="84"/>
      <c r="Q1240" s="363"/>
    </row>
    <row r="1241" customFormat="false" ht="12.75" hidden="false" customHeight="false" outlineLevel="0" collapsed="false">
      <c r="A1241" s="362"/>
      <c r="B1241" s="362"/>
      <c r="P1241" s="84"/>
      <c r="Q1241" s="363"/>
    </row>
    <row r="1242" customFormat="false" ht="12.75" hidden="false" customHeight="false" outlineLevel="0" collapsed="false">
      <c r="A1242" s="362"/>
      <c r="B1242" s="362"/>
      <c r="P1242" s="84"/>
      <c r="Q1242" s="363"/>
    </row>
    <row r="1243" customFormat="false" ht="12.75" hidden="false" customHeight="false" outlineLevel="0" collapsed="false">
      <c r="A1243" s="362"/>
      <c r="B1243" s="362"/>
      <c r="P1243" s="84"/>
      <c r="Q1243" s="363"/>
    </row>
    <row r="1244" customFormat="false" ht="12.75" hidden="false" customHeight="false" outlineLevel="0" collapsed="false">
      <c r="A1244" s="362"/>
      <c r="B1244" s="362"/>
      <c r="P1244" s="84"/>
      <c r="Q1244" s="363"/>
    </row>
    <row r="1245" customFormat="false" ht="12.75" hidden="false" customHeight="false" outlineLevel="0" collapsed="false">
      <c r="A1245" s="362"/>
      <c r="B1245" s="362"/>
      <c r="P1245" s="84"/>
      <c r="Q1245" s="363"/>
    </row>
    <row r="1246" customFormat="false" ht="12.75" hidden="false" customHeight="false" outlineLevel="0" collapsed="false">
      <c r="A1246" s="362"/>
      <c r="B1246" s="362"/>
      <c r="P1246" s="84"/>
      <c r="Q1246" s="363"/>
    </row>
    <row r="1247" customFormat="false" ht="12.75" hidden="false" customHeight="false" outlineLevel="0" collapsed="false">
      <c r="A1247" s="362"/>
      <c r="B1247" s="362"/>
      <c r="P1247" s="84"/>
      <c r="Q1247" s="363"/>
    </row>
    <row r="1248" customFormat="false" ht="12.75" hidden="false" customHeight="false" outlineLevel="0" collapsed="false">
      <c r="A1248" s="362"/>
      <c r="B1248" s="362"/>
      <c r="P1248" s="84"/>
      <c r="Q1248" s="363"/>
    </row>
    <row r="1249" customFormat="false" ht="12.75" hidden="false" customHeight="false" outlineLevel="0" collapsed="false">
      <c r="A1249" s="362"/>
      <c r="B1249" s="362"/>
      <c r="P1249" s="84"/>
      <c r="Q1249" s="363"/>
    </row>
    <row r="1250" customFormat="false" ht="12.75" hidden="false" customHeight="false" outlineLevel="0" collapsed="false">
      <c r="A1250" s="362"/>
      <c r="B1250" s="362"/>
      <c r="P1250" s="84"/>
      <c r="Q1250" s="363"/>
    </row>
    <row r="1251" customFormat="false" ht="12.75" hidden="false" customHeight="false" outlineLevel="0" collapsed="false">
      <c r="A1251" s="362"/>
      <c r="B1251" s="362"/>
      <c r="P1251" s="84"/>
      <c r="Q1251" s="363"/>
    </row>
    <row r="1252" customFormat="false" ht="12.75" hidden="false" customHeight="false" outlineLevel="0" collapsed="false">
      <c r="A1252" s="362"/>
      <c r="B1252" s="362"/>
      <c r="P1252" s="84"/>
      <c r="Q1252" s="363"/>
    </row>
    <row r="1253" customFormat="false" ht="12.75" hidden="false" customHeight="false" outlineLevel="0" collapsed="false">
      <c r="A1253" s="362"/>
      <c r="B1253" s="362"/>
      <c r="P1253" s="84"/>
      <c r="Q1253" s="363"/>
    </row>
    <row r="1254" customFormat="false" ht="12.75" hidden="false" customHeight="false" outlineLevel="0" collapsed="false">
      <c r="A1254" s="362"/>
      <c r="B1254" s="362"/>
      <c r="P1254" s="84"/>
      <c r="Q1254" s="363"/>
    </row>
    <row r="1255" customFormat="false" ht="12.75" hidden="false" customHeight="false" outlineLevel="0" collapsed="false">
      <c r="A1255" s="362"/>
      <c r="B1255" s="362"/>
      <c r="P1255" s="84"/>
      <c r="Q1255" s="363"/>
    </row>
  </sheetData>
  <mergeCells count="12">
    <mergeCell ref="A1:H1"/>
    <mergeCell ref="I1:Q1"/>
    <mergeCell ref="R1:Z1"/>
    <mergeCell ref="AA1:AI1"/>
    <mergeCell ref="AJ1:AR1"/>
    <mergeCell ref="AS1:BL1"/>
    <mergeCell ref="BM1:BW1"/>
    <mergeCell ref="BX1:CA1"/>
    <mergeCell ref="CB1:CK1"/>
    <mergeCell ref="CL1:CV1"/>
    <mergeCell ref="CW1:DE1"/>
    <mergeCell ref="DG1:DO1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14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4" activeCellId="0" sqref="A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9.56"/>
    <col collapsed="false" customWidth="true" hidden="false" outlineLevel="0" max="11" min="11" style="0" width="9.85"/>
    <col collapsed="false" customWidth="true" hidden="false" outlineLevel="0" max="33" min="33" style="0" width="5.41"/>
    <col collapsed="false" customWidth="true" hidden="false" outlineLevel="0" max="34" min="34" style="0" width="4.28"/>
    <col collapsed="false" customWidth="true" hidden="false" outlineLevel="0" max="35" min="35" style="0" width="5.85"/>
    <col collapsed="false" customWidth="true" hidden="false" outlineLevel="0" max="36" min="36" style="0" width="3.7"/>
    <col collapsed="false" customWidth="true" hidden="false" outlineLevel="0" max="37" min="37" style="0" width="4.85"/>
    <col collapsed="false" customWidth="true" hidden="false" outlineLevel="0" max="40" min="40" style="0" width="1.99"/>
    <col collapsed="false" customWidth="true" hidden="false" outlineLevel="0" max="41" min="41" style="0" width="18.41"/>
    <col collapsed="false" customWidth="true" hidden="false" outlineLevel="0" max="43" min="43" style="0" width="1.85"/>
    <col collapsed="false" customWidth="true" hidden="false" outlineLevel="0" max="44" min="44" style="0" width="21.28"/>
    <col collapsed="false" customWidth="true" hidden="false" outlineLevel="0" max="46" min="46" style="0" width="1.85"/>
    <col collapsed="false" customWidth="true" hidden="false" outlineLevel="0" max="47" min="47" style="0" width="7.14"/>
    <col collapsed="false" customWidth="true" hidden="false" outlineLevel="0" max="49" min="49" style="0" width="1.99"/>
    <col collapsed="false" customWidth="true" hidden="false" outlineLevel="0" max="50" min="50" style="0" width="18.41"/>
  </cols>
  <sheetData>
    <row r="1" customFormat="false" ht="12.75" hidden="false" customHeight="false" outlineLevel="0" collapsed="false">
      <c r="A1" s="365" t="s">
        <v>1360</v>
      </c>
      <c r="G1" s="366" t="s">
        <v>1361</v>
      </c>
      <c r="H1" s="366" t="s">
        <v>1362</v>
      </c>
      <c r="AI1" s="154" t="s">
        <v>1323</v>
      </c>
    </row>
    <row r="2" customFormat="false" ht="12.75" hidden="false" customHeight="false" outlineLevel="0" collapsed="false">
      <c r="A2" s="367"/>
      <c r="B2" s="368" t="s">
        <v>97</v>
      </c>
      <c r="C2" s="368" t="s">
        <v>98</v>
      </c>
      <c r="D2" s="367"/>
      <c r="E2" s="367"/>
      <c r="G2" s="369" t="s">
        <v>1363</v>
      </c>
      <c r="H2" s="370" t="n">
        <f aca="false">IF(N13=2,AVERAGE(B14:M29),AVERAGE(B13:M28))</f>
        <v>0.999995353825263</v>
      </c>
      <c r="I2" s="367"/>
      <c r="J2" s="367"/>
      <c r="K2" s="367"/>
      <c r="L2" s="367"/>
      <c r="M2" s="367"/>
      <c r="N2" s="367"/>
      <c r="O2" s="36"/>
      <c r="P2" s="36"/>
      <c r="AG2" s="36" t="s">
        <v>1338</v>
      </c>
      <c r="AH2" s="36" t="s">
        <v>29</v>
      </c>
      <c r="AI2" s="27" t="s">
        <v>30</v>
      </c>
      <c r="AJ2" s="36" t="s">
        <v>1364</v>
      </c>
      <c r="AK2" s="36" t="s">
        <v>1321</v>
      </c>
      <c r="AM2" s="216"/>
      <c r="AN2" s="216"/>
      <c r="AO2" s="216"/>
      <c r="AP2" s="216"/>
    </row>
    <row r="3" customFormat="false" ht="12.75" hidden="false" customHeight="false" outlineLevel="0" collapsed="false">
      <c r="A3" s="368" t="s">
        <v>86</v>
      </c>
      <c r="B3" s="371" t="n">
        <f aca="false">IF(N13=2,A14,A13)</f>
        <v>800</v>
      </c>
      <c r="C3" s="371" t="n">
        <f aca="false">IF(N29=1,A29,A28)</f>
        <v>2300</v>
      </c>
      <c r="D3" s="367"/>
      <c r="E3" s="367"/>
      <c r="G3" s="369" t="s">
        <v>1365</v>
      </c>
      <c r="H3" s="370" t="n">
        <f aca="false">AVERAGE(B7:M30)</f>
        <v>0.999996085927082</v>
      </c>
      <c r="I3" s="367"/>
      <c r="J3" s="367"/>
      <c r="K3" s="367"/>
      <c r="L3" s="367"/>
      <c r="M3" s="367"/>
      <c r="N3" s="367"/>
      <c r="O3" s="36"/>
      <c r="P3" s="36"/>
      <c r="AG3" s="36" t="s">
        <v>1357</v>
      </c>
      <c r="AH3" s="36" t="s">
        <v>1357</v>
      </c>
      <c r="AI3" s="27" t="s">
        <v>1358</v>
      </c>
      <c r="AJ3" s="36"/>
      <c r="AK3" s="36"/>
      <c r="AM3" s="216"/>
      <c r="AN3" s="372" t="n">
        <v>1</v>
      </c>
      <c r="AO3" s="373" t="s">
        <v>1366</v>
      </c>
      <c r="AP3" s="216"/>
      <c r="AQ3" s="374" t="n">
        <v>7</v>
      </c>
      <c r="AR3" s="375" t="s">
        <v>1367</v>
      </c>
      <c r="AT3" s="376" t="n">
        <v>2</v>
      </c>
      <c r="AU3" s="377" t="s">
        <v>1366</v>
      </c>
      <c r="AW3" s="374" t="n">
        <v>2</v>
      </c>
      <c r="AX3" s="378" t="s">
        <v>1366</v>
      </c>
      <c r="AY3" s="379"/>
    </row>
    <row r="4" customFormat="false" ht="12.75" hidden="false" customHeight="false" outlineLevel="0" collapsed="false">
      <c r="A4" s="380"/>
      <c r="B4" s="381" t="s">
        <v>1368</v>
      </c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2"/>
      <c r="O4" s="383" t="s">
        <v>1369</v>
      </c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F4" s="384" t="n">
        <v>36557</v>
      </c>
      <c r="AG4" s="36" t="n">
        <v>21</v>
      </c>
      <c r="AH4" s="36" t="n">
        <v>4</v>
      </c>
      <c r="AI4" s="36" t="n">
        <v>4</v>
      </c>
      <c r="AJ4" s="36" t="n">
        <v>0</v>
      </c>
      <c r="AK4" s="36" t="n">
        <v>29</v>
      </c>
      <c r="AM4" s="215"/>
      <c r="AN4" s="385" t="n">
        <v>1</v>
      </c>
      <c r="AO4" s="386" t="s">
        <v>1370</v>
      </c>
      <c r="AP4" s="215"/>
      <c r="AQ4" s="387" t="n">
        <v>1</v>
      </c>
      <c r="AR4" s="388" t="s">
        <v>1371</v>
      </c>
      <c r="AT4" s="389" t="n">
        <v>1</v>
      </c>
      <c r="AU4" s="390" t="s">
        <v>92</v>
      </c>
      <c r="AW4" s="391" t="n">
        <v>1</v>
      </c>
      <c r="AX4" s="387" t="s">
        <v>1372</v>
      </c>
      <c r="AY4" s="379"/>
    </row>
    <row r="5" customFormat="false" ht="12.75" hidden="false" customHeight="false" outlineLevel="0" collapsed="false">
      <c r="A5" s="392"/>
      <c r="B5" s="393" t="n">
        <v>1</v>
      </c>
      <c r="C5" s="393" t="n">
        <v>2</v>
      </c>
      <c r="D5" s="393" t="n">
        <v>3</v>
      </c>
      <c r="E5" s="393" t="n">
        <v>4</v>
      </c>
      <c r="F5" s="393" t="n">
        <v>5</v>
      </c>
      <c r="G5" s="393" t="n">
        <v>6</v>
      </c>
      <c r="H5" s="393" t="n">
        <v>7</v>
      </c>
      <c r="I5" s="393" t="n">
        <v>8</v>
      </c>
      <c r="J5" s="393" t="n">
        <v>9</v>
      </c>
      <c r="K5" s="393" t="n">
        <v>10</v>
      </c>
      <c r="L5" s="393" t="n">
        <v>11</v>
      </c>
      <c r="M5" s="393" t="n">
        <v>12</v>
      </c>
      <c r="N5" s="392"/>
      <c r="O5" s="394" t="n">
        <v>1</v>
      </c>
      <c r="P5" s="393" t="n">
        <v>2</v>
      </c>
      <c r="Q5" s="393" t="n">
        <v>3</v>
      </c>
      <c r="R5" s="393" t="n">
        <v>4</v>
      </c>
      <c r="S5" s="393" t="n">
        <v>5</v>
      </c>
      <c r="T5" s="393" t="n">
        <v>6</v>
      </c>
      <c r="U5" s="393" t="n">
        <v>7</v>
      </c>
      <c r="V5" s="393" t="n">
        <v>8</v>
      </c>
      <c r="W5" s="393" t="n">
        <v>9</v>
      </c>
      <c r="X5" s="393" t="n">
        <v>10</v>
      </c>
      <c r="Y5" s="393" t="n">
        <v>11</v>
      </c>
      <c r="Z5" s="395" t="n">
        <v>12</v>
      </c>
      <c r="AF5" s="384" t="n">
        <v>36586</v>
      </c>
      <c r="AG5" s="36" t="n">
        <v>23</v>
      </c>
      <c r="AH5" s="36" t="n">
        <v>4</v>
      </c>
      <c r="AI5" s="36" t="n">
        <v>4</v>
      </c>
      <c r="AJ5" s="36" t="n">
        <v>0</v>
      </c>
      <c r="AK5" s="36" t="n">
        <v>31</v>
      </c>
      <c r="AM5" s="216"/>
      <c r="AN5" s="385" t="n">
        <v>2</v>
      </c>
      <c r="AO5" s="386" t="s">
        <v>1373</v>
      </c>
      <c r="AP5" s="216"/>
      <c r="AQ5" s="387" t="n">
        <v>2</v>
      </c>
      <c r="AR5" s="388" t="s">
        <v>1374</v>
      </c>
      <c r="AT5" s="389" t="n">
        <v>2</v>
      </c>
      <c r="AU5" s="390" t="s">
        <v>93</v>
      </c>
      <c r="AW5" s="391" t="n">
        <v>2</v>
      </c>
      <c r="AX5" s="396" t="s">
        <v>1375</v>
      </c>
      <c r="AY5" s="379"/>
    </row>
    <row r="6" customFormat="false" ht="12.75" hidden="false" customHeight="false" outlineLevel="0" collapsed="false">
      <c r="A6" s="368" t="s">
        <v>126</v>
      </c>
      <c r="B6" s="397" t="s">
        <v>1376</v>
      </c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 t="s">
        <v>127</v>
      </c>
      <c r="O6" s="364"/>
      <c r="P6" s="398"/>
      <c r="Q6" s="110"/>
      <c r="R6" s="110"/>
      <c r="S6" s="110"/>
      <c r="T6" s="110"/>
      <c r="U6" s="110"/>
      <c r="V6" s="110"/>
      <c r="W6" s="110"/>
      <c r="X6" s="110"/>
      <c r="Y6" s="110"/>
      <c r="Z6" s="399"/>
      <c r="AF6" s="384" t="n">
        <v>36617</v>
      </c>
      <c r="AG6" s="36" t="n">
        <v>20</v>
      </c>
      <c r="AH6" s="36" t="n">
        <v>5</v>
      </c>
      <c r="AI6" s="36" t="n">
        <v>5</v>
      </c>
      <c r="AJ6" s="36" t="n">
        <v>0</v>
      </c>
      <c r="AK6" s="36" t="n">
        <v>30</v>
      </c>
      <c r="AM6" s="216"/>
      <c r="AN6" s="385" t="n">
        <v>3</v>
      </c>
      <c r="AO6" s="386" t="s">
        <v>1377</v>
      </c>
      <c r="AP6" s="216"/>
      <c r="AQ6" s="387" t="n">
        <v>3</v>
      </c>
      <c r="AR6" s="388" t="s">
        <v>1378</v>
      </c>
      <c r="AT6" s="389" t="n">
        <v>3</v>
      </c>
      <c r="AU6" s="390" t="s">
        <v>94</v>
      </c>
    </row>
    <row r="7" customFormat="false" ht="12.75" hidden="false" customHeight="false" outlineLevel="0" collapsed="false">
      <c r="A7" s="367" t="n">
        <v>100</v>
      </c>
      <c r="B7" s="400" t="n">
        <f aca="false">'Power Curves'!AT21</f>
        <v>0.840091403608595</v>
      </c>
      <c r="C7" s="400" t="n">
        <f aca="false">'Power Curves'!AU21</f>
        <v>0.840091403608595</v>
      </c>
      <c r="D7" s="400" t="n">
        <f aca="false">'Power Curves'!AV21</f>
        <v>0.880091403608595</v>
      </c>
      <c r="E7" s="400" t="n">
        <f aca="false">'Power Curves'!AW21</f>
        <v>0.930091403608595</v>
      </c>
      <c r="F7" s="400" t="n">
        <f aca="false">'Power Curves'!AX21</f>
        <v>0.994874138887982</v>
      </c>
      <c r="G7" s="400" t="n">
        <f aca="false">'Power Curves'!AY21</f>
        <v>1.15660153937241</v>
      </c>
      <c r="H7" s="400" t="n">
        <f aca="false">'Power Curves'!AZ21</f>
        <v>1.11512120882705</v>
      </c>
      <c r="I7" s="400" t="n">
        <f aca="false">'Power Curves'!BA21</f>
        <v>1.09161161660227</v>
      </c>
      <c r="J7" s="400" t="n">
        <f aca="false">'Power Curves'!BB21</f>
        <v>0.996645781912536</v>
      </c>
      <c r="K7" s="400" t="n">
        <f aca="false">'Power Curves'!BC21</f>
        <v>0.9495</v>
      </c>
      <c r="L7" s="400" t="n">
        <f aca="false">'Power Curves'!BD21</f>
        <v>0.9295</v>
      </c>
      <c r="M7" s="400" t="n">
        <f aca="false">'Power Curves'!BE21</f>
        <v>0.9295</v>
      </c>
      <c r="N7" s="401" t="n">
        <f aca="false">VALUE('Power Curves'!BF21)</f>
        <v>2</v>
      </c>
      <c r="O7" s="364" t="n">
        <f aca="false">IF(AND($N7=1,$N14=1),AVERAGE(B7:B14),0)</f>
        <v>0</v>
      </c>
      <c r="P7" s="398" t="n">
        <f aca="false">IF(AND($N7=1,$N14=1),AVERAGE(C7:C14),0)</f>
        <v>0</v>
      </c>
      <c r="Q7" s="398" t="n">
        <f aca="false">IF(AND($N7=1,$N14=1),AVERAGE(D7:D14),0)</f>
        <v>0</v>
      </c>
      <c r="R7" s="398" t="n">
        <f aca="false">IF(AND($N7=1,$N14=1),AVERAGE(E7:E14),0)</f>
        <v>0</v>
      </c>
      <c r="S7" s="398" t="n">
        <f aca="false">IF(AND($N7=1,$N14=1),AVERAGE(F7:F14),0)</f>
        <v>0</v>
      </c>
      <c r="T7" s="398" t="n">
        <f aca="false">IF(AND($N7=1,$N14=1),AVERAGE(G7:G14),0)</f>
        <v>0</v>
      </c>
      <c r="U7" s="398" t="n">
        <f aca="false">IF(AND($N7=1,$N14=1),AVERAGE(H7:H14),0)</f>
        <v>0</v>
      </c>
      <c r="V7" s="398" t="n">
        <f aca="false">IF(AND($N7=1,$N14=1),AVERAGE(I7:I14),0)</f>
        <v>0</v>
      </c>
      <c r="W7" s="398" t="n">
        <f aca="false">IF(AND($N7=1,$N14=1),AVERAGE(J7:J14),0)</f>
        <v>0</v>
      </c>
      <c r="X7" s="398" t="n">
        <f aca="false">IF(AND($N7=1,$N14=1),AVERAGE(K7:K14),0)</f>
        <v>0</v>
      </c>
      <c r="Y7" s="398" t="n">
        <f aca="false">IF(AND($N7=1,$N14=1),AVERAGE(L7:L14),0)</f>
        <v>0</v>
      </c>
      <c r="Z7" s="360" t="n">
        <f aca="false">IF(AND($N7=1,$N14=1),AVERAGE(M7:M14),0)</f>
        <v>0</v>
      </c>
      <c r="AF7" s="384" t="n">
        <v>36647</v>
      </c>
      <c r="AG7" s="36" t="n">
        <v>22</v>
      </c>
      <c r="AH7" s="36" t="n">
        <v>4</v>
      </c>
      <c r="AI7" s="36" t="n">
        <v>5</v>
      </c>
      <c r="AJ7" s="36" t="n">
        <v>1</v>
      </c>
      <c r="AK7" s="36" t="n">
        <v>31</v>
      </c>
      <c r="AM7" s="216"/>
      <c r="AN7" s="216"/>
      <c r="AO7" s="216"/>
      <c r="AP7" s="216"/>
      <c r="AQ7" s="387" t="n">
        <v>4</v>
      </c>
      <c r="AR7" s="388" t="s">
        <v>1379</v>
      </c>
      <c r="AT7" s="19"/>
      <c r="AU7" s="19"/>
      <c r="AX7" s="402" t="b">
        <f aca="false">FALSE()</f>
        <v>0</v>
      </c>
      <c r="AY7" s="305" t="s">
        <v>1380</v>
      </c>
    </row>
    <row r="8" customFormat="false" ht="12.75" hidden="false" customHeight="false" outlineLevel="0" collapsed="false">
      <c r="A8" s="367" t="n">
        <v>200</v>
      </c>
      <c r="B8" s="400" t="n">
        <f aca="false">'Power Curves'!AT22</f>
        <v>0.822165459676005</v>
      </c>
      <c r="C8" s="400" t="n">
        <f aca="false">'Power Curves'!AU22</f>
        <v>0.822165459676005</v>
      </c>
      <c r="D8" s="400" t="n">
        <f aca="false">'Power Curves'!AV22</f>
        <v>0.832165459676005</v>
      </c>
      <c r="E8" s="400" t="n">
        <f aca="false">'Power Curves'!AW22</f>
        <v>0.882165459676005</v>
      </c>
      <c r="F8" s="400" t="n">
        <f aca="false">'Power Curves'!AX22</f>
        <v>0.896144177087074</v>
      </c>
      <c r="G8" s="400" t="n">
        <f aca="false">'Power Curves'!AY22</f>
        <v>0.958259325044405</v>
      </c>
      <c r="H8" s="400" t="n">
        <f aca="false">'Power Curves'!AZ22</f>
        <v>1.01858897706272</v>
      </c>
      <c r="I8" s="400" t="n">
        <f aca="false">'Power Curves'!BA22</f>
        <v>0.985416926336782</v>
      </c>
      <c r="J8" s="400" t="n">
        <f aca="false">'Power Curves'!BB22</f>
        <v>0.874375039554458</v>
      </c>
      <c r="K8" s="400" t="n">
        <f aca="false">'Power Curves'!BC22</f>
        <v>0.9012</v>
      </c>
      <c r="L8" s="400" t="n">
        <f aca="false">'Power Curves'!BD22</f>
        <v>0.8812</v>
      </c>
      <c r="M8" s="400" t="n">
        <f aca="false">'Power Curves'!BE22</f>
        <v>0.8812</v>
      </c>
      <c r="N8" s="401" t="n">
        <f aca="false">VALUE('Power Curves'!BF22)</f>
        <v>2</v>
      </c>
      <c r="O8" s="364" t="n">
        <f aca="false">IF(AND($N8=1,$N15=1),AVERAGE(B8:B15),0)</f>
        <v>0</v>
      </c>
      <c r="P8" s="398" t="n">
        <f aca="false">IF(AND($N8=1,$N15=1),AVERAGE(C8:C15),0)</f>
        <v>0</v>
      </c>
      <c r="Q8" s="398" t="n">
        <f aca="false">IF(AND($N8=1,$N15=1),AVERAGE(D8:D15),0)</f>
        <v>0</v>
      </c>
      <c r="R8" s="398" t="n">
        <f aca="false">IF(AND($N8=1,$N15=1),AVERAGE(E8:E15),0)</f>
        <v>0</v>
      </c>
      <c r="S8" s="398" t="n">
        <f aca="false">IF(AND($N8=1,$N15=1),AVERAGE(F8:F15),0)</f>
        <v>0</v>
      </c>
      <c r="T8" s="398" t="n">
        <f aca="false">IF(AND($N8=1,$N15=1),AVERAGE(G8:G15),0)</f>
        <v>0</v>
      </c>
      <c r="U8" s="398" t="n">
        <f aca="false">IF(AND($N8=1,$N15=1),AVERAGE(H8:H15),0)</f>
        <v>0</v>
      </c>
      <c r="V8" s="398" t="n">
        <f aca="false">IF(AND($N8=1,$N15=1),AVERAGE(I8:I15),0)</f>
        <v>0</v>
      </c>
      <c r="W8" s="398" t="n">
        <f aca="false">IF(AND($N8=1,$N15=1),AVERAGE(J8:J15),0)</f>
        <v>0</v>
      </c>
      <c r="X8" s="398" t="n">
        <f aca="false">IF(AND($N8=1,$N15=1),AVERAGE(K8:K15),0)</f>
        <v>0</v>
      </c>
      <c r="Y8" s="398" t="n">
        <f aca="false">IF(AND($N8=1,$N15=1),AVERAGE(L8:L15),0)</f>
        <v>0</v>
      </c>
      <c r="Z8" s="360" t="n">
        <f aca="false">IF(AND($N8=1,$N15=1),AVERAGE(M8:M15),0)</f>
        <v>0</v>
      </c>
      <c r="AF8" s="384" t="n">
        <v>36678</v>
      </c>
      <c r="AG8" s="36" t="n">
        <v>22</v>
      </c>
      <c r="AH8" s="36" t="n">
        <v>4</v>
      </c>
      <c r="AI8" s="36" t="n">
        <v>4</v>
      </c>
      <c r="AJ8" s="36" t="n">
        <v>0</v>
      </c>
      <c r="AK8" s="36" t="n">
        <v>30</v>
      </c>
      <c r="AM8" s="216"/>
      <c r="AN8" s="372" t="n">
        <v>1</v>
      </c>
      <c r="AO8" s="373" t="s">
        <v>1366</v>
      </c>
      <c r="AP8" s="216"/>
      <c r="AQ8" s="387" t="n">
        <v>5</v>
      </c>
      <c r="AR8" s="388" t="s">
        <v>1381</v>
      </c>
      <c r="AT8" s="19"/>
    </row>
    <row r="9" customFormat="false" ht="13.5" hidden="false" customHeight="false" outlineLevel="0" collapsed="false">
      <c r="A9" s="367" t="n">
        <v>300</v>
      </c>
      <c r="B9" s="400" t="n">
        <f aca="false">'Power Curves'!AT23</f>
        <v>0.746699835535835</v>
      </c>
      <c r="C9" s="400" t="n">
        <f aca="false">'Power Curves'!AU23</f>
        <v>0.746699835535835</v>
      </c>
      <c r="D9" s="400" t="n">
        <f aca="false">'Power Curves'!AV23</f>
        <v>0.796699835535835</v>
      </c>
      <c r="E9" s="400" t="n">
        <f aca="false">'Power Curves'!AW23</f>
        <v>0.846699835535835</v>
      </c>
      <c r="F9" s="400" t="n">
        <f aca="false">'Power Curves'!AX23</f>
        <v>0.848085148062294</v>
      </c>
      <c r="G9" s="400" t="n">
        <f aca="false">'Power Curves'!AY23</f>
        <v>0.80550621669627</v>
      </c>
      <c r="H9" s="400" t="n">
        <f aca="false">'Power Curves'!AZ23</f>
        <v>0.970540276116969</v>
      </c>
      <c r="I9" s="400" t="n">
        <f aca="false">'Power Curves'!BA23</f>
        <v>0.884955752212389</v>
      </c>
      <c r="J9" s="400" t="n">
        <f aca="false">'Power Curves'!BB23</f>
        <v>0.819948104550344</v>
      </c>
      <c r="K9" s="400" t="n">
        <f aca="false">'Power Curves'!BC23</f>
        <v>0.8657</v>
      </c>
      <c r="L9" s="400" t="n">
        <f aca="false">'Power Curves'!BD23</f>
        <v>0.8457</v>
      </c>
      <c r="M9" s="400" t="n">
        <f aca="false">'Power Curves'!BE23</f>
        <v>0.8457</v>
      </c>
      <c r="N9" s="401" t="n">
        <f aca="false">VALUE('Power Curves'!BF23)</f>
        <v>2</v>
      </c>
      <c r="O9" s="364" t="n">
        <f aca="false">IF(AND($N9=1,$N16=1),AVERAGE(B9:B16),0)</f>
        <v>0</v>
      </c>
      <c r="P9" s="398" t="n">
        <f aca="false">IF(AND($N9=1,$N16=1),AVERAGE(C9:C16),0)</f>
        <v>0</v>
      </c>
      <c r="Q9" s="398" t="n">
        <f aca="false">IF(AND($N9=1,$N16=1),AVERAGE(D9:D16),0)</f>
        <v>0</v>
      </c>
      <c r="R9" s="398" t="n">
        <f aca="false">IF(AND($N9=1,$N16=1),AVERAGE(E9:E16),0)</f>
        <v>0</v>
      </c>
      <c r="S9" s="398" t="n">
        <f aca="false">IF(AND($N9=1,$N16=1),AVERAGE(F9:F16),0)</f>
        <v>0</v>
      </c>
      <c r="T9" s="398" t="n">
        <f aca="false">IF(AND($N9=1,$N16=1),AVERAGE(G9:G16),0)</f>
        <v>0</v>
      </c>
      <c r="U9" s="398" t="n">
        <f aca="false">IF(AND($N9=1,$N16=1),AVERAGE(H9:H16),0)</f>
        <v>0</v>
      </c>
      <c r="V9" s="398" t="n">
        <f aca="false">IF(AND($N9=1,$N16=1),AVERAGE(I9:I16),0)</f>
        <v>0</v>
      </c>
      <c r="W9" s="398" t="n">
        <f aca="false">IF(AND($N9=1,$N16=1),AVERAGE(J9:J16),0)</f>
        <v>0</v>
      </c>
      <c r="X9" s="398" t="n">
        <f aca="false">IF(AND($N9=1,$N16=1),AVERAGE(K9:K16),0)</f>
        <v>0</v>
      </c>
      <c r="Y9" s="398" t="n">
        <f aca="false">IF(AND($N9=1,$N16=1),AVERAGE(L9:L16),0)</f>
        <v>0</v>
      </c>
      <c r="Z9" s="360" t="n">
        <f aca="false">IF(AND($N9=1,$N16=1),AVERAGE(M9:M16),0)</f>
        <v>0</v>
      </c>
      <c r="AF9" s="384" t="n">
        <v>36708</v>
      </c>
      <c r="AG9" s="36" t="n">
        <v>20</v>
      </c>
      <c r="AH9" s="36" t="n">
        <v>5</v>
      </c>
      <c r="AI9" s="36" t="n">
        <v>6</v>
      </c>
      <c r="AJ9" s="36" t="n">
        <v>1</v>
      </c>
      <c r="AK9" s="36" t="n">
        <v>31</v>
      </c>
      <c r="AN9" s="403" t="n">
        <v>1</v>
      </c>
      <c r="AO9" s="404" t="s">
        <v>1382</v>
      </c>
      <c r="AQ9" s="387" t="n">
        <v>6</v>
      </c>
      <c r="AR9" s="388" t="s">
        <v>1383</v>
      </c>
      <c r="AT9" s="19"/>
    </row>
    <row r="10" customFormat="false" ht="13.5" hidden="false" customHeight="false" outlineLevel="0" collapsed="false">
      <c r="A10" s="367" t="n">
        <v>400</v>
      </c>
      <c r="B10" s="400" t="n">
        <f aca="false">'Power Curves'!AT24</f>
        <v>0.7462</v>
      </c>
      <c r="C10" s="400" t="n">
        <f aca="false">'Power Curves'!AU24</f>
        <v>0.7462</v>
      </c>
      <c r="D10" s="400" t="n">
        <f aca="false">'Power Curves'!AV24</f>
        <v>0.797199950847743</v>
      </c>
      <c r="E10" s="400" t="n">
        <f aca="false">'Power Curves'!AW24</f>
        <v>0.847199950847743</v>
      </c>
      <c r="F10" s="400" t="n">
        <f aca="false">'Power Curves'!AX24</f>
        <v>0.822227300923961</v>
      </c>
      <c r="G10" s="400" t="n">
        <f aca="false">'Power Curves'!AY24</f>
        <v>0.747779751332149</v>
      </c>
      <c r="H10" s="400" t="n">
        <f aca="false">'Power Curves'!AZ24</f>
        <v>0.874008044352647</v>
      </c>
      <c r="I10" s="400" t="n">
        <f aca="false">'Power Curves'!BA24</f>
        <v>0.832606257011093</v>
      </c>
      <c r="J10" s="400" t="n">
        <f aca="false">'Power Curves'!BB24</f>
        <v>0.832099234225682</v>
      </c>
      <c r="K10" s="400" t="n">
        <f aca="false">'Power Curves'!BC24</f>
        <v>0.8662</v>
      </c>
      <c r="L10" s="400" t="n">
        <f aca="false">'Power Curves'!BD24</f>
        <v>0.8462</v>
      </c>
      <c r="M10" s="400" t="n">
        <f aca="false">'Power Curves'!BE24</f>
        <v>0.8462</v>
      </c>
      <c r="N10" s="401" t="n">
        <f aca="false">VALUE('Power Curves'!BF24)</f>
        <v>2</v>
      </c>
      <c r="O10" s="364" t="n">
        <f aca="false">IF(AND($N10=1,$N17=1),AVERAGE(B10:B17),0)</f>
        <v>0</v>
      </c>
      <c r="P10" s="398" t="n">
        <f aca="false">IF(AND($N10=1,$N17=1),AVERAGE(C10:C17),0)</f>
        <v>0</v>
      </c>
      <c r="Q10" s="398" t="n">
        <f aca="false">IF(AND($N10=1,$N17=1),AVERAGE(D10:D17),0)</f>
        <v>0</v>
      </c>
      <c r="R10" s="398" t="n">
        <f aca="false">IF(AND($N10=1,$N17=1),AVERAGE(E10:E17),0)</f>
        <v>0</v>
      </c>
      <c r="S10" s="398" t="n">
        <f aca="false">IF(AND($N10=1,$N17=1),AVERAGE(F10:F17),0)</f>
        <v>0</v>
      </c>
      <c r="T10" s="398" t="n">
        <f aca="false">IF(AND($N10=1,$N17=1),AVERAGE(G10:G17),0)</f>
        <v>0</v>
      </c>
      <c r="U10" s="398" t="n">
        <f aca="false">IF(AND($N10=1,$N17=1),AVERAGE(H10:H17),0)</f>
        <v>0</v>
      </c>
      <c r="V10" s="398" t="n">
        <f aca="false">IF(AND($N10=1,$N17=1),AVERAGE(I10:I17),0)</f>
        <v>0</v>
      </c>
      <c r="W10" s="398" t="n">
        <f aca="false">IF(AND($N10=1,$N17=1),AVERAGE(J10:J17),0)</f>
        <v>0</v>
      </c>
      <c r="X10" s="398" t="n">
        <f aca="false">IF(AND($N10=1,$N17=1),AVERAGE(K10:K17),0)</f>
        <v>0</v>
      </c>
      <c r="Y10" s="398" t="n">
        <f aca="false">IF(AND($N10=1,$N17=1),AVERAGE(L10:L17),0)</f>
        <v>0</v>
      </c>
      <c r="Z10" s="360" t="n">
        <f aca="false">IF(AND($N10=1,$N17=1),AVERAGE(M10:M17),0)</f>
        <v>0</v>
      </c>
      <c r="AF10" s="384" t="n">
        <v>36739</v>
      </c>
      <c r="AG10" s="36" t="n">
        <v>23</v>
      </c>
      <c r="AH10" s="36" t="n">
        <v>4</v>
      </c>
      <c r="AI10" s="36" t="n">
        <v>4</v>
      </c>
      <c r="AJ10" s="36" t="n">
        <v>0</v>
      </c>
      <c r="AK10" s="36" t="n">
        <v>31</v>
      </c>
      <c r="AN10" s="403" t="n">
        <v>2</v>
      </c>
      <c r="AO10" s="404" t="s">
        <v>68</v>
      </c>
      <c r="AQ10" s="387" t="n">
        <v>7</v>
      </c>
      <c r="AR10" s="388" t="s">
        <v>1384</v>
      </c>
      <c r="AT10" s="19"/>
      <c r="AX10" s="405" t="b">
        <f aca="false">TRUE()</f>
        <v>1</v>
      </c>
      <c r="AY10" s="406" t="s">
        <v>1385</v>
      </c>
    </row>
    <row r="11" customFormat="false" ht="12.75" hidden="false" customHeight="false" outlineLevel="0" collapsed="false">
      <c r="A11" s="367" t="n">
        <v>500</v>
      </c>
      <c r="B11" s="400" t="n">
        <f aca="false">'Power Curves'!AT25</f>
        <v>0.7665</v>
      </c>
      <c r="C11" s="400" t="n">
        <f aca="false">'Power Curves'!AU25</f>
        <v>0.7665</v>
      </c>
      <c r="D11" s="400" t="n">
        <f aca="false">'Power Curves'!AV25</f>
        <v>0.857490447810899</v>
      </c>
      <c r="E11" s="400" t="n">
        <f aca="false">'Power Curves'!AW25</f>
        <v>0.907490447810899</v>
      </c>
      <c r="F11" s="400" t="n">
        <f aca="false">'Power Curves'!AX25</f>
        <v>0.890136798458977</v>
      </c>
      <c r="G11" s="400" t="n">
        <f aca="false">'Power Curves'!AY25</f>
        <v>0.811130846654825</v>
      </c>
      <c r="H11" s="400" t="n">
        <f aca="false">'Power Curves'!AZ25</f>
        <v>0.829655397325796</v>
      </c>
      <c r="I11" s="400" t="n">
        <f aca="false">'Power Curves'!BA25</f>
        <v>0.864265237442353</v>
      </c>
      <c r="J11" s="400" t="n">
        <f aca="false">'Power Curves'!BB25</f>
        <v>0.898424150370229</v>
      </c>
      <c r="K11" s="400" t="n">
        <f aca="false">'Power Curves'!BC25</f>
        <v>0.9265</v>
      </c>
      <c r="L11" s="400" t="n">
        <f aca="false">'Power Curves'!BD25</f>
        <v>0.9065</v>
      </c>
      <c r="M11" s="400" t="n">
        <f aca="false">'Power Curves'!BE25</f>
        <v>0.9065</v>
      </c>
      <c r="N11" s="401" t="n">
        <f aca="false">VALUE('Power Curves'!BF25)</f>
        <v>2</v>
      </c>
      <c r="O11" s="364" t="n">
        <f aca="false">IF(AND($N11=1,$N18=1),AVERAGE(B11:B18),0)</f>
        <v>0</v>
      </c>
      <c r="P11" s="398" t="n">
        <f aca="false">IF(AND($N11=1,$N18=1),AVERAGE(C11:C18),0)</f>
        <v>0</v>
      </c>
      <c r="Q11" s="398" t="n">
        <f aca="false">IF(AND($N11=1,$N18=1),AVERAGE(D11:D18),0)</f>
        <v>0</v>
      </c>
      <c r="R11" s="398" t="n">
        <f aca="false">IF(AND($N11=1,$N18=1),AVERAGE(E11:E18),0)</f>
        <v>0</v>
      </c>
      <c r="S11" s="398" t="n">
        <f aca="false">IF(AND($N11=1,$N18=1),AVERAGE(F11:F18),0)</f>
        <v>0</v>
      </c>
      <c r="T11" s="398" t="n">
        <f aca="false">IF(AND($N11=1,$N18=1),AVERAGE(G11:G18),0)</f>
        <v>0</v>
      </c>
      <c r="U11" s="398" t="n">
        <f aca="false">IF(AND($N11=1,$N18=1),AVERAGE(H11:H18),0)</f>
        <v>0</v>
      </c>
      <c r="V11" s="398" t="n">
        <f aca="false">IF(AND($N11=1,$N18=1),AVERAGE(I11:I18),0)</f>
        <v>0</v>
      </c>
      <c r="W11" s="398" t="n">
        <f aca="false">IF(AND($N11=1,$N18=1),AVERAGE(J11:J18),0)</f>
        <v>0</v>
      </c>
      <c r="X11" s="398" t="n">
        <f aca="false">IF(AND($N11=1,$N18=1),AVERAGE(K11:K18),0)</f>
        <v>0</v>
      </c>
      <c r="Y11" s="398" t="n">
        <f aca="false">IF(AND($N11=1,$N18=1),AVERAGE(L11:L18),0)</f>
        <v>0</v>
      </c>
      <c r="Z11" s="360" t="n">
        <f aca="false">IF(AND($N11=1,$N18=1),AVERAGE(M11:M18),0)</f>
        <v>0</v>
      </c>
      <c r="AF11" s="384" t="n">
        <v>36770</v>
      </c>
      <c r="AG11" s="36" t="n">
        <v>20</v>
      </c>
      <c r="AH11" s="36" t="n">
        <v>5</v>
      </c>
      <c r="AI11" s="36" t="n">
        <v>5</v>
      </c>
      <c r="AJ11" s="36" t="n">
        <v>1</v>
      </c>
      <c r="AK11" s="36" t="n">
        <v>30</v>
      </c>
      <c r="AQ11" s="387" t="n">
        <v>8</v>
      </c>
      <c r="AR11" s="388" t="s">
        <v>1386</v>
      </c>
      <c r="AT11" s="19"/>
      <c r="AU11" s="19"/>
      <c r="AV11" s="19"/>
    </row>
    <row r="12" customFormat="false" ht="12.75" hidden="false" customHeight="false" outlineLevel="0" collapsed="false">
      <c r="A12" s="367" t="n">
        <v>600</v>
      </c>
      <c r="B12" s="400" t="n">
        <f aca="false">'Power Curves'!AT26</f>
        <v>0.8234</v>
      </c>
      <c r="C12" s="400" t="n">
        <f aca="false">'Power Curves'!AU26</f>
        <v>0.8234</v>
      </c>
      <c r="D12" s="400" t="n">
        <f aca="false">'Power Curves'!AV26</f>
        <v>0.99535202187632</v>
      </c>
      <c r="E12" s="400" t="n">
        <f aca="false">'Power Curves'!AW26</f>
        <v>1.04535202187632</v>
      </c>
      <c r="F12" s="400" t="n">
        <f aca="false">'Power Curves'!AX26</f>
        <v>1.07923863005648</v>
      </c>
      <c r="G12" s="400" t="n">
        <f aca="false">'Power Curves'!AY26</f>
        <v>0.98963883955003</v>
      </c>
      <c r="H12" s="400" t="n">
        <f aca="false">'Power Curves'!AZ26</f>
        <v>0.914664637460593</v>
      </c>
      <c r="I12" s="400" t="n">
        <f aca="false">'Power Curves'!BA26</f>
        <v>0.960239311978063</v>
      </c>
      <c r="J12" s="400" t="n">
        <f aca="false">'Power Curves'!BB26</f>
        <v>1.03968103284602</v>
      </c>
      <c r="K12" s="400" t="n">
        <f aca="false">'Power Curves'!BC26</f>
        <v>1.0644</v>
      </c>
      <c r="L12" s="400" t="n">
        <f aca="false">'Power Curves'!BD26</f>
        <v>1.0444</v>
      </c>
      <c r="M12" s="400" t="n">
        <f aca="false">'Power Curves'!BE26</f>
        <v>1.0444</v>
      </c>
      <c r="N12" s="401" t="n">
        <f aca="false">VALUE('Power Curves'!BF26)</f>
        <v>2</v>
      </c>
      <c r="O12" s="364" t="n">
        <f aca="false">IF(AND($N12=1,$N19=1),AVERAGE(B12:B19),0)</f>
        <v>0</v>
      </c>
      <c r="P12" s="398" t="n">
        <f aca="false">IF(AND($N12=1,$N19=1),AVERAGE(C12:C19),0)</f>
        <v>0</v>
      </c>
      <c r="Q12" s="398" t="n">
        <f aca="false">IF(AND($N12=1,$N19=1),AVERAGE(D12:D19),0)</f>
        <v>0</v>
      </c>
      <c r="R12" s="398" t="n">
        <f aca="false">IF(AND($N12=1,$N19=1),AVERAGE(E12:E19),0)</f>
        <v>0</v>
      </c>
      <c r="S12" s="398" t="n">
        <f aca="false">IF(AND($N12=1,$N19=1),AVERAGE(F12:F19),0)</f>
        <v>0</v>
      </c>
      <c r="T12" s="398" t="n">
        <f aca="false">IF(AND($N12=1,$N19=1),AVERAGE(G12:G19),0)</f>
        <v>0</v>
      </c>
      <c r="U12" s="398" t="n">
        <f aca="false">IF(AND($N12=1,$N19=1),AVERAGE(H12:H19),0)</f>
        <v>0</v>
      </c>
      <c r="V12" s="398" t="n">
        <f aca="false">IF(AND($N12=1,$N19=1),AVERAGE(I12:I19),0)</f>
        <v>0</v>
      </c>
      <c r="W12" s="398" t="n">
        <f aca="false">IF(AND($N12=1,$N19=1),AVERAGE(J12:J19),0)</f>
        <v>0</v>
      </c>
      <c r="X12" s="398" t="n">
        <f aca="false">IF(AND($N12=1,$N19=1),AVERAGE(K12:K19),0)</f>
        <v>0</v>
      </c>
      <c r="Y12" s="398" t="n">
        <f aca="false">IF(AND($N12=1,$N19=1),AVERAGE(L12:L19),0)</f>
        <v>0</v>
      </c>
      <c r="Z12" s="360" t="n">
        <f aca="false">IF(AND($N12=1,$N19=1),AVERAGE(M12:M19),0)</f>
        <v>0</v>
      </c>
      <c r="AF12" s="384" t="n">
        <v>36800</v>
      </c>
      <c r="AG12" s="36" t="n">
        <v>22</v>
      </c>
      <c r="AH12" s="36" t="n">
        <v>4</v>
      </c>
      <c r="AI12" s="36" t="n">
        <v>5</v>
      </c>
      <c r="AJ12" s="36" t="n">
        <v>0</v>
      </c>
      <c r="AK12" s="36" t="n">
        <v>31</v>
      </c>
      <c r="AQ12" s="387" t="n">
        <v>9</v>
      </c>
      <c r="AR12" s="388" t="s">
        <v>1387</v>
      </c>
      <c r="AT12" s="19"/>
      <c r="AU12" s="19"/>
      <c r="AV12" s="19"/>
    </row>
    <row r="13" customFormat="false" ht="12.75" hidden="false" customHeight="false" outlineLevel="0" collapsed="false">
      <c r="A13" s="367" t="n">
        <v>700</v>
      </c>
      <c r="B13" s="400" t="n">
        <f aca="false">'Power Curves'!AT27</f>
        <v>2.03</v>
      </c>
      <c r="C13" s="400" t="n">
        <f aca="false">'Power Curves'!AU27</f>
        <v>2.03</v>
      </c>
      <c r="D13" s="400" t="n">
        <f aca="false">'Power Curves'!AV27</f>
        <v>1.796</v>
      </c>
      <c r="E13" s="400" t="n">
        <f aca="false">'Power Curves'!AW27</f>
        <v>1.49097568120843</v>
      </c>
      <c r="F13" s="400" t="n">
        <f aca="false">'Power Curves'!AX27</f>
        <v>1.29132521466584</v>
      </c>
      <c r="G13" s="400" t="n">
        <f aca="false">'Power Curves'!AY27</f>
        <v>1.13469508584962</v>
      </c>
      <c r="H13" s="400" t="n">
        <f aca="false">'Power Curves'!AZ27</f>
        <v>1.01576258288944</v>
      </c>
      <c r="I13" s="400" t="n">
        <f aca="false">'Power Curves'!BA27</f>
        <v>1.11728779758195</v>
      </c>
      <c r="J13" s="400" t="n">
        <f aca="false">'Power Curves'!BB27</f>
        <v>1.41383456743244</v>
      </c>
      <c r="K13" s="400" t="n">
        <f aca="false">'Power Curves'!BC27</f>
        <v>1.376</v>
      </c>
      <c r="L13" s="400" t="n">
        <f aca="false">'Power Curves'!BD27</f>
        <v>1.496</v>
      </c>
      <c r="M13" s="400" t="n">
        <f aca="false">'Power Curves'!BE27</f>
        <v>1.496</v>
      </c>
      <c r="N13" s="401" t="n">
        <f aca="false">VALUE('Power Curves'!BF27)</f>
        <v>2</v>
      </c>
      <c r="O13" s="364" t="n">
        <f aca="false">IF(AND($N13=1,$N20=1),AVERAGE(B13:B20),0)</f>
        <v>0</v>
      </c>
      <c r="P13" s="398" t="n">
        <f aca="false">IF(AND($N13=1,$N20=1),AVERAGE(C13:C20),0)</f>
        <v>0</v>
      </c>
      <c r="Q13" s="398" t="n">
        <f aca="false">IF(AND($N13=1,$N20=1),AVERAGE(D13:D20),0)</f>
        <v>0</v>
      </c>
      <c r="R13" s="398" t="n">
        <f aca="false">IF(AND($N13=1,$N20=1),AVERAGE(E13:E20),0)</f>
        <v>0</v>
      </c>
      <c r="S13" s="398" t="n">
        <f aca="false">IF(AND($N13=1,$N20=1),AVERAGE(F13:F20),0)</f>
        <v>0</v>
      </c>
      <c r="T13" s="398" t="n">
        <f aca="false">IF(AND($N13=1,$N20=1),AVERAGE(G13:G20),0)</f>
        <v>0</v>
      </c>
      <c r="U13" s="398" t="n">
        <f aca="false">IF(AND($N13=1,$N20=1),AVERAGE(H13:H20),0)</f>
        <v>0</v>
      </c>
      <c r="V13" s="398" t="n">
        <f aca="false">IF(AND($N13=1,$N20=1),AVERAGE(I13:I20),0)</f>
        <v>0</v>
      </c>
      <c r="W13" s="398" t="n">
        <f aca="false">IF(AND($N13=1,$N20=1),AVERAGE(J13:J20),0)</f>
        <v>0</v>
      </c>
      <c r="X13" s="398" t="n">
        <f aca="false">IF(AND($N13=1,$N20=1),AVERAGE(K13:K20),0)</f>
        <v>0</v>
      </c>
      <c r="Y13" s="398" t="n">
        <f aca="false">IF(AND($N13=1,$N20=1),AVERAGE(L13:L20),0)</f>
        <v>0</v>
      </c>
      <c r="Z13" s="360" t="n">
        <f aca="false">IF(AND($N13=1,$N20=1),AVERAGE(M13:M20),0)</f>
        <v>0</v>
      </c>
      <c r="AF13" s="384" t="n">
        <v>36831</v>
      </c>
      <c r="AG13" s="36" t="n">
        <v>21</v>
      </c>
      <c r="AH13" s="36" t="n">
        <v>4</v>
      </c>
      <c r="AI13" s="36" t="n">
        <v>5</v>
      </c>
      <c r="AJ13" s="36" t="n">
        <v>1</v>
      </c>
      <c r="AK13" s="36" t="n">
        <v>30</v>
      </c>
      <c r="AT13" s="19"/>
      <c r="AU13" s="19"/>
      <c r="AV13" s="19"/>
    </row>
    <row r="14" customFormat="false" ht="12.75" hidden="false" customHeight="false" outlineLevel="0" collapsed="false">
      <c r="A14" s="367" t="n">
        <v>800</v>
      </c>
      <c r="B14" s="400" t="n">
        <f aca="false">'Power Curves'!AT28</f>
        <v>1.1</v>
      </c>
      <c r="C14" s="400" t="n">
        <f aca="false">'Power Curves'!AU28</f>
        <v>1.1</v>
      </c>
      <c r="D14" s="400" t="n">
        <f aca="false">'Power Curves'!AV28</f>
        <v>1.1359</v>
      </c>
      <c r="E14" s="400" t="n">
        <f aca="false">'Power Curves'!AW28</f>
        <v>1.1232726508202</v>
      </c>
      <c r="F14" s="400" t="n">
        <f aca="false">'Power Curves'!AX28</f>
        <v>0.75</v>
      </c>
      <c r="G14" s="400" t="n">
        <f aca="false">'Power Curves'!AY28</f>
        <v>0.55</v>
      </c>
      <c r="H14" s="400" t="n">
        <f aca="false">'Power Curves'!AZ28</f>
        <v>0.4</v>
      </c>
      <c r="I14" s="400" t="n">
        <f aca="false">'Power Curves'!BA28</f>
        <v>0.4</v>
      </c>
      <c r="J14" s="400" t="n">
        <f aca="false">'Power Curves'!BB28</f>
        <v>0.65</v>
      </c>
      <c r="K14" s="400" t="n">
        <f aca="false">'Power Curves'!BC28</f>
        <v>1.0615</v>
      </c>
      <c r="L14" s="400" t="n">
        <f aca="false">'Power Curves'!BD28</f>
        <v>1.0715</v>
      </c>
      <c r="M14" s="400" t="n">
        <f aca="false">'Power Curves'!BE28</f>
        <v>1.0875</v>
      </c>
      <c r="N14" s="401" t="n">
        <f aca="false">VALUE('Power Curves'!BF28)</f>
        <v>1</v>
      </c>
      <c r="O14" s="364" t="n">
        <f aca="false">IF(AND($N14=1,$N21=1),AVERAGE(B14:B21),0)</f>
        <v>0.9625</v>
      </c>
      <c r="P14" s="398" t="n">
        <f aca="false">IF(AND($N14=1,$N21=1),AVERAGE(C14:C21),0)</f>
        <v>0.9625</v>
      </c>
      <c r="Q14" s="398" t="n">
        <f aca="false">IF(AND($N14=1,$N21=1),AVERAGE(D14:D21),0)</f>
        <v>1.0080875</v>
      </c>
      <c r="R14" s="398" t="n">
        <f aca="false">IF(AND($N14=1,$N21=1),AVERAGE(E14:E21),0)</f>
        <v>1.07269528338234</v>
      </c>
      <c r="S14" s="398" t="n">
        <f aca="false">IF(AND($N14=1,$N21=1),AVERAGE(F14:F21),0)</f>
        <v>1</v>
      </c>
      <c r="T14" s="398" t="n">
        <f aca="false">IF(AND($N14=1,$N21=1),AVERAGE(G14:G21),0)</f>
        <v>1</v>
      </c>
      <c r="U14" s="398" t="n">
        <f aca="false">IF(AND($N14=1,$N21=1),AVERAGE(H14:H21),0)</f>
        <v>1</v>
      </c>
      <c r="V14" s="398" t="n">
        <f aca="false">IF(AND($N14=1,$N21=1),AVERAGE(I14:I21),0)</f>
        <v>1</v>
      </c>
      <c r="W14" s="398" t="n">
        <f aca="false">IF(AND($N14=1,$N21=1),AVERAGE(J14:J21),0)</f>
        <v>1</v>
      </c>
      <c r="X14" s="398" t="n">
        <f aca="false">IF(AND($N14=1,$N21=1),AVERAGE(K14:K21),0)</f>
        <v>0.9991875</v>
      </c>
      <c r="Y14" s="398" t="n">
        <f aca="false">IF(AND($N14=1,$N21=1),AVERAGE(L14:L21),0)</f>
        <v>0.99765</v>
      </c>
      <c r="Z14" s="360" t="n">
        <f aca="false">IF(AND($N14=1,$N21=1),AVERAGE(M14:M21),0)</f>
        <v>0.9961875</v>
      </c>
      <c r="AF14" s="384" t="n">
        <v>36861</v>
      </c>
      <c r="AG14" s="36" t="n">
        <v>20</v>
      </c>
      <c r="AH14" s="36" t="n">
        <v>5</v>
      </c>
      <c r="AI14" s="36" t="n">
        <v>6</v>
      </c>
      <c r="AJ14" s="36" t="n">
        <v>1</v>
      </c>
      <c r="AK14" s="36" t="n">
        <v>31</v>
      </c>
    </row>
    <row r="15" customFormat="false" ht="12.75" hidden="false" customHeight="false" outlineLevel="0" collapsed="false">
      <c r="A15" s="367" t="n">
        <v>900</v>
      </c>
      <c r="B15" s="400" t="n">
        <f aca="false">'Power Curves'!AT29</f>
        <v>1.3</v>
      </c>
      <c r="C15" s="400" t="n">
        <f aca="false">'Power Curves'!AU29</f>
        <v>1.3</v>
      </c>
      <c r="D15" s="400" t="n">
        <f aca="false">'Power Curves'!AV29</f>
        <v>1.1898</v>
      </c>
      <c r="E15" s="400" t="n">
        <f aca="false">'Power Curves'!AW29</f>
        <v>1.14131544612562</v>
      </c>
      <c r="F15" s="400" t="n">
        <f aca="false">'Power Curves'!AX29</f>
        <v>0.75</v>
      </c>
      <c r="G15" s="400" t="n">
        <f aca="false">'Power Curves'!AY29</f>
        <v>0.55</v>
      </c>
      <c r="H15" s="400" t="n">
        <f aca="false">'Power Curves'!AZ29</f>
        <v>0.4</v>
      </c>
      <c r="I15" s="400" t="n">
        <f aca="false">'Power Curves'!BA29</f>
        <v>0.4</v>
      </c>
      <c r="J15" s="400" t="n">
        <f aca="false">'Power Curves'!BB29</f>
        <v>0.65</v>
      </c>
      <c r="K15" s="400" t="n">
        <f aca="false">'Power Curves'!BC29</f>
        <v>1.1326</v>
      </c>
      <c r="L15" s="400" t="n">
        <f aca="false">'Power Curves'!BD29</f>
        <v>1.1426</v>
      </c>
      <c r="M15" s="400" t="n">
        <f aca="false">'Power Curves'!BE29</f>
        <v>1.1638</v>
      </c>
      <c r="N15" s="401" t="n">
        <f aca="false">VALUE('Power Curves'!BF29)</f>
        <v>1</v>
      </c>
      <c r="O15" s="364" t="n">
        <f aca="false">IF(AND($N15=1,$N22=1),AVERAGE(B15:B22),0)</f>
        <v>0.925</v>
      </c>
      <c r="P15" s="398" t="n">
        <f aca="false">IF(AND($N15=1,$N22=1),AVERAGE(C15:C22),0)</f>
        <v>0.925</v>
      </c>
      <c r="Q15" s="398" t="n">
        <f aca="false">IF(AND($N15=1,$N22=1),AVERAGE(D15:D22),0)</f>
        <v>0.9635125</v>
      </c>
      <c r="R15" s="398" t="n">
        <f aca="false">IF(AND($N15=1,$N22=1),AVERAGE(E15:E22),0)</f>
        <v>1.04378214652528</v>
      </c>
      <c r="S15" s="398" t="n">
        <f aca="false">IF(AND($N15=1,$N22=1),AVERAGE(F15:F22),0)</f>
        <v>1.09375</v>
      </c>
      <c r="T15" s="398" t="n">
        <f aca="false">IF(AND($N15=1,$N22=1),AVERAGE(G15:G22),0)</f>
        <v>1.14375</v>
      </c>
      <c r="U15" s="398" t="n">
        <f aca="false">IF(AND($N15=1,$N22=1),AVERAGE(H15:H22),0)</f>
        <v>1.1875</v>
      </c>
      <c r="V15" s="398" t="n">
        <f aca="false">IF(AND($N15=1,$N22=1),AVERAGE(I15:I22),0)</f>
        <v>1.1875</v>
      </c>
      <c r="W15" s="398" t="n">
        <f aca="false">IF(AND($N15=1,$N22=1),AVERAGE(J15:J22),0)</f>
        <v>1.09375</v>
      </c>
      <c r="X15" s="398" t="n">
        <f aca="false">IF(AND($N15=1,$N22=1),AVERAGE(K15:K22),0)</f>
        <v>0.9714125</v>
      </c>
      <c r="Y15" s="398" t="n">
        <f aca="false">IF(AND($N15=1,$N22=1),AVERAGE(L15:L22),0)</f>
        <v>0.966875</v>
      </c>
      <c r="Z15" s="360" t="n">
        <f aca="false">IF(AND($N15=1,$N22=1),AVERAGE(M15:M22),0)</f>
        <v>0.9579125</v>
      </c>
      <c r="AF15" s="384" t="n">
        <v>36892</v>
      </c>
      <c r="AG15" s="36" t="n">
        <v>22</v>
      </c>
      <c r="AH15" s="36" t="n">
        <v>4</v>
      </c>
      <c r="AI15" s="36" t="n">
        <v>5</v>
      </c>
      <c r="AJ15" s="36" t="n">
        <v>1</v>
      </c>
      <c r="AK15" s="36" t="n">
        <v>31</v>
      </c>
    </row>
    <row r="16" customFormat="false" ht="12.75" hidden="false" customHeight="false" outlineLevel="0" collapsed="false">
      <c r="A16" s="367" t="n">
        <v>1000</v>
      </c>
      <c r="B16" s="400" t="n">
        <f aca="false">'Power Curves'!AT30</f>
        <v>1.3</v>
      </c>
      <c r="C16" s="400" t="n">
        <f aca="false">'Power Curves'!AU30</f>
        <v>1.3</v>
      </c>
      <c r="D16" s="400" t="n">
        <f aca="false">'Power Curves'!AV30</f>
        <v>1.1862</v>
      </c>
      <c r="E16" s="400" t="n">
        <f aca="false">'Power Curves'!AW30</f>
        <v>1.09378612004454</v>
      </c>
      <c r="F16" s="400" t="n">
        <f aca="false">'Power Curves'!AX30</f>
        <v>0.75</v>
      </c>
      <c r="G16" s="400" t="n">
        <f aca="false">'Power Curves'!AY30</f>
        <v>0.55</v>
      </c>
      <c r="H16" s="400" t="n">
        <f aca="false">'Power Curves'!AZ30</f>
        <v>0.4</v>
      </c>
      <c r="I16" s="400" t="n">
        <f aca="false">'Power Curves'!BA30</f>
        <v>0.4</v>
      </c>
      <c r="J16" s="400" t="n">
        <f aca="false">'Power Curves'!BB30</f>
        <v>0.65</v>
      </c>
      <c r="K16" s="400" t="n">
        <f aca="false">'Power Curves'!BC30</f>
        <v>1.1291</v>
      </c>
      <c r="L16" s="400" t="n">
        <f aca="false">'Power Curves'!BD30</f>
        <v>1.1352</v>
      </c>
      <c r="M16" s="400" t="n">
        <f aca="false">'Power Curves'!BE30</f>
        <v>1.1579</v>
      </c>
      <c r="N16" s="401" t="n">
        <f aca="false">VALUE('Power Curves'!BF30)</f>
        <v>1</v>
      </c>
      <c r="O16" s="364" t="n">
        <f aca="false">IF(AND($N16=1,$N23=1),AVERAGE(B16:B23),0)</f>
        <v>0.9125</v>
      </c>
      <c r="P16" s="398" t="n">
        <f aca="false">IF(AND($N16=1,$N23=1),AVERAGE(C16:C23),0)</f>
        <v>0.9125</v>
      </c>
      <c r="Q16" s="398" t="n">
        <f aca="false">IF(AND($N16=1,$N23=1),AVERAGE(D16:D23),0)</f>
        <v>0.9209875</v>
      </c>
      <c r="R16" s="398" t="n">
        <f aca="false">IF(AND($N16=1,$N23=1),AVERAGE(E16:E23),0)</f>
        <v>1.00986941707969</v>
      </c>
      <c r="S16" s="398" t="n">
        <f aca="false">IF(AND($N16=1,$N23=1),AVERAGE(F16:F23),0)</f>
        <v>1.1875</v>
      </c>
      <c r="T16" s="398" t="n">
        <f aca="false">IF(AND($N16=1,$N23=1),AVERAGE(G16:G23),0)</f>
        <v>1.2875</v>
      </c>
      <c r="U16" s="398" t="n">
        <f aca="false">IF(AND($N16=1,$N23=1),AVERAGE(H16:H23),0)</f>
        <v>1.375</v>
      </c>
      <c r="V16" s="398" t="n">
        <f aca="false">IF(AND($N16=1,$N23=1),AVERAGE(I16:I23),0)</f>
        <v>1.375</v>
      </c>
      <c r="W16" s="398" t="n">
        <f aca="false">IF(AND($N16=1,$N23=1),AVERAGE(J16:J23),0)</f>
        <v>1.1875</v>
      </c>
      <c r="X16" s="398" t="n">
        <f aca="false">IF(AND($N16=1,$N23=1),AVERAGE(K16:K23),0)</f>
        <v>0.9410375</v>
      </c>
      <c r="Y16" s="398" t="n">
        <f aca="false">IF(AND($N16=1,$N23=1),AVERAGE(L16:L23),0)</f>
        <v>0.934875</v>
      </c>
      <c r="Z16" s="360" t="n">
        <f aca="false">IF(AND($N16=1,$N23=1),AVERAGE(M16:M23),0)</f>
        <v>0.9223875</v>
      </c>
      <c r="AF16" s="384" t="n">
        <v>36923</v>
      </c>
      <c r="AG16" s="36" t="n">
        <v>20</v>
      </c>
      <c r="AH16" s="36" t="n">
        <v>4</v>
      </c>
      <c r="AI16" s="36" t="n">
        <v>4</v>
      </c>
      <c r="AJ16" s="36" t="n">
        <v>0</v>
      </c>
      <c r="AK16" s="36" t="n">
        <v>28</v>
      </c>
    </row>
    <row r="17" customFormat="false" ht="12.75" hidden="false" customHeight="false" outlineLevel="0" collapsed="false">
      <c r="A17" s="367" t="n">
        <v>1100</v>
      </c>
      <c r="B17" s="400" t="n">
        <f aca="false">'Power Curves'!AT31</f>
        <v>0.8</v>
      </c>
      <c r="C17" s="400" t="n">
        <f aca="false">'Power Curves'!AU31</f>
        <v>0.8</v>
      </c>
      <c r="D17" s="400" t="n">
        <f aca="false">'Power Curves'!AV31</f>
        <v>1.1653</v>
      </c>
      <c r="E17" s="400" t="n">
        <f aca="false">'Power Curves'!AW31</f>
        <v>1.11633559035934</v>
      </c>
      <c r="F17" s="400" t="n">
        <f aca="false">'Power Curves'!AX31</f>
        <v>0.75</v>
      </c>
      <c r="G17" s="400" t="n">
        <f aca="false">'Power Curves'!AY31</f>
        <v>0.55</v>
      </c>
      <c r="H17" s="400" t="n">
        <f aca="false">'Power Curves'!AZ31</f>
        <v>0.4</v>
      </c>
      <c r="I17" s="400" t="n">
        <f aca="false">'Power Curves'!BA31</f>
        <v>0.4</v>
      </c>
      <c r="J17" s="400" t="n">
        <f aca="false">'Power Curves'!BB31</f>
        <v>0.65</v>
      </c>
      <c r="K17" s="400" t="n">
        <f aca="false">'Power Curves'!BC31</f>
        <v>1.1227</v>
      </c>
      <c r="L17" s="400" t="n">
        <f aca="false">'Power Curves'!BD31</f>
        <v>1.1133</v>
      </c>
      <c r="M17" s="400" t="n">
        <f aca="false">'Power Curves'!BE31</f>
        <v>1.1327</v>
      </c>
      <c r="N17" s="401" t="n">
        <f aca="false">VALUE('Power Curves'!BF31)</f>
        <v>1</v>
      </c>
      <c r="O17" s="364" t="n">
        <f aca="false">IF(AND($N17=1,$N24=1),AVERAGE(B17:B24),0)</f>
        <v>0.9</v>
      </c>
      <c r="P17" s="398" t="n">
        <f aca="false">IF(AND($N17=1,$N24=1),AVERAGE(C17:C24),0)</f>
        <v>0.9</v>
      </c>
      <c r="Q17" s="398" t="n">
        <f aca="false">IF(AND($N17=1,$N24=1),AVERAGE(D17:D24),0)</f>
        <v>0.9175</v>
      </c>
      <c r="R17" s="398" t="n">
        <f aca="false">IF(AND($N17=1,$N24=1),AVERAGE(E17:E24),0)</f>
        <v>0.98048348172835</v>
      </c>
      <c r="S17" s="398" t="n">
        <f aca="false">IF(AND($N17=1,$N24=1),AVERAGE(F17:F24),0)</f>
        <v>1.21875</v>
      </c>
      <c r="T17" s="398" t="n">
        <f aca="false">IF(AND($N17=1,$N24=1),AVERAGE(G17:G24),0)</f>
        <v>1.36875</v>
      </c>
      <c r="U17" s="398" t="n">
        <f aca="false">IF(AND($N17=1,$N24=1),AVERAGE(H17:H24),0)</f>
        <v>1.4875</v>
      </c>
      <c r="V17" s="398" t="n">
        <f aca="false">IF(AND($N17=1,$N24=1),AVERAGE(I17:I24),0)</f>
        <v>1.4875</v>
      </c>
      <c r="W17" s="398" t="n">
        <f aca="false">IF(AND($N17=1,$N24=1),AVERAGE(J17:J24),0)</f>
        <v>1.26875</v>
      </c>
      <c r="X17" s="398" t="n">
        <f aca="false">IF(AND($N17=1,$N24=1),AVERAGE(K17:K24),0)</f>
        <v>0.9499125</v>
      </c>
      <c r="Y17" s="398" t="n">
        <f aca="false">IF(AND($N17=1,$N24=1),AVERAGE(L17:L24),0)</f>
        <v>0.9451125</v>
      </c>
      <c r="Z17" s="360" t="n">
        <f aca="false">IF(AND($N17=1,$N24=1),AVERAGE(M17:M24),0)</f>
        <v>0.932607406607899</v>
      </c>
      <c r="AF17" s="384" t="n">
        <v>36951</v>
      </c>
      <c r="AG17" s="36" t="n">
        <v>22</v>
      </c>
      <c r="AH17" s="36" t="n">
        <v>5</v>
      </c>
      <c r="AI17" s="36" t="n">
        <v>4</v>
      </c>
      <c r="AJ17" s="36" t="n">
        <v>0</v>
      </c>
      <c r="AK17" s="36" t="n">
        <v>31</v>
      </c>
    </row>
    <row r="18" customFormat="false" ht="12.75" hidden="false" customHeight="false" outlineLevel="0" collapsed="false">
      <c r="A18" s="367" t="n">
        <v>1200</v>
      </c>
      <c r="B18" s="400" t="n">
        <f aca="false">'Power Curves'!AT32</f>
        <v>0.8</v>
      </c>
      <c r="C18" s="400" t="n">
        <f aca="false">'Power Curves'!AU32</f>
        <v>0.8</v>
      </c>
      <c r="D18" s="400" t="n">
        <f aca="false">'Power Curves'!AV32</f>
        <v>0.8904</v>
      </c>
      <c r="E18" s="400" t="n">
        <f aca="false">'Power Curves'!AW32</f>
        <v>1.11852454679246</v>
      </c>
      <c r="F18" s="400" t="n">
        <f aca="false">'Power Curves'!AX32</f>
        <v>1</v>
      </c>
      <c r="G18" s="400" t="n">
        <f aca="false">'Power Curves'!AY32</f>
        <v>1.2</v>
      </c>
      <c r="H18" s="400" t="n">
        <f aca="false">'Power Curves'!AZ32</f>
        <v>1.3</v>
      </c>
      <c r="I18" s="400" t="n">
        <f aca="false">'Power Curves'!BA32</f>
        <v>1.3</v>
      </c>
      <c r="J18" s="400" t="n">
        <f aca="false">'Power Curves'!BB32</f>
        <v>1.3</v>
      </c>
      <c r="K18" s="400" t="n">
        <f aca="false">'Power Curves'!BC32</f>
        <v>0.9474</v>
      </c>
      <c r="L18" s="400" t="n">
        <f aca="false">'Power Curves'!BD32</f>
        <v>0.9374</v>
      </c>
      <c r="M18" s="400" t="n">
        <f aca="false">'Power Curves'!BE32</f>
        <v>0.9204</v>
      </c>
      <c r="N18" s="401" t="n">
        <f aca="false">VALUE('Power Curves'!BF32)</f>
        <v>1</v>
      </c>
      <c r="O18" s="364" t="n">
        <f aca="false">IF(AND($N18=1,$N25=1),AVERAGE(B18:B25),0)</f>
        <v>0.95</v>
      </c>
      <c r="P18" s="398" t="n">
        <f aca="false">IF(AND($N18=1,$N25=1),AVERAGE(C18:C25),0)</f>
        <v>0.95</v>
      </c>
      <c r="Q18" s="398" t="n">
        <f aca="false">IF(AND($N18=1,$N25=1),AVERAGE(D18:D25),0)</f>
        <v>0.930825</v>
      </c>
      <c r="R18" s="398" t="n">
        <f aca="false">IF(AND($N18=1,$N25=1),AVERAGE(E18:E25),0)</f>
        <v>0.947703456760566</v>
      </c>
      <c r="S18" s="398" t="n">
        <f aca="false">IF(AND($N18=1,$N25=1),AVERAGE(F18:F25),0)</f>
        <v>1.25</v>
      </c>
      <c r="T18" s="398" t="n">
        <f aca="false">IF(AND($N18=1,$N25=1),AVERAGE(G18:G25),0)</f>
        <v>1.45</v>
      </c>
      <c r="U18" s="398" t="n">
        <f aca="false">IF(AND($N18=1,$N25=1),AVERAGE(H18:H25),0)</f>
        <v>1.6</v>
      </c>
      <c r="V18" s="398" t="n">
        <f aca="false">IF(AND($N18=1,$N25=1),AVERAGE(I18:I25),0)</f>
        <v>1.6</v>
      </c>
      <c r="W18" s="398" t="n">
        <f aca="false">IF(AND($N18=1,$N25=1),AVERAGE(J18:J25),0)</f>
        <v>1.35</v>
      </c>
      <c r="X18" s="398" t="n">
        <f aca="false">IF(AND($N18=1,$N25=1),AVERAGE(K18:K25),0)</f>
        <v>0.9607625</v>
      </c>
      <c r="Y18" s="398" t="n">
        <f aca="false">IF(AND($N18=1,$N25=1),AVERAGE(L18:L25),0)</f>
        <v>0.9593125</v>
      </c>
      <c r="Z18" s="360" t="n">
        <f aca="false">IF(AND($N18=1,$N25=1),AVERAGE(M18:M25),0)</f>
        <v>0.944944906607899</v>
      </c>
      <c r="AF18" s="384" t="n">
        <v>36982</v>
      </c>
      <c r="AG18" s="36" t="n">
        <v>21</v>
      </c>
      <c r="AH18" s="36" t="n">
        <v>4</v>
      </c>
      <c r="AI18" s="36" t="n">
        <v>5</v>
      </c>
      <c r="AJ18" s="36" t="n">
        <v>0</v>
      </c>
      <c r="AK18" s="36" t="n">
        <v>30</v>
      </c>
    </row>
    <row r="19" customFormat="false" ht="12.75" hidden="false" customHeight="false" outlineLevel="0" collapsed="false">
      <c r="A19" s="367" t="n">
        <v>1300</v>
      </c>
      <c r="B19" s="400" t="n">
        <f aca="false">'Power Curves'!AT33</f>
        <v>0.8</v>
      </c>
      <c r="C19" s="400" t="n">
        <f aca="false">'Power Curves'!AU33</f>
        <v>0.8</v>
      </c>
      <c r="D19" s="400" t="n">
        <f aca="false">'Power Curves'!AV33</f>
        <v>0.8648</v>
      </c>
      <c r="E19" s="400" t="n">
        <f aca="false">'Power Curves'!AW33</f>
        <v>1.01643226256211</v>
      </c>
      <c r="F19" s="400" t="n">
        <f aca="false">'Power Curves'!AX33</f>
        <v>1</v>
      </c>
      <c r="G19" s="400" t="n">
        <f aca="false">'Power Curves'!AY33</f>
        <v>1.2</v>
      </c>
      <c r="H19" s="400" t="n">
        <f aca="false">'Power Curves'!AZ33</f>
        <v>1.3</v>
      </c>
      <c r="I19" s="400" t="n">
        <f aca="false">'Power Curves'!BA33</f>
        <v>1.3</v>
      </c>
      <c r="J19" s="400" t="n">
        <f aca="false">'Power Curves'!BB33</f>
        <v>1.3</v>
      </c>
      <c r="K19" s="400" t="n">
        <f aca="false">'Power Curves'!BC33</f>
        <v>0.8899</v>
      </c>
      <c r="L19" s="400" t="n">
        <f aca="false">'Power Curves'!BD33</f>
        <v>0.8829</v>
      </c>
      <c r="M19" s="400" t="n">
        <f aca="false">'Power Curves'!BE33</f>
        <v>0.8749</v>
      </c>
      <c r="N19" s="401" t="n">
        <f aca="false">VALUE('Power Curves'!BF33)</f>
        <v>1</v>
      </c>
      <c r="O19" s="364" t="n">
        <f aca="false">IF(AND($N19=1,$N26=1),AVERAGE(B19:B26),0)</f>
        <v>1</v>
      </c>
      <c r="P19" s="398" t="n">
        <f aca="false">IF(AND($N19=1,$N26=1),AVERAGE(C19:C26),0)</f>
        <v>1</v>
      </c>
      <c r="Q19" s="398" t="n">
        <f aca="false">IF(AND($N19=1,$N26=1),AVERAGE(D19:D26),0)</f>
        <v>0.97165</v>
      </c>
      <c r="R19" s="398" t="n">
        <f aca="false">IF(AND($N19=1,$N26=1),AVERAGE(E19:E26),0)</f>
        <v>0.924989009949893</v>
      </c>
      <c r="S19" s="398" t="n">
        <f aca="false">IF(AND($N19=1,$N26=1),AVERAGE(F19:F26),0)</f>
        <v>1.21875</v>
      </c>
      <c r="T19" s="398" t="n">
        <f aca="false">IF(AND($N19=1,$N26=1),AVERAGE(G19:G26),0)</f>
        <v>1.36875</v>
      </c>
      <c r="U19" s="398" t="n">
        <f aca="false">IF(AND($N19=1,$N26=1),AVERAGE(H19:H26),0)</f>
        <v>1.4875</v>
      </c>
      <c r="V19" s="398" t="n">
        <f aca="false">IF(AND($N19=1,$N26=1),AVERAGE(I19:I26),0)</f>
        <v>1.4875</v>
      </c>
      <c r="W19" s="398" t="n">
        <f aca="false">IF(AND($N19=1,$N26=1),AVERAGE(J19:J26),0)</f>
        <v>1.26875</v>
      </c>
      <c r="X19" s="398" t="n">
        <f aca="false">IF(AND($N19=1,$N26=1),AVERAGE(K19:K26),0)</f>
        <v>0.986925</v>
      </c>
      <c r="Y19" s="398" t="n">
        <f aca="false">IF(AND($N19=1,$N26=1),AVERAGE(L19:L26),0)</f>
        <v>0.989225</v>
      </c>
      <c r="Z19" s="360" t="n">
        <f aca="false">IF(AND($N19=1,$N26=1),AVERAGE(M19:M26),0)</f>
        <v>0.978519445147215</v>
      </c>
      <c r="AF19" s="384" t="n">
        <v>37012</v>
      </c>
      <c r="AG19" s="36" t="n">
        <v>22</v>
      </c>
      <c r="AH19" s="36" t="n">
        <v>4</v>
      </c>
      <c r="AI19" s="36" t="n">
        <v>5</v>
      </c>
      <c r="AJ19" s="36" t="n">
        <v>1</v>
      </c>
      <c r="AK19" s="36" t="n">
        <v>31</v>
      </c>
    </row>
    <row r="20" customFormat="false" ht="12.75" hidden="false" customHeight="false" outlineLevel="0" collapsed="false">
      <c r="A20" s="367" t="n">
        <v>1400</v>
      </c>
      <c r="B20" s="400" t="n">
        <f aca="false">'Power Curves'!AT34</f>
        <v>0.8</v>
      </c>
      <c r="C20" s="400" t="n">
        <f aca="false">'Power Curves'!AU34</f>
        <v>0.8</v>
      </c>
      <c r="D20" s="400" t="n">
        <f aca="false">'Power Curves'!AV34</f>
        <v>0.8372</v>
      </c>
      <c r="E20" s="400" t="n">
        <f aca="false">'Power Curves'!AW34</f>
        <v>1.01752674077867</v>
      </c>
      <c r="F20" s="400" t="n">
        <f aca="false">'Power Curves'!AX34</f>
        <v>1.5</v>
      </c>
      <c r="G20" s="400" t="n">
        <f aca="false">'Power Curves'!AY34</f>
        <v>1.7</v>
      </c>
      <c r="H20" s="400" t="n">
        <f aca="false">'Power Curves'!AZ34</f>
        <v>1.9</v>
      </c>
      <c r="I20" s="400" t="n">
        <f aca="false">'Power Curves'!BA34</f>
        <v>1.9</v>
      </c>
      <c r="J20" s="400" t="n">
        <f aca="false">'Power Curves'!BB34</f>
        <v>1.4</v>
      </c>
      <c r="K20" s="400" t="n">
        <f aca="false">'Power Curves'!BC34</f>
        <v>0.8652</v>
      </c>
      <c r="L20" s="400" t="n">
        <f aca="false">'Power Curves'!BD34</f>
        <v>0.8592</v>
      </c>
      <c r="M20" s="400" t="n">
        <f aca="false">'Power Curves'!BE34</f>
        <v>0.8372</v>
      </c>
      <c r="N20" s="401" t="n">
        <f aca="false">VALUE('Power Curves'!BF34)</f>
        <v>1</v>
      </c>
      <c r="O20" s="364" t="n">
        <f aca="false">IF(AND($N20=1,$N27=1),AVERAGE(B20:B27),0)</f>
        <v>1.0375</v>
      </c>
      <c r="P20" s="398" t="n">
        <f aca="false">IF(AND($N20=1,$N27=1),AVERAGE(C20:C27),0)</f>
        <v>1.0375</v>
      </c>
      <c r="Q20" s="398" t="n">
        <f aca="false">IF(AND($N20=1,$N27=1),AVERAGE(D20:D27),0)</f>
        <v>1.0066875</v>
      </c>
      <c r="R20" s="398" t="n">
        <f aca="false">IF(AND($N20=1,$N27=1),AVERAGE(E20:E27),0)</f>
        <v>0.942227041860774</v>
      </c>
      <c r="S20" s="398" t="n">
        <f aca="false">IF(AND($N20=1,$N27=1),AVERAGE(F20:F27),0)</f>
        <v>1.1875</v>
      </c>
      <c r="T20" s="398" t="n">
        <f aca="false">IF(AND($N20=1,$N27=1),AVERAGE(G20:G27),0)</f>
        <v>1.2875</v>
      </c>
      <c r="U20" s="398" t="n">
        <f aca="false">IF(AND($N20=1,$N27=1),AVERAGE(H20:H27),0)</f>
        <v>1.375</v>
      </c>
      <c r="V20" s="398" t="n">
        <f aca="false">IF(AND($N20=1,$N27=1),AVERAGE(I20:I27),0)</f>
        <v>1.375</v>
      </c>
      <c r="W20" s="398" t="n">
        <f aca="false">IF(AND($N20=1,$N27=1),AVERAGE(J20:J27),0)</f>
        <v>1.1875</v>
      </c>
      <c r="X20" s="398" t="n">
        <f aca="false">IF(AND($N20=1,$N27=1),AVERAGE(K20:K27),0)</f>
        <v>1.0093</v>
      </c>
      <c r="Y20" s="398" t="n">
        <f aca="false">IF(AND($N20=1,$N27=1),AVERAGE(L20:L27),0)</f>
        <v>1.014975</v>
      </c>
      <c r="Z20" s="360" t="n">
        <f aca="false">IF(AND($N20=1,$N27=1),AVERAGE(M20:M27),0)</f>
        <v>1.01353849180631</v>
      </c>
      <c r="AF20" s="384" t="n">
        <v>37043</v>
      </c>
      <c r="AG20" s="36" t="n">
        <v>21</v>
      </c>
      <c r="AH20" s="36" t="n">
        <v>5</v>
      </c>
      <c r="AI20" s="36" t="n">
        <v>4</v>
      </c>
      <c r="AJ20" s="36" t="n">
        <v>0</v>
      </c>
      <c r="AK20" s="36" t="n">
        <v>30</v>
      </c>
    </row>
    <row r="21" customFormat="false" ht="12.75" hidden="false" customHeight="false" outlineLevel="0" collapsed="false">
      <c r="A21" s="367" t="n">
        <v>1500</v>
      </c>
      <c r="B21" s="400" t="n">
        <f aca="false">'Power Curves'!AT35</f>
        <v>0.8</v>
      </c>
      <c r="C21" s="400" t="n">
        <f aca="false">'Power Curves'!AU35</f>
        <v>0.8</v>
      </c>
      <c r="D21" s="400" t="n">
        <f aca="false">'Power Curves'!AV35</f>
        <v>0.7951</v>
      </c>
      <c r="E21" s="400" t="n">
        <f aca="false">'Power Curves'!AW35</f>
        <v>0.954368909575779</v>
      </c>
      <c r="F21" s="400" t="n">
        <f aca="false">'Power Curves'!AX35</f>
        <v>1.5</v>
      </c>
      <c r="G21" s="400" t="n">
        <f aca="false">'Power Curves'!AY35</f>
        <v>1.7</v>
      </c>
      <c r="H21" s="400" t="n">
        <f aca="false">'Power Curves'!AZ35</f>
        <v>1.9</v>
      </c>
      <c r="I21" s="400" t="n">
        <f aca="false">'Power Curves'!BA35</f>
        <v>1.9</v>
      </c>
      <c r="J21" s="400" t="n">
        <f aca="false">'Power Curves'!BB35</f>
        <v>1.4</v>
      </c>
      <c r="K21" s="400" t="n">
        <f aca="false">'Power Curves'!BC35</f>
        <v>0.8451</v>
      </c>
      <c r="L21" s="400" t="n">
        <f aca="false">'Power Curves'!BD35</f>
        <v>0.8391</v>
      </c>
      <c r="M21" s="400" t="n">
        <f aca="false">'Power Curves'!BE35</f>
        <v>0.7951</v>
      </c>
      <c r="N21" s="401" t="n">
        <f aca="false">VALUE('Power Curves'!BF35)</f>
        <v>1</v>
      </c>
      <c r="O21" s="364" t="n">
        <f aca="false">IF(AND($N21=1,$N28=1),AVERAGE(B21:B28),0)</f>
        <v>1.0375</v>
      </c>
      <c r="P21" s="398" t="n">
        <f aca="false">IF(AND($N21=1,$N28=1),AVERAGE(C21:C28),0)</f>
        <v>1.0375</v>
      </c>
      <c r="Q21" s="398" t="n">
        <f aca="false">IF(AND($N21=1,$N28=1),AVERAGE(D21:D28),0)</f>
        <v>1.005975</v>
      </c>
      <c r="R21" s="398" t="n">
        <f aca="false">IF(AND($N21=1,$N28=1),AVERAGE(E21:E28),0)</f>
        <v>0.937983926863103</v>
      </c>
      <c r="S21" s="398" t="n">
        <f aca="false">IF(AND($N21=1,$N28=1),AVERAGE(F21:F28),0)</f>
        <v>1.09375</v>
      </c>
      <c r="T21" s="398" t="n">
        <f aca="false">IF(AND($N21=1,$N28=1),AVERAGE(G21:G28),0)</f>
        <v>1.14375</v>
      </c>
      <c r="U21" s="398" t="n">
        <f aca="false">IF(AND($N21=1,$N28=1),AVERAGE(H21:H28),0)</f>
        <v>1.1875</v>
      </c>
      <c r="V21" s="398" t="n">
        <f aca="false">IF(AND($N21=1,$N28=1),AVERAGE(I21:I28),0)</f>
        <v>1.1875</v>
      </c>
      <c r="W21" s="398" t="n">
        <f aca="false">IF(AND($N21=1,$N28=1),AVERAGE(J21:J28),0)</f>
        <v>1.09375</v>
      </c>
      <c r="X21" s="398" t="n">
        <f aca="false">IF(AND($N21=1,$N28=1),AVERAGE(K21:K28),0)</f>
        <v>1.0119875</v>
      </c>
      <c r="Y21" s="398" t="n">
        <f aca="false">IF(AND($N21=1,$N28=1),AVERAGE(L21:L28),0)</f>
        <v>1.01585</v>
      </c>
      <c r="Z21" s="360" t="n">
        <f aca="false">IF(AND($N21=1,$N28=1),AVERAGE(M21:M28),0)</f>
        <v>1.01532599180631</v>
      </c>
      <c r="AF21" s="384" t="n">
        <v>37073</v>
      </c>
      <c r="AG21" s="36" t="n">
        <v>21</v>
      </c>
      <c r="AH21" s="36" t="n">
        <v>4</v>
      </c>
      <c r="AI21" s="36" t="n">
        <v>6</v>
      </c>
      <c r="AJ21" s="36" t="n">
        <v>1</v>
      </c>
      <c r="AK21" s="36" t="n">
        <v>31</v>
      </c>
    </row>
    <row r="22" customFormat="false" ht="12.75" hidden="false" customHeight="false" outlineLevel="0" collapsed="false">
      <c r="A22" s="367" t="n">
        <v>1600</v>
      </c>
      <c r="B22" s="400" t="n">
        <f aca="false">'Power Curves'!AT36</f>
        <v>0.8</v>
      </c>
      <c r="C22" s="400" t="n">
        <f aca="false">'Power Curves'!AU36</f>
        <v>0.8</v>
      </c>
      <c r="D22" s="400" t="n">
        <f aca="false">'Power Curves'!AV36</f>
        <v>0.7793</v>
      </c>
      <c r="E22" s="400" t="n">
        <f aca="false">'Power Curves'!AW36</f>
        <v>0.891967555963749</v>
      </c>
      <c r="F22" s="400" t="n">
        <f aca="false">'Power Curves'!AX36</f>
        <v>1.5</v>
      </c>
      <c r="G22" s="400" t="n">
        <f aca="false">'Power Curves'!AY36</f>
        <v>1.7</v>
      </c>
      <c r="H22" s="400" t="n">
        <f aca="false">'Power Curves'!AZ36</f>
        <v>1.9</v>
      </c>
      <c r="I22" s="400" t="n">
        <f aca="false">'Power Curves'!BA36</f>
        <v>1.9</v>
      </c>
      <c r="J22" s="400" t="n">
        <f aca="false">'Power Curves'!BB36</f>
        <v>1.4</v>
      </c>
      <c r="K22" s="400" t="n">
        <f aca="false">'Power Curves'!BC36</f>
        <v>0.8393</v>
      </c>
      <c r="L22" s="400" t="n">
        <f aca="false">'Power Curves'!BD36</f>
        <v>0.8253</v>
      </c>
      <c r="M22" s="400" t="n">
        <f aca="false">'Power Curves'!BE36</f>
        <v>0.7813</v>
      </c>
      <c r="N22" s="401" t="n">
        <f aca="false">VALUE('Power Curves'!BF36)</f>
        <v>1</v>
      </c>
      <c r="O22" s="364" t="n">
        <f aca="false">IF(AND($N22=1,$N29=1),AVERAGE(B22:B29),0)</f>
        <v>1.0375</v>
      </c>
      <c r="P22" s="398" t="n">
        <f aca="false">IF(AND($N22=1,$N29=1),AVERAGE(C22:C29),0)</f>
        <v>1.0375</v>
      </c>
      <c r="Q22" s="398" t="n">
        <f aca="false">IF(AND($N22=1,$N29=1),AVERAGE(D22:D29),0)</f>
        <v>0.9919</v>
      </c>
      <c r="R22" s="398" t="n">
        <f aca="false">IF(AND($N22=1,$N29=1),AVERAGE(E22:E29),0)</f>
        <v>0.92730471661766</v>
      </c>
      <c r="S22" s="398" t="n">
        <f aca="false">IF(AND($N22=1,$N29=1),AVERAGE(F22:F29),0)</f>
        <v>1</v>
      </c>
      <c r="T22" s="398" t="n">
        <f aca="false">IF(AND($N22=1,$N29=1),AVERAGE(G22:G29),0)</f>
        <v>1</v>
      </c>
      <c r="U22" s="398" t="n">
        <f aca="false">IF(AND($N22=1,$N29=1),AVERAGE(H22:H29),0)</f>
        <v>1</v>
      </c>
      <c r="V22" s="398" t="n">
        <f aca="false">IF(AND($N22=1,$N29=1),AVERAGE(I22:I29),0)</f>
        <v>1</v>
      </c>
      <c r="W22" s="398" t="n">
        <f aca="false">IF(AND($N22=1,$N29=1),AVERAGE(J22:J29),0)</f>
        <v>1</v>
      </c>
      <c r="X22" s="398" t="n">
        <f aca="false">IF(AND($N22=1,$N29=1),AVERAGE(K22:K29),0)</f>
        <v>1.00085</v>
      </c>
      <c r="Y22" s="398" t="n">
        <f aca="false">IF(AND($N22=1,$N29=1),AVERAGE(L22:L29),0)</f>
        <v>1.002275</v>
      </c>
      <c r="Z22" s="360" t="n">
        <f aca="false">IF(AND($N22=1,$N29=1),AVERAGE(M22:M29),0)</f>
        <v>1.00375099180631</v>
      </c>
      <c r="AF22" s="384" t="n">
        <v>37104</v>
      </c>
      <c r="AG22" s="36" t="n">
        <v>23</v>
      </c>
      <c r="AH22" s="36" t="n">
        <v>4</v>
      </c>
      <c r="AI22" s="36" t="n">
        <v>4</v>
      </c>
      <c r="AJ22" s="36" t="n">
        <v>0</v>
      </c>
      <c r="AK22" s="36" t="n">
        <v>31</v>
      </c>
    </row>
    <row r="23" customFormat="false" ht="12.75" hidden="false" customHeight="false" outlineLevel="0" collapsed="false">
      <c r="A23" s="367" t="n">
        <v>1700</v>
      </c>
      <c r="B23" s="400" t="n">
        <f aca="false">'Power Curves'!AT37</f>
        <v>1.2</v>
      </c>
      <c r="C23" s="400" t="n">
        <f aca="false">'Power Curves'!AU37</f>
        <v>1.2</v>
      </c>
      <c r="D23" s="400" t="n">
        <f aca="false">'Power Curves'!AV37</f>
        <v>0.8496</v>
      </c>
      <c r="E23" s="400" t="n">
        <f aca="false">'Power Curves'!AW37</f>
        <v>0.87001361056091</v>
      </c>
      <c r="F23" s="400" t="n">
        <f aca="false">'Power Curves'!AX37</f>
        <v>1.5</v>
      </c>
      <c r="G23" s="400" t="n">
        <f aca="false">'Power Curves'!AY37</f>
        <v>1.7</v>
      </c>
      <c r="H23" s="400" t="n">
        <f aca="false">'Power Curves'!AZ37</f>
        <v>1.9</v>
      </c>
      <c r="I23" s="400" t="n">
        <f aca="false">'Power Curves'!BA37</f>
        <v>1.9</v>
      </c>
      <c r="J23" s="400" t="n">
        <f aca="false">'Power Curves'!BB37</f>
        <v>1.4</v>
      </c>
      <c r="K23" s="400" t="n">
        <f aca="false">'Power Curves'!BC37</f>
        <v>0.8896</v>
      </c>
      <c r="L23" s="400" t="n">
        <f aca="false">'Power Curves'!BD37</f>
        <v>0.8866</v>
      </c>
      <c r="M23" s="400" t="n">
        <f aca="false">'Power Curves'!BE37</f>
        <v>0.8796</v>
      </c>
      <c r="N23" s="401" t="n">
        <f aca="false">VALUE('Power Curves'!BF37)</f>
        <v>1</v>
      </c>
      <c r="O23" s="364" t="n">
        <f aca="false">IF(AND($N23=1,$N30=1),AVERAGE(B23:B30),0)</f>
        <v>0</v>
      </c>
      <c r="P23" s="398" t="n">
        <f aca="false">IF(AND($N23=1,$N30=1),AVERAGE(C23:C30),0)</f>
        <v>0</v>
      </c>
      <c r="Q23" s="398" t="n">
        <f aca="false">IF(AND($N23=1,$N30=1),AVERAGE(D23:D30),0)</f>
        <v>0</v>
      </c>
      <c r="R23" s="398" t="n">
        <f aca="false">IF(AND($N23=1,$N30=1),AVERAGE(E23:E30),0)</f>
        <v>0</v>
      </c>
      <c r="S23" s="398" t="n">
        <f aca="false">IF(AND($N23=1,$N30=1),AVERAGE(F23:F30),0)</f>
        <v>0</v>
      </c>
      <c r="T23" s="398" t="n">
        <f aca="false">IF(AND($N23=1,$N30=1),AVERAGE(G23:G30),0)</f>
        <v>0</v>
      </c>
      <c r="U23" s="398" t="n">
        <f aca="false">IF(AND($N23=1,$N30=1),AVERAGE(H23:H30),0)</f>
        <v>0</v>
      </c>
      <c r="V23" s="398" t="n">
        <f aca="false">IF(AND($N23=1,$N30=1),AVERAGE(I23:I30),0)</f>
        <v>0</v>
      </c>
      <c r="W23" s="398" t="n">
        <f aca="false">IF(AND($N23=1,$N30=1),AVERAGE(J23:J30),0)</f>
        <v>0</v>
      </c>
      <c r="X23" s="398" t="n">
        <f aca="false">IF(AND($N23=1,$N30=1),AVERAGE(K23:K30),0)</f>
        <v>0</v>
      </c>
      <c r="Y23" s="398" t="n">
        <f aca="false">IF(AND($N23=1,$N30=1),AVERAGE(L23:L30),0)</f>
        <v>0</v>
      </c>
      <c r="Z23" s="360" t="n">
        <f aca="false">IF(AND($N23=1,$N30=1),AVERAGE(M23:M30),0)</f>
        <v>0</v>
      </c>
      <c r="AF23" s="384" t="n">
        <v>37135</v>
      </c>
      <c r="AG23" s="36" t="n">
        <v>19</v>
      </c>
      <c r="AH23" s="36" t="n">
        <v>5</v>
      </c>
      <c r="AI23" s="36" t="n">
        <v>6</v>
      </c>
      <c r="AJ23" s="36" t="n">
        <v>1</v>
      </c>
      <c r="AK23" s="36" t="n">
        <v>30</v>
      </c>
    </row>
    <row r="24" customFormat="false" ht="12.75" hidden="false" customHeight="false" outlineLevel="0" collapsed="false">
      <c r="A24" s="367" t="n">
        <v>1800</v>
      </c>
      <c r="B24" s="400" t="n">
        <f aca="false">'Power Curves'!AT38</f>
        <v>1.2</v>
      </c>
      <c r="C24" s="400" t="n">
        <f aca="false">'Power Curves'!AU38</f>
        <v>1.2</v>
      </c>
      <c r="D24" s="400" t="n">
        <f aca="false">'Power Curves'!AV38</f>
        <v>1.1583</v>
      </c>
      <c r="E24" s="400" t="n">
        <f aca="false">'Power Curves'!AW38</f>
        <v>0.858698637233787</v>
      </c>
      <c r="F24" s="400" t="n">
        <f aca="false">'Power Curves'!AX38</f>
        <v>1</v>
      </c>
      <c r="G24" s="400" t="n">
        <f aca="false">'Power Curves'!AY38</f>
        <v>1.2</v>
      </c>
      <c r="H24" s="400" t="n">
        <f aca="false">'Power Curves'!AZ38</f>
        <v>1.3</v>
      </c>
      <c r="I24" s="400" t="n">
        <f aca="false">'Power Curves'!BA38</f>
        <v>1.3</v>
      </c>
      <c r="J24" s="400" t="n">
        <f aca="false">'Power Curves'!BB38</f>
        <v>1.3</v>
      </c>
      <c r="K24" s="400" t="n">
        <f aca="false">'Power Curves'!BC38</f>
        <v>1.2001</v>
      </c>
      <c r="L24" s="400" t="n">
        <f aca="false">'Power Curves'!BD38</f>
        <v>1.2171</v>
      </c>
      <c r="M24" s="400" t="n">
        <f aca="false">'Power Curves'!BE38</f>
        <v>1.23965925286319</v>
      </c>
      <c r="N24" s="401" t="n">
        <f aca="false">VALUE('Power Curves'!BF38)</f>
        <v>1</v>
      </c>
      <c r="O24" s="364"/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360"/>
      <c r="AF24" s="384" t="n">
        <v>37165</v>
      </c>
      <c r="AG24" s="36" t="n">
        <v>23</v>
      </c>
      <c r="AH24" s="36" t="n">
        <v>4</v>
      </c>
      <c r="AI24" s="36" t="n">
        <v>4</v>
      </c>
      <c r="AJ24" s="36" t="n">
        <v>0</v>
      </c>
      <c r="AK24" s="36" t="n">
        <v>31</v>
      </c>
    </row>
    <row r="25" customFormat="false" ht="12.75" hidden="false" customHeight="false" outlineLevel="0" collapsed="false">
      <c r="A25" s="367" t="n">
        <v>1900</v>
      </c>
      <c r="B25" s="400" t="n">
        <f aca="false">'Power Curves'!AT39</f>
        <v>1.2</v>
      </c>
      <c r="C25" s="400" t="n">
        <f aca="false">'Power Curves'!AU39</f>
        <v>1.2</v>
      </c>
      <c r="D25" s="400" t="n">
        <f aca="false">'Power Curves'!AV39</f>
        <v>1.2719</v>
      </c>
      <c r="E25" s="400" t="n">
        <f aca="false">'Power Curves'!AW39</f>
        <v>0.854095390617062</v>
      </c>
      <c r="F25" s="400" t="n">
        <f aca="false">'Power Curves'!AX39</f>
        <v>1</v>
      </c>
      <c r="G25" s="400" t="n">
        <f aca="false">'Power Curves'!AY39</f>
        <v>1.2</v>
      </c>
      <c r="H25" s="400" t="n">
        <f aca="false">'Power Curves'!AZ39</f>
        <v>1.3</v>
      </c>
      <c r="I25" s="400" t="n">
        <f aca="false">'Power Curves'!BA39</f>
        <v>1.3</v>
      </c>
      <c r="J25" s="400" t="n">
        <f aca="false">'Power Curves'!BB39</f>
        <v>1.3</v>
      </c>
      <c r="K25" s="400" t="n">
        <f aca="false">'Power Curves'!BC39</f>
        <v>1.2095</v>
      </c>
      <c r="L25" s="400" t="n">
        <f aca="false">'Power Curves'!BD39</f>
        <v>1.2269</v>
      </c>
      <c r="M25" s="400" t="n">
        <f aca="false">'Power Curves'!BE39</f>
        <v>1.2314</v>
      </c>
      <c r="N25" s="401" t="n">
        <f aca="false">VALUE('Power Curves'!BF39)</f>
        <v>1</v>
      </c>
      <c r="O25" s="364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60"/>
      <c r="AF25" s="384" t="n">
        <v>37196</v>
      </c>
      <c r="AG25" s="36" t="n">
        <v>21</v>
      </c>
      <c r="AH25" s="36" t="n">
        <v>4</v>
      </c>
      <c r="AI25" s="36" t="n">
        <v>5</v>
      </c>
      <c r="AJ25" s="36" t="n">
        <v>1</v>
      </c>
      <c r="AK25" s="36" t="n">
        <v>30</v>
      </c>
    </row>
    <row r="26" customFormat="false" ht="12.75" hidden="false" customHeight="false" outlineLevel="0" collapsed="false">
      <c r="A26" s="367" t="n">
        <v>2000</v>
      </c>
      <c r="B26" s="400" t="n">
        <f aca="false">'Power Curves'!AT40</f>
        <v>1.2</v>
      </c>
      <c r="C26" s="400" t="n">
        <f aca="false">'Power Curves'!AU40</f>
        <v>1.2</v>
      </c>
      <c r="D26" s="400" t="n">
        <f aca="false">'Power Curves'!AV40</f>
        <v>1.217</v>
      </c>
      <c r="E26" s="400" t="n">
        <f aca="false">'Power Curves'!AW40</f>
        <v>0.936808972307086</v>
      </c>
      <c r="F26" s="400" t="n">
        <f aca="false">'Power Curves'!AX40</f>
        <v>0.75</v>
      </c>
      <c r="G26" s="400" t="n">
        <f aca="false">'Power Curves'!AY40</f>
        <v>0.55</v>
      </c>
      <c r="H26" s="400" t="n">
        <f aca="false">'Power Curves'!AZ40</f>
        <v>0.4</v>
      </c>
      <c r="I26" s="400" t="n">
        <f aca="false">'Power Curves'!BA40</f>
        <v>0.4</v>
      </c>
      <c r="J26" s="400" t="n">
        <f aca="false">'Power Curves'!BB40</f>
        <v>0.65</v>
      </c>
      <c r="K26" s="400" t="n">
        <f aca="false">'Power Curves'!BC40</f>
        <v>1.1567</v>
      </c>
      <c r="L26" s="400" t="n">
        <f aca="false">'Power Curves'!BD40</f>
        <v>1.1767</v>
      </c>
      <c r="M26" s="400" t="n">
        <f aca="false">'Power Curves'!BE40</f>
        <v>1.18899630831453</v>
      </c>
      <c r="N26" s="401" t="n">
        <f aca="false">VALUE('Power Curves'!BF40)</f>
        <v>1</v>
      </c>
      <c r="O26" s="364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60"/>
      <c r="AF26" s="384" t="n">
        <v>37226</v>
      </c>
      <c r="AG26" s="36" t="n">
        <v>20</v>
      </c>
      <c r="AH26" s="36" t="n">
        <v>5</v>
      </c>
      <c r="AI26" s="36" t="n">
        <v>6</v>
      </c>
      <c r="AJ26" s="36" t="n">
        <v>1</v>
      </c>
      <c r="AK26" s="36" t="n">
        <v>31</v>
      </c>
    </row>
    <row r="27" customFormat="false" ht="12.75" hidden="false" customHeight="false" outlineLevel="0" collapsed="false">
      <c r="A27" s="367" t="n">
        <v>2100</v>
      </c>
      <c r="B27" s="400" t="n">
        <f aca="false">'Power Curves'!AT41</f>
        <v>1.1</v>
      </c>
      <c r="C27" s="400" t="n">
        <f aca="false">'Power Curves'!AU41</f>
        <v>1.1</v>
      </c>
      <c r="D27" s="400" t="n">
        <f aca="false">'Power Curves'!AV41</f>
        <v>1.1451</v>
      </c>
      <c r="E27" s="400" t="n">
        <f aca="false">'Power Curves'!AW41</f>
        <v>1.15433651784915</v>
      </c>
      <c r="F27" s="400" t="n">
        <f aca="false">'Power Curves'!AX41</f>
        <v>0.75</v>
      </c>
      <c r="G27" s="400" t="n">
        <f aca="false">'Power Curves'!AY41</f>
        <v>0.55</v>
      </c>
      <c r="H27" s="400" t="n">
        <f aca="false">'Power Curves'!AZ41</f>
        <v>0.4</v>
      </c>
      <c r="I27" s="400" t="n">
        <f aca="false">'Power Curves'!BA41</f>
        <v>0.4</v>
      </c>
      <c r="J27" s="400" t="n">
        <f aca="false">'Power Curves'!BB41</f>
        <v>0.65</v>
      </c>
      <c r="K27" s="400" t="n">
        <f aca="false">'Power Curves'!BC41</f>
        <v>1.0689</v>
      </c>
      <c r="L27" s="400" t="n">
        <f aca="false">'Power Curves'!BD41</f>
        <v>1.0889</v>
      </c>
      <c r="M27" s="400" t="n">
        <f aca="false">'Power Curves'!BE41</f>
        <v>1.15505237327277</v>
      </c>
      <c r="N27" s="401" t="n">
        <f aca="false">VALUE('Power Curves'!BF41)</f>
        <v>1</v>
      </c>
      <c r="O27" s="364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60"/>
      <c r="AF27" s="384" t="n">
        <v>37257</v>
      </c>
      <c r="AG27" s="36" t="n">
        <v>22</v>
      </c>
      <c r="AH27" s="36" t="n">
        <v>4</v>
      </c>
      <c r="AI27" s="36" t="n">
        <v>5</v>
      </c>
      <c r="AJ27" s="36" t="n">
        <v>1</v>
      </c>
      <c r="AK27" s="36" t="n">
        <v>31</v>
      </c>
    </row>
    <row r="28" customFormat="false" ht="12.75" hidden="false" customHeight="false" outlineLevel="0" collapsed="false">
      <c r="A28" s="367" t="n">
        <v>2200</v>
      </c>
      <c r="B28" s="400" t="n">
        <f aca="false">'Power Curves'!AT42</f>
        <v>0.8</v>
      </c>
      <c r="C28" s="400" t="n">
        <f aca="false">'Power Curves'!AU42</f>
        <v>0.8</v>
      </c>
      <c r="D28" s="400" t="n">
        <f aca="false">'Power Curves'!AV42</f>
        <v>0.8315</v>
      </c>
      <c r="E28" s="400" t="n">
        <f aca="false">'Power Curves'!AW42</f>
        <v>0.983581820797299</v>
      </c>
      <c r="F28" s="400" t="n">
        <f aca="false">'Power Curves'!AX42</f>
        <v>0.75</v>
      </c>
      <c r="G28" s="400" t="n">
        <f aca="false">'Power Curves'!AY42</f>
        <v>0.55</v>
      </c>
      <c r="H28" s="400" t="n">
        <f aca="false">'Power Curves'!AZ42</f>
        <v>0.4</v>
      </c>
      <c r="I28" s="400" t="n">
        <f aca="false">'Power Curves'!BA42</f>
        <v>0.4</v>
      </c>
      <c r="J28" s="400" t="n">
        <f aca="false">'Power Curves'!BB42</f>
        <v>0.65</v>
      </c>
      <c r="K28" s="400" t="n">
        <f aca="false">'Power Curves'!BC42</f>
        <v>0.8867</v>
      </c>
      <c r="L28" s="400" t="n">
        <f aca="false">'Power Curves'!BD42</f>
        <v>0.8662</v>
      </c>
      <c r="M28" s="400" t="n">
        <f aca="false">'Power Curves'!BE42</f>
        <v>0.8515</v>
      </c>
      <c r="N28" s="401" t="n">
        <f aca="false">VALUE('Power Curves'!BF42)</f>
        <v>1</v>
      </c>
      <c r="O28" s="364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60"/>
      <c r="AF28" s="384" t="n">
        <v>37288</v>
      </c>
      <c r="AG28" s="36" t="n">
        <v>20</v>
      </c>
      <c r="AH28" s="36" t="n">
        <v>4</v>
      </c>
      <c r="AI28" s="36" t="n">
        <v>4</v>
      </c>
      <c r="AJ28" s="36" t="n">
        <v>0</v>
      </c>
      <c r="AK28" s="36" t="n">
        <v>28</v>
      </c>
    </row>
    <row r="29" customFormat="false" ht="12.75" hidden="false" customHeight="false" outlineLevel="0" collapsed="false">
      <c r="A29" s="367" t="n">
        <v>2300</v>
      </c>
      <c r="B29" s="400" t="n">
        <f aca="false">'Power Curves'!AT43</f>
        <v>0.8</v>
      </c>
      <c r="C29" s="400" t="n">
        <f aca="false">'Power Curves'!AU43</f>
        <v>0.8</v>
      </c>
      <c r="D29" s="400" t="n">
        <f aca="false">'Power Curves'!AV43</f>
        <v>0.6825</v>
      </c>
      <c r="E29" s="400" t="n">
        <f aca="false">'Power Curves'!AW43</f>
        <v>0.868935227612237</v>
      </c>
      <c r="F29" s="400" t="n">
        <f aca="false">'Power Curves'!AX43</f>
        <v>0.75</v>
      </c>
      <c r="G29" s="400" t="n">
        <f aca="false">'Power Curves'!AY43</f>
        <v>0.55</v>
      </c>
      <c r="H29" s="400" t="n">
        <f aca="false">'Power Curves'!AZ43</f>
        <v>0.4</v>
      </c>
      <c r="I29" s="400" t="n">
        <f aca="false">'Power Curves'!BA43</f>
        <v>0.4</v>
      </c>
      <c r="J29" s="400" t="n">
        <f aca="false">'Power Curves'!BB43</f>
        <v>0.65</v>
      </c>
      <c r="K29" s="400" t="n">
        <f aca="false">'Power Curves'!BC43</f>
        <v>0.756</v>
      </c>
      <c r="L29" s="400" t="n">
        <f aca="false">'Power Curves'!BD43</f>
        <v>0.7305</v>
      </c>
      <c r="M29" s="400" t="n">
        <f aca="false">'Power Curves'!BE43</f>
        <v>0.7025</v>
      </c>
      <c r="N29" s="401" t="n">
        <f aca="false">VALUE('Power Curves'!BF43)</f>
        <v>1</v>
      </c>
      <c r="O29" s="364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60"/>
      <c r="AF29" s="384" t="n">
        <v>37316</v>
      </c>
      <c r="AG29" s="36" t="n">
        <v>21</v>
      </c>
      <c r="AH29" s="36" t="n">
        <v>5</v>
      </c>
      <c r="AI29" s="36" t="n">
        <v>5</v>
      </c>
      <c r="AJ29" s="36" t="n">
        <v>0</v>
      </c>
      <c r="AK29" s="36" t="n">
        <v>31</v>
      </c>
    </row>
    <row r="30" customFormat="false" ht="12.75" hidden="false" customHeight="false" outlineLevel="0" collapsed="false">
      <c r="A30" s="367" t="n">
        <v>2400</v>
      </c>
      <c r="B30" s="400" t="n">
        <f aca="false">'Power Curves'!AT44</f>
        <v>1.225</v>
      </c>
      <c r="C30" s="400" t="n">
        <f aca="false">'Power Curves'!AU44</f>
        <v>1.225</v>
      </c>
      <c r="D30" s="400" t="n">
        <f aca="false">'Power Curves'!AV44</f>
        <v>1.045</v>
      </c>
      <c r="E30" s="400" t="n">
        <f aca="false">'Power Curves'!AW44</f>
        <v>1.04967749498905</v>
      </c>
      <c r="F30" s="400" t="n">
        <f aca="false">'Power Curves'!AX44</f>
        <v>1.17796859185739</v>
      </c>
      <c r="G30" s="400" t="n">
        <f aca="false">'Power Curves'!AY44</f>
        <v>1.3963883955003</v>
      </c>
      <c r="H30" s="400" t="n">
        <f aca="false">'Power Curves'!AZ44</f>
        <v>1.26165887596478</v>
      </c>
      <c r="I30" s="400" t="n">
        <f aca="false">'Power Curves'!BA44</f>
        <v>1.2636171008351</v>
      </c>
      <c r="J30" s="400" t="n">
        <f aca="false">'Power Curves'!BB44</f>
        <v>1.12499208910828</v>
      </c>
      <c r="K30" s="400" t="n">
        <f aca="false">'Power Curves'!BC44</f>
        <v>1.0505</v>
      </c>
      <c r="L30" s="400" t="n">
        <f aca="false">'Power Curves'!BD44</f>
        <v>1.0505</v>
      </c>
      <c r="M30" s="400" t="n">
        <f aca="false">'Power Curves'!BE44</f>
        <v>1.0505</v>
      </c>
      <c r="N30" s="401" t="n">
        <f aca="false">VALUE('Power Curves'!BF44)</f>
        <v>2</v>
      </c>
      <c r="O30" s="364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60"/>
      <c r="AF30" s="384" t="n">
        <v>37347</v>
      </c>
      <c r="AG30" s="36" t="n">
        <v>22</v>
      </c>
      <c r="AH30" s="36" t="n">
        <v>4</v>
      </c>
      <c r="AI30" s="36" t="n">
        <v>4</v>
      </c>
      <c r="AJ30" s="36" t="n">
        <v>0</v>
      </c>
      <c r="AK30" s="36" t="n">
        <v>30</v>
      </c>
    </row>
    <row r="31" customFormat="false" ht="12.75" hidden="false" customHeight="false" outlineLevel="0" collapsed="false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4"/>
      <c r="P31" s="398"/>
      <c r="Q31" s="110"/>
      <c r="R31" s="110"/>
      <c r="S31" s="110"/>
      <c r="T31" s="110"/>
      <c r="U31" s="110"/>
      <c r="V31" s="110"/>
      <c r="W31" s="110"/>
      <c r="X31" s="110"/>
      <c r="Y31" s="110"/>
      <c r="Z31" s="399"/>
      <c r="AF31" s="384" t="n">
        <v>37377</v>
      </c>
      <c r="AG31" s="36" t="n">
        <v>22</v>
      </c>
      <c r="AH31" s="36" t="n">
        <v>4</v>
      </c>
      <c r="AI31" s="36" t="n">
        <v>5</v>
      </c>
      <c r="AJ31" s="36" t="n">
        <v>1</v>
      </c>
      <c r="AK31" s="36" t="n">
        <v>31</v>
      </c>
    </row>
    <row r="32" customFormat="false" ht="12.75" hidden="false" customHeight="false" outlineLevel="0" collapsed="false">
      <c r="A32" s="407" t="s">
        <v>32</v>
      </c>
      <c r="B32" s="408" t="n">
        <f aca="false">O32</f>
        <v>1.0375</v>
      </c>
      <c r="C32" s="408" t="n">
        <f aca="false">P32</f>
        <v>1.0375</v>
      </c>
      <c r="D32" s="408" t="n">
        <f aca="false">Q32</f>
        <v>1.0080875</v>
      </c>
      <c r="E32" s="408" t="n">
        <f aca="false">R32</f>
        <v>1.07269528338234</v>
      </c>
      <c r="F32" s="408" t="n">
        <f aca="false">S32</f>
        <v>1.25</v>
      </c>
      <c r="G32" s="408" t="n">
        <f aca="false">T32</f>
        <v>1.45</v>
      </c>
      <c r="H32" s="408" t="n">
        <f aca="false">U32</f>
        <v>1.6</v>
      </c>
      <c r="I32" s="408" t="n">
        <f aca="false">V32</f>
        <v>1.6</v>
      </c>
      <c r="J32" s="408" t="n">
        <f aca="false">W32</f>
        <v>1.35</v>
      </c>
      <c r="K32" s="408" t="n">
        <f aca="false">X32</f>
        <v>1.0119875</v>
      </c>
      <c r="L32" s="408" t="n">
        <f aca="false">Y32</f>
        <v>1.01585</v>
      </c>
      <c r="M32" s="408" t="n">
        <f aca="false">Z32</f>
        <v>1.01532599180631</v>
      </c>
      <c r="N32" s="36"/>
      <c r="O32" s="409" t="n">
        <f aca="false">MAX(O7:O30)</f>
        <v>1.0375</v>
      </c>
      <c r="P32" s="410" t="n">
        <f aca="false">MAX(P7:P30)</f>
        <v>1.0375</v>
      </c>
      <c r="Q32" s="410" t="n">
        <f aca="false">MAX(Q7:Q30)</f>
        <v>1.0080875</v>
      </c>
      <c r="R32" s="410" t="n">
        <f aca="false">MAX(R7:R30)</f>
        <v>1.07269528338234</v>
      </c>
      <c r="S32" s="410" t="n">
        <f aca="false">MAX(S7:S30)</f>
        <v>1.25</v>
      </c>
      <c r="T32" s="410" t="n">
        <f aca="false">MAX(T7:T30)</f>
        <v>1.45</v>
      </c>
      <c r="U32" s="410" t="n">
        <f aca="false">MAX(U7:U30)</f>
        <v>1.6</v>
      </c>
      <c r="V32" s="410" t="n">
        <f aca="false">MAX(V7:V30)</f>
        <v>1.6</v>
      </c>
      <c r="W32" s="410" t="n">
        <f aca="false">MAX(W7:W30)</f>
        <v>1.35</v>
      </c>
      <c r="X32" s="410" t="n">
        <f aca="false">MAX(X7:X30)</f>
        <v>1.0119875</v>
      </c>
      <c r="Y32" s="410" t="n">
        <f aca="false">MAX(Y7:Y30)</f>
        <v>1.01585</v>
      </c>
      <c r="Z32" s="411" t="n">
        <f aca="false">MAX(Z7:Z30)</f>
        <v>1.01532599180631</v>
      </c>
      <c r="AF32" s="384" t="n">
        <v>37408</v>
      </c>
      <c r="AG32" s="36" t="n">
        <v>20</v>
      </c>
      <c r="AH32" s="36" t="n">
        <v>5</v>
      </c>
      <c r="AI32" s="36" t="n">
        <v>5</v>
      </c>
      <c r="AJ32" s="36" t="n">
        <v>0</v>
      </c>
      <c r="AK32" s="36" t="n">
        <v>30</v>
      </c>
    </row>
    <row r="33" customFormat="false" ht="12.75" hidden="false" customHeight="false" outlineLevel="0" collapsed="false">
      <c r="A33" s="412" t="s">
        <v>1388</v>
      </c>
      <c r="B33" s="413"/>
      <c r="C33" s="413"/>
      <c r="D33" s="413"/>
      <c r="E33" s="413"/>
      <c r="F33" s="413"/>
      <c r="G33" s="413"/>
      <c r="H33" s="413"/>
      <c r="I33" s="413"/>
      <c r="J33" s="413"/>
      <c r="AF33" s="384" t="n">
        <v>37438</v>
      </c>
      <c r="AG33" s="36" t="n">
        <v>22</v>
      </c>
      <c r="AH33" s="36" t="n">
        <v>4</v>
      </c>
      <c r="AI33" s="36" t="n">
        <v>5</v>
      </c>
      <c r="AJ33" s="36" t="n">
        <v>1</v>
      </c>
      <c r="AK33" s="36" t="n">
        <v>31</v>
      </c>
    </row>
    <row r="34" customFormat="false" ht="12.75" hidden="false" customHeight="false" outlineLevel="0" collapsed="false">
      <c r="A34" s="414" t="s">
        <v>1389</v>
      </c>
      <c r="E34" s="415"/>
      <c r="F34" s="183"/>
      <c r="G34" s="154"/>
      <c r="N34" s="416" t="s">
        <v>1390</v>
      </c>
      <c r="O34" s="416"/>
      <c r="P34" s="416"/>
      <c r="Q34" s="416"/>
      <c r="R34" s="416"/>
      <c r="S34" s="416"/>
      <c r="T34" s="416"/>
      <c r="U34" s="417"/>
      <c r="AF34" s="384" t="n">
        <v>37469</v>
      </c>
      <c r="AG34" s="36" t="n">
        <v>22</v>
      </c>
      <c r="AH34" s="36" t="n">
        <v>5</v>
      </c>
      <c r="AI34" s="36" t="n">
        <v>4</v>
      </c>
      <c r="AJ34" s="36" t="n">
        <v>0</v>
      </c>
      <c r="AK34" s="36" t="n">
        <v>31</v>
      </c>
    </row>
    <row r="35" customFormat="false" ht="12.75" hidden="false" customHeight="false" outlineLevel="0" collapsed="false">
      <c r="B35" s="418" t="s">
        <v>1391</v>
      </c>
      <c r="C35" s="305"/>
      <c r="D35" s="27" t="s">
        <v>1392</v>
      </c>
      <c r="E35" s="418" t="s">
        <v>1393</v>
      </c>
      <c r="F35" s="27" t="s">
        <v>1394</v>
      </c>
      <c r="G35" s="418" t="s">
        <v>1395</v>
      </c>
      <c r="H35" s="27" t="s">
        <v>1396</v>
      </c>
      <c r="I35" s="418" t="s">
        <v>1397</v>
      </c>
      <c r="J35" s="418" t="s">
        <v>1398</v>
      </c>
      <c r="K35" s="418" t="s">
        <v>1399</v>
      </c>
      <c r="L35" s="418" t="s">
        <v>1400</v>
      </c>
      <c r="N35" s="419" t="s">
        <v>1401</v>
      </c>
      <c r="O35" s="419" t="s">
        <v>1402</v>
      </c>
      <c r="P35" s="419" t="s">
        <v>1403</v>
      </c>
      <c r="Q35" s="419" t="s">
        <v>1397</v>
      </c>
      <c r="R35" s="419" t="s">
        <v>1399</v>
      </c>
      <c r="S35" s="419" t="s">
        <v>274</v>
      </c>
      <c r="T35" s="419" t="s">
        <v>1404</v>
      </c>
      <c r="U35" s="419" t="s">
        <v>1405</v>
      </c>
      <c r="AF35" s="384" t="n">
        <v>37500</v>
      </c>
      <c r="AG35" s="36" t="n">
        <v>20</v>
      </c>
      <c r="AH35" s="36" t="n">
        <v>4</v>
      </c>
      <c r="AI35" s="36" t="n">
        <v>6</v>
      </c>
      <c r="AJ35" s="36" t="n">
        <v>1</v>
      </c>
      <c r="AK35" s="36" t="n">
        <v>30</v>
      </c>
    </row>
    <row r="36" customFormat="false" ht="12.75" hidden="false" customHeight="false" outlineLevel="0" collapsed="false">
      <c r="A36" s="366" t="s">
        <v>1339</v>
      </c>
      <c r="B36" s="418" t="s">
        <v>1406</v>
      </c>
      <c r="C36" s="418" t="s">
        <v>1407</v>
      </c>
      <c r="D36" s="27" t="s">
        <v>1352</v>
      </c>
      <c r="E36" s="418" t="s">
        <v>1406</v>
      </c>
      <c r="F36" s="27" t="s">
        <v>1352</v>
      </c>
      <c r="G36" s="418" t="s">
        <v>1406</v>
      </c>
      <c r="H36" s="27" t="s">
        <v>1352</v>
      </c>
      <c r="I36" s="418" t="s">
        <v>1408</v>
      </c>
      <c r="J36" s="418" t="s">
        <v>1352</v>
      </c>
      <c r="K36" s="418" t="s">
        <v>1409</v>
      </c>
      <c r="L36" s="418" t="s">
        <v>1409</v>
      </c>
      <c r="N36" s="419" t="s">
        <v>1352</v>
      </c>
      <c r="O36" s="419" t="s">
        <v>1352</v>
      </c>
      <c r="P36" s="419" t="s">
        <v>1352</v>
      </c>
      <c r="Q36" s="419" t="s">
        <v>1408</v>
      </c>
      <c r="R36" s="419" t="s">
        <v>1409</v>
      </c>
      <c r="S36" s="419" t="s">
        <v>1409</v>
      </c>
      <c r="T36" s="419" t="s">
        <v>1410</v>
      </c>
      <c r="U36" s="419" t="s">
        <v>1353</v>
      </c>
      <c r="AF36" s="384" t="n">
        <v>37530</v>
      </c>
      <c r="AG36" s="36" t="n">
        <v>23</v>
      </c>
      <c r="AH36" s="36" t="n">
        <v>4</v>
      </c>
      <c r="AI36" s="36" t="n">
        <v>4</v>
      </c>
      <c r="AJ36" s="36" t="n">
        <v>0</v>
      </c>
      <c r="AK36" s="36" t="n">
        <v>31</v>
      </c>
    </row>
    <row r="37" customFormat="false" ht="12.75" hidden="false" customHeight="false" outlineLevel="0" collapsed="false">
      <c r="A37" s="420" t="n">
        <f aca="false">Calculations!A4</f>
        <v>36892</v>
      </c>
      <c r="B37" s="421" t="n">
        <f aca="false">IF(A37="N/A"," ",N37*VLOOKUP(MONTH(A37),Curveadj,3))</f>
        <v>93</v>
      </c>
      <c r="C37" s="422" t="n">
        <f aca="false">IF(A37="N/A"," ",(IF(AND(MONTH(A37)&gt;=6,MONTH(A37)&lt;=8,OR($M$37="REGION 2",$M$37="REGION 2A",$M$37="REGION 2B",$M$37="REGION 3",$M$37="REGION 3A",$M$37="REGION 3B",$M$37="REGION 3C",$M$37="REGION 4",$M$37="REGION 4B",$M$37="REGION 4C",$M$37="REGION 5",$M$37="REGION 5A")),((0.059228/(B37/100))-(0.4980013/(SQRT(B37/100)))+2.137988),HLOOKUP(MONTH(A37),ScalarTable,28))))</f>
        <v>1.0375</v>
      </c>
      <c r="D37" s="423" t="n">
        <f aca="false">IF(A37="N/A"," ",C37*B37)</f>
        <v>96.4875</v>
      </c>
      <c r="E37" s="421" t="n">
        <f aca="false">IF(A37="N/A"," ",O37*VLOOKUP(MONTH(A37),Curveadj,3))</f>
        <v>60.3044967651367</v>
      </c>
      <c r="F37" s="423" t="n">
        <f aca="false">IF(A37="N/A"," ",E37*C37)</f>
        <v>62.5659153938294</v>
      </c>
      <c r="G37" s="421" t="n">
        <f aca="false">IF(A37="N/A"," ",P37*VLOOKUP(MONTH(A37),Curveadj,3))</f>
        <v>56.6039962768555</v>
      </c>
      <c r="H37" s="423" t="n">
        <f aca="false">IF(A37="N/A"," ",G37*C37)</f>
        <v>58.7266461372376</v>
      </c>
      <c r="I37" s="423" t="n">
        <f aca="false">IF(A37="N/A"," ",Q37)</f>
        <v>53.5</v>
      </c>
      <c r="J37" s="424" t="e">
        <f aca="false">IF(A37="N/A"," ",K37+L37+T37)</f>
        <v>#N/A</v>
      </c>
      <c r="K37" s="425" t="e">
        <f aca="false">IF(A37="N/A"," ",R37)</f>
        <v>#N/A</v>
      </c>
      <c r="L37" s="425" t="e">
        <f aca="false">IF(A37="N/A"," ",S37)</f>
        <v>#N/A</v>
      </c>
      <c r="M37" s="426" t="str">
        <f aca="false">PositionRegion</f>
        <v>REGION 1B</v>
      </c>
      <c r="N37" s="427" t="n">
        <f aca="false">IF(A37="N/A"," ",VLOOKUP(A37,PeakPowerCurves,(IF(BMO=2,3,IF(BMO=1,2,4))),FALSE()))</f>
        <v>93</v>
      </c>
      <c r="O37" s="427" t="n">
        <f aca="false">IF(A37="N/A"," ",VLOOKUP(A37,SatSunPeakPwr,(IF(BMO=2,3,IF(BMO=1,2,4))),FALSE()))</f>
        <v>60.3044967651367</v>
      </c>
      <c r="P37" s="427" t="n">
        <f aca="false">IF(A37="N/A"," ",VLOOKUP(A37,SatSunPeakPwr,(IF(BMO=2,7,IF(BMO=1,6,8))),FALSE()))</f>
        <v>56.6039962768555</v>
      </c>
      <c r="Q37" s="428" t="n">
        <f aca="false">IF(A37="N/A"," ",(VLOOKUP(A37,OPPowerPrices,(IF(BMO=2,7,IF(BMO=1,6,8))),FALSE())))</f>
        <v>53.5</v>
      </c>
      <c r="R37" s="429" t="e">
        <f aca="false">IF(A37="N/A"," ",(VLOOKUP(A37,GasCurves,9,FALSE()))+IF(BMO=1,Gasbmo,IF(BMO=3,-Gasbmo,0)))</f>
        <v>#N/A</v>
      </c>
      <c r="S37" s="429" t="e">
        <f aca="false">IF(A37="N/A"," ",IF(Basischeck=TRUE(),(VLOOKUP(A37,GasCurves,IF(MONTH(A37)&gt;=4,IF(MONTH(A37)&lt;=10,11,12),12),FALSE())),0))</f>
        <v>#N/A</v>
      </c>
      <c r="T37" s="429" t="n">
        <f aca="false">IF(A37="N/A"," ",(IF(MONTH(A37)&gt;=4,IF(MONTH(A37)&lt;=10,Inputs!$H$2,Inputs!$H$3),Inputs!$H$3)))</f>
        <v>0.5</v>
      </c>
      <c r="U37" s="430" t="n">
        <f aca="false">IF(A37="N/A"," ",(VLOOKUP($A37,InterestRatesTable,2)))</f>
        <v>2</v>
      </c>
      <c r="AF37" s="384" t="n">
        <v>37561</v>
      </c>
      <c r="AG37" s="36" t="n">
        <v>20</v>
      </c>
      <c r="AH37" s="36" t="n">
        <v>5</v>
      </c>
      <c r="AI37" s="36" t="n">
        <v>5</v>
      </c>
      <c r="AJ37" s="36" t="n">
        <v>1</v>
      </c>
      <c r="AK37" s="36" t="n">
        <v>30</v>
      </c>
    </row>
    <row r="38" customFormat="false" ht="12.75" hidden="false" customHeight="false" outlineLevel="0" collapsed="false">
      <c r="A38" s="420" t="n">
        <f aca="false">Calculations!A5</f>
        <v>36923</v>
      </c>
      <c r="B38" s="421" t="n">
        <f aca="false">IF(A38="N/A"," ",N38*VLOOKUP(MONTH(A38),Curveadj,3))</f>
        <v>93</v>
      </c>
      <c r="C38" s="422" t="n">
        <f aca="false">IF(A38="N/A"," ",(IF(AND(MONTH(A38)&gt;=6,MONTH(A38)&lt;=8,OR($M$37="REGION 2",$M$37="REGION 2A",$M$37="REGION 2B",$M$37="REGION 3",$M$37="REGION 3A",$M$37="REGION 3B",$M$37="REGION 4",$M$37="REGION 4B",$M$37="REGION 4C",$M$37="REGION 5",$M$37="REGION 5A")),((0.059228/(B38/100))-(0.4980013/(SQRT(B38/100)))+2.137988),HLOOKUP(MONTH(A38),ScalarTable,28))))</f>
        <v>1.0375</v>
      </c>
      <c r="D38" s="423" t="n">
        <f aca="false">IF(A38="N/A"," ",C38*B38)</f>
        <v>96.4875</v>
      </c>
      <c r="E38" s="421" t="n">
        <f aca="false">IF(A38="N/A"," ",O38*VLOOKUP(MONTH(A38),Curveadj,3))</f>
        <v>59.6294937133789</v>
      </c>
      <c r="F38" s="423" t="n">
        <f aca="false">IF(A38="N/A"," ",E38*C38)</f>
        <v>61.8655997276306</v>
      </c>
      <c r="G38" s="421" t="n">
        <f aca="false">IF(A38="N/A"," ",P38*VLOOKUP(MONTH(A38),Curveadj,3))</f>
        <v>56.0039978027344</v>
      </c>
      <c r="H38" s="423" t="n">
        <f aca="false">IF(A38="N/A"," ",G38*C38)</f>
        <v>58.1041477203369</v>
      </c>
      <c r="I38" s="423" t="n">
        <f aca="false">IF(A38="N/A"," ",Q38)</f>
        <v>53.3499984741211</v>
      </c>
      <c r="J38" s="424" t="e">
        <f aca="false">IF(A38="N/A"," ",K38+L38+T38)</f>
        <v>#N/A</v>
      </c>
      <c r="K38" s="425" t="e">
        <f aca="false">IF(A38="N/A"," ",R38)</f>
        <v>#N/A</v>
      </c>
      <c r="L38" s="425" t="e">
        <f aca="false">IF(A38="N/A"," ",S38)</f>
        <v>#N/A</v>
      </c>
      <c r="M38" s="431"/>
      <c r="N38" s="427" t="n">
        <f aca="false">IF(A38="N/A"," ",VLOOKUP(A38,PeakPowerCurves,(IF(BMO=2,3,IF(BMO=1,2,4))),FALSE()))</f>
        <v>93</v>
      </c>
      <c r="O38" s="427" t="n">
        <f aca="false">IF(A38="N/A"," ",VLOOKUP(A38,SatSunPeakPwr,(IF(BMO=2,3,IF(BMO=1,2,4))),FALSE()))</f>
        <v>59.6294937133789</v>
      </c>
      <c r="P38" s="427" t="n">
        <f aca="false">IF(A38="N/A"," ",VLOOKUP(A38,SatSunPeakPwr,(IF(BMO=2,7,IF(BMO=1,6,8))),FALSE()))</f>
        <v>56.0039978027344</v>
      </c>
      <c r="Q38" s="428" t="n">
        <f aca="false">IF(A38="N/A"," ",(VLOOKUP(A38,OPPowerPrices,(IF(BMO=2,7,IF(BMO=1,6,8))),FALSE())))</f>
        <v>53.3499984741211</v>
      </c>
      <c r="R38" s="429" t="e">
        <f aca="false">IF(A38="N/A"," ",(VLOOKUP(A38,GasCurves,9,FALSE()))+IF(BMO=1,Gasbmo,IF(BMO=3,-Gasbmo,0)))</f>
        <v>#N/A</v>
      </c>
      <c r="S38" s="429" t="e">
        <f aca="false">IF(A38="N/A"," ",IF(Basischeck=TRUE(),(VLOOKUP(A38,GasCurves,IF(MONTH(A38)&gt;=4,IF(MONTH(A38)&lt;=10,11,12),12),FALSE())),0))</f>
        <v>#N/A</v>
      </c>
      <c r="T38" s="429" t="n">
        <f aca="false">IF(A38="N/A"," ",(IF(MONTH(A38)&gt;=4,IF(MONTH(A38)&lt;=10,Inputs!$H$2,Inputs!$H$3),Inputs!$H$3)))</f>
        <v>0.5</v>
      </c>
      <c r="U38" s="430" t="n">
        <f aca="false">IF(A38="N/A"," ",(VLOOKUP($A38,InterestRatesTable,2)))</f>
        <v>2</v>
      </c>
      <c r="AF38" s="384" t="n">
        <v>37591</v>
      </c>
      <c r="AG38" s="36" t="n">
        <v>21</v>
      </c>
      <c r="AH38" s="36" t="n">
        <v>4</v>
      </c>
      <c r="AI38" s="36" t="n">
        <v>6</v>
      </c>
      <c r="AJ38" s="36" t="n">
        <v>1</v>
      </c>
      <c r="AK38" s="36" t="n">
        <v>31</v>
      </c>
    </row>
    <row r="39" customFormat="false" ht="12.75" hidden="false" customHeight="false" outlineLevel="0" collapsed="false">
      <c r="A39" s="420" t="str">
        <f aca="false">Calculations!A6</f>
        <v>N/A</v>
      </c>
      <c r="B39" s="421" t="str">
        <f aca="false">IF(A39="N/A"," ",N39*VLOOKUP(MONTH(A39),Curveadj,3))</f>
        <v> </v>
      </c>
      <c r="C39" s="422" t="str">
        <f aca="false">IF(A39="N/A"," ",(IF(AND(MONTH(A39)&gt;=6,MONTH(A39)&lt;=8,OR($M$37="REGION 2",$M$37="REGION 2A",$M$37="REGION 2B",$M$37="REGION 3",$M$37="REGION 3A",$M$37="REGION 3B",$M$37="REGION 4",$M$37="REGION 4B",$M$37="REGION 4C",$M$37="REGION 5",$M$37="REGION 5A")),((0.059228/(B39/100))-(0.4980013/(SQRT(B39/100)))+2.137988),HLOOKUP(MONTH(A39),ScalarTable,28))))</f>
        <v> </v>
      </c>
      <c r="D39" s="423" t="str">
        <f aca="false">IF(A39="N/A"," ",C39*B39)</f>
        <v> </v>
      </c>
      <c r="E39" s="421" t="str">
        <f aca="false">IF(A39="N/A"," ",O39*VLOOKUP(MONTH(A39),Curveadj,3))</f>
        <v> </v>
      </c>
      <c r="F39" s="423" t="str">
        <f aca="false">IF(A39="N/A"," ",E39*C39)</f>
        <v> </v>
      </c>
      <c r="G39" s="421" t="str">
        <f aca="false">IF(A39="N/A"," ",P39*VLOOKUP(MONTH(A39),Curveadj,3))</f>
        <v> </v>
      </c>
      <c r="H39" s="423" t="str">
        <f aca="false">IF(A39="N/A"," ",G39*C39)</f>
        <v> </v>
      </c>
      <c r="I39" s="423" t="str">
        <f aca="false">IF(A39="N/A"," ",Q39)</f>
        <v> </v>
      </c>
      <c r="J39" s="424" t="str">
        <f aca="false">IF(A39="N/A"," ",K39+L39+T39)</f>
        <v> </v>
      </c>
      <c r="K39" s="425" t="str">
        <f aca="false">IF(A39="N/A"," ",R39)</f>
        <v> </v>
      </c>
      <c r="L39" s="425" t="str">
        <f aca="false">IF(A39="N/A"," ",S39)</f>
        <v> </v>
      </c>
      <c r="M39" s="431"/>
      <c r="N39" s="427" t="str">
        <f aca="false">IF(A39="N/A"," ",VLOOKUP(A39,PeakPowerCurves,(IF(BMO=2,3,IF(BMO=1,2,4))),FALSE()))</f>
        <v> </v>
      </c>
      <c r="O39" s="427" t="str">
        <f aca="false">IF(A39="N/A"," ",VLOOKUP(A39,SatSunPeakPwr,(IF(BMO=2,3,IF(BMO=1,2,4))),FALSE()))</f>
        <v> </v>
      </c>
      <c r="P39" s="427" t="str">
        <f aca="false">IF(A39="N/A"," ",VLOOKUP(A39,SatSunPeakPwr,(IF(BMO=2,7,IF(BMO=1,6,8))),FALSE()))</f>
        <v> </v>
      </c>
      <c r="Q39" s="428" t="str">
        <f aca="false">IF(A39="N/A"," ",(VLOOKUP(A39,OPPowerPrices,(IF(BMO=2,7,IF(BMO=1,6,8))),FALSE())))</f>
        <v> </v>
      </c>
      <c r="R39" s="429" t="str">
        <f aca="false">IF(A39="N/A"," ",(VLOOKUP(A39,GasCurves,9,FALSE()))+IF(BMO=1,Gasbmo,IF(BMO=3,-Gasbmo,0)))</f>
        <v> </v>
      </c>
      <c r="S39" s="429" t="str">
        <f aca="false">IF(A39="N/A"," ",IF(Basischeck=TRUE(),(VLOOKUP(A39,GasCurves,IF(MONTH(A39)&gt;=4,IF(MONTH(A39)&lt;=10,11,12),12),FALSE())),0))</f>
        <v> </v>
      </c>
      <c r="T39" s="429" t="str">
        <f aca="false">IF(A39="N/A"," ",(IF(MONTH(A39)&gt;=4,IF(MONTH(A39)&lt;=10,Inputs!$H$2,Inputs!$H$3),Inputs!$H$3)))</f>
        <v> </v>
      </c>
      <c r="U39" s="430" t="str">
        <f aca="false">IF(A39="N/A"," ",(VLOOKUP($A39,InterestRatesTable,2)))</f>
        <v> </v>
      </c>
      <c r="AF39" s="384" t="n">
        <v>37622</v>
      </c>
      <c r="AG39" s="36" t="n">
        <v>22</v>
      </c>
      <c r="AH39" s="36" t="n">
        <v>4</v>
      </c>
      <c r="AI39" s="36" t="n">
        <v>5</v>
      </c>
      <c r="AJ39" s="36" t="n">
        <v>1</v>
      </c>
      <c r="AK39" s="36" t="n">
        <v>31</v>
      </c>
    </row>
    <row r="40" customFormat="false" ht="12.75" hidden="false" customHeight="false" outlineLevel="0" collapsed="false">
      <c r="A40" s="420" t="str">
        <f aca="false">Calculations!A7</f>
        <v>N/A</v>
      </c>
      <c r="B40" s="421" t="str">
        <f aca="false">IF(A40="N/A"," ",N40*VLOOKUP(MONTH(A40),Curveadj,3))</f>
        <v> </v>
      </c>
      <c r="C40" s="422" t="str">
        <f aca="false">IF(A40="N/A"," ",(IF(AND(MONTH(A40)&gt;=6,MONTH(A40)&lt;=8,OR($M$37="REGION 2",$M$37="REGION 2A",$M$37="REGION 2B",$M$37="REGION 3",$M$37="REGION 3A",$M$37="REGION 3B",$M$37="REGION 4",$M$37="REGION 4B",$M$37="REGION 4C",$M$37="REGION 5",$M$37="REGION 5A")),((0.059228/(B40/100))-(0.4980013/(SQRT(B40/100)))+2.137988),HLOOKUP(MONTH(A40),ScalarTable,28))))</f>
        <v> </v>
      </c>
      <c r="D40" s="423" t="str">
        <f aca="false">IF(A40="N/A"," ",C40*B40)</f>
        <v> </v>
      </c>
      <c r="E40" s="421" t="str">
        <f aca="false">IF(A40="N/A"," ",O40*VLOOKUP(MONTH(A40),Curveadj,3))</f>
        <v> </v>
      </c>
      <c r="F40" s="423" t="str">
        <f aca="false">IF(A40="N/A"," ",E40*C40)</f>
        <v> </v>
      </c>
      <c r="G40" s="421" t="str">
        <f aca="false">IF(A40="N/A"," ",P40*VLOOKUP(MONTH(A40),Curveadj,3))</f>
        <v> </v>
      </c>
      <c r="H40" s="423" t="str">
        <f aca="false">IF(A40="N/A"," ",G40*C40)</f>
        <v> </v>
      </c>
      <c r="I40" s="423" t="str">
        <f aca="false">IF(A40="N/A"," ",Q40)</f>
        <v> </v>
      </c>
      <c r="J40" s="424" t="str">
        <f aca="false">IF(A40="N/A"," ",K40+L40+T40)</f>
        <v> </v>
      </c>
      <c r="K40" s="425" t="str">
        <f aca="false">IF(A40="N/A"," ",R40)</f>
        <v> </v>
      </c>
      <c r="L40" s="425" t="str">
        <f aca="false">IF(A40="N/A"," ",S40)</f>
        <v> </v>
      </c>
      <c r="M40" s="431"/>
      <c r="N40" s="427" t="str">
        <f aca="false">IF(A40="N/A"," ",VLOOKUP(A40,PeakPowerCurves,(IF(BMO=2,3,IF(BMO=1,2,4))),FALSE()))</f>
        <v> </v>
      </c>
      <c r="O40" s="427" t="str">
        <f aca="false">IF(A40="N/A"," ",VLOOKUP(A40,SatSunPeakPwr,(IF(BMO=2,3,IF(BMO=1,2,4))),FALSE()))</f>
        <v> </v>
      </c>
      <c r="P40" s="427" t="str">
        <f aca="false">IF(A40="N/A"," ",VLOOKUP(A40,SatSunPeakPwr,(IF(BMO=2,7,IF(BMO=1,6,8))),FALSE()))</f>
        <v> </v>
      </c>
      <c r="Q40" s="428" t="str">
        <f aca="false">IF(A40="N/A"," ",(VLOOKUP(A40,OPPowerPrices,(IF(BMO=2,7,IF(BMO=1,6,8))),FALSE())))</f>
        <v> </v>
      </c>
      <c r="R40" s="429" t="str">
        <f aca="false">IF(A40="N/A"," ",(VLOOKUP(A40,GasCurves,9,FALSE()))+IF(BMO=1,Gasbmo,IF(BMO=3,-Gasbmo,0)))</f>
        <v> </v>
      </c>
      <c r="S40" s="429" t="str">
        <f aca="false">IF(A40="N/A"," ",IF(Basischeck=TRUE(),(VLOOKUP(A40,GasCurves,IF(MONTH(A40)&gt;=4,IF(MONTH(A40)&lt;=10,11,12),12),FALSE())),0))</f>
        <v> </v>
      </c>
      <c r="T40" s="429" t="str">
        <f aca="false">IF(A40="N/A"," ",(IF(MONTH(A40)&gt;=4,IF(MONTH(A40)&lt;=10,Inputs!$H$2,Inputs!$H$3),Inputs!$H$3)))</f>
        <v> </v>
      </c>
      <c r="U40" s="430" t="str">
        <f aca="false">IF(A40="N/A"," ",(VLOOKUP($A40,InterestRatesTable,2)))</f>
        <v> </v>
      </c>
      <c r="AF40" s="384" t="n">
        <v>37653</v>
      </c>
      <c r="AG40" s="36" t="n">
        <v>20</v>
      </c>
      <c r="AH40" s="36" t="n">
        <v>4</v>
      </c>
      <c r="AI40" s="36" t="n">
        <v>4</v>
      </c>
      <c r="AJ40" s="36" t="n">
        <v>0</v>
      </c>
      <c r="AK40" s="36" t="n">
        <v>28</v>
      </c>
    </row>
    <row r="41" customFormat="false" ht="12.75" hidden="false" customHeight="false" outlineLevel="0" collapsed="false">
      <c r="A41" s="420" t="str">
        <f aca="false">Calculations!A8</f>
        <v>N/A</v>
      </c>
      <c r="B41" s="421" t="str">
        <f aca="false">IF(A41="N/A"," ",N41*VLOOKUP(MONTH(A41),Curveadj,3))</f>
        <v> </v>
      </c>
      <c r="C41" s="422" t="str">
        <f aca="false">IF(A41="N/A"," ",(IF(AND(MONTH(A41)&gt;=6,MONTH(A41)&lt;=8,OR($M$37="REGION 2",$M$37="REGION 2A",$M$37="REGION 2B",$M$37="REGION 3",$M$37="REGION 3A",$M$37="REGION 3B",$M$37="REGION 4",$M$37="REGION 4B",$M$37="REGION 4C",$M$37="REGION 5",$M$37="REGION 5A")),((0.059228/(B41/100))-(0.4980013/(SQRT(B41/100)))+2.137988),HLOOKUP(MONTH(A41),ScalarTable,28))))</f>
        <v> </v>
      </c>
      <c r="D41" s="423" t="str">
        <f aca="false">IF(A41="N/A"," ",C41*B41)</f>
        <v> </v>
      </c>
      <c r="E41" s="421" t="str">
        <f aca="false">IF(A41="N/A"," ",O41*VLOOKUP(MONTH(A41),Curveadj,3))</f>
        <v> </v>
      </c>
      <c r="F41" s="423" t="str">
        <f aca="false">IF(A41="N/A"," ",E41*C41)</f>
        <v> </v>
      </c>
      <c r="G41" s="421" t="str">
        <f aca="false">IF(A41="N/A"," ",P41*VLOOKUP(MONTH(A41),Curveadj,3))</f>
        <v> </v>
      </c>
      <c r="H41" s="423" t="str">
        <f aca="false">IF(A41="N/A"," ",G41*C41)</f>
        <v> </v>
      </c>
      <c r="I41" s="423" t="str">
        <f aca="false">IF(A41="N/A"," ",Q41)</f>
        <v> </v>
      </c>
      <c r="J41" s="424" t="str">
        <f aca="false">IF(A41="N/A"," ",K41+L41+T41)</f>
        <v> </v>
      </c>
      <c r="K41" s="425" t="str">
        <f aca="false">IF(A41="N/A"," ",R41)</f>
        <v> </v>
      </c>
      <c r="L41" s="425" t="str">
        <f aca="false">IF(A41="N/A"," ",S41)</f>
        <v> </v>
      </c>
      <c r="M41" s="431"/>
      <c r="N41" s="427" t="str">
        <f aca="false">IF(A41="N/A"," ",VLOOKUP(A41,PeakPowerCurves,(IF(BMO=2,3,IF(BMO=1,2,4))),FALSE()))</f>
        <v> </v>
      </c>
      <c r="O41" s="427" t="str">
        <f aca="false">IF(A41="N/A"," ",VLOOKUP(A41,SatSunPeakPwr,(IF(BMO=2,3,IF(BMO=1,2,4))),FALSE()))</f>
        <v> </v>
      </c>
      <c r="P41" s="427" t="str">
        <f aca="false">IF(A41="N/A"," ",VLOOKUP(A41,SatSunPeakPwr,(IF(BMO=2,7,IF(BMO=1,6,8))),FALSE()))</f>
        <v> </v>
      </c>
      <c r="Q41" s="428" t="str">
        <f aca="false">IF(A41="N/A"," ",(VLOOKUP(A41,OPPowerPrices,(IF(BMO=2,7,IF(BMO=1,6,8))),FALSE())))</f>
        <v> </v>
      </c>
      <c r="R41" s="429" t="str">
        <f aca="false">IF(A41="N/A"," ",(VLOOKUP(A41,GasCurves,9,FALSE()))+IF(BMO=1,Gasbmo,IF(BMO=3,-Gasbmo,0)))</f>
        <v> </v>
      </c>
      <c r="S41" s="429" t="str">
        <f aca="false">IF(A41="N/A"," ",IF(Basischeck=TRUE(),(VLOOKUP(A41,GasCurves,IF(MONTH(A41)&gt;=4,IF(MONTH(A41)&lt;=10,11,12),12),FALSE())),0))</f>
        <v> </v>
      </c>
      <c r="T41" s="429" t="str">
        <f aca="false">IF(A41="N/A"," ",(IF(MONTH(A41)&gt;=4,IF(MONTH(A41)&lt;=10,Inputs!$H$2,Inputs!$H$3),Inputs!$H$3)))</f>
        <v> </v>
      </c>
      <c r="U41" s="430" t="str">
        <f aca="false">IF(A41="N/A"," ",(VLOOKUP($A41,InterestRatesTable,2)))</f>
        <v> </v>
      </c>
      <c r="AF41" s="384" t="n">
        <v>37681</v>
      </c>
      <c r="AG41" s="36" t="n">
        <v>21</v>
      </c>
      <c r="AH41" s="36" t="n">
        <v>5</v>
      </c>
      <c r="AI41" s="36" t="n">
        <v>5</v>
      </c>
      <c r="AJ41" s="36" t="n">
        <v>0</v>
      </c>
      <c r="AK41" s="36" t="n">
        <v>31</v>
      </c>
    </row>
    <row r="42" customFormat="false" ht="12.75" hidden="false" customHeight="false" outlineLevel="0" collapsed="false">
      <c r="A42" s="420" t="str">
        <f aca="false">Calculations!A9</f>
        <v>N/A</v>
      </c>
      <c r="B42" s="421" t="str">
        <f aca="false">IF(A42="N/A"," ",N42*VLOOKUP(MONTH(A42),Curveadj,3))</f>
        <v> </v>
      </c>
      <c r="C42" s="422" t="str">
        <f aca="false">IF(A42="N/A"," ",(IF(AND(MONTH(A42)&gt;=6,MONTH(A42)&lt;=8,OR($M$37="REGION 2",$M$37="REGION 2A",$M$37="REGION 2B",$M$37="REGION 3",$M$37="REGION 3A",$M$37="REGION 3B",$M$37="REGION 4",$M$37="REGION 4B",$M$37="REGION 4C",$M$37="REGION 5",$M$37="REGION 5A")),((0.059228/(B42/100))-(0.4980013/(SQRT(B42/100)))+2.137988),HLOOKUP(MONTH(A42),ScalarTable,28))))</f>
        <v> </v>
      </c>
      <c r="D42" s="423" t="str">
        <f aca="false">IF(A42="N/A"," ",C42*B42)</f>
        <v> </v>
      </c>
      <c r="E42" s="421" t="str">
        <f aca="false">IF(A42="N/A"," ",O42*VLOOKUP(MONTH(A42),Curveadj,3))</f>
        <v> </v>
      </c>
      <c r="F42" s="423" t="str">
        <f aca="false">IF(A42="N/A"," ",E42*C42)</f>
        <v> </v>
      </c>
      <c r="G42" s="421" t="str">
        <f aca="false">IF(A42="N/A"," ",P42*VLOOKUP(MONTH(A42),Curveadj,3))</f>
        <v> </v>
      </c>
      <c r="H42" s="423" t="str">
        <f aca="false">IF(A42="N/A"," ",G42*C42)</f>
        <v> </v>
      </c>
      <c r="I42" s="423" t="str">
        <f aca="false">IF(A42="N/A"," ",Q42)</f>
        <v> </v>
      </c>
      <c r="J42" s="424" t="str">
        <f aca="false">IF(A42="N/A"," ",K42+L42+T42)</f>
        <v> </v>
      </c>
      <c r="K42" s="425" t="str">
        <f aca="false">IF(A42="N/A"," ",R42)</f>
        <v> </v>
      </c>
      <c r="L42" s="425" t="str">
        <f aca="false">IF(A42="N/A"," ",S42)</f>
        <v> </v>
      </c>
      <c r="M42" s="431"/>
      <c r="N42" s="427" t="str">
        <f aca="false">IF(A42="N/A"," ",VLOOKUP(A42,PeakPowerCurves,(IF(BMO=2,3,IF(BMO=1,2,4))),FALSE()))</f>
        <v> </v>
      </c>
      <c r="O42" s="427" t="str">
        <f aca="false">IF(A42="N/A"," ",VLOOKUP(A42,SatSunPeakPwr,(IF(BMO=2,3,IF(BMO=1,2,4))),FALSE()))</f>
        <v> </v>
      </c>
      <c r="P42" s="427" t="str">
        <f aca="false">IF(A42="N/A"," ",VLOOKUP(A42,SatSunPeakPwr,(IF(BMO=2,7,IF(BMO=1,6,8))),FALSE()))</f>
        <v> </v>
      </c>
      <c r="Q42" s="428" t="str">
        <f aca="false">IF(A42="N/A"," ",(VLOOKUP(A42,OPPowerPrices,(IF(BMO=2,7,IF(BMO=1,6,8))),FALSE())))</f>
        <v> </v>
      </c>
      <c r="R42" s="429" t="str">
        <f aca="false">IF(A42="N/A"," ",(VLOOKUP(A42,GasCurves,9,FALSE()))+IF(BMO=1,Gasbmo,IF(BMO=3,-Gasbmo,0)))</f>
        <v> </v>
      </c>
      <c r="S42" s="429" t="str">
        <f aca="false">IF(A42="N/A"," ",IF(Basischeck=TRUE(),(VLOOKUP(A42,GasCurves,IF(MONTH(A42)&gt;=4,IF(MONTH(A42)&lt;=10,11,12),12),FALSE())),0))</f>
        <v> </v>
      </c>
      <c r="T42" s="429" t="str">
        <f aca="false">IF(A42="N/A"," ",(IF(MONTH(A42)&gt;=4,IF(MONTH(A42)&lt;=10,Inputs!$H$2,Inputs!$H$3),Inputs!$H$3)))</f>
        <v> </v>
      </c>
      <c r="U42" s="430" t="str">
        <f aca="false">IF(A42="N/A"," ",(VLOOKUP($A42,InterestRatesTable,2)))</f>
        <v> </v>
      </c>
      <c r="AF42" s="384" t="n">
        <v>37712</v>
      </c>
      <c r="AG42" s="36" t="n">
        <v>22</v>
      </c>
      <c r="AH42" s="36" t="n">
        <v>4</v>
      </c>
      <c r="AI42" s="36" t="n">
        <v>4</v>
      </c>
      <c r="AJ42" s="36" t="n">
        <v>0</v>
      </c>
      <c r="AK42" s="36" t="n">
        <v>30</v>
      </c>
    </row>
    <row r="43" customFormat="false" ht="12.75" hidden="false" customHeight="false" outlineLevel="0" collapsed="false">
      <c r="A43" s="420" t="str">
        <f aca="false">Calculations!A10</f>
        <v>N/A</v>
      </c>
      <c r="B43" s="421" t="str">
        <f aca="false">IF(A43="N/A"," ",N43*VLOOKUP(MONTH(A43),Curveadj,3))</f>
        <v> </v>
      </c>
      <c r="C43" s="422" t="str">
        <f aca="false">IF(A43="N/A"," ",(IF(AND(MONTH(A43)&gt;=6,MONTH(A43)&lt;=8,OR($M$37="REGION 2",$M$37="REGION 2A",$M$37="REGION 2B",$M$37="REGION 3",$M$37="REGION 3A",$M$37="REGION 3B",$M$37="REGION 4",$M$37="REGION 4B",$M$37="REGION 4C",$M$37="REGION 5",$M$37="REGION 5A")),((0.059228/(B43/100))-(0.4980013/(SQRT(B43/100)))+2.137988),HLOOKUP(MONTH(A43),ScalarTable,28))))</f>
        <v> </v>
      </c>
      <c r="D43" s="423" t="str">
        <f aca="false">IF(A43="N/A"," ",C43*B43)</f>
        <v> </v>
      </c>
      <c r="E43" s="421" t="str">
        <f aca="false">IF(A43="N/A"," ",O43*VLOOKUP(MONTH(A43),Curveadj,3))</f>
        <v> </v>
      </c>
      <c r="F43" s="423" t="str">
        <f aca="false">IF(A43="N/A"," ",E43*C43)</f>
        <v> </v>
      </c>
      <c r="G43" s="421" t="str">
        <f aca="false">IF(A43="N/A"," ",P43*VLOOKUP(MONTH(A43),Curveadj,3))</f>
        <v> </v>
      </c>
      <c r="H43" s="423" t="str">
        <f aca="false">IF(A43="N/A"," ",G43*C43)</f>
        <v> </v>
      </c>
      <c r="I43" s="423" t="str">
        <f aca="false">IF(A43="N/A"," ",Q43)</f>
        <v> </v>
      </c>
      <c r="J43" s="424" t="str">
        <f aca="false">IF(A43="N/A"," ",K43+L43+T43)</f>
        <v> </v>
      </c>
      <c r="K43" s="425" t="str">
        <f aca="false">IF(A43="N/A"," ",R43)</f>
        <v> </v>
      </c>
      <c r="L43" s="425" t="str">
        <f aca="false">IF(A43="N/A"," ",S43)</f>
        <v> </v>
      </c>
      <c r="M43" s="431"/>
      <c r="N43" s="427" t="str">
        <f aca="false">IF(A43="N/A"," ",VLOOKUP(A43,PeakPowerCurves,(IF(BMO=2,3,IF(BMO=1,2,4))),FALSE()))</f>
        <v> </v>
      </c>
      <c r="O43" s="427" t="str">
        <f aca="false">IF(A43="N/A"," ",VLOOKUP(A43,SatSunPeakPwr,(IF(BMO=2,3,IF(BMO=1,2,4))),FALSE()))</f>
        <v> </v>
      </c>
      <c r="P43" s="427" t="str">
        <f aca="false">IF(A43="N/A"," ",VLOOKUP(A43,SatSunPeakPwr,(IF(BMO=2,7,IF(BMO=1,6,8))),FALSE()))</f>
        <v> </v>
      </c>
      <c r="Q43" s="428" t="str">
        <f aca="false">IF(A43="N/A"," ",(VLOOKUP(A43,OPPowerPrices,(IF(BMO=2,7,IF(BMO=1,6,8))),FALSE())))</f>
        <v> </v>
      </c>
      <c r="R43" s="429" t="str">
        <f aca="false">IF(A43="N/A"," ",(VLOOKUP(A43,GasCurves,9,FALSE()))+IF(BMO=1,Gasbmo,IF(BMO=3,-Gasbmo,0)))</f>
        <v> </v>
      </c>
      <c r="S43" s="429" t="str">
        <f aca="false">IF(A43="N/A"," ",IF(Basischeck=TRUE(),(VLOOKUP(A43,GasCurves,IF(MONTH(A43)&gt;=4,IF(MONTH(A43)&lt;=10,11,12),12),FALSE())),0))</f>
        <v> </v>
      </c>
      <c r="T43" s="429" t="str">
        <f aca="false">IF(A43="N/A"," ",(IF(MONTH(A43)&gt;=4,IF(MONTH(A43)&lt;=10,Inputs!$H$2,Inputs!$H$3),Inputs!$H$3)))</f>
        <v> </v>
      </c>
      <c r="U43" s="430" t="str">
        <f aca="false">IF(A43="N/A"," ",(VLOOKUP($A43,InterestRatesTable,2)))</f>
        <v> </v>
      </c>
      <c r="AF43" s="384" t="n">
        <v>37742</v>
      </c>
      <c r="AG43" s="36" t="n">
        <v>21</v>
      </c>
      <c r="AH43" s="36" t="n">
        <v>5</v>
      </c>
      <c r="AI43" s="36" t="n">
        <v>5</v>
      </c>
      <c r="AJ43" s="36" t="n">
        <v>1</v>
      </c>
      <c r="AK43" s="36" t="n">
        <v>31</v>
      </c>
    </row>
    <row r="44" customFormat="false" ht="12.75" hidden="false" customHeight="false" outlineLevel="0" collapsed="false">
      <c r="A44" s="420" t="str">
        <f aca="false">Calculations!A11</f>
        <v>N/A</v>
      </c>
      <c r="B44" s="421" t="str">
        <f aca="false">IF(A44="N/A"," ",N44*VLOOKUP(MONTH(A44),Curveadj,3))</f>
        <v> </v>
      </c>
      <c r="C44" s="422" t="str">
        <f aca="false">IF(A44="N/A"," ",(IF(AND(MONTH(A44)&gt;=6,MONTH(A44)&lt;=8,OR($M$37="REGION 2",$M$37="REGION 2A",$M$37="REGION 2B",$M$37="REGION 3",$M$37="REGION 3A",$M$37="REGION 3B",$M$37="REGION 4",$M$37="REGION 4B",$M$37="REGION 4C",$M$37="REGION 5",$M$37="REGION 5A")),((0.059228/(B44/100))-(0.4980013/(SQRT(B44/100)))+2.137988),HLOOKUP(MONTH(A44),ScalarTable,28))))</f>
        <v> </v>
      </c>
      <c r="D44" s="423" t="str">
        <f aca="false">IF(A44="N/A"," ",C44*B44)</f>
        <v> </v>
      </c>
      <c r="E44" s="421" t="str">
        <f aca="false">IF(A44="N/A"," ",O44*VLOOKUP(MONTH(A44),Curveadj,3))</f>
        <v> </v>
      </c>
      <c r="F44" s="423" t="str">
        <f aca="false">IF(A44="N/A"," ",E44*C44)</f>
        <v> </v>
      </c>
      <c r="G44" s="421" t="str">
        <f aca="false">IF(A44="N/A"," ",P44*VLOOKUP(MONTH(A44),Curveadj,3))</f>
        <v> </v>
      </c>
      <c r="H44" s="423" t="str">
        <f aca="false">IF(A44="N/A"," ",G44*C44)</f>
        <v> </v>
      </c>
      <c r="I44" s="423" t="str">
        <f aca="false">IF(A44="N/A"," ",Q44)</f>
        <v> </v>
      </c>
      <c r="J44" s="424" t="str">
        <f aca="false">IF(A44="N/A"," ",K44+L44+T44)</f>
        <v> </v>
      </c>
      <c r="K44" s="425" t="str">
        <f aca="false">IF(A44="N/A"," ",R44)</f>
        <v> </v>
      </c>
      <c r="L44" s="425" t="str">
        <f aca="false">IF(A44="N/A"," ",S44)</f>
        <v> </v>
      </c>
      <c r="M44" s="431"/>
      <c r="N44" s="427" t="str">
        <f aca="false">IF(A44="N/A"," ",VLOOKUP(A44,PeakPowerCurves,(IF(BMO=2,3,IF(BMO=1,2,4))),FALSE()))</f>
        <v> </v>
      </c>
      <c r="O44" s="427" t="str">
        <f aca="false">IF(A44="N/A"," ",VLOOKUP(A44,SatSunPeakPwr,(IF(BMO=2,3,IF(BMO=1,2,4))),FALSE()))</f>
        <v> </v>
      </c>
      <c r="P44" s="427" t="str">
        <f aca="false">IF(A44="N/A"," ",VLOOKUP(A44,SatSunPeakPwr,(IF(BMO=2,7,IF(BMO=1,6,8))),FALSE()))</f>
        <v> </v>
      </c>
      <c r="Q44" s="428" t="str">
        <f aca="false">IF(A44="N/A"," ",(VLOOKUP(A44,OPPowerPrices,(IF(BMO=2,7,IF(BMO=1,6,8))),FALSE())))</f>
        <v> </v>
      </c>
      <c r="R44" s="429" t="str">
        <f aca="false">IF(A44="N/A"," ",(VLOOKUP(A44,GasCurves,9,FALSE()))+IF(BMO=1,Gasbmo,IF(BMO=3,-Gasbmo,0)))</f>
        <v> </v>
      </c>
      <c r="S44" s="429" t="str">
        <f aca="false">IF(A44="N/A"," ",IF(Basischeck=TRUE(),(VLOOKUP(A44,GasCurves,IF(MONTH(A44)&gt;=4,IF(MONTH(A44)&lt;=10,11,12),12),FALSE())),0))</f>
        <v> </v>
      </c>
      <c r="T44" s="429" t="str">
        <f aca="false">IF(A44="N/A"," ",(IF(MONTH(A44)&gt;=4,IF(MONTH(A44)&lt;=10,Inputs!$H$2,Inputs!$H$3),Inputs!$H$3)))</f>
        <v> </v>
      </c>
      <c r="U44" s="430" t="str">
        <f aca="false">IF(A44="N/A"," ",(VLOOKUP($A44,InterestRatesTable,2)))</f>
        <v> </v>
      </c>
      <c r="AF44" s="384" t="n">
        <v>37773</v>
      </c>
      <c r="AG44" s="36" t="n">
        <v>21</v>
      </c>
      <c r="AH44" s="36" t="n">
        <v>4</v>
      </c>
      <c r="AI44" s="36" t="n">
        <v>5</v>
      </c>
      <c r="AJ44" s="36" t="n">
        <v>0</v>
      </c>
      <c r="AK44" s="36" t="n">
        <v>30</v>
      </c>
    </row>
    <row r="45" customFormat="false" ht="12.75" hidden="false" customHeight="false" outlineLevel="0" collapsed="false">
      <c r="A45" s="420" t="str">
        <f aca="false">Calculations!A12</f>
        <v>N/A</v>
      </c>
      <c r="B45" s="421" t="str">
        <f aca="false">IF(A45="N/A"," ",N45*VLOOKUP(MONTH(A45),Curveadj,3))</f>
        <v> </v>
      </c>
      <c r="C45" s="422" t="str">
        <f aca="false">IF(A45="N/A"," ",(IF(AND(MONTH(A45)&gt;=6,MONTH(A45)&lt;=8,OR($M$37="REGION 2",$M$37="REGION 2A",$M$37="REGION 2B",$M$37="REGION 3",$M$37="REGION 3A",$M$37="REGION 3B",$M$37="REGION 4",$M$37="REGION 4B",$M$37="REGION 4C",$M$37="REGION 5",$M$37="REGION 5A")),((0.059228/(B45/100))-(0.4980013/(SQRT(B45/100)))+2.137988),HLOOKUP(MONTH(A45),ScalarTable,28))))</f>
        <v> </v>
      </c>
      <c r="D45" s="423" t="str">
        <f aca="false">IF(A45="N/A"," ",C45*B45)</f>
        <v> </v>
      </c>
      <c r="E45" s="421" t="str">
        <f aca="false">IF(A45="N/A"," ",O45*VLOOKUP(MONTH(A45),Curveadj,3))</f>
        <v> </v>
      </c>
      <c r="F45" s="423" t="str">
        <f aca="false">IF(A45="N/A"," ",E45*C45)</f>
        <v> </v>
      </c>
      <c r="G45" s="421" t="str">
        <f aca="false">IF(A45="N/A"," ",P45*VLOOKUP(MONTH(A45),Curveadj,3))</f>
        <v> </v>
      </c>
      <c r="H45" s="423" t="str">
        <f aca="false">IF(A45="N/A"," ",G45*C45)</f>
        <v> </v>
      </c>
      <c r="I45" s="423" t="str">
        <f aca="false">IF(A45="N/A"," ",Q45)</f>
        <v> </v>
      </c>
      <c r="J45" s="424" t="str">
        <f aca="false">IF(A45="N/A"," ",K45+L45+T45)</f>
        <v> </v>
      </c>
      <c r="K45" s="425" t="str">
        <f aca="false">IF(A45="N/A"," ",R45)</f>
        <v> </v>
      </c>
      <c r="L45" s="425" t="str">
        <f aca="false">IF(A45="N/A"," ",S45)</f>
        <v> </v>
      </c>
      <c r="M45" s="431"/>
      <c r="N45" s="427" t="str">
        <f aca="false">IF(A45="N/A"," ",VLOOKUP(A45,PeakPowerCurves,(IF(BMO=2,3,IF(BMO=1,2,4))),FALSE()))</f>
        <v> </v>
      </c>
      <c r="O45" s="427" t="str">
        <f aca="false">IF(A45="N/A"," ",VLOOKUP(A45,SatSunPeakPwr,(IF(BMO=2,3,IF(BMO=1,2,4))),FALSE()))</f>
        <v> </v>
      </c>
      <c r="P45" s="427" t="str">
        <f aca="false">IF(A45="N/A"," ",VLOOKUP(A45,SatSunPeakPwr,(IF(BMO=2,7,IF(BMO=1,6,8))),FALSE()))</f>
        <v> </v>
      </c>
      <c r="Q45" s="428" t="str">
        <f aca="false">IF(A45="N/A"," ",(VLOOKUP(A45,OPPowerPrices,(IF(BMO=2,7,IF(BMO=1,6,8))),FALSE())))</f>
        <v> </v>
      </c>
      <c r="R45" s="429" t="str">
        <f aca="false">IF(A45="N/A"," ",(VLOOKUP(A45,GasCurves,9,FALSE()))+IF(BMO=1,Gasbmo,IF(BMO=3,-Gasbmo,0)))</f>
        <v> </v>
      </c>
      <c r="S45" s="429" t="str">
        <f aca="false">IF(A45="N/A"," ",IF(Basischeck=TRUE(),(VLOOKUP(A45,GasCurves,IF(MONTH(A45)&gt;=4,IF(MONTH(A45)&lt;=10,11,12),12),FALSE())),0))</f>
        <v> </v>
      </c>
      <c r="T45" s="429" t="str">
        <f aca="false">IF(A45="N/A"," ",(IF(MONTH(A45)&gt;=4,IF(MONTH(A45)&lt;=10,Inputs!$H$2,Inputs!$H$3),Inputs!$H$3)))</f>
        <v> </v>
      </c>
      <c r="U45" s="430" t="str">
        <f aca="false">IF(A45="N/A"," ",(VLOOKUP($A45,InterestRatesTable,2)))</f>
        <v> </v>
      </c>
      <c r="AF45" s="384" t="n">
        <v>37803</v>
      </c>
      <c r="AG45" s="36" t="n">
        <v>22</v>
      </c>
      <c r="AH45" s="36" t="n">
        <v>4</v>
      </c>
      <c r="AI45" s="36" t="n">
        <v>5</v>
      </c>
      <c r="AJ45" s="36" t="n">
        <v>1</v>
      </c>
      <c r="AK45" s="36" t="n">
        <v>31</v>
      </c>
    </row>
    <row r="46" customFormat="false" ht="12.75" hidden="false" customHeight="false" outlineLevel="0" collapsed="false">
      <c r="A46" s="420" t="str">
        <f aca="false">Calculations!A13</f>
        <v>N/A</v>
      </c>
      <c r="B46" s="421" t="str">
        <f aca="false">IF(A46="N/A"," ",N46*VLOOKUP(MONTH(A46),Curveadj,3))</f>
        <v> </v>
      </c>
      <c r="C46" s="422" t="str">
        <f aca="false">IF(A46="N/A"," ",(IF(AND(MONTH(A46)&gt;=6,MONTH(A46)&lt;=8,OR($M$37="REGION 2",$M$37="REGION 2A",$M$37="REGION 2B",$M$37="REGION 3",$M$37="REGION 3A",$M$37="REGION 3B",$M$37="REGION 4",$M$37="REGION 4B",$M$37="REGION 4C",$M$37="REGION 5",$M$37="REGION 5A")),((0.059228/(B46/100))-(0.4980013/(SQRT(B46/100)))+2.137988),HLOOKUP(MONTH(A46),ScalarTable,28))))</f>
        <v> </v>
      </c>
      <c r="D46" s="423" t="str">
        <f aca="false">IF(A46="N/A"," ",C46*B46)</f>
        <v> </v>
      </c>
      <c r="E46" s="421" t="str">
        <f aca="false">IF(A46="N/A"," ",O46*VLOOKUP(MONTH(A46),Curveadj,3))</f>
        <v> </v>
      </c>
      <c r="F46" s="423" t="str">
        <f aca="false">IF(A46="N/A"," ",E46*C46)</f>
        <v> </v>
      </c>
      <c r="G46" s="421" t="str">
        <f aca="false">IF(A46="N/A"," ",P46*VLOOKUP(MONTH(A46),Curveadj,3))</f>
        <v> </v>
      </c>
      <c r="H46" s="423" t="str">
        <f aca="false">IF(A46="N/A"," ",G46*C46)</f>
        <v> </v>
      </c>
      <c r="I46" s="423" t="str">
        <f aca="false">IF(A46="N/A"," ",Q46)</f>
        <v> </v>
      </c>
      <c r="J46" s="424" t="str">
        <f aca="false">IF(A46="N/A"," ",K46+L46+T46)</f>
        <v> </v>
      </c>
      <c r="K46" s="425" t="str">
        <f aca="false">IF(A46="N/A"," ",R46)</f>
        <v> </v>
      </c>
      <c r="L46" s="425" t="str">
        <f aca="false">IF(A46="N/A"," ",S46)</f>
        <v> </v>
      </c>
      <c r="M46" s="431"/>
      <c r="N46" s="427" t="str">
        <f aca="false">IF(A46="N/A"," ",VLOOKUP(A46,PeakPowerCurves,(IF(BMO=2,3,IF(BMO=1,2,4))),FALSE()))</f>
        <v> </v>
      </c>
      <c r="O46" s="427" t="str">
        <f aca="false">IF(A46="N/A"," ",VLOOKUP(A46,SatSunPeakPwr,(IF(BMO=2,3,IF(BMO=1,2,4))),FALSE()))</f>
        <v> </v>
      </c>
      <c r="P46" s="427" t="str">
        <f aca="false">IF(A46="N/A"," ",VLOOKUP(A46,SatSunPeakPwr,(IF(BMO=2,7,IF(BMO=1,6,8))),FALSE()))</f>
        <v> </v>
      </c>
      <c r="Q46" s="428" t="str">
        <f aca="false">IF(A46="N/A"," ",(VLOOKUP(A46,OPPowerPrices,(IF(BMO=2,7,IF(BMO=1,6,8))),FALSE())))</f>
        <v> </v>
      </c>
      <c r="R46" s="429" t="str">
        <f aca="false">IF(A46="N/A"," ",(VLOOKUP(A46,GasCurves,9,FALSE()))+IF(BMO=1,Gasbmo,IF(BMO=3,-Gasbmo,0)))</f>
        <v> </v>
      </c>
      <c r="S46" s="429" t="str">
        <f aca="false">IF(A46="N/A"," ",IF(Basischeck=TRUE(),(VLOOKUP(A46,GasCurves,IF(MONTH(A46)&gt;=4,IF(MONTH(A46)&lt;=10,11,12),12),FALSE())),0))</f>
        <v> </v>
      </c>
      <c r="T46" s="429" t="str">
        <f aca="false">IF(A46="N/A"," ",(IF(MONTH(A46)&gt;=4,IF(MONTH(A46)&lt;=10,Inputs!$H$2,Inputs!$H$3),Inputs!$H$3)))</f>
        <v> </v>
      </c>
      <c r="U46" s="430" t="str">
        <f aca="false">IF(A46="N/A"," ",(VLOOKUP($A46,InterestRatesTable,2)))</f>
        <v> </v>
      </c>
      <c r="AF46" s="384" t="n">
        <v>37834</v>
      </c>
      <c r="AG46" s="36" t="n">
        <v>21</v>
      </c>
      <c r="AH46" s="36" t="n">
        <v>5</v>
      </c>
      <c r="AI46" s="36" t="n">
        <v>5</v>
      </c>
      <c r="AJ46" s="36" t="n">
        <v>0</v>
      </c>
      <c r="AK46" s="36" t="n">
        <v>31</v>
      </c>
    </row>
    <row r="47" customFormat="false" ht="12.75" hidden="false" customHeight="false" outlineLevel="0" collapsed="false">
      <c r="A47" s="420" t="str">
        <f aca="false">Calculations!A14</f>
        <v>N/A</v>
      </c>
      <c r="B47" s="421" t="str">
        <f aca="false">IF(A47="N/A"," ",N47*VLOOKUP(MONTH(A47),Curveadj,3))</f>
        <v> </v>
      </c>
      <c r="C47" s="422" t="str">
        <f aca="false">IF(A47="N/A"," ",(IF(AND(MONTH(A47)&gt;=6,MONTH(A47)&lt;=8,OR($M$37="REGION 2",$M$37="REGION 2A",$M$37="REGION 2B",$M$37="REGION 3",$M$37="REGION 3A",$M$37="REGION 3B",$M$37="REGION 4",$M$37="REGION 4B",$M$37="REGION 4C",$M$37="REGION 5",$M$37="REGION 5A")),((0.059228/(B47/100))-(0.4980013/(SQRT(B47/100)))+2.137988),HLOOKUP(MONTH(A47),ScalarTable,28))))</f>
        <v> </v>
      </c>
      <c r="D47" s="423" t="str">
        <f aca="false">IF(A47="N/A"," ",C47*B47)</f>
        <v> </v>
      </c>
      <c r="E47" s="421" t="str">
        <f aca="false">IF(A47="N/A"," ",O47*VLOOKUP(MONTH(A47),Curveadj,3))</f>
        <v> </v>
      </c>
      <c r="F47" s="423" t="str">
        <f aca="false">IF(A47="N/A"," ",E47*C47)</f>
        <v> </v>
      </c>
      <c r="G47" s="421" t="str">
        <f aca="false">IF(A47="N/A"," ",P47*VLOOKUP(MONTH(A47),Curveadj,3))</f>
        <v> </v>
      </c>
      <c r="H47" s="423" t="str">
        <f aca="false">IF(A47="N/A"," ",G47*C47)</f>
        <v> </v>
      </c>
      <c r="I47" s="423" t="str">
        <f aca="false">IF(A47="N/A"," ",Q47)</f>
        <v> </v>
      </c>
      <c r="J47" s="424" t="str">
        <f aca="false">IF(A47="N/A"," ",K47+L47+T47)</f>
        <v> </v>
      </c>
      <c r="K47" s="425" t="str">
        <f aca="false">IF(A47="N/A"," ",R47)</f>
        <v> </v>
      </c>
      <c r="L47" s="425" t="str">
        <f aca="false">IF(A47="N/A"," ",S47)</f>
        <v> </v>
      </c>
      <c r="M47" s="431"/>
      <c r="N47" s="427" t="str">
        <f aca="false">IF(A47="N/A"," ",VLOOKUP(A47,PeakPowerCurves,(IF(BMO=2,3,IF(BMO=1,2,4))),FALSE()))</f>
        <v> </v>
      </c>
      <c r="O47" s="427" t="str">
        <f aca="false">IF(A47="N/A"," ",VLOOKUP(A47,SatSunPeakPwr,(IF(BMO=2,3,IF(BMO=1,2,4))),FALSE()))</f>
        <v> </v>
      </c>
      <c r="P47" s="427" t="str">
        <f aca="false">IF(A47="N/A"," ",VLOOKUP(A47,SatSunPeakPwr,(IF(BMO=2,7,IF(BMO=1,6,8))),FALSE()))</f>
        <v> </v>
      </c>
      <c r="Q47" s="428" t="str">
        <f aca="false">IF(A47="N/A"," ",(VLOOKUP(A47,OPPowerPrices,(IF(BMO=2,7,IF(BMO=1,6,8))),FALSE())))</f>
        <v> </v>
      </c>
      <c r="R47" s="429" t="str">
        <f aca="false">IF(A47="N/A"," ",(VLOOKUP(A47,GasCurves,9,FALSE()))+IF(BMO=1,Gasbmo,IF(BMO=3,-Gasbmo,0)))</f>
        <v> </v>
      </c>
      <c r="S47" s="429" t="str">
        <f aca="false">IF(A47="N/A"," ",IF(Basischeck=TRUE(),(VLOOKUP(A47,GasCurves,IF(MONTH(A47)&gt;=4,IF(MONTH(A47)&lt;=10,11,12),12),FALSE())),0))</f>
        <v> </v>
      </c>
      <c r="T47" s="429" t="str">
        <f aca="false">IF(A47="N/A"," ",(IF(MONTH(A47)&gt;=4,IF(MONTH(A47)&lt;=10,Inputs!$H$2,Inputs!$H$3),Inputs!$H$3)))</f>
        <v> </v>
      </c>
      <c r="U47" s="430" t="str">
        <f aca="false">IF(A47="N/A"," ",(VLOOKUP($A47,InterestRatesTable,2)))</f>
        <v> </v>
      </c>
      <c r="AF47" s="384" t="n">
        <v>37865</v>
      </c>
      <c r="AG47" s="36" t="n">
        <v>21</v>
      </c>
      <c r="AH47" s="36" t="n">
        <v>4</v>
      </c>
      <c r="AI47" s="36" t="n">
        <v>5</v>
      </c>
      <c r="AJ47" s="36" t="n">
        <v>1</v>
      </c>
      <c r="AK47" s="36" t="n">
        <v>30</v>
      </c>
    </row>
    <row r="48" customFormat="false" ht="12.75" hidden="false" customHeight="false" outlineLevel="0" collapsed="false">
      <c r="A48" s="420" t="str">
        <f aca="false">Calculations!A15</f>
        <v>N/A</v>
      </c>
      <c r="B48" s="421" t="str">
        <f aca="false">IF(A48="N/A"," ",N48*VLOOKUP(MONTH(A48),Curveadj,3))</f>
        <v> </v>
      </c>
      <c r="C48" s="422" t="str">
        <f aca="false">IF(A48="N/A"," ",(IF(AND(MONTH(A48)&gt;=6,MONTH(A48)&lt;=8,OR($M$37="REGION 2",$M$37="REGION 2A",$M$37="REGION 2B",$M$37="REGION 3",$M$37="REGION 3A",$M$37="REGION 3B",$M$37="REGION 4",$M$37="REGION 4B",$M$37="REGION 4C",$M$37="REGION 5",$M$37="REGION 5A")),((0.059228/(B48/100))-(0.4980013/(SQRT(B48/100)))+2.137988),HLOOKUP(MONTH(A48),ScalarTable,28))))</f>
        <v> </v>
      </c>
      <c r="D48" s="423" t="str">
        <f aca="false">IF(A48="N/A"," ",C48*B48)</f>
        <v> </v>
      </c>
      <c r="E48" s="421" t="str">
        <f aca="false">IF(A48="N/A"," ",O48*VLOOKUP(MONTH(A48),Curveadj,3))</f>
        <v> </v>
      </c>
      <c r="F48" s="423" t="str">
        <f aca="false">IF(A48="N/A"," ",E48*C48)</f>
        <v> </v>
      </c>
      <c r="G48" s="421" t="str">
        <f aca="false">IF(A48="N/A"," ",P48*VLOOKUP(MONTH(A48),Curveadj,3))</f>
        <v> </v>
      </c>
      <c r="H48" s="423" t="str">
        <f aca="false">IF(A48="N/A"," ",G48*C48)</f>
        <v> </v>
      </c>
      <c r="I48" s="423" t="str">
        <f aca="false">IF(A48="N/A"," ",Q48)</f>
        <v> </v>
      </c>
      <c r="J48" s="424" t="str">
        <f aca="false">IF(A48="N/A"," ",K48+L48+T48)</f>
        <v> </v>
      </c>
      <c r="K48" s="425" t="str">
        <f aca="false">IF(A48="N/A"," ",R48)</f>
        <v> </v>
      </c>
      <c r="L48" s="425" t="str">
        <f aca="false">IF(A48="N/A"," ",S48)</f>
        <v> </v>
      </c>
      <c r="M48" s="431"/>
      <c r="N48" s="427" t="str">
        <f aca="false">IF(A48="N/A"," ",VLOOKUP(A48,PeakPowerCurves,(IF(BMO=2,3,IF(BMO=1,2,4))),FALSE()))</f>
        <v> </v>
      </c>
      <c r="O48" s="427" t="str">
        <f aca="false">IF(A48="N/A"," ",VLOOKUP(A48,SatSunPeakPwr,(IF(BMO=2,3,IF(BMO=1,2,4))),FALSE()))</f>
        <v> </v>
      </c>
      <c r="P48" s="427" t="str">
        <f aca="false">IF(A48="N/A"," ",VLOOKUP(A48,SatSunPeakPwr,(IF(BMO=2,7,IF(BMO=1,6,8))),FALSE()))</f>
        <v> </v>
      </c>
      <c r="Q48" s="428" t="str">
        <f aca="false">IF(A48="N/A"," ",(VLOOKUP(A48,OPPowerPrices,(IF(BMO=2,7,IF(BMO=1,6,8))),FALSE())))</f>
        <v> </v>
      </c>
      <c r="R48" s="429" t="str">
        <f aca="false">IF(A48="N/A"," ",(VLOOKUP(A48,GasCurves,9,FALSE()))+IF(BMO=1,Gasbmo,IF(BMO=3,-Gasbmo,0)))</f>
        <v> </v>
      </c>
      <c r="S48" s="429" t="str">
        <f aca="false">IF(A48="N/A"," ",IF(Basischeck=TRUE(),(VLOOKUP(A48,GasCurves,IF(MONTH(A48)&gt;=4,IF(MONTH(A48)&lt;=10,11,12),12),FALSE())),0))</f>
        <v> </v>
      </c>
      <c r="T48" s="429" t="str">
        <f aca="false">IF(A48="N/A"," ",(IF(MONTH(A48)&gt;=4,IF(MONTH(A48)&lt;=10,Inputs!$H$2,Inputs!$H$3),Inputs!$H$3)))</f>
        <v> </v>
      </c>
      <c r="U48" s="430" t="str">
        <f aca="false">IF(A48="N/A"," ",(VLOOKUP($A48,InterestRatesTable,2)))</f>
        <v> </v>
      </c>
      <c r="AF48" s="384" t="n">
        <v>37895</v>
      </c>
      <c r="AG48" s="36" t="n">
        <v>23</v>
      </c>
      <c r="AH48" s="36" t="n">
        <v>4</v>
      </c>
      <c r="AI48" s="36" t="n">
        <v>4</v>
      </c>
      <c r="AJ48" s="36" t="n">
        <v>0</v>
      </c>
      <c r="AK48" s="36" t="n">
        <v>31</v>
      </c>
    </row>
    <row r="49" customFormat="false" ht="12.75" hidden="false" customHeight="false" outlineLevel="0" collapsed="false">
      <c r="A49" s="420" t="str">
        <f aca="false">Calculations!A16</f>
        <v>N/A</v>
      </c>
      <c r="B49" s="421" t="str">
        <f aca="false">IF(A49="N/A"," ",IF(ISERROR(N49),B37*Pwresc,N49)*VLOOKUP(MONTH(A49),Curveadj,3))</f>
        <v> </v>
      </c>
      <c r="C49" s="422" t="str">
        <f aca="false">IF(A49="N/A"," ",(IF(AND(MONTH(A49)&gt;=6,MONTH(A49)&lt;=8,OR($M$37="REGION 2",$M$37="REGION 2A",$M$37="REGION 2B",$M$37="REGION 3",$M$37="REGION 3A",$M$37="REGION 3B",$M$37="REGION 4",$M$37="REGION 4B",$M$37="REGION 4C",$M$37="REGION 5",$M$37="REGION 5A")),((0.059228/(B49/100))-(0.4980013/(SQRT(B49/100)))+2.137988),HLOOKUP(MONTH(A49),ScalarTable,28))))</f>
        <v> </v>
      </c>
      <c r="D49" s="423" t="str">
        <f aca="false">IF(A49="N/A"," ",C49*B49)</f>
        <v> </v>
      </c>
      <c r="E49" s="421" t="str">
        <f aca="false">IF(A49="N/A"," ",IF(ISERROR(O49),E37*Pwresc,O49)*VLOOKUP(MONTH(A49),Curveadj,3))</f>
        <v> </v>
      </c>
      <c r="F49" s="423" t="str">
        <f aca="false">IF(A49="N/A"," ",E49*C49)</f>
        <v> </v>
      </c>
      <c r="G49" s="421" t="str">
        <f aca="false">IF(A49="N/A"," ",IF(ISERROR(P49),G37*Pwresc,P49)*VLOOKUP(MONTH(A49),Curveadj,3))</f>
        <v> </v>
      </c>
      <c r="H49" s="423" t="str">
        <f aca="false">IF(A49="N/A"," ",G49*C49)</f>
        <v> </v>
      </c>
      <c r="I49" s="423" t="str">
        <f aca="false">IF(A49="N/A"," ",IF(ISERROR(Q49),I37*Pwresc,Q49))</f>
        <v> </v>
      </c>
      <c r="J49" s="424" t="str">
        <f aca="false">IF(A49="N/A"," ",K49+L49+T49)</f>
        <v> </v>
      </c>
      <c r="K49" s="425" t="str">
        <f aca="false">IF(A49="N/A"," ",IF(ISERROR(R49),K37*Gasesc,R49))</f>
        <v> </v>
      </c>
      <c r="L49" s="425" t="str">
        <f aca="false">IF(A49="N/A"," ",IF(ISERROR(S49),L37*Gasesc,IF(S49=0,L37*Gasesc,S49)))</f>
        <v> </v>
      </c>
      <c r="M49" s="431"/>
      <c r="N49" s="427" t="str">
        <f aca="false">IF(A49="N/A"," ",VLOOKUP(A49,PeakPowerCurves,(IF(BMO=2,3,IF(BMO=1,2,4))),FALSE()))</f>
        <v> </v>
      </c>
      <c r="O49" s="427" t="str">
        <f aca="false">IF(A49="N/A"," ",VLOOKUP(A49,SatSunPeakPwr,(IF(BMO=2,3,IF(BMO=1,2,4))),FALSE()))</f>
        <v> </v>
      </c>
      <c r="P49" s="427" t="str">
        <f aca="false">IF(A49="N/A"," ",VLOOKUP(A49,SatSunPeakPwr,(IF(BMO=2,7,IF(BMO=1,6,8))),FALSE()))</f>
        <v> </v>
      </c>
      <c r="Q49" s="428" t="str">
        <f aca="false">IF(A49="N/A"," ",(VLOOKUP(A49,OPPowerPrices,(IF(BMO=2,7,IF(BMO=1,6,8))),FALSE())))</f>
        <v> </v>
      </c>
      <c r="R49" s="429" t="str">
        <f aca="false">IF(A49="N/A"," ",(VLOOKUP(A49,GasCurves,9,FALSE()))+IF(BMO=1,Gasbmo,IF(BMO=3,-Gasbmo,0)))</f>
        <v> </v>
      </c>
      <c r="S49" s="429" t="str">
        <f aca="false">IF(A49="N/A"," ",IF(Basischeck=TRUE(),(VLOOKUP(A49,GasCurves,IF(MONTH(A49)&gt;=4,IF(MONTH(A49)&lt;=10,11,12),12),FALSE())),0))</f>
        <v> </v>
      </c>
      <c r="T49" s="429" t="str">
        <f aca="false">IF(A49="N/A"," ",(IF(MONTH(A49)&gt;=4,IF(MONTH(A49)&lt;=10,Inputs!$H$2,Inputs!$H$3),Inputs!$H$3)))</f>
        <v> </v>
      </c>
      <c r="U49" s="430" t="str">
        <f aca="false">IF(A49="N/A"," ",(VLOOKUP($A49,InterestRatesTable,2)))</f>
        <v> </v>
      </c>
      <c r="AF49" s="384" t="n">
        <v>37926</v>
      </c>
      <c r="AG49" s="36" t="n">
        <v>19</v>
      </c>
      <c r="AH49" s="36" t="n">
        <v>5</v>
      </c>
      <c r="AI49" s="36" t="n">
        <v>6</v>
      </c>
      <c r="AJ49" s="36" t="n">
        <v>1</v>
      </c>
      <c r="AK49" s="36" t="n">
        <v>30</v>
      </c>
    </row>
    <row r="50" customFormat="false" ht="12.75" hidden="false" customHeight="false" outlineLevel="0" collapsed="false">
      <c r="A50" s="420" t="str">
        <f aca="false">Calculations!A17</f>
        <v>N/A</v>
      </c>
      <c r="B50" s="421" t="str">
        <f aca="false">IF(A50="N/A"," ",IF(ISERROR(N50),B38*Pwresc,N50)*VLOOKUP(MONTH(A50),Curveadj,3))</f>
        <v> </v>
      </c>
      <c r="C50" s="422" t="str">
        <f aca="false">IF(A50="N/A"," ",(IF(AND(MONTH(A50)&gt;=6,MONTH(A50)&lt;=8,OR($M$37="REGION 2",$M$37="REGION 2A",$M$37="REGION 2B",$M$37="REGION 3",$M$37="REGION 3A",$M$37="REGION 3B",$M$37="REGION 4",$M$37="REGION 4B",$M$37="REGION 4C",$M$37="REGION 5",$M$37="REGION 5A")),((0.059228/(B50/100))-(0.4980013/(SQRT(B50/100)))+2.137988),HLOOKUP(MONTH(A50),ScalarTable,28))))</f>
        <v> </v>
      </c>
      <c r="D50" s="423" t="str">
        <f aca="false">IF(A50="N/A"," ",C50*B50)</f>
        <v> </v>
      </c>
      <c r="E50" s="421" t="str">
        <f aca="false">IF(A50="N/A"," ",IF(ISERROR(O50),E38*Pwresc,O50)*VLOOKUP(MONTH(A50),Curveadj,3))</f>
        <v> </v>
      </c>
      <c r="F50" s="423" t="str">
        <f aca="false">IF(A50="N/A"," ",E50*C50)</f>
        <v> </v>
      </c>
      <c r="G50" s="421" t="str">
        <f aca="false">IF(A50="N/A"," ",IF(ISERROR(P50),G38*Pwresc,P50)*VLOOKUP(MONTH(A50),Curveadj,3))</f>
        <v> </v>
      </c>
      <c r="H50" s="423" t="str">
        <f aca="false">IF(A50="N/A"," ",G50*C50)</f>
        <v> </v>
      </c>
      <c r="I50" s="423" t="str">
        <f aca="false">IF(A50="N/A"," ",IF(ISERROR(Q50),I38*Pwresc,Q50))</f>
        <v> </v>
      </c>
      <c r="J50" s="424" t="str">
        <f aca="false">IF(A50="N/A"," ",K50+L50+T50)</f>
        <v> </v>
      </c>
      <c r="K50" s="425" t="str">
        <f aca="false">IF(A50="N/A"," ",IF(ISERROR(R50),K38*Gasesc,R50))</f>
        <v> </v>
      </c>
      <c r="L50" s="425" t="str">
        <f aca="false">IF(A50="N/A"," ",IF(ISERROR(S50),L38*Gasesc,IF(S50=0,L38*Gasesc,S50)))</f>
        <v> </v>
      </c>
      <c r="M50" s="431"/>
      <c r="N50" s="427" t="str">
        <f aca="false">IF(A50="N/A"," ",VLOOKUP(A50,PeakPowerCurves,(IF(BMO=2,3,IF(BMO=1,2,4))),FALSE()))</f>
        <v> </v>
      </c>
      <c r="O50" s="427" t="str">
        <f aca="false">IF(A50="N/A"," ",VLOOKUP(A50,SatSunPeakPwr,(IF(BMO=2,3,IF(BMO=1,2,4))),FALSE()))</f>
        <v> </v>
      </c>
      <c r="P50" s="427" t="str">
        <f aca="false">IF(A50="N/A"," ",VLOOKUP(A50,SatSunPeakPwr,(IF(BMO=2,7,IF(BMO=1,6,8))),FALSE()))</f>
        <v> </v>
      </c>
      <c r="Q50" s="428" t="str">
        <f aca="false">IF(A50="N/A"," ",(VLOOKUP(A50,OPPowerPrices,(IF(BMO=2,7,IF(BMO=1,6,8))),FALSE())))</f>
        <v> </v>
      </c>
      <c r="R50" s="429" t="str">
        <f aca="false">IF(A50="N/A"," ",(VLOOKUP(A50,GasCurves,9,FALSE()))+IF(BMO=1,Gasbmo,IF(BMO=3,-Gasbmo,0)))</f>
        <v> </v>
      </c>
      <c r="S50" s="429" t="str">
        <f aca="false">IF(A50="N/A"," ",IF(Basischeck=TRUE(),(VLOOKUP(A50,GasCurves,IF(MONTH(A50)&gt;=4,IF(MONTH(A50)&lt;=10,11,12),12),FALSE())),0))</f>
        <v> </v>
      </c>
      <c r="T50" s="429" t="str">
        <f aca="false">IF(A50="N/A"," ",(IF(MONTH(A50)&gt;=4,IF(MONTH(A50)&lt;=10,Inputs!$H$2,Inputs!$H$3),Inputs!$H$3)))</f>
        <v> </v>
      </c>
      <c r="U50" s="430" t="str">
        <f aca="false">IF(A50="N/A"," ",(VLOOKUP($A50,InterestRatesTable,2)))</f>
        <v> </v>
      </c>
      <c r="AF50" s="384" t="n">
        <v>37956</v>
      </c>
      <c r="AG50" s="36" t="n">
        <v>22</v>
      </c>
      <c r="AH50" s="36" t="n">
        <v>4</v>
      </c>
      <c r="AI50" s="36" t="n">
        <v>5</v>
      </c>
      <c r="AJ50" s="36" t="n">
        <v>1</v>
      </c>
      <c r="AK50" s="36" t="n">
        <v>31</v>
      </c>
    </row>
    <row r="51" customFormat="false" ht="12.75" hidden="false" customHeight="false" outlineLevel="0" collapsed="false">
      <c r="A51" s="420" t="str">
        <f aca="false">Calculations!A18</f>
        <v>N/A</v>
      </c>
      <c r="B51" s="421" t="str">
        <f aca="false">IF(A51="N/A"," ",IF(ISERROR(N51),B39*Pwresc,N51)*VLOOKUP(MONTH(A51),Curveadj,3))</f>
        <v> </v>
      </c>
      <c r="C51" s="422" t="str">
        <f aca="false">IF(A51="N/A"," ",(IF(AND(MONTH(A51)&gt;=6,MONTH(A51)&lt;=8,OR($M$37="REGION 2",$M$37="REGION 2A",$M$37="REGION 2B",$M$37="REGION 3",$M$37="REGION 3A",$M$37="REGION 3B",$M$37="REGION 4",$M$37="REGION 4B",$M$37="REGION 4C",$M$37="REGION 5",$M$37="REGION 5A")),((0.059228/(B51/100))-(0.4980013/(SQRT(B51/100)))+2.137988),HLOOKUP(MONTH(A51),ScalarTable,28))))</f>
        <v> </v>
      </c>
      <c r="D51" s="423" t="str">
        <f aca="false">IF(A51="N/A"," ",C51*B51)</f>
        <v> </v>
      </c>
      <c r="E51" s="421" t="str">
        <f aca="false">IF(A51="N/A"," ",IF(ISERROR(O51),E39*Pwresc,O51)*VLOOKUP(MONTH(A51),Curveadj,3))</f>
        <v> </v>
      </c>
      <c r="F51" s="423" t="str">
        <f aca="false">IF(A51="N/A"," ",E51*C51)</f>
        <v> </v>
      </c>
      <c r="G51" s="421" t="str">
        <f aca="false">IF(A51="N/A"," ",IF(ISERROR(P51),G39*Pwresc,P51)*VLOOKUP(MONTH(A51),Curveadj,3))</f>
        <v> </v>
      </c>
      <c r="H51" s="423" t="str">
        <f aca="false">IF(A51="N/A"," ",G51*C51)</f>
        <v> </v>
      </c>
      <c r="I51" s="423" t="str">
        <f aca="false">IF(A51="N/A"," ",IF(ISERROR(Q51),I39*Pwresc,Q51))</f>
        <v> </v>
      </c>
      <c r="J51" s="424" t="str">
        <f aca="false">IF(A51="N/A"," ",K51+L51+T51)</f>
        <v> </v>
      </c>
      <c r="K51" s="425" t="str">
        <f aca="false">IF(A51="N/A"," ",IF(ISERROR(R51),K39*Gasesc,R51))</f>
        <v> </v>
      </c>
      <c r="L51" s="425" t="str">
        <f aca="false">IF(A51="N/A"," ",IF(ISERROR(S51),L39*Gasesc,IF(S51=0,L39*Gasesc,S51)))</f>
        <v> </v>
      </c>
      <c r="M51" s="431"/>
      <c r="N51" s="427" t="str">
        <f aca="false">IF(A51="N/A"," ",VLOOKUP(A51,PeakPowerCurves,(IF(BMO=2,3,IF(BMO=1,2,4))),FALSE()))</f>
        <v> </v>
      </c>
      <c r="O51" s="427" t="str">
        <f aca="false">IF(A51="N/A"," ",VLOOKUP(A51,SatSunPeakPwr,(IF(BMO=2,3,IF(BMO=1,2,4))),FALSE()))</f>
        <v> </v>
      </c>
      <c r="P51" s="427" t="str">
        <f aca="false">IF(A51="N/A"," ",VLOOKUP(A51,SatSunPeakPwr,(IF(BMO=2,7,IF(BMO=1,6,8))),FALSE()))</f>
        <v> </v>
      </c>
      <c r="Q51" s="428" t="str">
        <f aca="false">IF(A51="N/A"," ",(VLOOKUP(A51,OPPowerPrices,(IF(BMO=2,7,IF(BMO=1,6,8))),FALSE())))</f>
        <v> </v>
      </c>
      <c r="R51" s="429" t="str">
        <f aca="false">IF(A51="N/A"," ",(VLOOKUP(A51,GasCurves,9,FALSE()))+IF(BMO=1,Gasbmo,IF(BMO=3,-Gasbmo,0)))</f>
        <v> </v>
      </c>
      <c r="S51" s="429" t="str">
        <f aca="false">IF(A51="N/A"," ",IF(Basischeck=TRUE(),(VLOOKUP(A51,GasCurves,IF(MONTH(A51)&gt;=4,IF(MONTH(A51)&lt;=10,11,12),12),FALSE())),0))</f>
        <v> </v>
      </c>
      <c r="T51" s="429" t="str">
        <f aca="false">IF(A51="N/A"," ",(IF(MONTH(A51)&gt;=4,IF(MONTH(A51)&lt;=10,Inputs!$H$2,Inputs!$H$3),Inputs!$H$3)))</f>
        <v> </v>
      </c>
      <c r="U51" s="430" t="str">
        <f aca="false">IF(A51="N/A"," ",(VLOOKUP($A51,InterestRatesTable,2)))</f>
        <v> </v>
      </c>
      <c r="AF51" s="384" t="n">
        <v>37987</v>
      </c>
      <c r="AG51" s="36" t="n">
        <v>21</v>
      </c>
      <c r="AH51" s="36" t="n">
        <v>5</v>
      </c>
      <c r="AI51" s="36" t="n">
        <v>5</v>
      </c>
      <c r="AJ51" s="36" t="n">
        <v>1</v>
      </c>
      <c r="AK51" s="36" t="n">
        <v>31</v>
      </c>
    </row>
    <row r="52" customFormat="false" ht="12.75" hidden="false" customHeight="false" outlineLevel="0" collapsed="false">
      <c r="A52" s="420" t="str">
        <f aca="false">Calculations!A19</f>
        <v>N/A</v>
      </c>
      <c r="B52" s="421" t="str">
        <f aca="false">IF(A52="N/A"," ",IF(ISERROR(N52),B40*Pwresc,N52)*VLOOKUP(MONTH(A52),Curveadj,3))</f>
        <v> </v>
      </c>
      <c r="C52" s="422" t="str">
        <f aca="false">IF(A52="N/A"," ",(IF(AND(MONTH(A52)&gt;=6,MONTH(A52)&lt;=8,OR($M$37="REGION 2",$M$37="REGION 2A",$M$37="REGION 2B",$M$37="REGION 3",$M$37="REGION 3A",$M$37="REGION 3B",$M$37="REGION 4",$M$37="REGION 4B",$M$37="REGION 4C",$M$37="REGION 5",$M$37="REGION 5A")),((0.059228/(B52/100))-(0.4980013/(SQRT(B52/100)))+2.137988),HLOOKUP(MONTH(A52),ScalarTable,28))))</f>
        <v> </v>
      </c>
      <c r="D52" s="423" t="str">
        <f aca="false">IF(A52="N/A"," ",C52*B52)</f>
        <v> </v>
      </c>
      <c r="E52" s="421" t="str">
        <f aca="false">IF(A52="N/A"," ",IF(ISERROR(O52),E40*Pwresc,O52)*VLOOKUP(MONTH(A52),Curveadj,3))</f>
        <v> </v>
      </c>
      <c r="F52" s="423" t="str">
        <f aca="false">IF(A52="N/A"," ",E52*C52)</f>
        <v> </v>
      </c>
      <c r="G52" s="421" t="str">
        <f aca="false">IF(A52="N/A"," ",IF(ISERROR(P52),G40*Pwresc,P52)*VLOOKUP(MONTH(A52),Curveadj,3))</f>
        <v> </v>
      </c>
      <c r="H52" s="423" t="str">
        <f aca="false">IF(A52="N/A"," ",G52*C52)</f>
        <v> </v>
      </c>
      <c r="I52" s="423" t="str">
        <f aca="false">IF(A52="N/A"," ",IF(ISERROR(Q52),I40*Pwresc,Q52))</f>
        <v> </v>
      </c>
      <c r="J52" s="424" t="str">
        <f aca="false">IF(A52="N/A"," ",K52+L52+T52)</f>
        <v> </v>
      </c>
      <c r="K52" s="425" t="str">
        <f aca="false">IF(A52="N/A"," ",IF(ISERROR(R52),K40*Gasesc,R52))</f>
        <v> </v>
      </c>
      <c r="L52" s="425" t="str">
        <f aca="false">IF(A52="N/A"," ",IF(ISERROR(S52),L40*Gasesc,IF(S52=0,L40*Gasesc,S52)))</f>
        <v> </v>
      </c>
      <c r="M52" s="431"/>
      <c r="N52" s="427" t="str">
        <f aca="false">IF(A52="N/A"," ",VLOOKUP(A52,PeakPowerCurves,(IF(BMO=2,3,IF(BMO=1,2,4))),FALSE()))</f>
        <v> </v>
      </c>
      <c r="O52" s="427" t="str">
        <f aca="false">IF(A52="N/A"," ",VLOOKUP(A52,SatSunPeakPwr,(IF(BMO=2,3,IF(BMO=1,2,4))),FALSE()))</f>
        <v> </v>
      </c>
      <c r="P52" s="427" t="str">
        <f aca="false">IF(A52="N/A"," ",VLOOKUP(A52,SatSunPeakPwr,(IF(BMO=2,7,IF(BMO=1,6,8))),FALSE()))</f>
        <v> </v>
      </c>
      <c r="Q52" s="428" t="str">
        <f aca="false">IF(A52="N/A"," ",(VLOOKUP(A52,OPPowerPrices,(IF(BMO=2,7,IF(BMO=1,6,8))),FALSE())))</f>
        <v> </v>
      </c>
      <c r="R52" s="429" t="str">
        <f aca="false">IF(A52="N/A"," ",(VLOOKUP(A52,GasCurves,9,FALSE()))+IF(BMO=1,Gasbmo,IF(BMO=3,-Gasbmo,0)))</f>
        <v> </v>
      </c>
      <c r="S52" s="429" t="str">
        <f aca="false">IF(A52="N/A"," ",IF(Basischeck=TRUE(),(VLOOKUP(A52,GasCurves,IF(MONTH(A52)&gt;=4,IF(MONTH(A52)&lt;=10,11,12),12),FALSE())),0))</f>
        <v> </v>
      </c>
      <c r="T52" s="429" t="str">
        <f aca="false">IF(A52="N/A"," ",(IF(MONTH(A52)&gt;=4,IF(MONTH(A52)&lt;=10,Inputs!$H$2,Inputs!$H$3),Inputs!$H$3)))</f>
        <v> </v>
      </c>
      <c r="U52" s="430" t="str">
        <f aca="false">IF(A52="N/A"," ",(VLOOKUP($A52,InterestRatesTable,2)))</f>
        <v> </v>
      </c>
      <c r="AF52" s="384" t="n">
        <v>38018</v>
      </c>
      <c r="AG52" s="36" t="n">
        <v>20</v>
      </c>
      <c r="AH52" s="36" t="n">
        <v>4</v>
      </c>
      <c r="AI52" s="36" t="n">
        <v>5</v>
      </c>
      <c r="AJ52" s="36" t="n">
        <v>0</v>
      </c>
      <c r="AK52" s="36" t="n">
        <v>29</v>
      </c>
    </row>
    <row r="53" customFormat="false" ht="12.75" hidden="false" customHeight="false" outlineLevel="0" collapsed="false">
      <c r="A53" s="420" t="str">
        <f aca="false">Calculations!A20</f>
        <v>N/A</v>
      </c>
      <c r="B53" s="421" t="str">
        <f aca="false">IF(A53="N/A"," ",IF(ISERROR(N53),B41*Pwresc,N53)*VLOOKUP(MONTH(A53),Curveadj,3))</f>
        <v> </v>
      </c>
      <c r="C53" s="422" t="str">
        <f aca="false">IF(A53="N/A"," ",(IF(AND(MONTH(A53)&gt;=6,MONTH(A53)&lt;=8,OR($M$37="REGION 2",$M$37="REGION 2A",$M$37="REGION 2B",$M$37="REGION 3",$M$37="REGION 3A",$M$37="REGION 3B",$M$37="REGION 4",$M$37="REGION 4B",$M$37="REGION 4C",$M$37="REGION 5",$M$37="REGION 5A")),((0.059228/(B53/100))-(0.4980013/(SQRT(B53/100)))+2.137988),HLOOKUP(MONTH(A53),ScalarTable,28))))</f>
        <v> </v>
      </c>
      <c r="D53" s="423" t="str">
        <f aca="false">IF(A53="N/A"," ",C53*B53)</f>
        <v> </v>
      </c>
      <c r="E53" s="421" t="str">
        <f aca="false">IF(A53="N/A"," ",IF(ISERROR(O53),E41*Pwresc,O53)*VLOOKUP(MONTH(A53),Curveadj,3))</f>
        <v> </v>
      </c>
      <c r="F53" s="423" t="str">
        <f aca="false">IF(A53="N/A"," ",E53*C53)</f>
        <v> </v>
      </c>
      <c r="G53" s="421" t="str">
        <f aca="false">IF(A53="N/A"," ",IF(ISERROR(P53),G41*Pwresc,P53)*VLOOKUP(MONTH(A53),Curveadj,3))</f>
        <v> </v>
      </c>
      <c r="H53" s="423" t="str">
        <f aca="false">IF(A53="N/A"," ",G53*C53)</f>
        <v> </v>
      </c>
      <c r="I53" s="423" t="str">
        <f aca="false">IF(A53="N/A"," ",IF(ISERROR(Q53),I41*Pwresc,Q53))</f>
        <v> </v>
      </c>
      <c r="J53" s="424" t="str">
        <f aca="false">IF(A53="N/A"," ",K53+L53+T53)</f>
        <v> </v>
      </c>
      <c r="K53" s="425" t="str">
        <f aca="false">IF(A53="N/A"," ",IF(ISERROR(R53),K41*Gasesc,R53))</f>
        <v> </v>
      </c>
      <c r="L53" s="425" t="str">
        <f aca="false">IF(A53="N/A"," ",IF(ISERROR(S53),L41*Gasesc,IF(S53=0,L41*Gasesc,S53)))</f>
        <v> </v>
      </c>
      <c r="M53" s="431"/>
      <c r="N53" s="427" t="str">
        <f aca="false">IF(A53="N/A"," ",VLOOKUP(A53,PeakPowerCurves,(IF(BMO=2,3,IF(BMO=1,2,4))),FALSE()))</f>
        <v> </v>
      </c>
      <c r="O53" s="427" t="str">
        <f aca="false">IF(A53="N/A"," ",VLOOKUP(A53,SatSunPeakPwr,(IF(BMO=2,3,IF(BMO=1,2,4))),FALSE()))</f>
        <v> </v>
      </c>
      <c r="P53" s="427" t="str">
        <f aca="false">IF(A53="N/A"," ",VLOOKUP(A53,SatSunPeakPwr,(IF(BMO=2,7,IF(BMO=1,6,8))),FALSE()))</f>
        <v> </v>
      </c>
      <c r="Q53" s="428" t="str">
        <f aca="false">IF(A53="N/A"," ",(VLOOKUP(A53,OPPowerPrices,(IF(BMO=2,7,IF(BMO=1,6,8))),FALSE())))</f>
        <v> </v>
      </c>
      <c r="R53" s="429" t="str">
        <f aca="false">IF(A53="N/A"," ",(VLOOKUP(A53,GasCurves,9,FALSE()))+IF(BMO=1,Gasbmo,IF(BMO=3,-Gasbmo,0)))</f>
        <v> </v>
      </c>
      <c r="S53" s="429" t="str">
        <f aca="false">IF(A53="N/A"," ",IF(Basischeck=TRUE(),(VLOOKUP(A53,GasCurves,IF(MONTH(A53)&gt;=4,IF(MONTH(A53)&lt;=10,11,12),12),FALSE())),0))</f>
        <v> </v>
      </c>
      <c r="T53" s="429" t="str">
        <f aca="false">IF(A53="N/A"," ",(IF(MONTH(A53)&gt;=4,IF(MONTH(A53)&lt;=10,Inputs!$H$2,Inputs!$H$3),Inputs!$H$3)))</f>
        <v> </v>
      </c>
      <c r="U53" s="430" t="str">
        <f aca="false">IF(A53="N/A"," ",(VLOOKUP($A53,InterestRatesTable,2)))</f>
        <v> </v>
      </c>
      <c r="AF53" s="384" t="n">
        <v>38047</v>
      </c>
      <c r="AG53" s="36" t="n">
        <v>23</v>
      </c>
      <c r="AH53" s="36" t="n">
        <v>4</v>
      </c>
      <c r="AI53" s="36" t="n">
        <v>4</v>
      </c>
      <c r="AJ53" s="36" t="n">
        <v>0</v>
      </c>
      <c r="AK53" s="36" t="n">
        <v>31</v>
      </c>
    </row>
    <row r="54" customFormat="false" ht="12.75" hidden="false" customHeight="false" outlineLevel="0" collapsed="false">
      <c r="A54" s="420" t="str">
        <f aca="false">Calculations!A21</f>
        <v>N/A</v>
      </c>
      <c r="B54" s="421" t="str">
        <f aca="false">IF(A54="N/A"," ",IF(ISERROR(N54),B42*Pwresc,N54)*VLOOKUP(MONTH(A54),Curveadj,3))</f>
        <v> </v>
      </c>
      <c r="C54" s="422" t="str">
        <f aca="false">IF(A54="N/A"," ",(IF(AND(MONTH(A54)&gt;=6,MONTH(A54)&lt;=8,OR($M$37="REGION 2",$M$37="REGION 2A",$M$37="REGION 2B",$M$37="REGION 3",$M$37="REGION 3A",$M$37="REGION 3B",$M$37="REGION 4",$M$37="REGION 4B",$M$37="REGION 4C",$M$37="REGION 5",$M$37="REGION 5A")),((0.059228/(B54/100))-(0.4980013/(SQRT(B54/100)))+2.137988),HLOOKUP(MONTH(A54),ScalarTable,28))))</f>
        <v> </v>
      </c>
      <c r="D54" s="423" t="str">
        <f aca="false">IF(A54="N/A"," ",C54*B54)</f>
        <v> </v>
      </c>
      <c r="E54" s="421" t="str">
        <f aca="false">IF(A54="N/A"," ",IF(ISERROR(O54),E42*Pwresc,O54)*VLOOKUP(MONTH(A54),Curveadj,3))</f>
        <v> </v>
      </c>
      <c r="F54" s="423" t="str">
        <f aca="false">IF(A54="N/A"," ",E54*C54)</f>
        <v> </v>
      </c>
      <c r="G54" s="421" t="str">
        <f aca="false">IF(A54="N/A"," ",IF(ISERROR(P54),G42*Pwresc,P54)*VLOOKUP(MONTH(A54),Curveadj,3))</f>
        <v> </v>
      </c>
      <c r="H54" s="423" t="str">
        <f aca="false">IF(A54="N/A"," ",G54*C54)</f>
        <v> </v>
      </c>
      <c r="I54" s="423" t="str">
        <f aca="false">IF(A54="N/A"," ",IF(ISERROR(Q54),I42*Pwresc,Q54))</f>
        <v> </v>
      </c>
      <c r="J54" s="424" t="str">
        <f aca="false">IF(A54="N/A"," ",K54+L54+T54)</f>
        <v> </v>
      </c>
      <c r="K54" s="425" t="str">
        <f aca="false">IF(A54="N/A"," ",IF(ISERROR(R54),K42*Gasesc,R54))</f>
        <v> </v>
      </c>
      <c r="L54" s="425" t="str">
        <f aca="false">IF(A54="N/A"," ",IF(ISERROR(S54),L42*Gasesc,IF(S54=0,L42*Gasesc,S54)))</f>
        <v> </v>
      </c>
      <c r="M54" s="431"/>
      <c r="N54" s="427" t="str">
        <f aca="false">IF(A54="N/A"," ",VLOOKUP(A54,PeakPowerCurves,(IF(BMO=2,3,IF(BMO=1,2,4))),FALSE()))</f>
        <v> </v>
      </c>
      <c r="O54" s="427" t="str">
        <f aca="false">IF(A54="N/A"," ",VLOOKUP(A54,SatSunPeakPwr,(IF(BMO=2,3,IF(BMO=1,2,4))),FALSE()))</f>
        <v> </v>
      </c>
      <c r="P54" s="427" t="str">
        <f aca="false">IF(A54="N/A"," ",VLOOKUP(A54,SatSunPeakPwr,(IF(BMO=2,7,IF(BMO=1,6,8))),FALSE()))</f>
        <v> </v>
      </c>
      <c r="Q54" s="428" t="str">
        <f aca="false">IF(A54="N/A"," ",(VLOOKUP(A54,OPPowerPrices,(IF(BMO=2,7,IF(BMO=1,6,8))),FALSE())))</f>
        <v> </v>
      </c>
      <c r="R54" s="429" t="str">
        <f aca="false">IF(A54="N/A"," ",(VLOOKUP(A54,GasCurves,9,FALSE()))+IF(BMO=1,Gasbmo,IF(BMO=3,-Gasbmo,0)))</f>
        <v> </v>
      </c>
      <c r="S54" s="429" t="str">
        <f aca="false">IF(A54="N/A"," ",IF(Basischeck=TRUE(),(VLOOKUP(A54,GasCurves,IF(MONTH(A54)&gt;=4,IF(MONTH(A54)&lt;=10,11,12),12),FALSE())),0))</f>
        <v> </v>
      </c>
      <c r="T54" s="429" t="str">
        <f aca="false">IF(A54="N/A"," ",(IF(MONTH(A54)&gt;=4,IF(MONTH(A54)&lt;=10,Inputs!$H$2,Inputs!$H$3),Inputs!$H$3)))</f>
        <v> </v>
      </c>
      <c r="U54" s="430" t="str">
        <f aca="false">IF(A54="N/A"," ",(VLOOKUP($A54,InterestRatesTable,2)))</f>
        <v> </v>
      </c>
      <c r="AF54" s="384" t="n">
        <v>38078</v>
      </c>
      <c r="AG54" s="36" t="n">
        <v>22</v>
      </c>
      <c r="AH54" s="36" t="n">
        <v>4</v>
      </c>
      <c r="AI54" s="36" t="n">
        <v>4</v>
      </c>
      <c r="AJ54" s="36" t="n">
        <v>0</v>
      </c>
      <c r="AK54" s="36" t="n">
        <v>30</v>
      </c>
    </row>
    <row r="55" customFormat="false" ht="12.75" hidden="false" customHeight="false" outlineLevel="0" collapsed="false">
      <c r="A55" s="420" t="str">
        <f aca="false">Calculations!A22</f>
        <v>N/A</v>
      </c>
      <c r="B55" s="421" t="str">
        <f aca="false">IF(A55="N/A"," ",IF(ISERROR(N55),B43*Pwresc,N55)*VLOOKUP(MONTH(A55),Curveadj,3))</f>
        <v> </v>
      </c>
      <c r="C55" s="422" t="str">
        <f aca="false">IF(A55="N/A"," ",(IF(AND(MONTH(A55)&gt;=6,MONTH(A55)&lt;=8,OR($M$37="REGION 2",$M$37="REGION 2A",$M$37="REGION 2B",$M$37="REGION 3",$M$37="REGION 3A",$M$37="REGION 3B",$M$37="REGION 4",$M$37="REGION 4B",$M$37="REGION 4C",$M$37="REGION 5",$M$37="REGION 5A")),((0.059228/(B55/100))-(0.4980013/(SQRT(B55/100)))+2.137988),HLOOKUP(MONTH(A55),ScalarTable,28))))</f>
        <v> </v>
      </c>
      <c r="D55" s="423" t="str">
        <f aca="false">IF(A55="N/A"," ",C55*B55)</f>
        <v> </v>
      </c>
      <c r="E55" s="421" t="str">
        <f aca="false">IF(A55="N/A"," ",IF(ISERROR(O55),E43*Pwresc,O55)*VLOOKUP(MONTH(A55),Curveadj,3))</f>
        <v> </v>
      </c>
      <c r="F55" s="423" t="str">
        <f aca="false">IF(A55="N/A"," ",E55*C55)</f>
        <v> </v>
      </c>
      <c r="G55" s="421" t="str">
        <f aca="false">IF(A55="N/A"," ",IF(ISERROR(P55),G43*Pwresc,P55)*VLOOKUP(MONTH(A55),Curveadj,3))</f>
        <v> </v>
      </c>
      <c r="H55" s="423" t="str">
        <f aca="false">IF(A55="N/A"," ",G55*C55)</f>
        <v> </v>
      </c>
      <c r="I55" s="423" t="str">
        <f aca="false">IF(A55="N/A"," ",IF(ISERROR(Q55),I43*Pwresc,Q55))</f>
        <v> </v>
      </c>
      <c r="J55" s="424" t="str">
        <f aca="false">IF(A55="N/A"," ",K55+L55+T55)</f>
        <v> </v>
      </c>
      <c r="K55" s="425" t="str">
        <f aca="false">IF(A55="N/A"," ",IF(ISERROR(R55),K43*Gasesc,R55))</f>
        <v> </v>
      </c>
      <c r="L55" s="425" t="str">
        <f aca="false">IF(A55="N/A"," ",IF(ISERROR(S55),L43*Gasesc,IF(S55=0,L43*Gasesc,S55)))</f>
        <v> </v>
      </c>
      <c r="M55" s="431"/>
      <c r="N55" s="427" t="str">
        <f aca="false">IF(A55="N/A"," ",VLOOKUP(A55,PeakPowerCurves,(IF(BMO=2,3,IF(BMO=1,2,4))),FALSE()))</f>
        <v> </v>
      </c>
      <c r="O55" s="427" t="str">
        <f aca="false">IF(A55="N/A"," ",VLOOKUP(A55,SatSunPeakPwr,(IF(BMO=2,3,IF(BMO=1,2,4))),FALSE()))</f>
        <v> </v>
      </c>
      <c r="P55" s="427" t="str">
        <f aca="false">IF(A55="N/A"," ",VLOOKUP(A55,SatSunPeakPwr,(IF(BMO=2,7,IF(BMO=1,6,8))),FALSE()))</f>
        <v> </v>
      </c>
      <c r="Q55" s="428" t="str">
        <f aca="false">IF(A55="N/A"," ",(VLOOKUP(A55,OPPowerPrices,(IF(BMO=2,7,IF(BMO=1,6,8))),FALSE())))</f>
        <v> </v>
      </c>
      <c r="R55" s="429" t="str">
        <f aca="false">IF(A55="N/A"," ",(VLOOKUP(A55,GasCurves,9,FALSE()))+IF(BMO=1,Gasbmo,IF(BMO=3,-Gasbmo,0)))</f>
        <v> </v>
      </c>
      <c r="S55" s="429" t="str">
        <f aca="false">IF(A55="N/A"," ",IF(Basischeck=TRUE(),(VLOOKUP(A55,GasCurves,IF(MONTH(A55)&gt;=4,IF(MONTH(A55)&lt;=10,11,12),12),FALSE())),0))</f>
        <v> </v>
      </c>
      <c r="T55" s="429" t="str">
        <f aca="false">IF(A55="N/A"," ",(IF(MONTH(A55)&gt;=4,IF(MONTH(A55)&lt;=10,Inputs!$H$2,Inputs!$H$3),Inputs!$H$3)))</f>
        <v> </v>
      </c>
      <c r="U55" s="430" t="str">
        <f aca="false">IF(A55="N/A"," ",(VLOOKUP($A55,InterestRatesTable,2)))</f>
        <v> </v>
      </c>
      <c r="AF55" s="384" t="n">
        <v>38108</v>
      </c>
      <c r="AG55" s="36" t="n">
        <v>20</v>
      </c>
      <c r="AH55" s="36" t="n">
        <v>5</v>
      </c>
      <c r="AI55" s="36" t="n">
        <v>6</v>
      </c>
      <c r="AJ55" s="36" t="n">
        <v>1</v>
      </c>
      <c r="AK55" s="36" t="n">
        <v>31</v>
      </c>
    </row>
    <row r="56" customFormat="false" ht="12.75" hidden="false" customHeight="false" outlineLevel="0" collapsed="false">
      <c r="A56" s="420" t="str">
        <f aca="false">Calculations!A23</f>
        <v>N/A</v>
      </c>
      <c r="B56" s="421" t="str">
        <f aca="false">IF(A56="N/A"," ",IF(ISERROR(N56),B44*Pwresc,N56)*VLOOKUP(MONTH(A56),Curveadj,3))</f>
        <v> </v>
      </c>
      <c r="C56" s="422" t="str">
        <f aca="false">IF(A56="N/A"," ",(IF(AND(MONTH(A56)&gt;=6,MONTH(A56)&lt;=8,OR($M$37="REGION 2",$M$37="REGION 2A",$M$37="REGION 2B",$M$37="REGION 3",$M$37="REGION 3A",$M$37="REGION 3B",$M$37="REGION 4",$M$37="REGION 4B",$M$37="REGION 4C",$M$37="REGION 5",$M$37="REGION 5A")),((0.059228/(B56/100))-(0.4980013/(SQRT(B56/100)))+2.137988),HLOOKUP(MONTH(A56),ScalarTable,28))))</f>
        <v> </v>
      </c>
      <c r="D56" s="423" t="str">
        <f aca="false">IF(A56="N/A"," ",C56*B56)</f>
        <v> </v>
      </c>
      <c r="E56" s="421" t="str">
        <f aca="false">IF(A56="N/A"," ",IF(ISERROR(O56),E44*Pwresc,O56)*VLOOKUP(MONTH(A56),Curveadj,3))</f>
        <v> </v>
      </c>
      <c r="F56" s="423" t="str">
        <f aca="false">IF(A56="N/A"," ",E56*C56)</f>
        <v> </v>
      </c>
      <c r="G56" s="421" t="str">
        <f aca="false">IF(A56="N/A"," ",IF(ISERROR(P56),G44*Pwresc,P56)*VLOOKUP(MONTH(A56),Curveadj,3))</f>
        <v> </v>
      </c>
      <c r="H56" s="423" t="str">
        <f aca="false">IF(A56="N/A"," ",G56*C56)</f>
        <v> </v>
      </c>
      <c r="I56" s="423" t="str">
        <f aca="false">IF(A56="N/A"," ",IF(ISERROR(Q56),I44*Pwresc,Q56))</f>
        <v> </v>
      </c>
      <c r="J56" s="424" t="str">
        <f aca="false">IF(A56="N/A"," ",K56+L56+T56)</f>
        <v> </v>
      </c>
      <c r="K56" s="425" t="str">
        <f aca="false">IF(A56="N/A"," ",IF(ISERROR(R56),K44*Gasesc,R56))</f>
        <v> </v>
      </c>
      <c r="L56" s="425" t="str">
        <f aca="false">IF(A56="N/A"," ",IF(ISERROR(S56),L44*Gasesc,IF(S56=0,L44*Gasesc,S56)))</f>
        <v> </v>
      </c>
      <c r="M56" s="431"/>
      <c r="N56" s="427" t="str">
        <f aca="false">IF(A56="N/A"," ",VLOOKUP(A56,PeakPowerCurves,(IF(BMO=2,3,IF(BMO=1,2,4))),FALSE()))</f>
        <v> </v>
      </c>
      <c r="O56" s="427" t="str">
        <f aca="false">IF(A56="N/A"," ",VLOOKUP(A56,SatSunPeakPwr,(IF(BMO=2,3,IF(BMO=1,2,4))),FALSE()))</f>
        <v> </v>
      </c>
      <c r="P56" s="427" t="str">
        <f aca="false">IF(A56="N/A"," ",VLOOKUP(A56,SatSunPeakPwr,(IF(BMO=2,7,IF(BMO=1,6,8))),FALSE()))</f>
        <v> </v>
      </c>
      <c r="Q56" s="428" t="str">
        <f aca="false">IF(A56="N/A"," ",(VLOOKUP(A56,OPPowerPrices,(IF(BMO=2,7,IF(BMO=1,6,8))),FALSE())))</f>
        <v> </v>
      </c>
      <c r="R56" s="429" t="str">
        <f aca="false">IF(A56="N/A"," ",(VLOOKUP(A56,GasCurves,9,FALSE()))+IF(BMO=1,Gasbmo,IF(BMO=3,-Gasbmo,0)))</f>
        <v> </v>
      </c>
      <c r="S56" s="429" t="str">
        <f aca="false">IF(A56="N/A"," ",IF(Basischeck=TRUE(),(VLOOKUP(A56,GasCurves,IF(MONTH(A56)&gt;=4,IF(MONTH(A56)&lt;=10,11,12),12),FALSE())),0))</f>
        <v> </v>
      </c>
      <c r="T56" s="429" t="str">
        <f aca="false">IF(A56="N/A"," ",(IF(MONTH(A56)&gt;=4,IF(MONTH(A56)&lt;=10,Inputs!$H$2,Inputs!$H$3),Inputs!$H$3)))</f>
        <v> </v>
      </c>
      <c r="U56" s="430" t="str">
        <f aca="false">IF(A56="N/A"," ",(VLOOKUP($A56,InterestRatesTable,2)))</f>
        <v> </v>
      </c>
      <c r="AF56" s="384" t="n">
        <v>38139</v>
      </c>
      <c r="AG56" s="36" t="n">
        <v>22</v>
      </c>
      <c r="AH56" s="36" t="n">
        <v>4</v>
      </c>
      <c r="AI56" s="36" t="n">
        <v>4</v>
      </c>
      <c r="AJ56" s="36" t="n">
        <v>0</v>
      </c>
      <c r="AK56" s="36" t="n">
        <v>30</v>
      </c>
    </row>
    <row r="57" customFormat="false" ht="12.75" hidden="false" customHeight="false" outlineLevel="0" collapsed="false">
      <c r="A57" s="420" t="str">
        <f aca="false">Calculations!A24</f>
        <v>N/A</v>
      </c>
      <c r="B57" s="421" t="str">
        <f aca="false">IF(A57="N/A"," ",IF(ISERROR(N57),B45*Pwresc,N57)*VLOOKUP(MONTH(A57),Curveadj,3))</f>
        <v> </v>
      </c>
      <c r="C57" s="422" t="str">
        <f aca="false">IF(A57="N/A"," ",(IF(AND(MONTH(A57)&gt;=6,MONTH(A57)&lt;=8,OR($M$37="REGION 2",$M$37="REGION 2A",$M$37="REGION 2B",$M$37="REGION 3",$M$37="REGION 3A",$M$37="REGION 3B",$M$37="REGION 4",$M$37="REGION 4B",$M$37="REGION 4C",$M$37="REGION 5",$M$37="REGION 5A")),((0.059228/(B57/100))-(0.4980013/(SQRT(B57/100)))+2.137988),HLOOKUP(MONTH(A57),ScalarTable,28))))</f>
        <v> </v>
      </c>
      <c r="D57" s="423" t="str">
        <f aca="false">IF(A57="N/A"," ",C57*B57)</f>
        <v> </v>
      </c>
      <c r="E57" s="421" t="str">
        <f aca="false">IF(A57="N/A"," ",IF(ISERROR(O57),E45*Pwresc,O57)*VLOOKUP(MONTH(A57),Curveadj,3))</f>
        <v> </v>
      </c>
      <c r="F57" s="423" t="str">
        <f aca="false">IF(A57="N/A"," ",E57*C57)</f>
        <v> </v>
      </c>
      <c r="G57" s="421" t="str">
        <f aca="false">IF(A57="N/A"," ",IF(ISERROR(P57),G45*Pwresc,P57)*VLOOKUP(MONTH(A57),Curveadj,3))</f>
        <v> </v>
      </c>
      <c r="H57" s="423" t="str">
        <f aca="false">IF(A57="N/A"," ",G57*C57)</f>
        <v> </v>
      </c>
      <c r="I57" s="423" t="str">
        <f aca="false">IF(A57="N/A"," ",IF(ISERROR(Q57),I45*Pwresc,Q57))</f>
        <v> </v>
      </c>
      <c r="J57" s="424" t="str">
        <f aca="false">IF(A57="N/A"," ",K57+L57+T57)</f>
        <v> </v>
      </c>
      <c r="K57" s="425" t="str">
        <f aca="false">IF(A57="N/A"," ",IF(ISERROR(R57),K45*Gasesc,R57))</f>
        <v> </v>
      </c>
      <c r="L57" s="425" t="str">
        <f aca="false">IF(A57="N/A"," ",IF(ISERROR(S57),L45*Gasesc,IF(S57=0,L45*Gasesc,S57)))</f>
        <v> </v>
      </c>
      <c r="M57" s="431"/>
      <c r="N57" s="427" t="str">
        <f aca="false">IF(A57="N/A"," ",VLOOKUP(A57,PeakPowerCurves,(IF(BMO=2,3,IF(BMO=1,2,4))),FALSE()))</f>
        <v> </v>
      </c>
      <c r="O57" s="427" t="str">
        <f aca="false">IF(A57="N/A"," ",VLOOKUP(A57,SatSunPeakPwr,(IF(BMO=2,3,IF(BMO=1,2,4))),FALSE()))</f>
        <v> </v>
      </c>
      <c r="P57" s="427" t="str">
        <f aca="false">IF(A57="N/A"," ",VLOOKUP(A57,SatSunPeakPwr,(IF(BMO=2,7,IF(BMO=1,6,8))),FALSE()))</f>
        <v> </v>
      </c>
      <c r="Q57" s="428" t="str">
        <f aca="false">IF(A57="N/A"," ",(VLOOKUP(A57,OPPowerPrices,(IF(BMO=2,7,IF(BMO=1,6,8))),FALSE())))</f>
        <v> </v>
      </c>
      <c r="R57" s="429" t="str">
        <f aca="false">IF(A57="N/A"," ",(VLOOKUP(A57,GasCurves,9,FALSE()))+IF(BMO=1,Gasbmo,IF(BMO=3,-Gasbmo,0)))</f>
        <v> </v>
      </c>
      <c r="S57" s="429" t="str">
        <f aca="false">IF(A57="N/A"," ",IF(Basischeck=TRUE(),(VLOOKUP(A57,GasCurves,IF(MONTH(A57)&gt;=4,IF(MONTH(A57)&lt;=10,11,12),12),FALSE())),0))</f>
        <v> </v>
      </c>
      <c r="T57" s="429" t="str">
        <f aca="false">IF(A57="N/A"," ",(IF(MONTH(A57)&gt;=4,IF(MONTH(A57)&lt;=10,Inputs!$H$2,Inputs!$H$3),Inputs!$H$3)))</f>
        <v> </v>
      </c>
      <c r="U57" s="430" t="str">
        <f aca="false">IF(A57="N/A"," ",(VLOOKUP($A57,InterestRatesTable,2)))</f>
        <v> </v>
      </c>
      <c r="AF57" s="384" t="n">
        <v>38169</v>
      </c>
      <c r="AG57" s="36" t="n">
        <v>21</v>
      </c>
      <c r="AH57" s="36" t="n">
        <v>5</v>
      </c>
      <c r="AI57" s="36" t="n">
        <v>5</v>
      </c>
      <c r="AJ57" s="36" t="n">
        <v>1</v>
      </c>
      <c r="AK57" s="36" t="n">
        <v>31</v>
      </c>
    </row>
    <row r="58" customFormat="false" ht="12.75" hidden="false" customHeight="false" outlineLevel="0" collapsed="false">
      <c r="A58" s="420" t="str">
        <f aca="false">Calculations!A25</f>
        <v>N/A</v>
      </c>
      <c r="B58" s="421" t="str">
        <f aca="false">IF(A58="N/A"," ",IF(ISERROR(N58),B46*Pwresc,N58)*VLOOKUP(MONTH(A58),Curveadj,3))</f>
        <v> </v>
      </c>
      <c r="C58" s="422" t="str">
        <f aca="false">IF(A58="N/A"," ",(IF(AND(MONTH(A58)&gt;=6,MONTH(A58)&lt;=8,OR($M$37="REGION 2",$M$37="REGION 2A",$M$37="REGION 2B",$M$37="REGION 3",$M$37="REGION 3A",$M$37="REGION 3B",$M$37="REGION 4",$M$37="REGION 4B",$M$37="REGION 4C",$M$37="REGION 5",$M$37="REGION 5A")),((0.059228/(B58/100))-(0.4980013/(SQRT(B58/100)))+2.137988),HLOOKUP(MONTH(A58),ScalarTable,28))))</f>
        <v> </v>
      </c>
      <c r="D58" s="423" t="str">
        <f aca="false">IF(A58="N/A"," ",C58*B58)</f>
        <v> </v>
      </c>
      <c r="E58" s="421" t="str">
        <f aca="false">IF(A58="N/A"," ",IF(ISERROR(O58),E46*Pwresc,O58)*VLOOKUP(MONTH(A58),Curveadj,3))</f>
        <v> </v>
      </c>
      <c r="F58" s="423" t="str">
        <f aca="false">IF(A58="N/A"," ",E58*C58)</f>
        <v> </v>
      </c>
      <c r="G58" s="421" t="str">
        <f aca="false">IF(A58="N/A"," ",IF(ISERROR(P58),G46*Pwresc,P58)*VLOOKUP(MONTH(A58),Curveadj,3))</f>
        <v> </v>
      </c>
      <c r="H58" s="423" t="str">
        <f aca="false">IF(A58="N/A"," ",G58*C58)</f>
        <v> </v>
      </c>
      <c r="I58" s="423" t="str">
        <f aca="false">IF(A58="N/A"," ",IF(ISERROR(Q58),I46*Pwresc,Q58))</f>
        <v> </v>
      </c>
      <c r="J58" s="424" t="str">
        <f aca="false">IF(A58="N/A"," ",K58+L58+T58)</f>
        <v> </v>
      </c>
      <c r="K58" s="425" t="str">
        <f aca="false">IF(A58="N/A"," ",IF(ISERROR(R58),K46*Gasesc,R58))</f>
        <v> </v>
      </c>
      <c r="L58" s="425" t="str">
        <f aca="false">IF(A58="N/A"," ",IF(ISERROR(S58),L46*Gasesc,IF(S58=0,L46*Gasesc,S58)))</f>
        <v> </v>
      </c>
      <c r="M58" s="431"/>
      <c r="N58" s="427" t="str">
        <f aca="false">IF(A58="N/A"," ",VLOOKUP(A58,PeakPowerCurves,(IF(BMO=2,3,IF(BMO=1,2,4))),FALSE()))</f>
        <v> </v>
      </c>
      <c r="O58" s="427" t="str">
        <f aca="false">IF(A58="N/A"," ",VLOOKUP(A58,SatSunPeakPwr,(IF(BMO=2,3,IF(BMO=1,2,4))),FALSE()))</f>
        <v> </v>
      </c>
      <c r="P58" s="427" t="str">
        <f aca="false">IF(A58="N/A"," ",VLOOKUP(A58,SatSunPeakPwr,(IF(BMO=2,7,IF(BMO=1,6,8))),FALSE()))</f>
        <v> </v>
      </c>
      <c r="Q58" s="428" t="str">
        <f aca="false">IF(A58="N/A"," ",(VLOOKUP(A58,OPPowerPrices,(IF(BMO=2,7,IF(BMO=1,6,8))),FALSE())))</f>
        <v> </v>
      </c>
      <c r="R58" s="429" t="str">
        <f aca="false">IF(A58="N/A"," ",(VLOOKUP(A58,GasCurves,9,FALSE()))+IF(BMO=1,Gasbmo,IF(BMO=3,-Gasbmo,0)))</f>
        <v> </v>
      </c>
      <c r="S58" s="429" t="str">
        <f aca="false">IF(A58="N/A"," ",IF(Basischeck=TRUE(),(VLOOKUP(A58,GasCurves,IF(MONTH(A58)&gt;=4,IF(MONTH(A58)&lt;=10,11,12),12),FALSE())),0))</f>
        <v> </v>
      </c>
      <c r="T58" s="429" t="str">
        <f aca="false">IF(A58="N/A"," ",(IF(MONTH(A58)&gt;=4,IF(MONTH(A58)&lt;=10,Inputs!$H$2,Inputs!$H$3),Inputs!$H$3)))</f>
        <v> </v>
      </c>
      <c r="U58" s="430" t="str">
        <f aca="false">IF(A58="N/A"," ",(VLOOKUP($A58,InterestRatesTable,2)))</f>
        <v> </v>
      </c>
      <c r="AF58" s="384" t="n">
        <v>38200</v>
      </c>
      <c r="AG58" s="36" t="n">
        <v>22</v>
      </c>
      <c r="AH58" s="36" t="n">
        <v>4</v>
      </c>
      <c r="AI58" s="36" t="n">
        <v>5</v>
      </c>
      <c r="AJ58" s="36" t="n">
        <v>0</v>
      </c>
      <c r="AK58" s="36" t="n">
        <v>31</v>
      </c>
    </row>
    <row r="59" customFormat="false" ht="12.75" hidden="false" customHeight="false" outlineLevel="0" collapsed="false">
      <c r="A59" s="420" t="str">
        <f aca="false">Calculations!A26</f>
        <v>N/A</v>
      </c>
      <c r="B59" s="421" t="str">
        <f aca="false">IF(A59="N/A"," ",IF(ISERROR(N59),B47*Pwresc,N59)*VLOOKUP(MONTH(A59),Curveadj,3))</f>
        <v> </v>
      </c>
      <c r="C59" s="422" t="str">
        <f aca="false">IF(A59="N/A"," ",(IF(AND(MONTH(A59)&gt;=6,MONTH(A59)&lt;=8,OR($M$37="REGION 2",$M$37="REGION 2A",$M$37="REGION 2B",$M$37="REGION 3",$M$37="REGION 3A",$M$37="REGION 3B",$M$37="REGION 4",$M$37="REGION 4B",$M$37="REGION 4C",$M$37="REGION 5",$M$37="REGION 5A")),((0.059228/(B59/100))-(0.4980013/(SQRT(B59/100)))+2.137988),HLOOKUP(MONTH(A59),ScalarTable,28))))</f>
        <v> </v>
      </c>
      <c r="D59" s="423" t="str">
        <f aca="false">IF(A59="N/A"," ",C59*B59)</f>
        <v> </v>
      </c>
      <c r="E59" s="421" t="str">
        <f aca="false">IF(A59="N/A"," ",IF(ISERROR(O59),E47*Pwresc,O59)*VLOOKUP(MONTH(A59),Curveadj,3))</f>
        <v> </v>
      </c>
      <c r="F59" s="423" t="str">
        <f aca="false">IF(A59="N/A"," ",E59*C59)</f>
        <v> </v>
      </c>
      <c r="G59" s="421" t="str">
        <f aca="false">IF(A59="N/A"," ",IF(ISERROR(P59),G47*Pwresc,P59)*VLOOKUP(MONTH(A59),Curveadj,3))</f>
        <v> </v>
      </c>
      <c r="H59" s="423" t="str">
        <f aca="false">IF(A59="N/A"," ",G59*C59)</f>
        <v> </v>
      </c>
      <c r="I59" s="423" t="str">
        <f aca="false">IF(A59="N/A"," ",IF(ISERROR(Q59),I47*Pwresc,Q59))</f>
        <v> </v>
      </c>
      <c r="J59" s="424" t="str">
        <f aca="false">IF(A59="N/A"," ",K59+L59+T59)</f>
        <v> </v>
      </c>
      <c r="K59" s="425" t="str">
        <f aca="false">IF(A59="N/A"," ",IF(ISERROR(R59),K47*Gasesc,R59))</f>
        <v> </v>
      </c>
      <c r="L59" s="425" t="str">
        <f aca="false">IF(A59="N/A"," ",IF(ISERROR(S59),L47*Gasesc,IF(S59=0,L47*Gasesc,S59)))</f>
        <v> </v>
      </c>
      <c r="M59" s="431"/>
      <c r="N59" s="427" t="str">
        <f aca="false">IF(A59="N/A"," ",VLOOKUP(A59,PeakPowerCurves,(IF(BMO=2,3,IF(BMO=1,2,4))),FALSE()))</f>
        <v> </v>
      </c>
      <c r="O59" s="427" t="str">
        <f aca="false">IF(A59="N/A"," ",VLOOKUP(A59,SatSunPeakPwr,(IF(BMO=2,3,IF(BMO=1,2,4))),FALSE()))</f>
        <v> </v>
      </c>
      <c r="P59" s="427" t="str">
        <f aca="false">IF(A59="N/A"," ",VLOOKUP(A59,SatSunPeakPwr,(IF(BMO=2,7,IF(BMO=1,6,8))),FALSE()))</f>
        <v> </v>
      </c>
      <c r="Q59" s="428" t="str">
        <f aca="false">IF(A59="N/A"," ",(VLOOKUP(A59,OPPowerPrices,(IF(BMO=2,7,IF(BMO=1,6,8))),FALSE())))</f>
        <v> </v>
      </c>
      <c r="R59" s="429" t="str">
        <f aca="false">IF(A59="N/A"," ",(VLOOKUP(A59,GasCurves,9,FALSE()))+IF(BMO=1,Gasbmo,IF(BMO=3,-Gasbmo,0)))</f>
        <v> </v>
      </c>
      <c r="S59" s="429" t="str">
        <f aca="false">IF(A59="N/A"," ",IF(Basischeck=TRUE(),(VLOOKUP(A59,GasCurves,IF(MONTH(A59)&gt;=4,IF(MONTH(A59)&lt;=10,11,12),12),FALSE())),0))</f>
        <v> </v>
      </c>
      <c r="T59" s="429" t="str">
        <f aca="false">IF(A59="N/A"," ",(IF(MONTH(A59)&gt;=4,IF(MONTH(A59)&lt;=10,Inputs!$H$2,Inputs!$H$3),Inputs!$H$3)))</f>
        <v> </v>
      </c>
      <c r="U59" s="430" t="str">
        <f aca="false">IF(A59="N/A"," ",(VLOOKUP($A59,InterestRatesTable,2)))</f>
        <v> </v>
      </c>
      <c r="AF59" s="384" t="n">
        <v>38231</v>
      </c>
      <c r="AG59" s="36" t="n">
        <v>21</v>
      </c>
      <c r="AH59" s="36" t="n">
        <v>4</v>
      </c>
      <c r="AI59" s="36" t="n">
        <v>5</v>
      </c>
      <c r="AJ59" s="36" t="n">
        <v>1</v>
      </c>
      <c r="AK59" s="36" t="n">
        <v>30</v>
      </c>
    </row>
    <row r="60" customFormat="false" ht="12.75" hidden="false" customHeight="false" outlineLevel="0" collapsed="false">
      <c r="A60" s="420" t="str">
        <f aca="false">Calculations!A27</f>
        <v>N/A</v>
      </c>
      <c r="B60" s="421" t="str">
        <f aca="false">IF(A60="N/A"," ",IF(ISERROR(N60),B48*Pwresc,N60)*VLOOKUP(MONTH(A60),Curveadj,3))</f>
        <v> </v>
      </c>
      <c r="C60" s="422" t="str">
        <f aca="false">IF(A60="N/A"," ",(IF(AND(MONTH(A60)&gt;=6,MONTH(A60)&lt;=8,OR($M$37="REGION 2",$M$37="REGION 2A",$M$37="REGION 2B",$M$37="REGION 3",$M$37="REGION 3A",$M$37="REGION 3B",$M$37="REGION 4",$M$37="REGION 4B",$M$37="REGION 4C",$M$37="REGION 5",$M$37="REGION 5A")),((0.059228/(B60/100))-(0.4980013/(SQRT(B60/100)))+2.137988),HLOOKUP(MONTH(A60),ScalarTable,28))))</f>
        <v> </v>
      </c>
      <c r="D60" s="423" t="str">
        <f aca="false">IF(A60="N/A"," ",C60*B60)</f>
        <v> </v>
      </c>
      <c r="E60" s="421" t="str">
        <f aca="false">IF(A60="N/A"," ",IF(ISERROR(O60),E48*Pwresc,O60)*VLOOKUP(MONTH(A60),Curveadj,3))</f>
        <v> </v>
      </c>
      <c r="F60" s="423" t="str">
        <f aca="false">IF(A60="N/A"," ",E60*C60)</f>
        <v> </v>
      </c>
      <c r="G60" s="421" t="str">
        <f aca="false">IF(A60="N/A"," ",IF(ISERROR(P60),G48*Pwresc,P60)*VLOOKUP(MONTH(A60),Curveadj,3))</f>
        <v> </v>
      </c>
      <c r="H60" s="423" t="str">
        <f aca="false">IF(A60="N/A"," ",G60*C60)</f>
        <v> </v>
      </c>
      <c r="I60" s="423" t="str">
        <f aca="false">IF(A60="N/A"," ",IF(ISERROR(Q60),I48*Pwresc,Q60))</f>
        <v> </v>
      </c>
      <c r="J60" s="424" t="str">
        <f aca="false">IF(A60="N/A"," ",K60+L60+T60)</f>
        <v> </v>
      </c>
      <c r="K60" s="425" t="str">
        <f aca="false">IF(A60="N/A"," ",IF(ISERROR(R60),K48*Gasesc,R60))</f>
        <v> </v>
      </c>
      <c r="L60" s="425" t="str">
        <f aca="false">IF(A60="N/A"," ",IF(ISERROR(S60),L48*Gasesc,IF(S60=0,L48*Gasesc,S60)))</f>
        <v> </v>
      </c>
      <c r="M60" s="431"/>
      <c r="N60" s="427" t="str">
        <f aca="false">IF(A60="N/A"," ",VLOOKUP(A60,PeakPowerCurves,(IF(BMO=2,3,IF(BMO=1,2,4))),FALSE()))</f>
        <v> </v>
      </c>
      <c r="O60" s="427" t="str">
        <f aca="false">IF(A60="N/A"," ",VLOOKUP(A60,SatSunPeakPwr,(IF(BMO=2,3,IF(BMO=1,2,4))),FALSE()))</f>
        <v> </v>
      </c>
      <c r="P60" s="427" t="str">
        <f aca="false">IF(A60="N/A"," ",VLOOKUP(A60,SatSunPeakPwr,(IF(BMO=2,7,IF(BMO=1,6,8))),FALSE()))</f>
        <v> </v>
      </c>
      <c r="Q60" s="428" t="str">
        <f aca="false">IF(A60="N/A"," ",(VLOOKUP(A60,OPPowerPrices,(IF(BMO=2,7,IF(BMO=1,6,8))),FALSE())))</f>
        <v> </v>
      </c>
      <c r="R60" s="429" t="str">
        <f aca="false">IF(A60="N/A"," ",(VLOOKUP(A60,GasCurves,9,FALSE()))+IF(BMO=1,Gasbmo,IF(BMO=3,-Gasbmo,0)))</f>
        <v> </v>
      </c>
      <c r="S60" s="429" t="str">
        <f aca="false">IF(A60="N/A"," ",IF(Basischeck=TRUE(),(VLOOKUP(A60,GasCurves,IF(MONTH(A60)&gt;=4,IF(MONTH(A60)&lt;=10,11,12),12),FALSE())),0))</f>
        <v> </v>
      </c>
      <c r="T60" s="429" t="str">
        <f aca="false">IF(A60="N/A"," ",(IF(MONTH(A60)&gt;=4,IF(MONTH(A60)&lt;=10,Inputs!$H$2,Inputs!$H$3),Inputs!$H$3)))</f>
        <v> </v>
      </c>
      <c r="U60" s="430" t="str">
        <f aca="false">IF(A60="N/A"," ",(VLOOKUP($A60,InterestRatesTable,2)))</f>
        <v> </v>
      </c>
      <c r="AF60" s="384" t="n">
        <v>38261</v>
      </c>
      <c r="AG60" s="36" t="n">
        <v>21</v>
      </c>
      <c r="AH60" s="36" t="n">
        <v>5</v>
      </c>
      <c r="AI60" s="36" t="n">
        <v>5</v>
      </c>
      <c r="AJ60" s="36" t="n">
        <v>0</v>
      </c>
      <c r="AK60" s="36" t="n">
        <v>31</v>
      </c>
    </row>
    <row r="61" customFormat="false" ht="12.75" hidden="false" customHeight="false" outlineLevel="0" collapsed="false">
      <c r="A61" s="420" t="str">
        <f aca="false">Calculations!A28</f>
        <v>N/A</v>
      </c>
      <c r="B61" s="421" t="str">
        <f aca="false">IF(A61="N/A"," ",IF(ISERROR(N61),B49*Pwresc,N61)*VLOOKUP(MONTH(A61),Curveadj,3))</f>
        <v> </v>
      </c>
      <c r="C61" s="422" t="str">
        <f aca="false">IF(A61="N/A"," ",(IF(AND(MONTH(A61)&gt;=6,MONTH(A61)&lt;=8,OR($M$37="REGION 2",$M$37="REGION 2A",$M$37="REGION 2B",$M$37="REGION 3",$M$37="REGION 3A",$M$37="REGION 3B",$M$37="REGION 4",$M$37="REGION 4B",$M$37="REGION 4C",$M$37="REGION 5",$M$37="REGION 5A")),((0.059228/(B61/100))-(0.4980013/(SQRT(B61/100)))+2.137988),HLOOKUP(MONTH(A61),ScalarTable,28))))</f>
        <v> </v>
      </c>
      <c r="D61" s="423" t="str">
        <f aca="false">IF(A61="N/A"," ",C61*B61)</f>
        <v> </v>
      </c>
      <c r="E61" s="421" t="str">
        <f aca="false">IF(A61="N/A"," ",IF(ISERROR(O61),E49*Pwresc,O61)*VLOOKUP(MONTH(A61),Curveadj,3))</f>
        <v> </v>
      </c>
      <c r="F61" s="423" t="str">
        <f aca="false">IF(A61="N/A"," ",E61*C61)</f>
        <v> </v>
      </c>
      <c r="G61" s="421" t="str">
        <f aca="false">IF(A61="N/A"," ",IF(ISERROR(P61),G49*Pwresc,P61)*VLOOKUP(MONTH(A61),Curveadj,3))</f>
        <v> </v>
      </c>
      <c r="H61" s="423" t="str">
        <f aca="false">IF(A61="N/A"," ",G61*C61)</f>
        <v> </v>
      </c>
      <c r="I61" s="423" t="str">
        <f aca="false">IF(A61="N/A"," ",IF(ISERROR(Q61),I49*Pwresc,Q61))</f>
        <v> </v>
      </c>
      <c r="J61" s="424" t="str">
        <f aca="false">IF(A61="N/A"," ",K61+L61+T61)</f>
        <v> </v>
      </c>
      <c r="K61" s="425" t="str">
        <f aca="false">IF(A61="N/A"," ",IF(ISERROR(R61),K49*Gasesc,R61))</f>
        <v> </v>
      </c>
      <c r="L61" s="425" t="str">
        <f aca="false">IF(A61="N/A"," ",IF(ISERROR(S61),L49*Gasesc,IF(S61=0,L49*Gasesc,S61)))</f>
        <v> </v>
      </c>
      <c r="M61" s="431"/>
      <c r="N61" s="427" t="str">
        <f aca="false">IF(A61="N/A"," ",VLOOKUP(A61,PeakPowerCurves,(IF(BMO=2,3,IF(BMO=1,2,4))),FALSE()))</f>
        <v> </v>
      </c>
      <c r="O61" s="427" t="str">
        <f aca="false">IF(A61="N/A"," ",VLOOKUP(A61,SatSunPeakPwr,(IF(BMO=2,3,IF(BMO=1,2,4))),FALSE()))</f>
        <v> </v>
      </c>
      <c r="P61" s="427" t="str">
        <f aca="false">IF(A61="N/A"," ",VLOOKUP(A61,SatSunPeakPwr,(IF(BMO=2,7,IF(BMO=1,6,8))),FALSE()))</f>
        <v> </v>
      </c>
      <c r="Q61" s="428" t="str">
        <f aca="false">IF(A61="N/A"," ",(VLOOKUP(A61,OPPowerPrices,(IF(BMO=2,7,IF(BMO=1,6,8))),FALSE())))</f>
        <v> </v>
      </c>
      <c r="R61" s="429" t="str">
        <f aca="false">IF(A61="N/A"," ",(VLOOKUP(A61,GasCurves,9,FALSE()))+IF(BMO=1,Gasbmo,IF(BMO=3,-Gasbmo,0)))</f>
        <v> </v>
      </c>
      <c r="S61" s="429" t="str">
        <f aca="false">IF(A61="N/A"," ",IF(Basischeck=TRUE(),(VLOOKUP(A61,GasCurves,IF(MONTH(A61)&gt;=4,IF(MONTH(A61)&lt;=10,11,12),12),FALSE())),0))</f>
        <v> </v>
      </c>
      <c r="T61" s="429" t="str">
        <f aca="false">IF(A61="N/A"," ",(IF(MONTH(A61)&gt;=4,IF(MONTH(A61)&lt;=10,Inputs!$H$2,Inputs!$H$3),Inputs!$H$3)))</f>
        <v> </v>
      </c>
      <c r="U61" s="430" t="str">
        <f aca="false">IF(A61="N/A"," ",(VLOOKUP($A61,InterestRatesTable,2)))</f>
        <v> </v>
      </c>
      <c r="AF61" s="384" t="n">
        <v>38292</v>
      </c>
      <c r="AG61" s="36" t="n">
        <v>21</v>
      </c>
      <c r="AH61" s="36" t="n">
        <v>4</v>
      </c>
      <c r="AI61" s="36" t="n">
        <v>5</v>
      </c>
      <c r="AJ61" s="36" t="n">
        <v>1</v>
      </c>
      <c r="AK61" s="36" t="n">
        <v>30</v>
      </c>
    </row>
    <row r="62" customFormat="false" ht="12.75" hidden="false" customHeight="false" outlineLevel="0" collapsed="false">
      <c r="A62" s="420" t="str">
        <f aca="false">Calculations!A29</f>
        <v>N/A</v>
      </c>
      <c r="B62" s="421" t="str">
        <f aca="false">IF(A62="N/A"," ",IF(ISERROR(N62),B50*Pwresc,N62)*VLOOKUP(MONTH(A62),Curveadj,3))</f>
        <v> </v>
      </c>
      <c r="C62" s="422" t="str">
        <f aca="false">IF(A62="N/A"," ",(IF(AND(MONTH(A62)&gt;=6,MONTH(A62)&lt;=8,OR($M$37="REGION 2",$M$37="REGION 2A",$M$37="REGION 2B",$M$37="REGION 3",$M$37="REGION 3A",$M$37="REGION 3B",$M$37="REGION 4",$M$37="REGION 4B",$M$37="REGION 4C",$M$37="REGION 5",$M$37="REGION 5A")),((0.059228/(B62/100))-(0.4980013/(SQRT(B62/100)))+2.137988),HLOOKUP(MONTH(A62),ScalarTable,28))))</f>
        <v> </v>
      </c>
      <c r="D62" s="423" t="str">
        <f aca="false">IF(A62="N/A"," ",C62*B62)</f>
        <v> </v>
      </c>
      <c r="E62" s="421" t="str">
        <f aca="false">IF(A62="N/A"," ",IF(ISERROR(O62),E50*Pwresc,O62)*VLOOKUP(MONTH(A62),Curveadj,3))</f>
        <v> </v>
      </c>
      <c r="F62" s="423" t="str">
        <f aca="false">IF(A62="N/A"," ",E62*C62)</f>
        <v> </v>
      </c>
      <c r="G62" s="421" t="str">
        <f aca="false">IF(A62="N/A"," ",IF(ISERROR(P62),G50*Pwresc,P62)*VLOOKUP(MONTH(A62),Curveadj,3))</f>
        <v> </v>
      </c>
      <c r="H62" s="423" t="str">
        <f aca="false">IF(A62="N/A"," ",G62*C62)</f>
        <v> </v>
      </c>
      <c r="I62" s="423" t="str">
        <f aca="false">IF(A62="N/A"," ",IF(ISERROR(Q62),I50*Pwresc,Q62))</f>
        <v> </v>
      </c>
      <c r="J62" s="424" t="str">
        <f aca="false">IF(A62="N/A"," ",K62+L62+T62)</f>
        <v> </v>
      </c>
      <c r="K62" s="425" t="str">
        <f aca="false">IF(A62="N/A"," ",IF(ISERROR(R62),K50*Gasesc,R62))</f>
        <v> </v>
      </c>
      <c r="L62" s="425" t="str">
        <f aca="false">IF(A62="N/A"," ",IF(ISERROR(S62),L50*Gasesc,IF(S62=0,L50*Gasesc,S62)))</f>
        <v> </v>
      </c>
      <c r="M62" s="431"/>
      <c r="N62" s="427" t="str">
        <f aca="false">IF(A62="N/A"," ",VLOOKUP(A62,PeakPowerCurves,(IF(BMO=2,3,IF(BMO=1,2,4))),FALSE()))</f>
        <v> </v>
      </c>
      <c r="O62" s="427" t="str">
        <f aca="false">IF(A62="N/A"," ",VLOOKUP(A62,SatSunPeakPwr,(IF(BMO=2,3,IF(BMO=1,2,4))),FALSE()))</f>
        <v> </v>
      </c>
      <c r="P62" s="427" t="str">
        <f aca="false">IF(A62="N/A"," ",VLOOKUP(A62,SatSunPeakPwr,(IF(BMO=2,7,IF(BMO=1,6,8))),FALSE()))</f>
        <v> </v>
      </c>
      <c r="Q62" s="428" t="str">
        <f aca="false">IF(A62="N/A"," ",(VLOOKUP(A62,OPPowerPrices,(IF(BMO=2,7,IF(BMO=1,6,8))),FALSE())))</f>
        <v> </v>
      </c>
      <c r="R62" s="429" t="str">
        <f aca="false">IF(A62="N/A"," ",(VLOOKUP(A62,GasCurves,9,FALSE()))+IF(BMO=1,Gasbmo,IF(BMO=3,-Gasbmo,0)))</f>
        <v> </v>
      </c>
      <c r="S62" s="429" t="str">
        <f aca="false">IF(A62="N/A"," ",IF(Basischeck=TRUE(),(VLOOKUP(A62,GasCurves,IF(MONTH(A62)&gt;=4,IF(MONTH(A62)&lt;=10,11,12),12),FALSE())),0))</f>
        <v> </v>
      </c>
      <c r="T62" s="429" t="str">
        <f aca="false">IF(A62="N/A"," ",(IF(MONTH(A62)&gt;=4,IF(MONTH(A62)&lt;=10,Inputs!$H$2,Inputs!$H$3),Inputs!$H$3)))</f>
        <v> </v>
      </c>
      <c r="U62" s="430" t="str">
        <f aca="false">IF(A62="N/A"," ",(VLOOKUP($A62,InterestRatesTable,2)))</f>
        <v> </v>
      </c>
      <c r="AF62" s="384" t="n">
        <v>38322</v>
      </c>
      <c r="AG62" s="36" t="n">
        <v>23</v>
      </c>
      <c r="AH62" s="36" t="n">
        <v>3</v>
      </c>
      <c r="AI62" s="36" t="n">
        <v>5</v>
      </c>
      <c r="AJ62" s="36" t="n">
        <v>1</v>
      </c>
      <c r="AK62" s="36" t="n">
        <v>31</v>
      </c>
    </row>
    <row r="63" customFormat="false" ht="12.75" hidden="false" customHeight="false" outlineLevel="0" collapsed="false">
      <c r="A63" s="420" t="str">
        <f aca="false">Calculations!A30</f>
        <v>N/A</v>
      </c>
      <c r="B63" s="421" t="str">
        <f aca="false">IF(A63="N/A"," ",IF(ISERROR(N63),B51*Pwresc,N63)*VLOOKUP(MONTH(A63),Curveadj,3))</f>
        <v> </v>
      </c>
      <c r="C63" s="422" t="str">
        <f aca="false">IF(A63="N/A"," ",(IF(AND(MONTH(A63)&gt;=6,MONTH(A63)&lt;=8,OR($M$37="REGION 2",$M$37="REGION 2A",$M$37="REGION 2B",$M$37="REGION 3",$M$37="REGION 3A",$M$37="REGION 3B",$M$37="REGION 4",$M$37="REGION 4B",$M$37="REGION 4C",$M$37="REGION 5",$M$37="REGION 5A")),((0.059228/(B63/100))-(0.4980013/(SQRT(B63/100)))+2.137988),HLOOKUP(MONTH(A63),ScalarTable,28))))</f>
        <v> </v>
      </c>
      <c r="D63" s="423" t="str">
        <f aca="false">IF(A63="N/A"," ",C63*B63)</f>
        <v> </v>
      </c>
      <c r="E63" s="421" t="str">
        <f aca="false">IF(A63="N/A"," ",IF(ISERROR(O63),E51*Pwresc,O63)*VLOOKUP(MONTH(A63),Curveadj,3))</f>
        <v> </v>
      </c>
      <c r="F63" s="423" t="str">
        <f aca="false">IF(A63="N/A"," ",E63*C63)</f>
        <v> </v>
      </c>
      <c r="G63" s="421" t="str">
        <f aca="false">IF(A63="N/A"," ",IF(ISERROR(P63),G51*Pwresc,P63)*VLOOKUP(MONTH(A63),Curveadj,3))</f>
        <v> </v>
      </c>
      <c r="H63" s="423" t="str">
        <f aca="false">IF(A63="N/A"," ",G63*C63)</f>
        <v> </v>
      </c>
      <c r="I63" s="423" t="str">
        <f aca="false">IF(A63="N/A"," ",IF(ISERROR(Q63),I51*Pwresc,Q63))</f>
        <v> </v>
      </c>
      <c r="J63" s="424" t="str">
        <f aca="false">IF(A63="N/A"," ",K63+L63+T63)</f>
        <v> </v>
      </c>
      <c r="K63" s="425" t="str">
        <f aca="false">IF(A63="N/A"," ",IF(ISERROR(R63),K51*Gasesc,R63))</f>
        <v> </v>
      </c>
      <c r="L63" s="425" t="str">
        <f aca="false">IF(A63="N/A"," ",IF(ISERROR(S63),L51*Gasesc,IF(S63=0,L51*Gasesc,S63)))</f>
        <v> </v>
      </c>
      <c r="M63" s="431"/>
      <c r="N63" s="427" t="str">
        <f aca="false">IF(A63="N/A"," ",VLOOKUP(A63,PeakPowerCurves,(IF(BMO=2,3,IF(BMO=1,2,4))),FALSE()))</f>
        <v> </v>
      </c>
      <c r="O63" s="427" t="str">
        <f aca="false">IF(A63="N/A"," ",VLOOKUP(A63,SatSunPeakPwr,(IF(BMO=2,3,IF(BMO=1,2,4))),FALSE()))</f>
        <v> </v>
      </c>
      <c r="P63" s="427" t="str">
        <f aca="false">IF(A63="N/A"," ",VLOOKUP(A63,SatSunPeakPwr,(IF(BMO=2,7,IF(BMO=1,6,8))),FALSE()))</f>
        <v> </v>
      </c>
      <c r="Q63" s="428" t="str">
        <f aca="false">IF(A63="N/A"," ",(VLOOKUP(A63,OPPowerPrices,(IF(BMO=2,7,IF(BMO=1,6,8))),FALSE())))</f>
        <v> </v>
      </c>
      <c r="R63" s="429" t="str">
        <f aca="false">IF(A63="N/A"," ",(VLOOKUP(A63,GasCurves,9,FALSE()))+IF(BMO=1,Gasbmo,IF(BMO=3,-Gasbmo,0)))</f>
        <v> </v>
      </c>
      <c r="S63" s="429" t="str">
        <f aca="false">IF(A63="N/A"," ",IF(Basischeck=TRUE(),(VLOOKUP(A63,GasCurves,IF(MONTH(A63)&gt;=4,IF(MONTH(A63)&lt;=10,11,12),12),FALSE())),0))</f>
        <v> </v>
      </c>
      <c r="T63" s="429" t="str">
        <f aca="false">IF(A63="N/A"," ",(IF(MONTH(A63)&gt;=4,IF(MONTH(A63)&lt;=10,Inputs!$H$2,Inputs!$H$3),Inputs!$H$3)))</f>
        <v> </v>
      </c>
      <c r="U63" s="430" t="str">
        <f aca="false">IF(A63="N/A"," ",(VLOOKUP($A63,InterestRatesTable,2)))</f>
        <v> </v>
      </c>
      <c r="AF63" s="384" t="n">
        <v>38353</v>
      </c>
      <c r="AG63" s="36" t="n">
        <v>21</v>
      </c>
      <c r="AH63" s="36" t="n">
        <v>4</v>
      </c>
      <c r="AI63" s="36" t="n">
        <v>6</v>
      </c>
      <c r="AJ63" s="36" t="n">
        <v>1</v>
      </c>
      <c r="AK63" s="36" t="n">
        <v>31</v>
      </c>
    </row>
    <row r="64" customFormat="false" ht="12.75" hidden="false" customHeight="false" outlineLevel="0" collapsed="false">
      <c r="A64" s="420" t="str">
        <f aca="false">Calculations!A31</f>
        <v>N/A</v>
      </c>
      <c r="B64" s="421" t="str">
        <f aca="false">IF(A64="N/A"," ",IF(ISERROR(N64),B52*Pwresc,N64)*VLOOKUP(MONTH(A64),Curveadj,3))</f>
        <v> </v>
      </c>
      <c r="C64" s="422" t="str">
        <f aca="false">IF(A64="N/A"," ",(IF(AND(MONTH(A64)&gt;=6,MONTH(A64)&lt;=8,OR($M$37="REGION 2",$M$37="REGION 2A",$M$37="REGION 2B",$M$37="REGION 3",$M$37="REGION 3A",$M$37="REGION 3B",$M$37="REGION 4",$M$37="REGION 4B",$M$37="REGION 4C",$M$37="REGION 5",$M$37="REGION 5A")),((0.059228/(B64/100))-(0.4980013/(SQRT(B64/100)))+2.137988),HLOOKUP(MONTH(A64),ScalarTable,28))))</f>
        <v> </v>
      </c>
      <c r="D64" s="423" t="str">
        <f aca="false">IF(A64="N/A"," ",C64*B64)</f>
        <v> </v>
      </c>
      <c r="E64" s="421" t="str">
        <f aca="false">IF(A64="N/A"," ",IF(ISERROR(O64),E52*Pwresc,O64)*VLOOKUP(MONTH(A64),Curveadj,3))</f>
        <v> </v>
      </c>
      <c r="F64" s="423" t="str">
        <f aca="false">IF(A64="N/A"," ",E64*C64)</f>
        <v> </v>
      </c>
      <c r="G64" s="421" t="str">
        <f aca="false">IF(A64="N/A"," ",IF(ISERROR(P64),G52*Pwresc,P64)*VLOOKUP(MONTH(A64),Curveadj,3))</f>
        <v> </v>
      </c>
      <c r="H64" s="423" t="str">
        <f aca="false">IF(A64="N/A"," ",G64*C64)</f>
        <v> </v>
      </c>
      <c r="I64" s="423" t="str">
        <f aca="false">IF(A64="N/A"," ",IF(ISERROR(Q64),I52*Pwresc,Q64))</f>
        <v> </v>
      </c>
      <c r="J64" s="424" t="str">
        <f aca="false">IF(A64="N/A"," ",K64+L64+T64)</f>
        <v> </v>
      </c>
      <c r="K64" s="425" t="str">
        <f aca="false">IF(A64="N/A"," ",IF(ISERROR(R64),K52*Gasesc,R64))</f>
        <v> </v>
      </c>
      <c r="L64" s="425" t="str">
        <f aca="false">IF(A64="N/A"," ",IF(ISERROR(S64),L52*Gasesc,IF(S64=0,L52*Gasesc,S64)))</f>
        <v> </v>
      </c>
      <c r="M64" s="431"/>
      <c r="N64" s="427" t="str">
        <f aca="false">IF(A64="N/A"," ",VLOOKUP(A64,PeakPowerCurves,(IF(BMO=2,3,IF(BMO=1,2,4))),FALSE()))</f>
        <v> </v>
      </c>
      <c r="O64" s="427" t="str">
        <f aca="false">IF(A64="N/A"," ",VLOOKUP(A64,SatSunPeakPwr,(IF(BMO=2,3,IF(BMO=1,2,4))),FALSE()))</f>
        <v> </v>
      </c>
      <c r="P64" s="427" t="str">
        <f aca="false">IF(A64="N/A"," ",VLOOKUP(A64,SatSunPeakPwr,(IF(BMO=2,7,IF(BMO=1,6,8))),FALSE()))</f>
        <v> </v>
      </c>
      <c r="Q64" s="428" t="str">
        <f aca="false">IF(A64="N/A"," ",(VLOOKUP(A64,OPPowerPrices,(IF(BMO=2,7,IF(BMO=1,6,8))),FALSE())))</f>
        <v> </v>
      </c>
      <c r="R64" s="429" t="str">
        <f aca="false">IF(A64="N/A"," ",(VLOOKUP(A64,GasCurves,9,FALSE()))+IF(BMO=1,Gasbmo,IF(BMO=3,-Gasbmo,0)))</f>
        <v> </v>
      </c>
      <c r="S64" s="429" t="str">
        <f aca="false">IF(A64="N/A"," ",IF(Basischeck=TRUE(),(VLOOKUP(A64,GasCurves,IF(MONTH(A64)&gt;=4,IF(MONTH(A64)&lt;=10,11,12),12),FALSE())),0))</f>
        <v> </v>
      </c>
      <c r="T64" s="429" t="str">
        <f aca="false">IF(A64="N/A"," ",(IF(MONTH(A64)&gt;=4,IF(MONTH(A64)&lt;=10,Inputs!$H$2,Inputs!$H$3),Inputs!$H$3)))</f>
        <v> </v>
      </c>
      <c r="U64" s="430" t="str">
        <f aca="false">IF(A64="N/A"," ",(VLOOKUP($A64,InterestRatesTable,2)))</f>
        <v> </v>
      </c>
      <c r="AF64" s="384" t="n">
        <v>38384</v>
      </c>
      <c r="AG64" s="36" t="n">
        <v>20</v>
      </c>
      <c r="AH64" s="36" t="n">
        <v>4</v>
      </c>
      <c r="AI64" s="36" t="n">
        <v>4</v>
      </c>
      <c r="AJ64" s="36" t="n">
        <v>0</v>
      </c>
      <c r="AK64" s="36" t="n">
        <v>28</v>
      </c>
    </row>
    <row r="65" customFormat="false" ht="12.75" hidden="false" customHeight="false" outlineLevel="0" collapsed="false">
      <c r="A65" s="420" t="str">
        <f aca="false">Calculations!A32</f>
        <v>N/A</v>
      </c>
      <c r="B65" s="421" t="str">
        <f aca="false">IF(A65="N/A"," ",IF(ISERROR(N65),B53*Pwresc,N65)*VLOOKUP(MONTH(A65),Curveadj,3))</f>
        <v> </v>
      </c>
      <c r="C65" s="422" t="str">
        <f aca="false">IF(A65="N/A"," ",(IF(AND(MONTH(A65)&gt;=6,MONTH(A65)&lt;=8,OR($M$37="REGION 2",$M$37="REGION 2A",$M$37="REGION 2B",$M$37="REGION 3",$M$37="REGION 3A",$M$37="REGION 3B",$M$37="REGION 4",$M$37="REGION 4B",$M$37="REGION 4C",$M$37="REGION 5",$M$37="REGION 5A")),((0.059228/(B65/100))-(0.4980013/(SQRT(B65/100)))+2.137988),HLOOKUP(MONTH(A65),ScalarTable,28))))</f>
        <v> </v>
      </c>
      <c r="D65" s="423" t="str">
        <f aca="false">IF(A65="N/A"," ",C65*B65)</f>
        <v> </v>
      </c>
      <c r="E65" s="421" t="str">
        <f aca="false">IF(A65="N/A"," ",IF(ISERROR(O65),E53*Pwresc,O65)*VLOOKUP(MONTH(A65),Curveadj,3))</f>
        <v> </v>
      </c>
      <c r="F65" s="423" t="str">
        <f aca="false">IF(A65="N/A"," ",E65*C65)</f>
        <v> </v>
      </c>
      <c r="G65" s="421" t="str">
        <f aca="false">IF(A65="N/A"," ",IF(ISERROR(P65),G53*Pwresc,P65)*VLOOKUP(MONTH(A65),Curveadj,3))</f>
        <v> </v>
      </c>
      <c r="H65" s="423" t="str">
        <f aca="false">IF(A65="N/A"," ",G65*C65)</f>
        <v> </v>
      </c>
      <c r="I65" s="423" t="str">
        <f aca="false">IF(A65="N/A"," ",IF(ISERROR(Q65),I53*Pwresc,Q65))</f>
        <v> </v>
      </c>
      <c r="J65" s="424" t="str">
        <f aca="false">IF(A65="N/A"," ",K65+L65+T65)</f>
        <v> </v>
      </c>
      <c r="K65" s="425" t="str">
        <f aca="false">IF(A65="N/A"," ",IF(ISERROR(R65),K53*Gasesc,R65))</f>
        <v> </v>
      </c>
      <c r="L65" s="425" t="str">
        <f aca="false">IF(A65="N/A"," ",IF(ISERROR(S65),L53*Gasesc,IF(S65=0,L53*Gasesc,S65)))</f>
        <v> </v>
      </c>
      <c r="M65" s="431"/>
      <c r="N65" s="427" t="str">
        <f aca="false">IF(A65="N/A"," ",VLOOKUP(A65,PeakPowerCurves,(IF(BMO=2,3,IF(BMO=1,2,4))),FALSE()))</f>
        <v> </v>
      </c>
      <c r="O65" s="427" t="str">
        <f aca="false">IF(A65="N/A"," ",VLOOKUP(A65,SatSunPeakPwr,(IF(BMO=2,3,IF(BMO=1,2,4))),FALSE()))</f>
        <v> </v>
      </c>
      <c r="P65" s="427" t="str">
        <f aca="false">IF(A65="N/A"," ",VLOOKUP(A65,SatSunPeakPwr,(IF(BMO=2,7,IF(BMO=1,6,8))),FALSE()))</f>
        <v> </v>
      </c>
      <c r="Q65" s="428" t="str">
        <f aca="false">IF(A65="N/A"," ",(VLOOKUP(A65,OPPowerPrices,(IF(BMO=2,7,IF(BMO=1,6,8))),FALSE())))</f>
        <v> </v>
      </c>
      <c r="R65" s="429" t="str">
        <f aca="false">IF(A65="N/A"," ",(VLOOKUP(A65,GasCurves,9,FALSE()))+IF(BMO=1,Gasbmo,IF(BMO=3,-Gasbmo,0)))</f>
        <v> </v>
      </c>
      <c r="S65" s="429" t="str">
        <f aca="false">IF(A65="N/A"," ",IF(Basischeck=TRUE(),(VLOOKUP(A65,GasCurves,IF(MONTH(A65)&gt;=4,IF(MONTH(A65)&lt;=10,11,12),12),FALSE())),0))</f>
        <v> </v>
      </c>
      <c r="T65" s="429" t="str">
        <f aca="false">IF(A65="N/A"," ",(IF(MONTH(A65)&gt;=4,IF(MONTH(A65)&lt;=10,Inputs!$H$2,Inputs!$H$3),Inputs!$H$3)))</f>
        <v> </v>
      </c>
      <c r="U65" s="430" t="str">
        <f aca="false">IF(A65="N/A"," ",(VLOOKUP($A65,InterestRatesTable,2)))</f>
        <v> </v>
      </c>
      <c r="AF65" s="384" t="n">
        <v>38412</v>
      </c>
      <c r="AG65" s="36" t="n">
        <v>23</v>
      </c>
      <c r="AH65" s="36" t="n">
        <v>4</v>
      </c>
      <c r="AI65" s="36" t="n">
        <v>4</v>
      </c>
      <c r="AJ65" s="36" t="n">
        <v>0</v>
      </c>
      <c r="AK65" s="36" t="n">
        <v>31</v>
      </c>
    </row>
    <row r="66" customFormat="false" ht="12.75" hidden="false" customHeight="false" outlineLevel="0" collapsed="false">
      <c r="A66" s="420" t="str">
        <f aca="false">Calculations!A33</f>
        <v>N/A</v>
      </c>
      <c r="B66" s="421" t="str">
        <f aca="false">IF(A66="N/A"," ",IF(ISERROR(N66),B54*Pwresc,N66)*VLOOKUP(MONTH(A66),Curveadj,3))</f>
        <v> </v>
      </c>
      <c r="C66" s="422" t="str">
        <f aca="false">IF(A66="N/A"," ",(IF(AND(MONTH(A66)&gt;=6,MONTH(A66)&lt;=8,OR($M$37="REGION 2",$M$37="REGION 2A",$M$37="REGION 2B",$M$37="REGION 3",$M$37="REGION 3A",$M$37="REGION 3B",$M$37="REGION 4",$M$37="REGION 4B",$M$37="REGION 4C",$M$37="REGION 5",$M$37="REGION 5A")),((0.059228/(B66/100))-(0.4980013/(SQRT(B66/100)))+2.137988),HLOOKUP(MONTH(A66),ScalarTable,28))))</f>
        <v> </v>
      </c>
      <c r="D66" s="423" t="str">
        <f aca="false">IF(A66="N/A"," ",C66*B66)</f>
        <v> </v>
      </c>
      <c r="E66" s="421" t="str">
        <f aca="false">IF(A66="N/A"," ",IF(ISERROR(O66),E54*Pwresc,O66)*VLOOKUP(MONTH(A66),Curveadj,3))</f>
        <v> </v>
      </c>
      <c r="F66" s="423" t="str">
        <f aca="false">IF(A66="N/A"," ",E66*C66)</f>
        <v> </v>
      </c>
      <c r="G66" s="421" t="str">
        <f aca="false">IF(A66="N/A"," ",IF(ISERROR(P66),G54*Pwresc,P66)*VLOOKUP(MONTH(A66),Curveadj,3))</f>
        <v> </v>
      </c>
      <c r="H66" s="423" t="str">
        <f aca="false">IF(A66="N/A"," ",G66*C66)</f>
        <v> </v>
      </c>
      <c r="I66" s="423" t="str">
        <f aca="false">IF(A66="N/A"," ",IF(ISERROR(Q66),I54*Pwresc,Q66))</f>
        <v> </v>
      </c>
      <c r="J66" s="424" t="str">
        <f aca="false">IF(A66="N/A"," ",K66+L66+T66)</f>
        <v> </v>
      </c>
      <c r="K66" s="425" t="str">
        <f aca="false">IF(A66="N/A"," ",IF(ISERROR(R66),K54*Gasesc,R66))</f>
        <v> </v>
      </c>
      <c r="L66" s="425" t="str">
        <f aca="false">IF(A66="N/A"," ",IF(ISERROR(S66),L54*Gasesc,IF(S66=0,L54*Gasesc,S66)))</f>
        <v> </v>
      </c>
      <c r="M66" s="431"/>
      <c r="N66" s="427" t="str">
        <f aca="false">IF(A66="N/A"," ",VLOOKUP(A66,PeakPowerCurves,(IF(BMO=2,3,IF(BMO=1,2,4))),FALSE()))</f>
        <v> </v>
      </c>
      <c r="O66" s="427" t="str">
        <f aca="false">IF(A66="N/A"," ",VLOOKUP(A66,SatSunPeakPwr,(IF(BMO=2,3,IF(BMO=1,2,4))),FALSE()))</f>
        <v> </v>
      </c>
      <c r="P66" s="427" t="str">
        <f aca="false">IF(A66="N/A"," ",VLOOKUP(A66,SatSunPeakPwr,(IF(BMO=2,7,IF(BMO=1,6,8))),FALSE()))</f>
        <v> </v>
      </c>
      <c r="Q66" s="428" t="str">
        <f aca="false">IF(A66="N/A"," ",(VLOOKUP(A66,OPPowerPrices,(IF(BMO=2,7,IF(BMO=1,6,8))),FALSE())))</f>
        <v> </v>
      </c>
      <c r="R66" s="429" t="str">
        <f aca="false">IF(A66="N/A"," ",(VLOOKUP(A66,GasCurves,9,FALSE()))+IF(BMO=1,Gasbmo,IF(BMO=3,-Gasbmo,0)))</f>
        <v> </v>
      </c>
      <c r="S66" s="429" t="str">
        <f aca="false">IF(A66="N/A"," ",IF(Basischeck=TRUE(),(VLOOKUP(A66,GasCurves,IF(MONTH(A66)&gt;=4,IF(MONTH(A66)&lt;=10,11,12),12),FALSE())),0))</f>
        <v> </v>
      </c>
      <c r="T66" s="429" t="str">
        <f aca="false">IF(A66="N/A"," ",(IF(MONTH(A66)&gt;=4,IF(MONTH(A66)&lt;=10,Inputs!$H$2,Inputs!$H$3),Inputs!$H$3)))</f>
        <v> </v>
      </c>
      <c r="U66" s="430" t="str">
        <f aca="false">IF(A66="N/A"," ",(VLOOKUP($A66,InterestRatesTable,2)))</f>
        <v> </v>
      </c>
      <c r="AF66" s="384" t="n">
        <v>38443</v>
      </c>
      <c r="AG66" s="36" t="n">
        <v>21</v>
      </c>
      <c r="AH66" s="36" t="n">
        <v>5</v>
      </c>
      <c r="AI66" s="36" t="n">
        <v>4</v>
      </c>
      <c r="AJ66" s="36" t="n">
        <v>0</v>
      </c>
      <c r="AK66" s="36" t="n">
        <v>30</v>
      </c>
    </row>
    <row r="67" customFormat="false" ht="12.75" hidden="false" customHeight="false" outlineLevel="0" collapsed="false">
      <c r="A67" s="420" t="str">
        <f aca="false">Calculations!A34</f>
        <v>N/A</v>
      </c>
      <c r="B67" s="421" t="str">
        <f aca="false">IF(A67="N/A"," ",IF(ISERROR(N67),B55*Pwresc,N67)*VLOOKUP(MONTH(A67),Curveadj,3))</f>
        <v> </v>
      </c>
      <c r="C67" s="422" t="str">
        <f aca="false">IF(A67="N/A"," ",(IF(AND(MONTH(A67)&gt;=6,MONTH(A67)&lt;=8,OR($M$37="REGION 2",$M$37="REGION 2A",$M$37="REGION 2B",$M$37="REGION 3",$M$37="REGION 3A",$M$37="REGION 3B",$M$37="REGION 4",$M$37="REGION 4B",$M$37="REGION 4C",$M$37="REGION 5",$M$37="REGION 5A")),((0.059228/(B67/100))-(0.4980013/(SQRT(B67/100)))+2.137988),HLOOKUP(MONTH(A67),ScalarTable,28))))</f>
        <v> </v>
      </c>
      <c r="D67" s="423" t="str">
        <f aca="false">IF(A67="N/A"," ",C67*B67)</f>
        <v> </v>
      </c>
      <c r="E67" s="421" t="str">
        <f aca="false">IF(A67="N/A"," ",IF(ISERROR(O67),E55*Pwresc,O67)*VLOOKUP(MONTH(A67),Curveadj,3))</f>
        <v> </v>
      </c>
      <c r="F67" s="423" t="str">
        <f aca="false">IF(A67="N/A"," ",E67*C67)</f>
        <v> </v>
      </c>
      <c r="G67" s="421" t="str">
        <f aca="false">IF(A67="N/A"," ",IF(ISERROR(P67),G55*Pwresc,P67)*VLOOKUP(MONTH(A67),Curveadj,3))</f>
        <v> </v>
      </c>
      <c r="H67" s="423" t="str">
        <f aca="false">IF(A67="N/A"," ",G67*C67)</f>
        <v> </v>
      </c>
      <c r="I67" s="423" t="str">
        <f aca="false">IF(A67="N/A"," ",IF(ISERROR(Q67),I55*Pwresc,Q67))</f>
        <v> </v>
      </c>
      <c r="J67" s="424" t="str">
        <f aca="false">IF(A67="N/A"," ",K67+L67+T67)</f>
        <v> </v>
      </c>
      <c r="K67" s="425" t="str">
        <f aca="false">IF(A67="N/A"," ",IF(ISERROR(R67),K55*Gasesc,R67))</f>
        <v> </v>
      </c>
      <c r="L67" s="425" t="str">
        <f aca="false">IF(A67="N/A"," ",IF(ISERROR(S67),L55*Gasesc,IF(S67=0,L55*Gasesc,S67)))</f>
        <v> </v>
      </c>
      <c r="M67" s="431"/>
      <c r="N67" s="427" t="str">
        <f aca="false">IF(A67="N/A"," ",VLOOKUP(A67,PeakPowerCurves,(IF(BMO=2,3,IF(BMO=1,2,4))),FALSE()))</f>
        <v> </v>
      </c>
      <c r="O67" s="427" t="str">
        <f aca="false">IF(A67="N/A"," ",VLOOKUP(A67,SatSunPeakPwr,(IF(BMO=2,3,IF(BMO=1,2,4))),FALSE()))</f>
        <v> </v>
      </c>
      <c r="P67" s="427" t="str">
        <f aca="false">IF(A67="N/A"," ",VLOOKUP(A67,SatSunPeakPwr,(IF(BMO=2,7,IF(BMO=1,6,8))),FALSE()))</f>
        <v> </v>
      </c>
      <c r="Q67" s="428" t="str">
        <f aca="false">IF(A67="N/A"," ",(VLOOKUP(A67,OPPowerPrices,(IF(BMO=2,7,IF(BMO=1,6,8))),FALSE())))</f>
        <v> </v>
      </c>
      <c r="R67" s="429" t="str">
        <f aca="false">IF(A67="N/A"," ",(VLOOKUP(A67,GasCurves,9,FALSE()))+IF(BMO=1,Gasbmo,IF(BMO=3,-Gasbmo,0)))</f>
        <v> </v>
      </c>
      <c r="S67" s="429" t="str">
        <f aca="false">IF(A67="N/A"," ",IF(Basischeck=TRUE(),(VLOOKUP(A67,GasCurves,IF(MONTH(A67)&gt;=4,IF(MONTH(A67)&lt;=10,11,12),12),FALSE())),0))</f>
        <v> </v>
      </c>
      <c r="T67" s="429" t="str">
        <f aca="false">IF(A67="N/A"," ",(IF(MONTH(A67)&gt;=4,IF(MONTH(A67)&lt;=10,Inputs!$H$2,Inputs!$H$3),Inputs!$H$3)))</f>
        <v> </v>
      </c>
      <c r="U67" s="430" t="str">
        <f aca="false">IF(A67="N/A"," ",(VLOOKUP($A67,InterestRatesTable,2)))</f>
        <v> </v>
      </c>
      <c r="AF67" s="384" t="n">
        <v>38473</v>
      </c>
      <c r="AG67" s="36" t="n">
        <v>21</v>
      </c>
      <c r="AH67" s="36" t="n">
        <v>4</v>
      </c>
      <c r="AI67" s="36" t="n">
        <v>6</v>
      </c>
      <c r="AJ67" s="36" t="n">
        <v>1</v>
      </c>
      <c r="AK67" s="36" t="n">
        <v>31</v>
      </c>
    </row>
    <row r="68" customFormat="false" ht="12.75" hidden="false" customHeight="false" outlineLevel="0" collapsed="false">
      <c r="A68" s="420" t="str">
        <f aca="false">Calculations!A35</f>
        <v>N/A</v>
      </c>
      <c r="B68" s="421" t="str">
        <f aca="false">IF(A68="N/A"," ",IF(ISERROR(N68),B56*Pwresc,N68)*VLOOKUP(MONTH(A68),Curveadj,3))</f>
        <v> </v>
      </c>
      <c r="C68" s="422" t="str">
        <f aca="false">IF(A68="N/A"," ",(IF(AND(MONTH(A68)&gt;=6,MONTH(A68)&lt;=8,OR($M$37="REGION 2",$M$37="REGION 2A",$M$37="REGION 2B",$M$37="REGION 3",$M$37="REGION 3A",$M$37="REGION 3B",$M$37="REGION 4",$M$37="REGION 4B",$M$37="REGION 4C",$M$37="REGION 5",$M$37="REGION 5A")),((0.059228/(B68/100))-(0.4980013/(SQRT(B68/100)))+2.137988),HLOOKUP(MONTH(A68),ScalarTable,28))))</f>
        <v> </v>
      </c>
      <c r="D68" s="423" t="str">
        <f aca="false">IF(A68="N/A"," ",C68*B68)</f>
        <v> </v>
      </c>
      <c r="E68" s="421" t="str">
        <f aca="false">IF(A68="N/A"," ",IF(ISERROR(O68),E56*Pwresc,O68)*VLOOKUP(MONTH(A68),Curveadj,3))</f>
        <v> </v>
      </c>
      <c r="F68" s="423" t="str">
        <f aca="false">IF(A68="N/A"," ",E68*C68)</f>
        <v> </v>
      </c>
      <c r="G68" s="421" t="str">
        <f aca="false">IF(A68="N/A"," ",IF(ISERROR(P68),G56*Pwresc,P68)*VLOOKUP(MONTH(A68),Curveadj,3))</f>
        <v> </v>
      </c>
      <c r="H68" s="423" t="str">
        <f aca="false">IF(A68="N/A"," ",G68*C68)</f>
        <v> </v>
      </c>
      <c r="I68" s="423" t="str">
        <f aca="false">IF(A68="N/A"," ",IF(ISERROR(Q68),I56*Pwresc,Q68))</f>
        <v> </v>
      </c>
      <c r="J68" s="424" t="str">
        <f aca="false">IF(A68="N/A"," ",K68+L68+T68)</f>
        <v> </v>
      </c>
      <c r="K68" s="425" t="str">
        <f aca="false">IF(A68="N/A"," ",IF(ISERROR(R68),K56*Gasesc,R68))</f>
        <v> </v>
      </c>
      <c r="L68" s="425" t="str">
        <f aca="false">IF(A68="N/A"," ",IF(ISERROR(S68),L56*Gasesc,IF(S68=0,L56*Gasesc,S68)))</f>
        <v> </v>
      </c>
      <c r="M68" s="431"/>
      <c r="N68" s="427" t="str">
        <f aca="false">IF(A68="N/A"," ",VLOOKUP(A68,PeakPowerCurves,(IF(BMO=2,3,IF(BMO=1,2,4))),FALSE()))</f>
        <v> </v>
      </c>
      <c r="O68" s="427" t="str">
        <f aca="false">IF(A68="N/A"," ",VLOOKUP(A68,SatSunPeakPwr,(IF(BMO=2,3,IF(BMO=1,2,4))),FALSE()))</f>
        <v> </v>
      </c>
      <c r="P68" s="427" t="str">
        <f aca="false">IF(A68="N/A"," ",VLOOKUP(A68,SatSunPeakPwr,(IF(BMO=2,7,IF(BMO=1,6,8))),FALSE()))</f>
        <v> </v>
      </c>
      <c r="Q68" s="428" t="str">
        <f aca="false">IF(A68="N/A"," ",(VLOOKUP(A68,OPPowerPrices,(IF(BMO=2,7,IF(BMO=1,6,8))),FALSE())))</f>
        <v> </v>
      </c>
      <c r="R68" s="429" t="str">
        <f aca="false">IF(A68="N/A"," ",(VLOOKUP(A68,GasCurves,9,FALSE()))+IF(BMO=1,Gasbmo,IF(BMO=3,-Gasbmo,0)))</f>
        <v> </v>
      </c>
      <c r="S68" s="429" t="str">
        <f aca="false">IF(A68="N/A"," ",IF(Basischeck=TRUE(),(VLOOKUP(A68,GasCurves,IF(MONTH(A68)&gt;=4,IF(MONTH(A68)&lt;=10,11,12),12),FALSE())),0))</f>
        <v> </v>
      </c>
      <c r="T68" s="429" t="str">
        <f aca="false">IF(A68="N/A"," ",(IF(MONTH(A68)&gt;=4,IF(MONTH(A68)&lt;=10,Inputs!$H$2,Inputs!$H$3),Inputs!$H$3)))</f>
        <v> </v>
      </c>
      <c r="U68" s="430" t="str">
        <f aca="false">IF(A68="N/A"," ",(VLOOKUP($A68,InterestRatesTable,2)))</f>
        <v> </v>
      </c>
      <c r="AF68" s="384" t="n">
        <v>38504</v>
      </c>
      <c r="AG68" s="36" t="n">
        <v>22</v>
      </c>
      <c r="AH68" s="36" t="n">
        <v>4</v>
      </c>
      <c r="AI68" s="36" t="n">
        <v>4</v>
      </c>
      <c r="AJ68" s="36" t="n">
        <v>0</v>
      </c>
      <c r="AK68" s="36" t="n">
        <v>30</v>
      </c>
    </row>
    <row r="69" customFormat="false" ht="12.75" hidden="false" customHeight="false" outlineLevel="0" collapsed="false">
      <c r="A69" s="420" t="str">
        <f aca="false">Calculations!A36</f>
        <v>N/A</v>
      </c>
      <c r="B69" s="421" t="str">
        <f aca="false">IF(A69="N/A"," ",IF(ISERROR(N69),B57*Pwresc,N69)*VLOOKUP(MONTH(A69),Curveadj,3))</f>
        <v> </v>
      </c>
      <c r="C69" s="422" t="str">
        <f aca="false">IF(A69="N/A"," ",(IF(AND(MONTH(A69)&gt;=6,MONTH(A69)&lt;=8,OR($M$37="REGION 2",$M$37="REGION 2A",$M$37="REGION 2B",$M$37="REGION 3",$M$37="REGION 3A",$M$37="REGION 3B",$M$37="REGION 4",$M$37="REGION 4B",$M$37="REGION 4C",$M$37="REGION 5",$M$37="REGION 5A")),((0.059228/(B69/100))-(0.4980013/(SQRT(B69/100)))+2.137988),HLOOKUP(MONTH(A69),ScalarTable,28))))</f>
        <v> </v>
      </c>
      <c r="D69" s="423" t="str">
        <f aca="false">IF(A69="N/A"," ",C69*B69)</f>
        <v> </v>
      </c>
      <c r="E69" s="421" t="str">
        <f aca="false">IF(A69="N/A"," ",IF(ISERROR(O69),E57*Pwresc,O69)*VLOOKUP(MONTH(A69),Curveadj,3))</f>
        <v> </v>
      </c>
      <c r="F69" s="423" t="str">
        <f aca="false">IF(A69="N/A"," ",E69*C69)</f>
        <v> </v>
      </c>
      <c r="G69" s="421" t="str">
        <f aca="false">IF(A69="N/A"," ",IF(ISERROR(P69),G57*Pwresc,P69)*VLOOKUP(MONTH(A69),Curveadj,3))</f>
        <v> </v>
      </c>
      <c r="H69" s="423" t="str">
        <f aca="false">IF(A69="N/A"," ",G69*C69)</f>
        <v> </v>
      </c>
      <c r="I69" s="423" t="str">
        <f aca="false">IF(A69="N/A"," ",IF(ISERROR(Q69),I57*Pwresc,Q69))</f>
        <v> </v>
      </c>
      <c r="J69" s="424" t="str">
        <f aca="false">IF(A69="N/A"," ",K69+L69+T69)</f>
        <v> </v>
      </c>
      <c r="K69" s="425" t="str">
        <f aca="false">IF(A69="N/A"," ",IF(ISERROR(R69),K57*Gasesc,R69))</f>
        <v> </v>
      </c>
      <c r="L69" s="425" t="str">
        <f aca="false">IF(A69="N/A"," ",IF(ISERROR(S69),L57*Gasesc,IF(S69=0,L57*Gasesc,S69)))</f>
        <v> </v>
      </c>
      <c r="M69" s="431"/>
      <c r="N69" s="427" t="str">
        <f aca="false">IF(A69="N/A"," ",VLOOKUP(A69,PeakPowerCurves,(IF(BMO=2,3,IF(BMO=1,2,4))),FALSE()))</f>
        <v> </v>
      </c>
      <c r="O69" s="427" t="str">
        <f aca="false">IF(A69="N/A"," ",VLOOKUP(A69,SatSunPeakPwr,(IF(BMO=2,3,IF(BMO=1,2,4))),FALSE()))</f>
        <v> </v>
      </c>
      <c r="P69" s="427" t="str">
        <f aca="false">IF(A69="N/A"," ",VLOOKUP(A69,SatSunPeakPwr,(IF(BMO=2,7,IF(BMO=1,6,8))),FALSE()))</f>
        <v> </v>
      </c>
      <c r="Q69" s="428" t="str">
        <f aca="false">IF(A69="N/A"," ",(VLOOKUP(A69,OPPowerPrices,(IF(BMO=2,7,IF(BMO=1,6,8))),FALSE())))</f>
        <v> </v>
      </c>
      <c r="R69" s="429" t="str">
        <f aca="false">IF(A69="N/A"," ",(VLOOKUP(A69,GasCurves,9,FALSE()))+IF(BMO=1,Gasbmo,IF(BMO=3,-Gasbmo,0)))</f>
        <v> </v>
      </c>
      <c r="S69" s="429" t="str">
        <f aca="false">IF(A69="N/A"," ",IF(Basischeck=TRUE(),(VLOOKUP(A69,GasCurves,IF(MONTH(A69)&gt;=4,IF(MONTH(A69)&lt;=10,11,12),12),FALSE())),0))</f>
        <v> </v>
      </c>
      <c r="T69" s="429" t="str">
        <f aca="false">IF(A69="N/A"," ",(IF(MONTH(A69)&gt;=4,IF(MONTH(A69)&lt;=10,Inputs!$H$2,Inputs!$H$3),Inputs!$H$3)))</f>
        <v> </v>
      </c>
      <c r="U69" s="430" t="str">
        <f aca="false">IF(A69="N/A"," ",(VLOOKUP($A69,InterestRatesTable,2)))</f>
        <v> </v>
      </c>
      <c r="AF69" s="384" t="n">
        <v>38534</v>
      </c>
      <c r="AG69" s="36" t="n">
        <v>20</v>
      </c>
      <c r="AH69" s="36" t="n">
        <v>5</v>
      </c>
      <c r="AI69" s="36" t="n">
        <v>6</v>
      </c>
      <c r="AJ69" s="36" t="n">
        <v>1</v>
      </c>
      <c r="AK69" s="36" t="n">
        <v>31</v>
      </c>
    </row>
    <row r="70" customFormat="false" ht="12.75" hidden="false" customHeight="false" outlineLevel="0" collapsed="false">
      <c r="A70" s="420" t="str">
        <f aca="false">Calculations!A37</f>
        <v>N/A</v>
      </c>
      <c r="B70" s="421" t="str">
        <f aca="false">IF(A70="N/A"," ",IF(ISERROR(N70),B58*Pwresc,N70)*VLOOKUP(MONTH(A70),Curveadj,3))</f>
        <v> </v>
      </c>
      <c r="C70" s="422" t="str">
        <f aca="false">IF(A70="N/A"," ",(IF(AND(MONTH(A70)&gt;=6,MONTH(A70)&lt;=8,OR($M$37="REGION 2",$M$37="REGION 2A",$M$37="REGION 2B",$M$37="REGION 3",$M$37="REGION 3A",$M$37="REGION 3B",$M$37="REGION 4",$M$37="REGION 4B",$M$37="REGION 4C",$M$37="REGION 5",$M$37="REGION 5A")),((0.059228/(B70/100))-(0.4980013/(SQRT(B70/100)))+2.137988),HLOOKUP(MONTH(A70),ScalarTable,28))))</f>
        <v> </v>
      </c>
      <c r="D70" s="423" t="str">
        <f aca="false">IF(A70="N/A"," ",C70*B70)</f>
        <v> </v>
      </c>
      <c r="E70" s="421" t="str">
        <f aca="false">IF(A70="N/A"," ",IF(ISERROR(O70),E58*Pwresc,O70)*VLOOKUP(MONTH(A70),Curveadj,3))</f>
        <v> </v>
      </c>
      <c r="F70" s="423" t="str">
        <f aca="false">IF(A70="N/A"," ",E70*C70)</f>
        <v> </v>
      </c>
      <c r="G70" s="421" t="str">
        <f aca="false">IF(A70="N/A"," ",IF(ISERROR(P70),G58*Pwresc,P70)*VLOOKUP(MONTH(A70),Curveadj,3))</f>
        <v> </v>
      </c>
      <c r="H70" s="423" t="str">
        <f aca="false">IF(A70="N/A"," ",G70*C70)</f>
        <v> </v>
      </c>
      <c r="I70" s="423" t="str">
        <f aca="false">IF(A70="N/A"," ",IF(ISERROR(Q70),I58*Pwresc,Q70))</f>
        <v> </v>
      </c>
      <c r="J70" s="424" t="str">
        <f aca="false">IF(A70="N/A"," ",K70+L70+T70)</f>
        <v> </v>
      </c>
      <c r="K70" s="425" t="str">
        <f aca="false">IF(A70="N/A"," ",IF(ISERROR(R70),K58*Gasesc,R70))</f>
        <v> </v>
      </c>
      <c r="L70" s="425" t="str">
        <f aca="false">IF(A70="N/A"," ",IF(ISERROR(S70),L58*Gasesc,IF(S70=0,L58*Gasesc,S70)))</f>
        <v> </v>
      </c>
      <c r="M70" s="431"/>
      <c r="N70" s="427" t="str">
        <f aca="false">IF(A70="N/A"," ",VLOOKUP(A70,PeakPowerCurves,(IF(BMO=2,3,IF(BMO=1,2,4))),FALSE()))</f>
        <v> </v>
      </c>
      <c r="O70" s="427" t="str">
        <f aca="false">IF(A70="N/A"," ",VLOOKUP(A70,SatSunPeakPwr,(IF(BMO=2,3,IF(BMO=1,2,4))),FALSE()))</f>
        <v> </v>
      </c>
      <c r="P70" s="427" t="str">
        <f aca="false">IF(A70="N/A"," ",VLOOKUP(A70,SatSunPeakPwr,(IF(BMO=2,7,IF(BMO=1,6,8))),FALSE()))</f>
        <v> </v>
      </c>
      <c r="Q70" s="428" t="str">
        <f aca="false">IF(A70="N/A"," ",(VLOOKUP(A70,OPPowerPrices,(IF(BMO=2,7,IF(BMO=1,6,8))),FALSE())))</f>
        <v> </v>
      </c>
      <c r="R70" s="429" t="str">
        <f aca="false">IF(A70="N/A"," ",(VLOOKUP(A70,GasCurves,9,FALSE()))+IF(BMO=1,Gasbmo,IF(BMO=3,-Gasbmo,0)))</f>
        <v> </v>
      </c>
      <c r="S70" s="429" t="str">
        <f aca="false">IF(A70="N/A"," ",IF(Basischeck=TRUE(),(VLOOKUP(A70,GasCurves,IF(MONTH(A70)&gt;=4,IF(MONTH(A70)&lt;=10,11,12),12),FALSE())),0))</f>
        <v> </v>
      </c>
      <c r="T70" s="429" t="str">
        <f aca="false">IF(A70="N/A"," ",(IF(MONTH(A70)&gt;=4,IF(MONTH(A70)&lt;=10,Inputs!$H$2,Inputs!$H$3),Inputs!$H$3)))</f>
        <v> </v>
      </c>
      <c r="U70" s="430" t="str">
        <f aca="false">IF(A70="N/A"," ",(VLOOKUP($A70,InterestRatesTable,2)))</f>
        <v> </v>
      </c>
      <c r="AF70" s="384" t="n">
        <v>38565</v>
      </c>
      <c r="AG70" s="36" t="n">
        <v>23</v>
      </c>
      <c r="AH70" s="36" t="n">
        <v>4</v>
      </c>
      <c r="AI70" s="36" t="n">
        <v>4</v>
      </c>
      <c r="AJ70" s="36" t="n">
        <v>0</v>
      </c>
      <c r="AK70" s="36" t="n">
        <v>31</v>
      </c>
    </row>
    <row r="71" customFormat="false" ht="12.75" hidden="false" customHeight="false" outlineLevel="0" collapsed="false">
      <c r="A71" s="420" t="str">
        <f aca="false">Calculations!A38</f>
        <v>N/A</v>
      </c>
      <c r="B71" s="421" t="str">
        <f aca="false">IF(A71="N/A"," ",IF(ISERROR(N71),B59*Pwresc,N71)*VLOOKUP(MONTH(A71),Curveadj,3))</f>
        <v> </v>
      </c>
      <c r="C71" s="422" t="str">
        <f aca="false">IF(A71="N/A"," ",(IF(AND(MONTH(A71)&gt;=6,MONTH(A71)&lt;=8,OR($M$37="REGION 2",$M$37="REGION 2A",$M$37="REGION 2B",$M$37="REGION 3",$M$37="REGION 3A",$M$37="REGION 3B",$M$37="REGION 4",$M$37="REGION 4B",$M$37="REGION 4C",$M$37="REGION 5",$M$37="REGION 5A")),((0.059228/(B71/100))-(0.4980013/(SQRT(B71/100)))+2.137988),HLOOKUP(MONTH(A71),ScalarTable,28))))</f>
        <v> </v>
      </c>
      <c r="D71" s="423" t="str">
        <f aca="false">IF(A71="N/A"," ",C71*B71)</f>
        <v> </v>
      </c>
      <c r="E71" s="421" t="str">
        <f aca="false">IF(A71="N/A"," ",IF(ISERROR(O71),E59*Pwresc,O71)*VLOOKUP(MONTH(A71),Curveadj,3))</f>
        <v> </v>
      </c>
      <c r="F71" s="423" t="str">
        <f aca="false">IF(A71="N/A"," ",E71*C71)</f>
        <v> </v>
      </c>
      <c r="G71" s="421" t="str">
        <f aca="false">IF(A71="N/A"," ",IF(ISERROR(P71),G59*Pwresc,P71)*VLOOKUP(MONTH(A71),Curveadj,3))</f>
        <v> </v>
      </c>
      <c r="H71" s="423" t="str">
        <f aca="false">IF(A71="N/A"," ",G71*C71)</f>
        <v> </v>
      </c>
      <c r="I71" s="423" t="str">
        <f aca="false">IF(A71="N/A"," ",IF(ISERROR(Q71),I59*Pwresc,Q71))</f>
        <v> </v>
      </c>
      <c r="J71" s="424" t="str">
        <f aca="false">IF(A71="N/A"," ",K71+L71+T71)</f>
        <v> </v>
      </c>
      <c r="K71" s="425" t="str">
        <f aca="false">IF(A71="N/A"," ",IF(ISERROR(R71),K59*Gasesc,R71))</f>
        <v> </v>
      </c>
      <c r="L71" s="425" t="str">
        <f aca="false">IF(A71="N/A"," ",IF(ISERROR(S71),L59*Gasesc,IF(S71=0,L59*Gasesc,S71)))</f>
        <v> </v>
      </c>
      <c r="M71" s="431"/>
      <c r="N71" s="427" t="str">
        <f aca="false">IF(A71="N/A"," ",VLOOKUP(A71,PeakPowerCurves,(IF(BMO=2,3,IF(BMO=1,2,4))),FALSE()))</f>
        <v> </v>
      </c>
      <c r="O71" s="427" t="str">
        <f aca="false">IF(A71="N/A"," ",VLOOKUP(A71,SatSunPeakPwr,(IF(BMO=2,3,IF(BMO=1,2,4))),FALSE()))</f>
        <v> </v>
      </c>
      <c r="P71" s="427" t="str">
        <f aca="false">IF(A71="N/A"," ",VLOOKUP(A71,SatSunPeakPwr,(IF(BMO=2,7,IF(BMO=1,6,8))),FALSE()))</f>
        <v> </v>
      </c>
      <c r="Q71" s="428" t="str">
        <f aca="false">IF(A71="N/A"," ",(VLOOKUP(A71,OPPowerPrices,(IF(BMO=2,7,IF(BMO=1,6,8))),FALSE())))</f>
        <v> </v>
      </c>
      <c r="R71" s="429" t="str">
        <f aca="false">IF(A71="N/A"," ",(VLOOKUP(A71,GasCurves,9,FALSE()))+IF(BMO=1,Gasbmo,IF(BMO=3,-Gasbmo,0)))</f>
        <v> </v>
      </c>
      <c r="S71" s="429" t="str">
        <f aca="false">IF(A71="N/A"," ",IF(Basischeck=TRUE(),(VLOOKUP(A71,GasCurves,IF(MONTH(A71)&gt;=4,IF(MONTH(A71)&lt;=10,11,12),12),FALSE())),0))</f>
        <v> </v>
      </c>
      <c r="T71" s="429" t="str">
        <f aca="false">IF(A71="N/A"," ",(IF(MONTH(A71)&gt;=4,IF(MONTH(A71)&lt;=10,Inputs!$H$2,Inputs!$H$3),Inputs!$H$3)))</f>
        <v> </v>
      </c>
      <c r="U71" s="430" t="str">
        <f aca="false">IF(A71="N/A"," ",(VLOOKUP($A71,InterestRatesTable,2)))</f>
        <v> </v>
      </c>
      <c r="AF71" s="384" t="n">
        <v>38596</v>
      </c>
      <c r="AG71" s="36" t="n">
        <v>21</v>
      </c>
      <c r="AH71" s="36" t="n">
        <v>4</v>
      </c>
      <c r="AI71" s="36" t="n">
        <v>5</v>
      </c>
      <c r="AJ71" s="36" t="n">
        <v>1</v>
      </c>
      <c r="AK71" s="36" t="n">
        <v>30</v>
      </c>
    </row>
    <row r="72" customFormat="false" ht="12.75" hidden="false" customHeight="false" outlineLevel="0" collapsed="false">
      <c r="A72" s="420" t="str">
        <f aca="false">Calculations!A39</f>
        <v>N/A</v>
      </c>
      <c r="B72" s="421" t="str">
        <f aca="false">IF(A72="N/A"," ",IF(ISERROR(N72),B60*Pwresc,N72)*VLOOKUP(MONTH(A72),Curveadj,3))</f>
        <v> </v>
      </c>
      <c r="C72" s="422" t="str">
        <f aca="false">IF(A72="N/A"," ",(IF(AND(MONTH(A72)&gt;=6,MONTH(A72)&lt;=8,OR($M$37="REGION 2",$M$37="REGION 2A",$M$37="REGION 2B",$M$37="REGION 3",$M$37="REGION 3A",$M$37="REGION 3B",$M$37="REGION 4",$M$37="REGION 4B",$M$37="REGION 4C",$M$37="REGION 5",$M$37="REGION 5A")),((0.059228/(B72/100))-(0.4980013/(SQRT(B72/100)))+2.137988),HLOOKUP(MONTH(A72),ScalarTable,28))))</f>
        <v> </v>
      </c>
      <c r="D72" s="423" t="str">
        <f aca="false">IF(A72="N/A"," ",C72*B72)</f>
        <v> </v>
      </c>
      <c r="E72" s="421" t="str">
        <f aca="false">IF(A72="N/A"," ",IF(ISERROR(O72),E60*Pwresc,O72)*VLOOKUP(MONTH(A72),Curveadj,3))</f>
        <v> </v>
      </c>
      <c r="F72" s="423" t="str">
        <f aca="false">IF(A72="N/A"," ",E72*C72)</f>
        <v> </v>
      </c>
      <c r="G72" s="421" t="str">
        <f aca="false">IF(A72="N/A"," ",IF(ISERROR(P72),G60*Pwresc,P72)*VLOOKUP(MONTH(A72),Curveadj,3))</f>
        <v> </v>
      </c>
      <c r="H72" s="423" t="str">
        <f aca="false">IF(A72="N/A"," ",G72*C72)</f>
        <v> </v>
      </c>
      <c r="I72" s="423" t="str">
        <f aca="false">IF(A72="N/A"," ",IF(ISERROR(Q72),I60*Pwresc,Q72))</f>
        <v> </v>
      </c>
      <c r="J72" s="424" t="str">
        <f aca="false">IF(A72="N/A"," ",K72+L72+T72)</f>
        <v> </v>
      </c>
      <c r="K72" s="425" t="str">
        <f aca="false">IF(A72="N/A"," ",IF(ISERROR(R72),K60*Gasesc,R72))</f>
        <v> </v>
      </c>
      <c r="L72" s="425" t="str">
        <f aca="false">IF(A72="N/A"," ",IF(ISERROR(S72),L60*Gasesc,IF(S72=0,L60*Gasesc,S72)))</f>
        <v> </v>
      </c>
      <c r="M72" s="431"/>
      <c r="N72" s="427" t="str">
        <f aca="false">IF(A72="N/A"," ",VLOOKUP(A72,PeakPowerCurves,(IF(BMO=2,3,IF(BMO=1,2,4))),FALSE()))</f>
        <v> </v>
      </c>
      <c r="O72" s="427" t="str">
        <f aca="false">IF(A72="N/A"," ",VLOOKUP(A72,SatSunPeakPwr,(IF(BMO=2,3,IF(BMO=1,2,4))),FALSE()))</f>
        <v> </v>
      </c>
      <c r="P72" s="427" t="str">
        <f aca="false">IF(A72="N/A"," ",VLOOKUP(A72,SatSunPeakPwr,(IF(BMO=2,7,IF(BMO=1,6,8))),FALSE()))</f>
        <v> </v>
      </c>
      <c r="Q72" s="428" t="str">
        <f aca="false">IF(A72="N/A"," ",(VLOOKUP(A72,OPPowerPrices,(IF(BMO=2,7,IF(BMO=1,6,8))),FALSE())))</f>
        <v> </v>
      </c>
      <c r="R72" s="429" t="str">
        <f aca="false">IF(A72="N/A"," ",(VLOOKUP(A72,GasCurves,9,FALSE()))+IF(BMO=1,Gasbmo,IF(BMO=3,-Gasbmo,0)))</f>
        <v> </v>
      </c>
      <c r="S72" s="429" t="str">
        <f aca="false">IF(A72="N/A"," ",IF(Basischeck=TRUE(),(VLOOKUP(A72,GasCurves,IF(MONTH(A72)&gt;=4,IF(MONTH(A72)&lt;=10,11,12),12),FALSE())),0))</f>
        <v> </v>
      </c>
      <c r="T72" s="429" t="str">
        <f aca="false">IF(A72="N/A"," ",(IF(MONTH(A72)&gt;=4,IF(MONTH(A72)&lt;=10,Inputs!$H$2,Inputs!$H$3),Inputs!$H$3)))</f>
        <v> </v>
      </c>
      <c r="U72" s="430" t="str">
        <f aca="false">IF(A72="N/A"," ",(VLOOKUP($A72,InterestRatesTable,2)))</f>
        <v> </v>
      </c>
      <c r="AF72" s="384" t="n">
        <v>38626</v>
      </c>
      <c r="AG72" s="36" t="n">
        <v>21</v>
      </c>
      <c r="AH72" s="36" t="n">
        <v>5</v>
      </c>
      <c r="AI72" s="36" t="n">
        <v>5</v>
      </c>
      <c r="AJ72" s="36" t="n">
        <v>0</v>
      </c>
      <c r="AK72" s="36" t="n">
        <v>31</v>
      </c>
    </row>
    <row r="73" customFormat="false" ht="12.75" hidden="false" customHeight="false" outlineLevel="0" collapsed="false">
      <c r="A73" s="420" t="str">
        <f aca="false">Calculations!A40</f>
        <v>N/A</v>
      </c>
      <c r="B73" s="421" t="str">
        <f aca="false">IF(A73="N/A"," ",IF(ISERROR(N73),B61*Pwresc,N73)*VLOOKUP(MONTH(A73),Curveadj,3))</f>
        <v> </v>
      </c>
      <c r="C73" s="422" t="str">
        <f aca="false">IF(A73="N/A"," ",(IF(AND(MONTH(A73)&gt;=6,MONTH(A73)&lt;=8,OR($M$37="REGION 2",$M$37="REGION 2A",$M$37="REGION 2B",$M$37="REGION 3",$M$37="REGION 3A",$M$37="REGION 3B",$M$37="REGION 4",$M$37="REGION 4B",$M$37="REGION 4C",$M$37="REGION 5",$M$37="REGION 5A")),((0.059228/(B73/100))-(0.4980013/(SQRT(B73/100)))+2.137988),HLOOKUP(MONTH(A73),ScalarTable,28))))</f>
        <v> </v>
      </c>
      <c r="D73" s="423" t="str">
        <f aca="false">IF(A73="N/A"," ",C73*B73)</f>
        <v> </v>
      </c>
      <c r="E73" s="421" t="str">
        <f aca="false">IF(A73="N/A"," ",IF(ISERROR(O73),E61*Pwresc,O73)*VLOOKUP(MONTH(A73),Curveadj,3))</f>
        <v> </v>
      </c>
      <c r="F73" s="423" t="str">
        <f aca="false">IF(A73="N/A"," ",E73*C73)</f>
        <v> </v>
      </c>
      <c r="G73" s="421" t="str">
        <f aca="false">IF(A73="N/A"," ",IF(ISERROR(P73),G61*Pwresc,P73)*VLOOKUP(MONTH(A73),Curveadj,3))</f>
        <v> </v>
      </c>
      <c r="H73" s="423" t="str">
        <f aca="false">IF(A73="N/A"," ",G73*C73)</f>
        <v> </v>
      </c>
      <c r="I73" s="423" t="str">
        <f aca="false">IF(A73="N/A"," ",IF(ISERROR(Q73),I61*Pwresc,Q73))</f>
        <v> </v>
      </c>
      <c r="J73" s="424" t="str">
        <f aca="false">IF(A73="N/A"," ",K73+L73+T73)</f>
        <v> </v>
      </c>
      <c r="K73" s="425" t="str">
        <f aca="false">IF(A73="N/A"," ",IF(ISERROR(R73),K61*Gasesc,R73))</f>
        <v> </v>
      </c>
      <c r="L73" s="425" t="str">
        <f aca="false">IF(A73="N/A"," ",IF(ISERROR(S73),L61*Gasesc,IF(S73=0,L61*Gasesc,S73)))</f>
        <v> </v>
      </c>
      <c r="M73" s="431"/>
      <c r="N73" s="427" t="str">
        <f aca="false">IF(A73="N/A"," ",VLOOKUP(A73,PeakPowerCurves,(IF(BMO=2,3,IF(BMO=1,2,4))),FALSE()))</f>
        <v> </v>
      </c>
      <c r="O73" s="427" t="str">
        <f aca="false">IF(A73="N/A"," ",VLOOKUP(A73,SatSunPeakPwr,(IF(BMO=2,3,IF(BMO=1,2,4))),FALSE()))</f>
        <v> </v>
      </c>
      <c r="P73" s="427" t="str">
        <f aca="false">IF(A73="N/A"," ",VLOOKUP(A73,SatSunPeakPwr,(IF(BMO=2,7,IF(BMO=1,6,8))),FALSE()))</f>
        <v> </v>
      </c>
      <c r="Q73" s="428" t="str">
        <f aca="false">IF(A73="N/A"," ",(VLOOKUP(A73,OPPowerPrices,(IF(BMO=2,7,IF(BMO=1,6,8))),FALSE())))</f>
        <v> </v>
      </c>
      <c r="R73" s="429" t="str">
        <f aca="false">IF(A73="N/A"," ",(VLOOKUP(A73,GasCurves,9,FALSE()))+IF(BMO=1,Gasbmo,IF(BMO=3,-Gasbmo,0)))</f>
        <v> </v>
      </c>
      <c r="S73" s="429" t="str">
        <f aca="false">IF(A73="N/A"," ",IF(Basischeck=TRUE(),(VLOOKUP(A73,GasCurves,IF(MONTH(A73)&gt;=4,IF(MONTH(A73)&lt;=10,11,12),12),FALSE())),0))</f>
        <v> </v>
      </c>
      <c r="T73" s="429" t="str">
        <f aca="false">IF(A73="N/A"," ",(IF(MONTH(A73)&gt;=4,IF(MONTH(A73)&lt;=10,Inputs!$H$2,Inputs!$H$3),Inputs!$H$3)))</f>
        <v> </v>
      </c>
      <c r="U73" s="430" t="str">
        <f aca="false">IF(A73="N/A"," ",(VLOOKUP($A73,InterestRatesTable,2)))</f>
        <v> </v>
      </c>
      <c r="AF73" s="384" t="n">
        <v>38657</v>
      </c>
      <c r="AG73" s="36" t="n">
        <v>21</v>
      </c>
      <c r="AH73" s="36" t="n">
        <v>4</v>
      </c>
      <c r="AI73" s="36" t="n">
        <v>5</v>
      </c>
      <c r="AJ73" s="36" t="n">
        <v>1</v>
      </c>
      <c r="AK73" s="36" t="n">
        <v>30</v>
      </c>
    </row>
    <row r="74" customFormat="false" ht="12.75" hidden="false" customHeight="false" outlineLevel="0" collapsed="false">
      <c r="A74" s="420" t="str">
        <f aca="false">Calculations!A41</f>
        <v>N/A</v>
      </c>
      <c r="B74" s="421" t="str">
        <f aca="false">IF(A74="N/A"," ",IF(ISERROR(N74),B62*Pwresc,N74)*VLOOKUP(MONTH(A74),Curveadj,3))</f>
        <v> </v>
      </c>
      <c r="C74" s="422" t="str">
        <f aca="false">IF(A74="N/A"," ",(IF(AND(MONTH(A74)&gt;=6,MONTH(A74)&lt;=8,OR($M$37="REGION 2",$M$37="REGION 2A",$M$37="REGION 2B",$M$37="REGION 3",$M$37="REGION 3A",$M$37="REGION 3B",$M$37="REGION 4",$M$37="REGION 4B",$M$37="REGION 4C",$M$37="REGION 5",$M$37="REGION 5A")),((0.059228/(B74/100))-(0.4980013/(SQRT(B74/100)))+2.137988),HLOOKUP(MONTH(A74),ScalarTable,28))))</f>
        <v> </v>
      </c>
      <c r="D74" s="423" t="str">
        <f aca="false">IF(A74="N/A"," ",C74*B74)</f>
        <v> </v>
      </c>
      <c r="E74" s="421" t="str">
        <f aca="false">IF(A74="N/A"," ",IF(ISERROR(O74),E62*Pwresc,O74)*VLOOKUP(MONTH(A74),Curveadj,3))</f>
        <v> </v>
      </c>
      <c r="F74" s="423" t="str">
        <f aca="false">IF(A74="N/A"," ",E74*C74)</f>
        <v> </v>
      </c>
      <c r="G74" s="421" t="str">
        <f aca="false">IF(A74="N/A"," ",IF(ISERROR(P74),G62*Pwresc,P74)*VLOOKUP(MONTH(A74),Curveadj,3))</f>
        <v> </v>
      </c>
      <c r="H74" s="423" t="str">
        <f aca="false">IF(A74="N/A"," ",G74*C74)</f>
        <v> </v>
      </c>
      <c r="I74" s="423" t="str">
        <f aca="false">IF(A74="N/A"," ",IF(ISERROR(Q74),I62*Pwresc,Q74))</f>
        <v> </v>
      </c>
      <c r="J74" s="424" t="str">
        <f aca="false">IF(A74="N/A"," ",K74+L74+T74)</f>
        <v> </v>
      </c>
      <c r="K74" s="425" t="str">
        <f aca="false">IF(A74="N/A"," ",IF(ISERROR(R74),K62*Gasesc,R74))</f>
        <v> </v>
      </c>
      <c r="L74" s="425" t="str">
        <f aca="false">IF(A74="N/A"," ",IF(ISERROR(S74),L62*Gasesc,IF(S74=0,L62*Gasesc,S74)))</f>
        <v> </v>
      </c>
      <c r="M74" s="431"/>
      <c r="N74" s="427" t="str">
        <f aca="false">IF(A74="N/A"," ",VLOOKUP(A74,PeakPowerCurves,(IF(BMO=2,3,IF(BMO=1,2,4))),FALSE()))</f>
        <v> </v>
      </c>
      <c r="O74" s="427" t="str">
        <f aca="false">IF(A74="N/A"," ",VLOOKUP(A74,SatSunPeakPwr,(IF(BMO=2,3,IF(BMO=1,2,4))),FALSE()))</f>
        <v> </v>
      </c>
      <c r="P74" s="427" t="str">
        <f aca="false">IF(A74="N/A"," ",VLOOKUP(A74,SatSunPeakPwr,(IF(BMO=2,7,IF(BMO=1,6,8))),FALSE()))</f>
        <v> </v>
      </c>
      <c r="Q74" s="428" t="str">
        <f aca="false">IF(A74="N/A"," ",(VLOOKUP(A74,OPPowerPrices,(IF(BMO=2,7,IF(BMO=1,6,8))),FALSE())))</f>
        <v> </v>
      </c>
      <c r="R74" s="429" t="str">
        <f aca="false">IF(A74="N/A"," ",(VLOOKUP(A74,GasCurves,9,FALSE()))+IF(BMO=1,Gasbmo,IF(BMO=3,-Gasbmo,0)))</f>
        <v> </v>
      </c>
      <c r="S74" s="429" t="str">
        <f aca="false">IF(A74="N/A"," ",IF(Basischeck=TRUE(),(VLOOKUP(A74,GasCurves,IF(MONTH(A74)&gt;=4,IF(MONTH(A74)&lt;=10,11,12),12),FALSE())),0))</f>
        <v> </v>
      </c>
      <c r="T74" s="429" t="str">
        <f aca="false">IF(A74="N/A"," ",(IF(MONTH(A74)&gt;=4,IF(MONTH(A74)&lt;=10,Inputs!$H$2,Inputs!$H$3),Inputs!$H$3)))</f>
        <v> </v>
      </c>
      <c r="U74" s="430" t="str">
        <f aca="false">IF(A74="N/A"," ",(VLOOKUP($A74,InterestRatesTable,2)))</f>
        <v> </v>
      </c>
      <c r="AF74" s="384" t="n">
        <v>38687</v>
      </c>
      <c r="AG74" s="36" t="n">
        <v>21</v>
      </c>
      <c r="AH74" s="36" t="n">
        <v>5</v>
      </c>
      <c r="AI74" s="36" t="n">
        <v>5</v>
      </c>
      <c r="AJ74" s="36" t="n">
        <v>1</v>
      </c>
      <c r="AK74" s="36" t="n">
        <v>31</v>
      </c>
    </row>
    <row r="75" customFormat="false" ht="12.75" hidden="false" customHeight="false" outlineLevel="0" collapsed="false">
      <c r="A75" s="420" t="str">
        <f aca="false">Calculations!A42</f>
        <v>N/A</v>
      </c>
      <c r="B75" s="421" t="str">
        <f aca="false">IF(A75="N/A"," ",IF(ISERROR(N75),B63*Pwresc,N75)*VLOOKUP(MONTH(A75),Curveadj,3))</f>
        <v> </v>
      </c>
      <c r="C75" s="422" t="str">
        <f aca="false">IF(A75="N/A"," ",(IF(AND(MONTH(A75)&gt;=6,MONTH(A75)&lt;=8,OR($M$37="REGION 2",$M$37="REGION 2A",$M$37="REGION 2B",$M$37="REGION 3",$M$37="REGION 3A",$M$37="REGION 3B",$M$37="REGION 4",$M$37="REGION 4B",$M$37="REGION 4C",$M$37="REGION 5",$M$37="REGION 5A")),((0.059228/(B75/100))-(0.4980013/(SQRT(B75/100)))+2.137988),HLOOKUP(MONTH(A75),ScalarTable,28))))</f>
        <v> </v>
      </c>
      <c r="D75" s="423" t="str">
        <f aca="false">IF(A75="N/A"," ",C75*B75)</f>
        <v> </v>
      </c>
      <c r="E75" s="421" t="str">
        <f aca="false">IF(A75="N/A"," ",IF(ISERROR(O75),E63*Pwresc,O75)*VLOOKUP(MONTH(A75),Curveadj,3))</f>
        <v> </v>
      </c>
      <c r="F75" s="423" t="str">
        <f aca="false">IF(A75="N/A"," ",E75*C75)</f>
        <v> </v>
      </c>
      <c r="G75" s="421" t="str">
        <f aca="false">IF(A75="N/A"," ",IF(ISERROR(P75),G63*Pwresc,P75)*VLOOKUP(MONTH(A75),Curveadj,3))</f>
        <v> </v>
      </c>
      <c r="H75" s="423" t="str">
        <f aca="false">IF(A75="N/A"," ",G75*C75)</f>
        <v> </v>
      </c>
      <c r="I75" s="423" t="str">
        <f aca="false">IF(A75="N/A"," ",IF(ISERROR(Q75),I63*Pwresc,Q75))</f>
        <v> </v>
      </c>
      <c r="J75" s="424" t="str">
        <f aca="false">IF(A75="N/A"," ",K75+L75+T75)</f>
        <v> </v>
      </c>
      <c r="K75" s="425" t="str">
        <f aca="false">IF(A75="N/A"," ",IF(ISERROR(R75),K63*Gasesc,R75))</f>
        <v> </v>
      </c>
      <c r="L75" s="425" t="str">
        <f aca="false">IF(A75="N/A"," ",IF(ISERROR(S75),L63*Gasesc,IF(S75=0,L63*Gasesc,S75)))</f>
        <v> </v>
      </c>
      <c r="M75" s="431"/>
      <c r="N75" s="427" t="str">
        <f aca="false">IF(A75="N/A"," ",VLOOKUP(A75,PeakPowerCurves,(IF(BMO=2,3,IF(BMO=1,2,4))),FALSE()))</f>
        <v> </v>
      </c>
      <c r="O75" s="427" t="str">
        <f aca="false">IF(A75="N/A"," ",VLOOKUP(A75,SatSunPeakPwr,(IF(BMO=2,3,IF(BMO=1,2,4))),FALSE()))</f>
        <v> </v>
      </c>
      <c r="P75" s="427" t="str">
        <f aca="false">IF(A75="N/A"," ",VLOOKUP(A75,SatSunPeakPwr,(IF(BMO=2,7,IF(BMO=1,6,8))),FALSE()))</f>
        <v> </v>
      </c>
      <c r="Q75" s="428" t="str">
        <f aca="false">IF(A75="N/A"," ",(VLOOKUP(A75,OPPowerPrices,(IF(BMO=2,7,IF(BMO=1,6,8))),FALSE())))</f>
        <v> </v>
      </c>
      <c r="R75" s="429" t="str">
        <f aca="false">IF(A75="N/A"," ",(VLOOKUP(A75,GasCurves,9,FALSE()))+IF(BMO=1,Gasbmo,IF(BMO=3,-Gasbmo,0)))</f>
        <v> </v>
      </c>
      <c r="S75" s="429" t="str">
        <f aca="false">IF(A75="N/A"," ",IF(Basischeck=TRUE(),(VLOOKUP(A75,GasCurves,IF(MONTH(A75)&gt;=4,IF(MONTH(A75)&lt;=10,11,12),12),FALSE())),0))</f>
        <v> </v>
      </c>
      <c r="T75" s="429" t="str">
        <f aca="false">IF(A75="N/A"," ",(IF(MONTH(A75)&gt;=4,IF(MONTH(A75)&lt;=10,Inputs!$H$2,Inputs!$H$3),Inputs!$H$3)))</f>
        <v> </v>
      </c>
      <c r="U75" s="430" t="str">
        <f aca="false">IF(A75="N/A"," ",(VLOOKUP($A75,InterestRatesTable,2)))</f>
        <v> </v>
      </c>
      <c r="AF75" s="384" t="n">
        <v>38718</v>
      </c>
      <c r="AG75" s="36" t="n">
        <v>21</v>
      </c>
      <c r="AH75" s="36" t="n">
        <v>4</v>
      </c>
      <c r="AI75" s="36" t="n">
        <v>6</v>
      </c>
      <c r="AJ75" s="36" t="n">
        <v>1</v>
      </c>
      <c r="AK75" s="36" t="n">
        <v>31</v>
      </c>
    </row>
    <row r="76" customFormat="false" ht="12.75" hidden="false" customHeight="false" outlineLevel="0" collapsed="false">
      <c r="A76" s="420" t="str">
        <f aca="false">Calculations!A43</f>
        <v>N/A</v>
      </c>
      <c r="B76" s="421" t="str">
        <f aca="false">IF(A76="N/A"," ",IF(ISERROR(N76),B64*Pwresc,N76)*VLOOKUP(MONTH(A76),Curveadj,3))</f>
        <v> </v>
      </c>
      <c r="C76" s="422" t="str">
        <f aca="false">IF(A76="N/A"," ",(IF(AND(MONTH(A76)&gt;=6,MONTH(A76)&lt;=8,OR($M$37="REGION 2",$M$37="REGION 2A",$M$37="REGION 2B",$M$37="REGION 3",$M$37="REGION 3A",$M$37="REGION 3B",$M$37="REGION 4",$M$37="REGION 4B",$M$37="REGION 4C",$M$37="REGION 5",$M$37="REGION 5A")),((0.059228/(B76/100))-(0.4980013/(SQRT(B76/100)))+2.137988),HLOOKUP(MONTH(A76),ScalarTable,28))))</f>
        <v> </v>
      </c>
      <c r="D76" s="423" t="str">
        <f aca="false">IF(A76="N/A"," ",C76*B76)</f>
        <v> </v>
      </c>
      <c r="E76" s="421" t="str">
        <f aca="false">IF(A76="N/A"," ",IF(ISERROR(O76),E64*Pwresc,O76)*VLOOKUP(MONTH(A76),Curveadj,3))</f>
        <v> </v>
      </c>
      <c r="F76" s="423" t="str">
        <f aca="false">IF(A76="N/A"," ",E76*C76)</f>
        <v> </v>
      </c>
      <c r="G76" s="421" t="str">
        <f aca="false">IF(A76="N/A"," ",IF(ISERROR(P76),G64*Pwresc,P76)*VLOOKUP(MONTH(A76),Curveadj,3))</f>
        <v> </v>
      </c>
      <c r="H76" s="423" t="str">
        <f aca="false">IF(A76="N/A"," ",G76*C76)</f>
        <v> </v>
      </c>
      <c r="I76" s="423" t="str">
        <f aca="false">IF(A76="N/A"," ",IF(ISERROR(Q76),I64*Pwresc,Q76))</f>
        <v> </v>
      </c>
      <c r="J76" s="424" t="str">
        <f aca="false">IF(A76="N/A"," ",K76+L76+T76)</f>
        <v> </v>
      </c>
      <c r="K76" s="425" t="str">
        <f aca="false">IF(A76="N/A"," ",IF(ISERROR(R76),K64*Gasesc,R76))</f>
        <v> </v>
      </c>
      <c r="L76" s="425" t="str">
        <f aca="false">IF(A76="N/A"," ",IF(ISERROR(S76),L64*Gasesc,IF(S76=0,L64*Gasesc,S76)))</f>
        <v> </v>
      </c>
      <c r="M76" s="431"/>
      <c r="N76" s="427" t="str">
        <f aca="false">IF(A76="N/A"," ",VLOOKUP(A76,PeakPowerCurves,(IF(BMO=2,3,IF(BMO=1,2,4))),FALSE()))</f>
        <v> </v>
      </c>
      <c r="O76" s="427" t="str">
        <f aca="false">IF(A76="N/A"," ",VLOOKUP(A76,SatSunPeakPwr,(IF(BMO=2,3,IF(BMO=1,2,4))),FALSE()))</f>
        <v> </v>
      </c>
      <c r="P76" s="427" t="str">
        <f aca="false">IF(A76="N/A"," ",VLOOKUP(A76,SatSunPeakPwr,(IF(BMO=2,7,IF(BMO=1,6,8))),FALSE()))</f>
        <v> </v>
      </c>
      <c r="Q76" s="428" t="str">
        <f aca="false">IF(A76="N/A"," ",(VLOOKUP(A76,OPPowerPrices,(IF(BMO=2,7,IF(BMO=1,6,8))),FALSE())))</f>
        <v> </v>
      </c>
      <c r="R76" s="429" t="str">
        <f aca="false">IF(A76="N/A"," ",(VLOOKUP(A76,GasCurves,9,FALSE()))+IF(BMO=1,Gasbmo,IF(BMO=3,-Gasbmo,0)))</f>
        <v> </v>
      </c>
      <c r="S76" s="429" t="str">
        <f aca="false">IF(A76="N/A"," ",IF(Basischeck=TRUE(),(VLOOKUP(A76,GasCurves,IF(MONTH(A76)&gt;=4,IF(MONTH(A76)&lt;=10,11,12),12),FALSE())),0))</f>
        <v> </v>
      </c>
      <c r="T76" s="429" t="str">
        <f aca="false">IF(A76="N/A"," ",(IF(MONTH(A76)&gt;=4,IF(MONTH(A76)&lt;=10,Inputs!$H$2,Inputs!$H$3),Inputs!$H$3)))</f>
        <v> </v>
      </c>
      <c r="U76" s="430" t="str">
        <f aca="false">IF(A76="N/A"," ",(VLOOKUP($A76,InterestRatesTable,2)))</f>
        <v> </v>
      </c>
      <c r="AF76" s="384" t="n">
        <v>38749</v>
      </c>
      <c r="AG76" s="36" t="n">
        <v>20</v>
      </c>
      <c r="AH76" s="36" t="n">
        <v>4</v>
      </c>
      <c r="AI76" s="36" t="n">
        <v>4</v>
      </c>
      <c r="AJ76" s="36" t="n">
        <v>0</v>
      </c>
      <c r="AK76" s="36" t="n">
        <v>28</v>
      </c>
    </row>
    <row r="77" customFormat="false" ht="12.75" hidden="false" customHeight="false" outlineLevel="0" collapsed="false">
      <c r="A77" s="420" t="str">
        <f aca="false">Calculations!A44</f>
        <v>N/A</v>
      </c>
      <c r="B77" s="421" t="str">
        <f aca="false">IF(A77="N/A"," ",IF(ISERROR(N77),B65*Pwresc,N77)*VLOOKUP(MONTH(A77),Curveadj,3))</f>
        <v> </v>
      </c>
      <c r="C77" s="422" t="str">
        <f aca="false">IF(A77="N/A"," ",(IF(AND(MONTH(A77)&gt;=6,MONTH(A77)&lt;=8,OR($M$37="REGION 2",$M$37="REGION 2A",$M$37="REGION 2B",$M$37="REGION 3",$M$37="REGION 3A",$M$37="REGION 3B",$M$37="REGION 4",$M$37="REGION 4B",$M$37="REGION 4C",$M$37="REGION 5",$M$37="REGION 5A")),((0.059228/(B77/100))-(0.4980013/(SQRT(B77/100)))+2.137988),HLOOKUP(MONTH(A77),ScalarTable,28))))</f>
        <v> </v>
      </c>
      <c r="D77" s="423" t="str">
        <f aca="false">IF(A77="N/A"," ",C77*B77)</f>
        <v> </v>
      </c>
      <c r="E77" s="421" t="str">
        <f aca="false">IF(A77="N/A"," ",IF(ISERROR(O77),E65*Pwresc,O77)*VLOOKUP(MONTH(A77),Curveadj,3))</f>
        <v> </v>
      </c>
      <c r="F77" s="423" t="str">
        <f aca="false">IF(A77="N/A"," ",E77*C77)</f>
        <v> </v>
      </c>
      <c r="G77" s="421" t="str">
        <f aca="false">IF(A77="N/A"," ",IF(ISERROR(P77),G65*Pwresc,P77)*VLOOKUP(MONTH(A77),Curveadj,3))</f>
        <v> </v>
      </c>
      <c r="H77" s="423" t="str">
        <f aca="false">IF(A77="N/A"," ",G77*C77)</f>
        <v> </v>
      </c>
      <c r="I77" s="423" t="str">
        <f aca="false">IF(A77="N/A"," ",IF(ISERROR(Q77),I65*Pwresc,Q77))</f>
        <v> </v>
      </c>
      <c r="J77" s="424" t="str">
        <f aca="false">IF(A77="N/A"," ",K77+L77+T77)</f>
        <v> </v>
      </c>
      <c r="K77" s="425" t="str">
        <f aca="false">IF(A77="N/A"," ",IF(ISERROR(R77),K65*Gasesc,R77))</f>
        <v> </v>
      </c>
      <c r="L77" s="425" t="str">
        <f aca="false">IF(A77="N/A"," ",IF(ISERROR(S77),L65*Gasesc,IF(S77=0,L65*Gasesc,S77)))</f>
        <v> </v>
      </c>
      <c r="M77" s="431"/>
      <c r="N77" s="427" t="str">
        <f aca="false">IF(A77="N/A"," ",VLOOKUP(A77,PeakPowerCurves,(IF(BMO=2,3,IF(BMO=1,2,4))),FALSE()))</f>
        <v> </v>
      </c>
      <c r="O77" s="427" t="str">
        <f aca="false">IF(A77="N/A"," ",VLOOKUP(A77,SatSunPeakPwr,(IF(BMO=2,3,IF(BMO=1,2,4))),FALSE()))</f>
        <v> </v>
      </c>
      <c r="P77" s="427" t="str">
        <f aca="false">IF(A77="N/A"," ",VLOOKUP(A77,SatSunPeakPwr,(IF(BMO=2,7,IF(BMO=1,6,8))),FALSE()))</f>
        <v> </v>
      </c>
      <c r="Q77" s="428" t="str">
        <f aca="false">IF(A77="N/A"," ",(VLOOKUP(A77,OPPowerPrices,(IF(BMO=2,7,IF(BMO=1,6,8))),FALSE())))</f>
        <v> </v>
      </c>
      <c r="R77" s="429" t="str">
        <f aca="false">IF(A77="N/A"," ",(VLOOKUP(A77,GasCurves,9,FALSE()))+IF(BMO=1,Gasbmo,IF(BMO=3,-Gasbmo,0)))</f>
        <v> </v>
      </c>
      <c r="S77" s="429" t="str">
        <f aca="false">IF(A77="N/A"," ",IF(Basischeck=TRUE(),(VLOOKUP(A77,GasCurves,IF(MONTH(A77)&gt;=4,IF(MONTH(A77)&lt;=10,11,12),12),FALSE())),0))</f>
        <v> </v>
      </c>
      <c r="T77" s="429" t="str">
        <f aca="false">IF(A77="N/A"," ",(IF(MONTH(A77)&gt;=4,IF(MONTH(A77)&lt;=10,Inputs!$H$2,Inputs!$H$3),Inputs!$H$3)))</f>
        <v> </v>
      </c>
      <c r="U77" s="430" t="str">
        <f aca="false">IF(A77="N/A"," ",(VLOOKUP($A77,InterestRatesTable,2)))</f>
        <v> </v>
      </c>
      <c r="AF77" s="384" t="n">
        <v>38777</v>
      </c>
      <c r="AG77" s="36" t="n">
        <v>23</v>
      </c>
      <c r="AH77" s="36" t="n">
        <v>4</v>
      </c>
      <c r="AI77" s="36" t="n">
        <v>4</v>
      </c>
      <c r="AJ77" s="36" t="n">
        <v>0</v>
      </c>
      <c r="AK77" s="36" t="n">
        <v>31</v>
      </c>
    </row>
    <row r="78" customFormat="false" ht="12.75" hidden="false" customHeight="false" outlineLevel="0" collapsed="false">
      <c r="A78" s="420" t="str">
        <f aca="false">Calculations!A45</f>
        <v>N/A</v>
      </c>
      <c r="B78" s="421" t="str">
        <f aca="false">IF(A78="N/A"," ",IF(ISERROR(N78),B66*Pwresc,N78)*VLOOKUP(MONTH(A78),Curveadj,3))</f>
        <v> </v>
      </c>
      <c r="C78" s="422" t="str">
        <f aca="false">IF(A78="N/A"," ",(IF(AND(MONTH(A78)&gt;=6,MONTH(A78)&lt;=8,OR($M$37="REGION 2",$M$37="REGION 2A",$M$37="REGION 2B",$M$37="REGION 3",$M$37="REGION 3A",$M$37="REGION 3B",$M$37="REGION 4",$M$37="REGION 4B",$M$37="REGION 4C",$M$37="REGION 5",$M$37="REGION 5A")),((0.059228/(B78/100))-(0.4980013/(SQRT(B78/100)))+2.137988),HLOOKUP(MONTH(A78),ScalarTable,28))))</f>
        <v> </v>
      </c>
      <c r="D78" s="423" t="str">
        <f aca="false">IF(A78="N/A"," ",C78*B78)</f>
        <v> </v>
      </c>
      <c r="E78" s="421" t="str">
        <f aca="false">IF(A78="N/A"," ",IF(ISERROR(O78),E66*Pwresc,O78)*VLOOKUP(MONTH(A78),Curveadj,3))</f>
        <v> </v>
      </c>
      <c r="F78" s="423" t="str">
        <f aca="false">IF(A78="N/A"," ",E78*C78)</f>
        <v> </v>
      </c>
      <c r="G78" s="421" t="str">
        <f aca="false">IF(A78="N/A"," ",IF(ISERROR(P78),G66*Pwresc,P78)*VLOOKUP(MONTH(A78),Curveadj,3))</f>
        <v> </v>
      </c>
      <c r="H78" s="423" t="str">
        <f aca="false">IF(A78="N/A"," ",G78*C78)</f>
        <v> </v>
      </c>
      <c r="I78" s="423" t="str">
        <f aca="false">IF(A78="N/A"," ",IF(ISERROR(Q78),I66*Pwresc,Q78))</f>
        <v> </v>
      </c>
      <c r="J78" s="424" t="str">
        <f aca="false">IF(A78="N/A"," ",K78+L78+T78)</f>
        <v> </v>
      </c>
      <c r="K78" s="425" t="str">
        <f aca="false">IF(A78="N/A"," ",IF(ISERROR(R78),K66*Gasesc,R78))</f>
        <v> </v>
      </c>
      <c r="L78" s="425" t="str">
        <f aca="false">IF(A78="N/A"," ",IF(ISERROR(S78),L66*Gasesc,IF(S78=0,L66*Gasesc,S78)))</f>
        <v> </v>
      </c>
      <c r="M78" s="431"/>
      <c r="N78" s="427" t="str">
        <f aca="false">IF(A78="N/A"," ",VLOOKUP(A78,PeakPowerCurves,(IF(BMO=2,3,IF(BMO=1,2,4))),FALSE()))</f>
        <v> </v>
      </c>
      <c r="O78" s="427" t="str">
        <f aca="false">IF(A78="N/A"," ",VLOOKUP(A78,SatSunPeakPwr,(IF(BMO=2,3,IF(BMO=1,2,4))),FALSE()))</f>
        <v> </v>
      </c>
      <c r="P78" s="427" t="str">
        <f aca="false">IF(A78="N/A"," ",VLOOKUP(A78,SatSunPeakPwr,(IF(BMO=2,7,IF(BMO=1,6,8))),FALSE()))</f>
        <v> </v>
      </c>
      <c r="Q78" s="428" t="str">
        <f aca="false">IF(A78="N/A"," ",(VLOOKUP(A78,OPPowerPrices,(IF(BMO=2,7,IF(BMO=1,6,8))),FALSE())))</f>
        <v> </v>
      </c>
      <c r="R78" s="429" t="str">
        <f aca="false">IF(A78="N/A"," ",(VLOOKUP(A78,GasCurves,9,FALSE()))+IF(BMO=1,Gasbmo,IF(BMO=3,-Gasbmo,0)))</f>
        <v> </v>
      </c>
      <c r="S78" s="429" t="str">
        <f aca="false">IF(A78="N/A"," ",IF(Basischeck=TRUE(),(VLOOKUP(A78,GasCurves,IF(MONTH(A78)&gt;=4,IF(MONTH(A78)&lt;=10,11,12),12),FALSE())),0))</f>
        <v> </v>
      </c>
      <c r="T78" s="429" t="str">
        <f aca="false">IF(A78="N/A"," ",(IF(MONTH(A78)&gt;=4,IF(MONTH(A78)&lt;=10,Inputs!$H$2,Inputs!$H$3),Inputs!$H$3)))</f>
        <v> </v>
      </c>
      <c r="U78" s="430" t="str">
        <f aca="false">IF(A78="N/A"," ",(VLOOKUP($A78,InterestRatesTable,2)))</f>
        <v> </v>
      </c>
      <c r="AF78" s="384" t="n">
        <v>38808</v>
      </c>
      <c r="AG78" s="36" t="n">
        <v>20</v>
      </c>
      <c r="AH78" s="36" t="n">
        <v>5</v>
      </c>
      <c r="AI78" s="36" t="n">
        <v>5</v>
      </c>
      <c r="AJ78" s="36" t="n">
        <v>0</v>
      </c>
      <c r="AK78" s="36" t="n">
        <v>30</v>
      </c>
    </row>
    <row r="79" customFormat="false" ht="12.75" hidden="false" customHeight="false" outlineLevel="0" collapsed="false">
      <c r="A79" s="420" t="str">
        <f aca="false">Calculations!A46</f>
        <v>N/A</v>
      </c>
      <c r="B79" s="421" t="str">
        <f aca="false">IF(A79="N/A"," ",IF(ISERROR(N79),B67*Pwresc,N79)*VLOOKUP(MONTH(A79),Curveadj,3))</f>
        <v> </v>
      </c>
      <c r="C79" s="422" t="str">
        <f aca="false">IF(A79="N/A"," ",(IF(AND(MONTH(A79)&gt;=6,MONTH(A79)&lt;=8,OR($M$37="REGION 2",$M$37="REGION 2A",$M$37="REGION 2B",$M$37="REGION 3",$M$37="REGION 3A",$M$37="REGION 3B",$M$37="REGION 4",$M$37="REGION 4B",$M$37="REGION 4C",$M$37="REGION 5",$M$37="REGION 5A")),((0.059228/(B79/100))-(0.4980013/(SQRT(B79/100)))+2.137988),HLOOKUP(MONTH(A79),ScalarTable,28))))</f>
        <v> </v>
      </c>
      <c r="D79" s="423" t="str">
        <f aca="false">IF(A79="N/A"," ",C79*B79)</f>
        <v> </v>
      </c>
      <c r="E79" s="421" t="str">
        <f aca="false">IF(A79="N/A"," ",IF(ISERROR(O79),E67*Pwresc,O79)*VLOOKUP(MONTH(A79),Curveadj,3))</f>
        <v> </v>
      </c>
      <c r="F79" s="423" t="str">
        <f aca="false">IF(A79="N/A"," ",E79*C79)</f>
        <v> </v>
      </c>
      <c r="G79" s="421" t="str">
        <f aca="false">IF(A79="N/A"," ",IF(ISERROR(P79),G67*Pwresc,P79)*VLOOKUP(MONTH(A79),Curveadj,3))</f>
        <v> </v>
      </c>
      <c r="H79" s="423" t="str">
        <f aca="false">IF(A79="N/A"," ",G79*C79)</f>
        <v> </v>
      </c>
      <c r="I79" s="423" t="str">
        <f aca="false">IF(A79="N/A"," ",IF(ISERROR(Q79),I67*Pwresc,Q79))</f>
        <v> </v>
      </c>
      <c r="J79" s="424" t="str">
        <f aca="false">IF(A79="N/A"," ",K79+L79+T79)</f>
        <v> </v>
      </c>
      <c r="K79" s="425" t="str">
        <f aca="false">IF(A79="N/A"," ",IF(ISERROR(R79),K67*Gasesc,R79))</f>
        <v> </v>
      </c>
      <c r="L79" s="425" t="str">
        <f aca="false">IF(A79="N/A"," ",IF(ISERROR(S79),L67*Gasesc,IF(S79=0,L67*Gasesc,S79)))</f>
        <v> </v>
      </c>
      <c r="M79" s="431"/>
      <c r="N79" s="427" t="str">
        <f aca="false">IF(A79="N/A"," ",VLOOKUP(A79,PeakPowerCurves,(IF(BMO=2,3,IF(BMO=1,2,4))),FALSE()))</f>
        <v> </v>
      </c>
      <c r="O79" s="427" t="str">
        <f aca="false">IF(A79="N/A"," ",VLOOKUP(A79,SatSunPeakPwr,(IF(BMO=2,3,IF(BMO=1,2,4))),FALSE()))</f>
        <v> </v>
      </c>
      <c r="P79" s="427" t="str">
        <f aca="false">IF(A79="N/A"," ",VLOOKUP(A79,SatSunPeakPwr,(IF(BMO=2,7,IF(BMO=1,6,8))),FALSE()))</f>
        <v> </v>
      </c>
      <c r="Q79" s="428" t="str">
        <f aca="false">IF(A79="N/A"," ",(VLOOKUP(A79,OPPowerPrices,(IF(BMO=2,7,IF(BMO=1,6,8))),FALSE())))</f>
        <v> </v>
      </c>
      <c r="R79" s="429" t="str">
        <f aca="false">IF(A79="N/A"," ",(VLOOKUP(A79,GasCurves,9,FALSE()))+IF(BMO=1,Gasbmo,IF(BMO=3,-Gasbmo,0)))</f>
        <v> </v>
      </c>
      <c r="S79" s="429" t="str">
        <f aca="false">IF(A79="N/A"," ",IF(Basischeck=TRUE(),(VLOOKUP(A79,GasCurves,IF(MONTH(A79)&gt;=4,IF(MONTH(A79)&lt;=10,11,12),12),FALSE())),0))</f>
        <v> </v>
      </c>
      <c r="T79" s="429" t="str">
        <f aca="false">IF(A79="N/A"," ",(IF(MONTH(A79)&gt;=4,IF(MONTH(A79)&lt;=10,Inputs!$H$2,Inputs!$H$3),Inputs!$H$3)))</f>
        <v> </v>
      </c>
      <c r="U79" s="430" t="str">
        <f aca="false">IF(A79="N/A"," ",(VLOOKUP($A79,InterestRatesTable,2)))</f>
        <v> </v>
      </c>
      <c r="AF79" s="384" t="n">
        <v>38838</v>
      </c>
      <c r="AG79" s="36" t="n">
        <v>22</v>
      </c>
      <c r="AH79" s="36" t="n">
        <v>4</v>
      </c>
      <c r="AI79" s="36" t="n">
        <v>5</v>
      </c>
      <c r="AJ79" s="36" t="n">
        <v>1</v>
      </c>
      <c r="AK79" s="36" t="n">
        <v>31</v>
      </c>
    </row>
    <row r="80" customFormat="false" ht="12.75" hidden="false" customHeight="false" outlineLevel="0" collapsed="false">
      <c r="A80" s="420" t="str">
        <f aca="false">Calculations!A47</f>
        <v>N/A</v>
      </c>
      <c r="B80" s="421" t="str">
        <f aca="false">IF(A80="N/A"," ",IF(ISERROR(N80),B68*Pwresc,N80)*VLOOKUP(MONTH(A80),Curveadj,3))</f>
        <v> </v>
      </c>
      <c r="C80" s="422" t="str">
        <f aca="false">IF(A80="N/A"," ",(IF(AND(MONTH(A80)&gt;=6,MONTH(A80)&lt;=8,OR($M$37="REGION 2",$M$37="REGION 2A",$M$37="REGION 2B",$M$37="REGION 3",$M$37="REGION 3A",$M$37="REGION 3B",$M$37="REGION 4",$M$37="REGION 4B",$M$37="REGION 4C",$M$37="REGION 5",$M$37="REGION 5A")),((0.059228/(B80/100))-(0.4980013/(SQRT(B80/100)))+2.137988),HLOOKUP(MONTH(A80),ScalarTable,28))))</f>
        <v> </v>
      </c>
      <c r="D80" s="423" t="str">
        <f aca="false">IF(A80="N/A"," ",C80*B80)</f>
        <v> </v>
      </c>
      <c r="E80" s="421" t="str">
        <f aca="false">IF(A80="N/A"," ",IF(ISERROR(O80),E68*Pwresc,O80)*VLOOKUP(MONTH(A80),Curveadj,3))</f>
        <v> </v>
      </c>
      <c r="F80" s="423" t="str">
        <f aca="false">IF(A80="N/A"," ",E80*C80)</f>
        <v> </v>
      </c>
      <c r="G80" s="421" t="str">
        <f aca="false">IF(A80="N/A"," ",IF(ISERROR(P80),G68*Pwresc,P80)*VLOOKUP(MONTH(A80),Curveadj,3))</f>
        <v> </v>
      </c>
      <c r="H80" s="423" t="str">
        <f aca="false">IF(A80="N/A"," ",G80*C80)</f>
        <v> </v>
      </c>
      <c r="I80" s="423" t="str">
        <f aca="false">IF(A80="N/A"," ",IF(ISERROR(Q80),I68*Pwresc,Q80))</f>
        <v> </v>
      </c>
      <c r="J80" s="424" t="str">
        <f aca="false">IF(A80="N/A"," ",K80+L80+T80)</f>
        <v> </v>
      </c>
      <c r="K80" s="425" t="str">
        <f aca="false">IF(A80="N/A"," ",IF(ISERROR(R80),K68*Gasesc,R80))</f>
        <v> </v>
      </c>
      <c r="L80" s="425" t="str">
        <f aca="false">IF(A80="N/A"," ",IF(ISERROR(S80),L68*Gasesc,IF(S80=0,L68*Gasesc,S80)))</f>
        <v> </v>
      </c>
      <c r="M80" s="431"/>
      <c r="N80" s="427" t="str">
        <f aca="false">IF(A80="N/A"," ",VLOOKUP(A80,PeakPowerCurves,(IF(BMO=2,3,IF(BMO=1,2,4))),FALSE()))</f>
        <v> </v>
      </c>
      <c r="O80" s="427" t="str">
        <f aca="false">IF(A80="N/A"," ",VLOOKUP(A80,SatSunPeakPwr,(IF(BMO=2,3,IF(BMO=1,2,4))),FALSE()))</f>
        <v> </v>
      </c>
      <c r="P80" s="427" t="str">
        <f aca="false">IF(A80="N/A"," ",VLOOKUP(A80,SatSunPeakPwr,(IF(BMO=2,7,IF(BMO=1,6,8))),FALSE()))</f>
        <v> </v>
      </c>
      <c r="Q80" s="428" t="str">
        <f aca="false">IF(A80="N/A"," ",(VLOOKUP(A80,OPPowerPrices,(IF(BMO=2,7,IF(BMO=1,6,8))),FALSE())))</f>
        <v> </v>
      </c>
      <c r="R80" s="429" t="str">
        <f aca="false">IF(A80="N/A"," ",(VLOOKUP(A80,GasCurves,9,FALSE()))+IF(BMO=1,Gasbmo,IF(BMO=3,-Gasbmo,0)))</f>
        <v> </v>
      </c>
      <c r="S80" s="429" t="str">
        <f aca="false">IF(A80="N/A"," ",IF(Basischeck=TRUE(),(VLOOKUP(A80,GasCurves,IF(MONTH(A80)&gt;=4,IF(MONTH(A80)&lt;=10,11,12),12),FALSE())),0))</f>
        <v> </v>
      </c>
      <c r="T80" s="429" t="str">
        <f aca="false">IF(A80="N/A"," ",(IF(MONTH(A80)&gt;=4,IF(MONTH(A80)&lt;=10,Inputs!$H$2,Inputs!$H$3),Inputs!$H$3)))</f>
        <v> </v>
      </c>
      <c r="U80" s="430" t="str">
        <f aca="false">IF(A80="N/A"," ",(VLOOKUP($A80,InterestRatesTable,2)))</f>
        <v> </v>
      </c>
      <c r="AF80" s="384" t="n">
        <v>38869</v>
      </c>
      <c r="AG80" s="36" t="n">
        <v>22</v>
      </c>
      <c r="AH80" s="36" t="n">
        <v>4</v>
      </c>
      <c r="AI80" s="36" t="n">
        <v>4</v>
      </c>
      <c r="AJ80" s="36" t="n">
        <v>0</v>
      </c>
      <c r="AK80" s="36" t="n">
        <v>30</v>
      </c>
    </row>
    <row r="81" customFormat="false" ht="12.75" hidden="false" customHeight="false" outlineLevel="0" collapsed="false">
      <c r="A81" s="420" t="str">
        <f aca="false">Calculations!A48</f>
        <v>N/A</v>
      </c>
      <c r="B81" s="421" t="str">
        <f aca="false">IF(A81="N/A"," ",IF(ISERROR(N81),B69*Pwresc,N81)*VLOOKUP(MONTH(A81),Curveadj,3))</f>
        <v> </v>
      </c>
      <c r="C81" s="422" t="str">
        <f aca="false">IF(A81="N/A"," ",(IF(AND(MONTH(A81)&gt;=6,MONTH(A81)&lt;=8,OR($M$37="REGION 2",$M$37="REGION 2A",$M$37="REGION 2B",$M$37="REGION 3",$M$37="REGION 3A",$M$37="REGION 3B",$M$37="REGION 4",$M$37="REGION 4B",$M$37="REGION 4C",$M$37="REGION 5",$M$37="REGION 5A")),((0.059228/(B81/100))-(0.4980013/(SQRT(B81/100)))+2.137988),HLOOKUP(MONTH(A81),ScalarTable,28))))</f>
        <v> </v>
      </c>
      <c r="D81" s="423" t="str">
        <f aca="false">IF(A81="N/A"," ",C81*B81)</f>
        <v> </v>
      </c>
      <c r="E81" s="421" t="str">
        <f aca="false">IF(A81="N/A"," ",IF(ISERROR(O81),E69*Pwresc,O81)*VLOOKUP(MONTH(A81),Curveadj,3))</f>
        <v> </v>
      </c>
      <c r="F81" s="423" t="str">
        <f aca="false">IF(A81="N/A"," ",E81*C81)</f>
        <v> </v>
      </c>
      <c r="G81" s="421" t="str">
        <f aca="false">IF(A81="N/A"," ",IF(ISERROR(P81),G69*Pwresc,P81)*VLOOKUP(MONTH(A81),Curveadj,3))</f>
        <v> </v>
      </c>
      <c r="H81" s="423" t="str">
        <f aca="false">IF(A81="N/A"," ",G81*C81)</f>
        <v> </v>
      </c>
      <c r="I81" s="423" t="str">
        <f aca="false">IF(A81="N/A"," ",IF(ISERROR(Q81),I69*Pwresc,Q81))</f>
        <v> </v>
      </c>
      <c r="J81" s="424" t="str">
        <f aca="false">IF(A81="N/A"," ",K81+L81+T81)</f>
        <v> </v>
      </c>
      <c r="K81" s="425" t="str">
        <f aca="false">IF(A81="N/A"," ",IF(ISERROR(R81),K69*Gasesc,R81))</f>
        <v> </v>
      </c>
      <c r="L81" s="425" t="str">
        <f aca="false">IF(A81="N/A"," ",IF(ISERROR(S81),L69*Gasesc,IF(S81=0,L69*Gasesc,S81)))</f>
        <v> </v>
      </c>
      <c r="M81" s="431"/>
      <c r="N81" s="427" t="str">
        <f aca="false">IF(A81="N/A"," ",VLOOKUP(A81,PeakPowerCurves,(IF(BMO=2,3,IF(BMO=1,2,4))),FALSE()))</f>
        <v> </v>
      </c>
      <c r="O81" s="427" t="str">
        <f aca="false">IF(A81="N/A"," ",VLOOKUP(A81,SatSunPeakPwr,(IF(BMO=2,3,IF(BMO=1,2,4))),FALSE()))</f>
        <v> </v>
      </c>
      <c r="P81" s="427" t="str">
        <f aca="false">IF(A81="N/A"," ",VLOOKUP(A81,SatSunPeakPwr,(IF(BMO=2,7,IF(BMO=1,6,8))),FALSE()))</f>
        <v> </v>
      </c>
      <c r="Q81" s="428" t="str">
        <f aca="false">IF(A81="N/A"," ",(VLOOKUP(A81,OPPowerPrices,(IF(BMO=2,7,IF(BMO=1,6,8))),FALSE())))</f>
        <v> </v>
      </c>
      <c r="R81" s="429" t="str">
        <f aca="false">IF(A81="N/A"," ",(VLOOKUP(A81,GasCurves,9,FALSE()))+IF(BMO=1,Gasbmo,IF(BMO=3,-Gasbmo,0)))</f>
        <v> </v>
      </c>
      <c r="S81" s="429" t="str">
        <f aca="false">IF(A81="N/A"," ",IF(Basischeck=TRUE(),(VLOOKUP(A81,GasCurves,IF(MONTH(A81)&gt;=4,IF(MONTH(A81)&lt;=10,11,12),12),FALSE())),0))</f>
        <v> </v>
      </c>
      <c r="T81" s="429" t="str">
        <f aca="false">IF(A81="N/A"," ",(IF(MONTH(A81)&gt;=4,IF(MONTH(A81)&lt;=10,Inputs!$H$2,Inputs!$H$3),Inputs!$H$3)))</f>
        <v> </v>
      </c>
      <c r="U81" s="430" t="str">
        <f aca="false">IF(A81="N/A"," ",(VLOOKUP($A81,InterestRatesTable,2)))</f>
        <v> </v>
      </c>
      <c r="AF81" s="384" t="n">
        <v>38899</v>
      </c>
      <c r="AG81" s="36" t="n">
        <v>20</v>
      </c>
      <c r="AH81" s="36" t="n">
        <v>5</v>
      </c>
      <c r="AI81" s="36" t="n">
        <v>6</v>
      </c>
      <c r="AJ81" s="36" t="n">
        <v>1</v>
      </c>
      <c r="AK81" s="36" t="n">
        <v>31</v>
      </c>
    </row>
    <row r="82" customFormat="false" ht="12.75" hidden="false" customHeight="false" outlineLevel="0" collapsed="false">
      <c r="A82" s="420" t="str">
        <f aca="false">Calculations!A49</f>
        <v>N/A</v>
      </c>
      <c r="B82" s="421" t="str">
        <f aca="false">IF(A82="N/A"," ",IF(ISERROR(N82),B70*Pwresc,N82)*VLOOKUP(MONTH(A82),Curveadj,3))</f>
        <v> </v>
      </c>
      <c r="C82" s="422" t="str">
        <f aca="false">IF(A82="N/A"," ",(IF(AND(MONTH(A82)&gt;=6,MONTH(A82)&lt;=8,OR($M$37="REGION 2",$M$37="REGION 2A",$M$37="REGION 2B",$M$37="REGION 3",$M$37="REGION 3A",$M$37="REGION 3B",$M$37="REGION 4",$M$37="REGION 4B",$M$37="REGION 4C",$M$37="REGION 5",$M$37="REGION 5A")),((0.059228/(B82/100))-(0.4980013/(SQRT(B82/100)))+2.137988),HLOOKUP(MONTH(A82),ScalarTable,28))))</f>
        <v> </v>
      </c>
      <c r="D82" s="423" t="str">
        <f aca="false">IF(A82="N/A"," ",C82*B82)</f>
        <v> </v>
      </c>
      <c r="E82" s="421" t="str">
        <f aca="false">IF(A82="N/A"," ",IF(ISERROR(O82),E70*Pwresc,O82)*VLOOKUP(MONTH(A82),Curveadj,3))</f>
        <v> </v>
      </c>
      <c r="F82" s="423" t="str">
        <f aca="false">IF(A82="N/A"," ",E82*C82)</f>
        <v> </v>
      </c>
      <c r="G82" s="421" t="str">
        <f aca="false">IF(A82="N/A"," ",IF(ISERROR(P82),G70*Pwresc,P82)*VLOOKUP(MONTH(A82),Curveadj,3))</f>
        <v> </v>
      </c>
      <c r="H82" s="423" t="str">
        <f aca="false">IF(A82="N/A"," ",G82*C82)</f>
        <v> </v>
      </c>
      <c r="I82" s="423" t="str">
        <f aca="false">IF(A82="N/A"," ",IF(ISERROR(Q82),I70*Pwresc,Q82))</f>
        <v> </v>
      </c>
      <c r="J82" s="424" t="str">
        <f aca="false">IF(A82="N/A"," ",K82+L82+T82)</f>
        <v> </v>
      </c>
      <c r="K82" s="425" t="str">
        <f aca="false">IF(A82="N/A"," ",IF(ISERROR(R82),K70*Gasesc,R82))</f>
        <v> </v>
      </c>
      <c r="L82" s="425" t="str">
        <f aca="false">IF(A82="N/A"," ",IF(ISERROR(S82),L70*Gasesc,IF(S82=0,L70*Gasesc,S82)))</f>
        <v> </v>
      </c>
      <c r="M82" s="431"/>
      <c r="N82" s="427" t="str">
        <f aca="false">IF(A82="N/A"," ",VLOOKUP(A82,PeakPowerCurves,(IF(BMO=2,3,IF(BMO=1,2,4))),FALSE()))</f>
        <v> </v>
      </c>
      <c r="O82" s="427" t="str">
        <f aca="false">IF(A82="N/A"," ",VLOOKUP(A82,SatSunPeakPwr,(IF(BMO=2,3,IF(BMO=1,2,4))),FALSE()))</f>
        <v> </v>
      </c>
      <c r="P82" s="427" t="str">
        <f aca="false">IF(A82="N/A"," ",VLOOKUP(A82,SatSunPeakPwr,(IF(BMO=2,7,IF(BMO=1,6,8))),FALSE()))</f>
        <v> </v>
      </c>
      <c r="Q82" s="428" t="str">
        <f aca="false">IF(A82="N/A"," ",(VLOOKUP(A82,OPPowerPrices,(IF(BMO=2,7,IF(BMO=1,6,8))),FALSE())))</f>
        <v> </v>
      </c>
      <c r="R82" s="429" t="str">
        <f aca="false">IF(A82="N/A"," ",(VLOOKUP(A82,GasCurves,9,FALSE()))+IF(BMO=1,Gasbmo,IF(BMO=3,-Gasbmo,0)))</f>
        <v> </v>
      </c>
      <c r="S82" s="429" t="str">
        <f aca="false">IF(A82="N/A"," ",IF(Basischeck=TRUE(),(VLOOKUP(A82,GasCurves,IF(MONTH(A82)&gt;=4,IF(MONTH(A82)&lt;=10,11,12),12),FALSE())),0))</f>
        <v> </v>
      </c>
      <c r="T82" s="429" t="str">
        <f aca="false">IF(A82="N/A"," ",(IF(MONTH(A82)&gt;=4,IF(MONTH(A82)&lt;=10,Inputs!$H$2,Inputs!$H$3),Inputs!$H$3)))</f>
        <v> </v>
      </c>
      <c r="U82" s="430" t="str">
        <f aca="false">IF(A82="N/A"," ",(VLOOKUP($A82,InterestRatesTable,2)))</f>
        <v> </v>
      </c>
      <c r="AF82" s="384" t="n">
        <v>38930</v>
      </c>
      <c r="AG82" s="36" t="n">
        <v>23</v>
      </c>
      <c r="AH82" s="36" t="n">
        <v>4</v>
      </c>
      <c r="AI82" s="36" t="n">
        <v>4</v>
      </c>
      <c r="AJ82" s="36" t="n">
        <v>0</v>
      </c>
      <c r="AK82" s="36" t="n">
        <v>31</v>
      </c>
    </row>
    <row r="83" customFormat="false" ht="12.75" hidden="false" customHeight="false" outlineLevel="0" collapsed="false">
      <c r="A83" s="420" t="str">
        <f aca="false">Calculations!A50</f>
        <v>N/A</v>
      </c>
      <c r="B83" s="421" t="str">
        <f aca="false">IF(A83="N/A"," ",IF(ISERROR(N83),B71*Pwresc,N83)*VLOOKUP(MONTH(A83),Curveadj,3))</f>
        <v> </v>
      </c>
      <c r="C83" s="422" t="str">
        <f aca="false">IF(A83="N/A"," ",(IF(AND(MONTH(A83)&gt;=6,MONTH(A83)&lt;=8,OR($M$37="REGION 2",$M$37="REGION 2A",$M$37="REGION 2B",$M$37="REGION 3",$M$37="REGION 3A",$M$37="REGION 3B",$M$37="REGION 4",$M$37="REGION 4B",$M$37="REGION 4C",$M$37="REGION 5",$M$37="REGION 5A")),((0.059228/(B83/100))-(0.4980013/(SQRT(B83/100)))+2.137988),HLOOKUP(MONTH(A83),ScalarTable,28))))</f>
        <v> </v>
      </c>
      <c r="D83" s="423" t="str">
        <f aca="false">IF(A83="N/A"," ",C83*B83)</f>
        <v> </v>
      </c>
      <c r="E83" s="421" t="str">
        <f aca="false">IF(A83="N/A"," ",IF(ISERROR(O83),E71*Pwresc,O83)*VLOOKUP(MONTH(A83),Curveadj,3))</f>
        <v> </v>
      </c>
      <c r="F83" s="423" t="str">
        <f aca="false">IF(A83="N/A"," ",E83*C83)</f>
        <v> </v>
      </c>
      <c r="G83" s="421" t="str">
        <f aca="false">IF(A83="N/A"," ",IF(ISERROR(P83),G71*Pwresc,P83)*VLOOKUP(MONTH(A83),Curveadj,3))</f>
        <v> </v>
      </c>
      <c r="H83" s="423" t="str">
        <f aca="false">IF(A83="N/A"," ",G83*C83)</f>
        <v> </v>
      </c>
      <c r="I83" s="423" t="str">
        <f aca="false">IF(A83="N/A"," ",IF(ISERROR(Q83),I71*Pwresc,Q83))</f>
        <v> </v>
      </c>
      <c r="J83" s="424" t="str">
        <f aca="false">IF(A83="N/A"," ",K83+L83+T83)</f>
        <v> </v>
      </c>
      <c r="K83" s="425" t="str">
        <f aca="false">IF(A83="N/A"," ",IF(ISERROR(R83),K71*Gasesc,R83))</f>
        <v> </v>
      </c>
      <c r="L83" s="425" t="str">
        <f aca="false">IF(A83="N/A"," ",IF(ISERROR(S83),L71*Gasesc,IF(S83=0,L71*Gasesc,S83)))</f>
        <v> </v>
      </c>
      <c r="M83" s="431"/>
      <c r="N83" s="427" t="str">
        <f aca="false">IF(A83="N/A"," ",VLOOKUP(A83,PeakPowerCurves,(IF(BMO=2,3,IF(BMO=1,2,4))),FALSE()))</f>
        <v> </v>
      </c>
      <c r="O83" s="427" t="str">
        <f aca="false">IF(A83="N/A"," ",VLOOKUP(A83,SatSunPeakPwr,(IF(BMO=2,3,IF(BMO=1,2,4))),FALSE()))</f>
        <v> </v>
      </c>
      <c r="P83" s="427" t="str">
        <f aca="false">IF(A83="N/A"," ",VLOOKUP(A83,SatSunPeakPwr,(IF(BMO=2,7,IF(BMO=1,6,8))),FALSE()))</f>
        <v> </v>
      </c>
      <c r="Q83" s="428" t="str">
        <f aca="false">IF(A83="N/A"," ",(VLOOKUP(A83,OPPowerPrices,(IF(BMO=2,7,IF(BMO=1,6,8))),FALSE())))</f>
        <v> </v>
      </c>
      <c r="R83" s="429" t="str">
        <f aca="false">IF(A83="N/A"," ",(VLOOKUP(A83,GasCurves,9,FALSE()))+IF(BMO=1,Gasbmo,IF(BMO=3,-Gasbmo,0)))</f>
        <v> </v>
      </c>
      <c r="S83" s="429" t="str">
        <f aca="false">IF(A83="N/A"," ",IF(Basischeck=TRUE(),(VLOOKUP(A83,GasCurves,IF(MONTH(A83)&gt;=4,IF(MONTH(A83)&lt;=10,11,12),12),FALSE())),0))</f>
        <v> </v>
      </c>
      <c r="T83" s="429" t="str">
        <f aca="false">IF(A83="N/A"," ",(IF(MONTH(A83)&gt;=4,IF(MONTH(A83)&lt;=10,Inputs!$H$2,Inputs!$H$3),Inputs!$H$3)))</f>
        <v> </v>
      </c>
      <c r="U83" s="430" t="str">
        <f aca="false">IF(A83="N/A"," ",(VLOOKUP($A83,InterestRatesTable,2)))</f>
        <v> </v>
      </c>
      <c r="AF83" s="384" t="n">
        <v>38961</v>
      </c>
      <c r="AG83" s="36" t="n">
        <v>20</v>
      </c>
      <c r="AH83" s="36" t="n">
        <v>5</v>
      </c>
      <c r="AI83" s="36" t="n">
        <v>5</v>
      </c>
      <c r="AJ83" s="36" t="n">
        <v>1</v>
      </c>
      <c r="AK83" s="36" t="n">
        <v>30</v>
      </c>
    </row>
    <row r="84" customFormat="false" ht="12.75" hidden="false" customHeight="false" outlineLevel="0" collapsed="false">
      <c r="A84" s="420" t="str">
        <f aca="false">Calculations!A51</f>
        <v>N/A</v>
      </c>
      <c r="B84" s="421" t="str">
        <f aca="false">IF(A84="N/A"," ",IF(ISERROR(N84),B72*Pwresc,N84)*VLOOKUP(MONTH(A84),Curveadj,3))</f>
        <v> </v>
      </c>
      <c r="C84" s="422" t="str">
        <f aca="false">IF(A84="N/A"," ",(IF(AND(MONTH(A84)&gt;=6,MONTH(A84)&lt;=8,OR($M$37="REGION 2",$M$37="REGION 2A",$M$37="REGION 2B",$M$37="REGION 3",$M$37="REGION 3A",$M$37="REGION 3B",$M$37="REGION 4",$M$37="REGION 4B",$M$37="REGION 4C",$M$37="REGION 5",$M$37="REGION 5A")),((0.059228/(B84/100))-(0.4980013/(SQRT(B84/100)))+2.137988),HLOOKUP(MONTH(A84),ScalarTable,28))))</f>
        <v> </v>
      </c>
      <c r="D84" s="423" t="str">
        <f aca="false">IF(A84="N/A"," ",C84*B84)</f>
        <v> </v>
      </c>
      <c r="E84" s="421" t="str">
        <f aca="false">IF(A84="N/A"," ",IF(ISERROR(O84),E72*Pwresc,O84)*VLOOKUP(MONTH(A84),Curveadj,3))</f>
        <v> </v>
      </c>
      <c r="F84" s="423" t="str">
        <f aca="false">IF(A84="N/A"," ",E84*C84)</f>
        <v> </v>
      </c>
      <c r="G84" s="421" t="str">
        <f aca="false">IF(A84="N/A"," ",IF(ISERROR(P84),G72*Pwresc,P84)*VLOOKUP(MONTH(A84),Curveadj,3))</f>
        <v> </v>
      </c>
      <c r="H84" s="423" t="str">
        <f aca="false">IF(A84="N/A"," ",G84*C84)</f>
        <v> </v>
      </c>
      <c r="I84" s="423" t="str">
        <f aca="false">IF(A84="N/A"," ",IF(ISERROR(Q84),I72*Pwresc,Q84))</f>
        <v> </v>
      </c>
      <c r="J84" s="424" t="str">
        <f aca="false">IF(A84="N/A"," ",K84+L84+T84)</f>
        <v> </v>
      </c>
      <c r="K84" s="425" t="str">
        <f aca="false">IF(A84="N/A"," ",IF(ISERROR(R84),K72*Gasesc,R84))</f>
        <v> </v>
      </c>
      <c r="L84" s="425" t="str">
        <f aca="false">IF(A84="N/A"," ",IF(ISERROR(S84),L72*Gasesc,IF(S84=0,L72*Gasesc,S84)))</f>
        <v> </v>
      </c>
      <c r="M84" s="431"/>
      <c r="N84" s="427" t="str">
        <f aca="false">IF(A84="N/A"," ",VLOOKUP(A84,PeakPowerCurves,(IF(BMO=2,3,IF(BMO=1,2,4))),FALSE()))</f>
        <v> </v>
      </c>
      <c r="O84" s="427" t="str">
        <f aca="false">IF(A84="N/A"," ",VLOOKUP(A84,SatSunPeakPwr,(IF(BMO=2,3,IF(BMO=1,2,4))),FALSE()))</f>
        <v> </v>
      </c>
      <c r="P84" s="427" t="str">
        <f aca="false">IF(A84="N/A"," ",VLOOKUP(A84,SatSunPeakPwr,(IF(BMO=2,7,IF(BMO=1,6,8))),FALSE()))</f>
        <v> </v>
      </c>
      <c r="Q84" s="428" t="str">
        <f aca="false">IF(A84="N/A"," ",(VLOOKUP(A84,OPPowerPrices,(IF(BMO=2,7,IF(BMO=1,6,8))),FALSE())))</f>
        <v> </v>
      </c>
      <c r="R84" s="429" t="str">
        <f aca="false">IF(A84="N/A"," ",(VLOOKUP(A84,GasCurves,9,FALSE()))+IF(BMO=1,Gasbmo,IF(BMO=3,-Gasbmo,0)))</f>
        <v> </v>
      </c>
      <c r="S84" s="429" t="str">
        <f aca="false">IF(A84="N/A"," ",IF(Basischeck=TRUE(),(VLOOKUP(A84,GasCurves,IF(MONTH(A84)&gt;=4,IF(MONTH(A84)&lt;=10,11,12),12),FALSE())),0))</f>
        <v> </v>
      </c>
      <c r="T84" s="429" t="str">
        <f aca="false">IF(A84="N/A"," ",(IF(MONTH(A84)&gt;=4,IF(MONTH(A84)&lt;=10,Inputs!$H$2,Inputs!$H$3),Inputs!$H$3)))</f>
        <v> </v>
      </c>
      <c r="U84" s="430" t="str">
        <f aca="false">IF(A84="N/A"," ",(VLOOKUP($A84,InterestRatesTable,2)))</f>
        <v> </v>
      </c>
      <c r="AF84" s="384" t="n">
        <v>38991</v>
      </c>
      <c r="AG84" s="36" t="n">
        <v>22</v>
      </c>
      <c r="AH84" s="36" t="n">
        <v>4</v>
      </c>
      <c r="AI84" s="36" t="n">
        <v>5</v>
      </c>
      <c r="AJ84" s="36" t="n">
        <v>0</v>
      </c>
      <c r="AK84" s="36" t="n">
        <v>31</v>
      </c>
    </row>
    <row r="85" customFormat="false" ht="12.75" hidden="false" customHeight="false" outlineLevel="0" collapsed="false">
      <c r="A85" s="420" t="str">
        <f aca="false">Calculations!A52</f>
        <v>N/A</v>
      </c>
      <c r="B85" s="421" t="str">
        <f aca="false">IF(A85="N/A"," ",IF(ISERROR(N85),B73*Pwresc,N85)*VLOOKUP(MONTH(A85),Curveadj,3))</f>
        <v> </v>
      </c>
      <c r="C85" s="422" t="str">
        <f aca="false">IF(A85="N/A"," ",(IF(AND(MONTH(A85)&gt;=6,MONTH(A85)&lt;=8,OR($M$37="REGION 2",$M$37="REGION 2A",$M$37="REGION 2B",$M$37="REGION 3",$M$37="REGION 3A",$M$37="REGION 3B",$M$37="REGION 4",$M$37="REGION 4B",$M$37="REGION 4C",$M$37="REGION 5",$M$37="REGION 5A")),((0.059228/(B85/100))-(0.4980013/(SQRT(B85/100)))+2.137988),HLOOKUP(MONTH(A85),ScalarTable,28))))</f>
        <v> </v>
      </c>
      <c r="D85" s="423" t="str">
        <f aca="false">IF(A85="N/A"," ",C85*B85)</f>
        <v> </v>
      </c>
      <c r="E85" s="421" t="str">
        <f aca="false">IF(A85="N/A"," ",IF(ISERROR(O85),E73*Pwresc,O85)*VLOOKUP(MONTH(A85),Curveadj,3))</f>
        <v> </v>
      </c>
      <c r="F85" s="423" t="str">
        <f aca="false">IF(A85="N/A"," ",E85*C85)</f>
        <v> </v>
      </c>
      <c r="G85" s="421" t="str">
        <f aca="false">IF(A85="N/A"," ",IF(ISERROR(P85),G73*Pwresc,P85)*VLOOKUP(MONTH(A85),Curveadj,3))</f>
        <v> </v>
      </c>
      <c r="H85" s="423" t="str">
        <f aca="false">IF(A85="N/A"," ",G85*C85)</f>
        <v> </v>
      </c>
      <c r="I85" s="423" t="str">
        <f aca="false">IF(A85="N/A"," ",IF(ISERROR(Q85),I73*Pwresc,Q85))</f>
        <v> </v>
      </c>
      <c r="J85" s="424" t="str">
        <f aca="false">IF(A85="N/A"," ",K85+L85+T85)</f>
        <v> </v>
      </c>
      <c r="K85" s="425" t="str">
        <f aca="false">IF(A85="N/A"," ",IF(ISERROR(R85),K73*Gasesc,R85))</f>
        <v> </v>
      </c>
      <c r="L85" s="425" t="str">
        <f aca="false">IF(A85="N/A"," ",IF(ISERROR(S85),L73*Gasesc,IF(S85=0,L73*Gasesc,S85)))</f>
        <v> </v>
      </c>
      <c r="M85" s="431"/>
      <c r="N85" s="427" t="str">
        <f aca="false">IF(A85="N/A"," ",VLOOKUP(A85,PeakPowerCurves,(IF(BMO=2,3,IF(BMO=1,2,4))),FALSE()))</f>
        <v> </v>
      </c>
      <c r="O85" s="427" t="str">
        <f aca="false">IF(A85="N/A"," ",VLOOKUP(A85,SatSunPeakPwr,(IF(BMO=2,3,IF(BMO=1,2,4))),FALSE()))</f>
        <v> </v>
      </c>
      <c r="P85" s="427" t="str">
        <f aca="false">IF(A85="N/A"," ",VLOOKUP(A85,SatSunPeakPwr,(IF(BMO=2,7,IF(BMO=1,6,8))),FALSE()))</f>
        <v> </v>
      </c>
      <c r="Q85" s="428" t="str">
        <f aca="false">IF(A85="N/A"," ",(VLOOKUP(A85,OPPowerPrices,(IF(BMO=2,7,IF(BMO=1,6,8))),FALSE())))</f>
        <v> </v>
      </c>
      <c r="R85" s="429" t="str">
        <f aca="false">IF(A85="N/A"," ",(VLOOKUP(A85,GasCurves,9,FALSE()))+IF(BMO=1,Gasbmo,IF(BMO=3,-Gasbmo,0)))</f>
        <v> </v>
      </c>
      <c r="S85" s="429" t="str">
        <f aca="false">IF(A85="N/A"," ",IF(Basischeck=TRUE(),(VLOOKUP(A85,GasCurves,IF(MONTH(A85)&gt;=4,IF(MONTH(A85)&lt;=10,11,12),12),FALSE())),0))</f>
        <v> </v>
      </c>
      <c r="T85" s="429" t="str">
        <f aca="false">IF(A85="N/A"," ",(IF(MONTH(A85)&gt;=4,IF(MONTH(A85)&lt;=10,Inputs!$H$2,Inputs!$H$3),Inputs!$H$3)))</f>
        <v> </v>
      </c>
      <c r="U85" s="430" t="str">
        <f aca="false">IF(A85="N/A"," ",(VLOOKUP($A85,InterestRatesTable,2)))</f>
        <v> </v>
      </c>
      <c r="AF85" s="384" t="n">
        <v>39022</v>
      </c>
      <c r="AG85" s="36" t="n">
        <v>21</v>
      </c>
      <c r="AH85" s="36" t="n">
        <v>4</v>
      </c>
      <c r="AI85" s="36" t="n">
        <v>5</v>
      </c>
      <c r="AJ85" s="36" t="n">
        <v>1</v>
      </c>
      <c r="AK85" s="36" t="n">
        <v>30</v>
      </c>
    </row>
    <row r="86" customFormat="false" ht="12.75" hidden="false" customHeight="false" outlineLevel="0" collapsed="false">
      <c r="A86" s="420" t="str">
        <f aca="false">Calculations!A53</f>
        <v>N/A</v>
      </c>
      <c r="B86" s="421" t="str">
        <f aca="false">IF(A86="N/A"," ",IF(ISERROR(N86),B74*Pwresc,N86)*VLOOKUP(MONTH(A86),Curveadj,3))</f>
        <v> </v>
      </c>
      <c r="C86" s="422" t="str">
        <f aca="false">IF(A86="N/A"," ",(IF(AND(MONTH(A86)&gt;=6,MONTH(A86)&lt;=8,OR($M$37="REGION 2",$M$37="REGION 2A",$M$37="REGION 2B",$M$37="REGION 3",$M$37="REGION 3A",$M$37="REGION 3B",$M$37="REGION 4",$M$37="REGION 4B",$M$37="REGION 4C",$M$37="REGION 5",$M$37="REGION 5A")),((0.059228/(B86/100))-(0.4980013/(SQRT(B86/100)))+2.137988),HLOOKUP(MONTH(A86),ScalarTable,28))))</f>
        <v> </v>
      </c>
      <c r="D86" s="423" t="str">
        <f aca="false">IF(A86="N/A"," ",C86*B86)</f>
        <v> </v>
      </c>
      <c r="E86" s="421" t="str">
        <f aca="false">IF(A86="N/A"," ",IF(ISERROR(O86),E74*Pwresc,O86)*VLOOKUP(MONTH(A86),Curveadj,3))</f>
        <v> </v>
      </c>
      <c r="F86" s="423" t="str">
        <f aca="false">IF(A86="N/A"," ",E86*C86)</f>
        <v> </v>
      </c>
      <c r="G86" s="421" t="str">
        <f aca="false">IF(A86="N/A"," ",IF(ISERROR(P86),G74*Pwresc,P86)*VLOOKUP(MONTH(A86),Curveadj,3))</f>
        <v> </v>
      </c>
      <c r="H86" s="423" t="str">
        <f aca="false">IF(A86="N/A"," ",G86*C86)</f>
        <v> </v>
      </c>
      <c r="I86" s="423" t="str">
        <f aca="false">IF(A86="N/A"," ",IF(ISERROR(Q86),I74*Pwresc,Q86))</f>
        <v> </v>
      </c>
      <c r="J86" s="424" t="str">
        <f aca="false">IF(A86="N/A"," ",K86+L86+T86)</f>
        <v> </v>
      </c>
      <c r="K86" s="425" t="str">
        <f aca="false">IF(A86="N/A"," ",IF(ISERROR(R86),K74*Gasesc,R86))</f>
        <v> </v>
      </c>
      <c r="L86" s="425" t="str">
        <f aca="false">IF(A86="N/A"," ",IF(ISERROR(S86),L74*Gasesc,IF(S86=0,L74*Gasesc,S86)))</f>
        <v> </v>
      </c>
      <c r="M86" s="431"/>
      <c r="N86" s="427" t="str">
        <f aca="false">IF(A86="N/A"," ",VLOOKUP(A86,PeakPowerCurves,(IF(BMO=2,3,IF(BMO=1,2,4))),FALSE()))</f>
        <v> </v>
      </c>
      <c r="O86" s="427" t="str">
        <f aca="false">IF(A86="N/A"," ",VLOOKUP(A86,SatSunPeakPwr,(IF(BMO=2,3,IF(BMO=1,2,4))),FALSE()))</f>
        <v> </v>
      </c>
      <c r="P86" s="427" t="str">
        <f aca="false">IF(A86="N/A"," ",VLOOKUP(A86,SatSunPeakPwr,(IF(BMO=2,7,IF(BMO=1,6,8))),FALSE()))</f>
        <v> </v>
      </c>
      <c r="Q86" s="428" t="str">
        <f aca="false">IF(A86="N/A"," ",(VLOOKUP(A86,OPPowerPrices,(IF(BMO=2,7,IF(BMO=1,6,8))),FALSE())))</f>
        <v> </v>
      </c>
      <c r="R86" s="429" t="str">
        <f aca="false">IF(A86="N/A"," ",(VLOOKUP(A86,GasCurves,9,FALSE()))+IF(BMO=1,Gasbmo,IF(BMO=3,-Gasbmo,0)))</f>
        <v> </v>
      </c>
      <c r="S86" s="429" t="str">
        <f aca="false">IF(A86="N/A"," ",IF(Basischeck=TRUE(),(VLOOKUP(A86,GasCurves,IF(MONTH(A86)&gt;=4,IF(MONTH(A86)&lt;=10,11,12),12),FALSE())),0))</f>
        <v> </v>
      </c>
      <c r="T86" s="429" t="str">
        <f aca="false">IF(A86="N/A"," ",(IF(MONTH(A86)&gt;=4,IF(MONTH(A86)&lt;=10,Inputs!$H$2,Inputs!$H$3),Inputs!$H$3)))</f>
        <v> </v>
      </c>
      <c r="U86" s="430" t="str">
        <f aca="false">IF(A86="N/A"," ",(VLOOKUP($A86,InterestRatesTable,2)))</f>
        <v> </v>
      </c>
      <c r="AF86" s="384" t="n">
        <v>39052</v>
      </c>
      <c r="AG86" s="36" t="n">
        <v>20</v>
      </c>
      <c r="AH86" s="36" t="n">
        <v>5</v>
      </c>
      <c r="AI86" s="36" t="n">
        <v>6</v>
      </c>
      <c r="AJ86" s="36" t="n">
        <v>1</v>
      </c>
      <c r="AK86" s="36" t="n">
        <v>31</v>
      </c>
    </row>
    <row r="87" customFormat="false" ht="12.75" hidden="false" customHeight="false" outlineLevel="0" collapsed="false">
      <c r="A87" s="420" t="str">
        <f aca="false">Calculations!A54</f>
        <v>N/A</v>
      </c>
      <c r="B87" s="421" t="str">
        <f aca="false">IF(A87="N/A"," ",IF(ISERROR(N87),B75*Pwresc,N87)*VLOOKUP(MONTH(A87),Curveadj,3))</f>
        <v> </v>
      </c>
      <c r="C87" s="422" t="str">
        <f aca="false">IF(A87="N/A"," ",(IF(AND(MONTH(A87)&gt;=6,MONTH(A87)&lt;=8,OR($M$37="REGION 2",$M$37="REGION 2A",$M$37="REGION 2B",$M$37="REGION 3",$M$37="REGION 3A",$M$37="REGION 3B",$M$37="REGION 4",$M$37="REGION 4B",$M$37="REGION 4C",$M$37="REGION 5",$M$37="REGION 5A")),((0.059228/(B87/100))-(0.4980013/(SQRT(B87/100)))+2.137988),HLOOKUP(MONTH(A87),ScalarTable,28))))</f>
        <v> </v>
      </c>
      <c r="D87" s="423" t="str">
        <f aca="false">IF(A87="N/A"," ",C87*B87)</f>
        <v> </v>
      </c>
      <c r="E87" s="421" t="str">
        <f aca="false">IF(A87="N/A"," ",IF(ISERROR(O87),E75*Pwresc,O87)*VLOOKUP(MONTH(A87),Curveadj,3))</f>
        <v> </v>
      </c>
      <c r="F87" s="423" t="str">
        <f aca="false">IF(A87="N/A"," ",E87*C87)</f>
        <v> </v>
      </c>
      <c r="G87" s="421" t="str">
        <f aca="false">IF(A87="N/A"," ",IF(ISERROR(P87),G75*Pwresc,P87)*VLOOKUP(MONTH(A87),Curveadj,3))</f>
        <v> </v>
      </c>
      <c r="H87" s="423" t="str">
        <f aca="false">IF(A87="N/A"," ",G87*C87)</f>
        <v> </v>
      </c>
      <c r="I87" s="423" t="str">
        <f aca="false">IF(A87="N/A"," ",IF(ISERROR(Q87),I75*Pwresc,Q87))</f>
        <v> </v>
      </c>
      <c r="J87" s="424" t="str">
        <f aca="false">IF(A87="N/A"," ",K87+L87+T87)</f>
        <v> </v>
      </c>
      <c r="K87" s="425" t="str">
        <f aca="false">IF(A87="N/A"," ",IF(ISERROR(R87),K75*Gasesc,R87))</f>
        <v> </v>
      </c>
      <c r="L87" s="425" t="str">
        <f aca="false">IF(A87="N/A"," ",IF(ISERROR(S87),L75*Gasesc,IF(S87=0,L75*Gasesc,S87)))</f>
        <v> </v>
      </c>
      <c r="M87" s="431"/>
      <c r="N87" s="427" t="str">
        <f aca="false">IF(A87="N/A"," ",VLOOKUP(A87,PeakPowerCurves,(IF(BMO=2,3,IF(BMO=1,2,4))),FALSE()))</f>
        <v> </v>
      </c>
      <c r="O87" s="427" t="str">
        <f aca="false">IF(A87="N/A"," ",VLOOKUP(A87,SatSunPeakPwr,(IF(BMO=2,3,IF(BMO=1,2,4))),FALSE()))</f>
        <v> </v>
      </c>
      <c r="P87" s="427" t="str">
        <f aca="false">IF(A87="N/A"," ",VLOOKUP(A87,SatSunPeakPwr,(IF(BMO=2,7,IF(BMO=1,6,8))),FALSE()))</f>
        <v> </v>
      </c>
      <c r="Q87" s="428" t="str">
        <f aca="false">IF(A87="N/A"," ",(VLOOKUP(A87,OPPowerPrices,(IF(BMO=2,7,IF(BMO=1,6,8))),FALSE())))</f>
        <v> </v>
      </c>
      <c r="R87" s="429" t="str">
        <f aca="false">IF(A87="N/A"," ",(VLOOKUP(A87,GasCurves,9,FALSE()))+IF(BMO=1,Gasbmo,IF(BMO=3,-Gasbmo,0)))</f>
        <v> </v>
      </c>
      <c r="S87" s="429" t="str">
        <f aca="false">IF(A87="N/A"," ",IF(Basischeck=TRUE(),(VLOOKUP(A87,GasCurves,IF(MONTH(A87)&gt;=4,IF(MONTH(A87)&lt;=10,11,12),12),FALSE())),0))</f>
        <v> </v>
      </c>
      <c r="T87" s="429" t="str">
        <f aca="false">IF(A87="N/A"," ",(IF(MONTH(A87)&gt;=4,IF(MONTH(A87)&lt;=10,Inputs!$H$2,Inputs!$H$3),Inputs!$H$3)))</f>
        <v> </v>
      </c>
      <c r="U87" s="430" t="str">
        <f aca="false">IF(A87="N/A"," ",(VLOOKUP($A87,InterestRatesTable,2)))</f>
        <v> </v>
      </c>
      <c r="AF87" s="384" t="n">
        <v>39083</v>
      </c>
      <c r="AG87" s="36" t="n">
        <v>22</v>
      </c>
      <c r="AH87" s="36" t="n">
        <v>4</v>
      </c>
      <c r="AI87" s="36" t="n">
        <v>5</v>
      </c>
      <c r="AJ87" s="36" t="n">
        <v>1</v>
      </c>
      <c r="AK87" s="36" t="n">
        <v>31</v>
      </c>
    </row>
    <row r="88" customFormat="false" ht="12.75" hidden="false" customHeight="false" outlineLevel="0" collapsed="false">
      <c r="A88" s="420" t="str">
        <f aca="false">Calculations!A55</f>
        <v>N/A</v>
      </c>
      <c r="B88" s="421" t="str">
        <f aca="false">IF(A88="N/A"," ",IF(ISERROR(N88),B76*Pwresc,N88)*VLOOKUP(MONTH(A88),Curveadj,3))</f>
        <v> </v>
      </c>
      <c r="C88" s="422" t="str">
        <f aca="false">IF(A88="N/A"," ",(IF(AND(MONTH(A88)&gt;=6,MONTH(A88)&lt;=8,OR($M$37="REGION 2",$M$37="REGION 2A",$M$37="REGION 2B",$M$37="REGION 3",$M$37="REGION 3A",$M$37="REGION 3B",$M$37="REGION 4",$M$37="REGION 4B",$M$37="REGION 4C",$M$37="REGION 5",$M$37="REGION 5A")),((0.059228/(B88/100))-(0.4980013/(SQRT(B88/100)))+2.137988),HLOOKUP(MONTH(A88),ScalarTable,28))))</f>
        <v> </v>
      </c>
      <c r="D88" s="423" t="str">
        <f aca="false">IF(A88="N/A"," ",C88*B88)</f>
        <v> </v>
      </c>
      <c r="E88" s="421" t="str">
        <f aca="false">IF(A88="N/A"," ",IF(ISERROR(O88),E76*Pwresc,O88)*VLOOKUP(MONTH(A88),Curveadj,3))</f>
        <v> </v>
      </c>
      <c r="F88" s="423" t="str">
        <f aca="false">IF(A88="N/A"," ",E88*C88)</f>
        <v> </v>
      </c>
      <c r="G88" s="421" t="str">
        <f aca="false">IF(A88="N/A"," ",IF(ISERROR(P88),G76*Pwresc,P88)*VLOOKUP(MONTH(A88),Curveadj,3))</f>
        <v> </v>
      </c>
      <c r="H88" s="423" t="str">
        <f aca="false">IF(A88="N/A"," ",G88*C88)</f>
        <v> </v>
      </c>
      <c r="I88" s="423" t="str">
        <f aca="false">IF(A88="N/A"," ",IF(ISERROR(Q88),I76*Pwresc,Q88))</f>
        <v> </v>
      </c>
      <c r="J88" s="424" t="str">
        <f aca="false">IF(A88="N/A"," ",K88+L88+T88)</f>
        <v> </v>
      </c>
      <c r="K88" s="425" t="str">
        <f aca="false">IF(A88="N/A"," ",IF(ISERROR(R88),K76*Gasesc,R88))</f>
        <v> </v>
      </c>
      <c r="L88" s="425" t="str">
        <f aca="false">IF(A88="N/A"," ",IF(ISERROR(S88),L76*Gasesc,IF(S88=0,L76*Gasesc,S88)))</f>
        <v> </v>
      </c>
      <c r="M88" s="431"/>
      <c r="N88" s="427" t="str">
        <f aca="false">IF(A88="N/A"," ",VLOOKUP(A88,PeakPowerCurves,(IF(BMO=2,3,IF(BMO=1,2,4))),FALSE()))</f>
        <v> </v>
      </c>
      <c r="O88" s="427" t="str">
        <f aca="false">IF(A88="N/A"," ",VLOOKUP(A88,SatSunPeakPwr,(IF(BMO=2,3,IF(BMO=1,2,4))),FALSE()))</f>
        <v> </v>
      </c>
      <c r="P88" s="427" t="str">
        <f aca="false">IF(A88="N/A"," ",VLOOKUP(A88,SatSunPeakPwr,(IF(BMO=2,7,IF(BMO=1,6,8))),FALSE()))</f>
        <v> </v>
      </c>
      <c r="Q88" s="428" t="str">
        <f aca="false">IF(A88="N/A"," ",(VLOOKUP(A88,OPPowerPrices,(IF(BMO=2,7,IF(BMO=1,6,8))),FALSE())))</f>
        <v> </v>
      </c>
      <c r="R88" s="429" t="str">
        <f aca="false">IF(A88="N/A"," ",(VLOOKUP(A88,GasCurves,9,FALSE()))+IF(BMO=1,Gasbmo,IF(BMO=3,-Gasbmo,0)))</f>
        <v> </v>
      </c>
      <c r="S88" s="429" t="str">
        <f aca="false">IF(A88="N/A"," ",IF(Basischeck=TRUE(),(VLOOKUP(A88,GasCurves,IF(MONTH(A88)&gt;=4,IF(MONTH(A88)&lt;=10,11,12),12),FALSE())),0))</f>
        <v> </v>
      </c>
      <c r="T88" s="429" t="str">
        <f aca="false">IF(A88="N/A"," ",(IF(MONTH(A88)&gt;=4,IF(MONTH(A88)&lt;=10,Inputs!$H$2,Inputs!$H$3),Inputs!$H$3)))</f>
        <v> </v>
      </c>
      <c r="U88" s="430" t="str">
        <f aca="false">IF(A88="N/A"," ",(VLOOKUP($A88,InterestRatesTable,2)))</f>
        <v> </v>
      </c>
      <c r="AF88" s="384" t="n">
        <v>39114</v>
      </c>
      <c r="AG88" s="36" t="n">
        <v>20</v>
      </c>
      <c r="AH88" s="36" t="n">
        <v>4</v>
      </c>
      <c r="AI88" s="36" t="n">
        <v>4</v>
      </c>
      <c r="AJ88" s="36" t="n">
        <v>0</v>
      </c>
      <c r="AK88" s="36" t="n">
        <v>28</v>
      </c>
    </row>
    <row r="89" customFormat="false" ht="12.75" hidden="false" customHeight="false" outlineLevel="0" collapsed="false">
      <c r="A89" s="420" t="str">
        <f aca="false">Calculations!A56</f>
        <v>N/A</v>
      </c>
      <c r="B89" s="421" t="str">
        <f aca="false">IF(A89="N/A"," ",IF(ISERROR(N89),B77*Pwresc,N89)*VLOOKUP(MONTH(A89),Curveadj,3))</f>
        <v> </v>
      </c>
      <c r="C89" s="422" t="str">
        <f aca="false">IF(A89="N/A"," ",(IF(AND(MONTH(A89)&gt;=6,MONTH(A89)&lt;=8,OR($M$37="REGION 2",$M$37="REGION 2A",$M$37="REGION 2B",$M$37="REGION 3",$M$37="REGION 3A",$M$37="REGION 3B",$M$37="REGION 4",$M$37="REGION 4B",$M$37="REGION 4C",$M$37="REGION 5",$M$37="REGION 5A")),((0.059228/(B89/100))-(0.4980013/(SQRT(B89/100)))+2.137988),HLOOKUP(MONTH(A89),ScalarTable,28))))</f>
        <v> </v>
      </c>
      <c r="D89" s="423" t="str">
        <f aca="false">IF(A89="N/A"," ",C89*B89)</f>
        <v> </v>
      </c>
      <c r="E89" s="421" t="str">
        <f aca="false">IF(A89="N/A"," ",IF(ISERROR(O89),E77*Pwresc,O89)*VLOOKUP(MONTH(A89),Curveadj,3))</f>
        <v> </v>
      </c>
      <c r="F89" s="423" t="str">
        <f aca="false">IF(A89="N/A"," ",E89*C89)</f>
        <v> </v>
      </c>
      <c r="G89" s="421" t="str">
        <f aca="false">IF(A89="N/A"," ",IF(ISERROR(P89),G77*Pwresc,P89)*VLOOKUP(MONTH(A89),Curveadj,3))</f>
        <v> </v>
      </c>
      <c r="H89" s="423" t="str">
        <f aca="false">IF(A89="N/A"," ",G89*C89)</f>
        <v> </v>
      </c>
      <c r="I89" s="423" t="str">
        <f aca="false">IF(A89="N/A"," ",IF(ISERROR(Q89),I77*Pwresc,Q89))</f>
        <v> </v>
      </c>
      <c r="J89" s="424" t="str">
        <f aca="false">IF(A89="N/A"," ",K89+L89+T89)</f>
        <v> </v>
      </c>
      <c r="K89" s="425" t="str">
        <f aca="false">IF(A89="N/A"," ",IF(ISERROR(R89),K77*Gasesc,R89))</f>
        <v> </v>
      </c>
      <c r="L89" s="425" t="str">
        <f aca="false">IF(A89="N/A"," ",IF(ISERROR(S89),L77*Gasesc,IF(S89=0,L77*Gasesc,S89)))</f>
        <v> </v>
      </c>
      <c r="M89" s="431"/>
      <c r="N89" s="427" t="str">
        <f aca="false">IF(A89="N/A"," ",VLOOKUP(A89,PeakPowerCurves,(IF(BMO=2,3,IF(BMO=1,2,4))),FALSE()))</f>
        <v> </v>
      </c>
      <c r="O89" s="427" t="str">
        <f aca="false">IF(A89="N/A"," ",VLOOKUP(A89,SatSunPeakPwr,(IF(BMO=2,3,IF(BMO=1,2,4))),FALSE()))</f>
        <v> </v>
      </c>
      <c r="P89" s="427" t="str">
        <f aca="false">IF(A89="N/A"," ",VLOOKUP(A89,SatSunPeakPwr,(IF(BMO=2,7,IF(BMO=1,6,8))),FALSE()))</f>
        <v> </v>
      </c>
      <c r="Q89" s="428" t="str">
        <f aca="false">IF(A89="N/A"," ",(VLOOKUP(A89,OPPowerPrices,(IF(BMO=2,7,IF(BMO=1,6,8))),FALSE())))</f>
        <v> </v>
      </c>
      <c r="R89" s="429" t="str">
        <f aca="false">IF(A89="N/A"," ",(VLOOKUP(A89,GasCurves,9,FALSE()))+IF(BMO=1,Gasbmo,IF(BMO=3,-Gasbmo,0)))</f>
        <v> </v>
      </c>
      <c r="S89" s="429" t="str">
        <f aca="false">IF(A89="N/A"," ",IF(Basischeck=TRUE(),(VLOOKUP(A89,GasCurves,IF(MONTH(A89)&gt;=4,IF(MONTH(A89)&lt;=10,11,12),12),FALSE())),0))</f>
        <v> </v>
      </c>
      <c r="T89" s="429" t="str">
        <f aca="false">IF(A89="N/A"," ",(IF(MONTH(A89)&gt;=4,IF(MONTH(A89)&lt;=10,Inputs!$H$2,Inputs!$H$3),Inputs!$H$3)))</f>
        <v> </v>
      </c>
      <c r="U89" s="430" t="str">
        <f aca="false">IF(A89="N/A"," ",(VLOOKUP($A89,InterestRatesTable,2)))</f>
        <v> </v>
      </c>
      <c r="AF89" s="384" t="n">
        <v>39142</v>
      </c>
      <c r="AG89" s="36" t="n">
        <v>22</v>
      </c>
      <c r="AH89" s="36" t="n">
        <v>5</v>
      </c>
      <c r="AI89" s="36" t="n">
        <v>4</v>
      </c>
      <c r="AJ89" s="36" t="n">
        <v>0</v>
      </c>
      <c r="AK89" s="36" t="n">
        <v>31</v>
      </c>
    </row>
    <row r="90" customFormat="false" ht="12.75" hidden="false" customHeight="false" outlineLevel="0" collapsed="false">
      <c r="A90" s="420" t="str">
        <f aca="false">Calculations!A57</f>
        <v>N/A</v>
      </c>
      <c r="B90" s="421" t="str">
        <f aca="false">IF(A90="N/A"," ",IF(ISERROR(N90),B78*Pwresc,N90)*VLOOKUP(MONTH(A90),Curveadj,3))</f>
        <v> </v>
      </c>
      <c r="C90" s="422" t="str">
        <f aca="false">IF(A90="N/A"," ",(IF(AND(MONTH(A90)&gt;=6,MONTH(A90)&lt;=8,OR($M$37="REGION 2",$M$37="REGION 2A",$M$37="REGION 2B",$M$37="REGION 3",$M$37="REGION 3A",$M$37="REGION 3B",$M$37="REGION 4",$M$37="REGION 4B",$M$37="REGION 4C",$M$37="REGION 5",$M$37="REGION 5A")),((0.059228/(B90/100))-(0.4980013/(SQRT(B90/100)))+2.137988),HLOOKUP(MONTH(A90),ScalarTable,28))))</f>
        <v> </v>
      </c>
      <c r="D90" s="423" t="str">
        <f aca="false">IF(A90="N/A"," ",C90*B90)</f>
        <v> </v>
      </c>
      <c r="E90" s="421" t="str">
        <f aca="false">IF(A90="N/A"," ",IF(ISERROR(O90),E78*Pwresc,O90)*VLOOKUP(MONTH(A90),Curveadj,3))</f>
        <v> </v>
      </c>
      <c r="F90" s="423" t="str">
        <f aca="false">IF(A90="N/A"," ",E90*C90)</f>
        <v> </v>
      </c>
      <c r="G90" s="421" t="str">
        <f aca="false">IF(A90="N/A"," ",IF(ISERROR(P90),G78*Pwresc,P90)*VLOOKUP(MONTH(A90),Curveadj,3))</f>
        <v> </v>
      </c>
      <c r="H90" s="423" t="str">
        <f aca="false">IF(A90="N/A"," ",G90*C90)</f>
        <v> </v>
      </c>
      <c r="I90" s="423" t="str">
        <f aca="false">IF(A90="N/A"," ",IF(ISERROR(Q90),I78*Pwresc,Q90))</f>
        <v> </v>
      </c>
      <c r="J90" s="424" t="str">
        <f aca="false">IF(A90="N/A"," ",K90+L90+T90)</f>
        <v> </v>
      </c>
      <c r="K90" s="425" t="str">
        <f aca="false">IF(A90="N/A"," ",IF(ISERROR(R90),K78*Gasesc,R90))</f>
        <v> </v>
      </c>
      <c r="L90" s="425" t="str">
        <f aca="false">IF(A90="N/A"," ",IF(ISERROR(S90),L78*Gasesc,IF(S90=0,L78*Gasesc,S90)))</f>
        <v> </v>
      </c>
      <c r="M90" s="431"/>
      <c r="N90" s="427" t="str">
        <f aca="false">IF(A90="N/A"," ",VLOOKUP(A90,PeakPowerCurves,(IF(BMO=2,3,IF(BMO=1,2,4))),FALSE()))</f>
        <v> </v>
      </c>
      <c r="O90" s="427" t="str">
        <f aca="false">IF(A90="N/A"," ",VLOOKUP(A90,SatSunPeakPwr,(IF(BMO=2,3,IF(BMO=1,2,4))),FALSE()))</f>
        <v> </v>
      </c>
      <c r="P90" s="427" t="str">
        <f aca="false">IF(A90="N/A"," ",VLOOKUP(A90,SatSunPeakPwr,(IF(BMO=2,7,IF(BMO=1,6,8))),FALSE()))</f>
        <v> </v>
      </c>
      <c r="Q90" s="428" t="str">
        <f aca="false">IF(A90="N/A"," ",(VLOOKUP(A90,OPPowerPrices,(IF(BMO=2,7,IF(BMO=1,6,8))),FALSE())))</f>
        <v> </v>
      </c>
      <c r="R90" s="429" t="str">
        <f aca="false">IF(A90="N/A"," ",(VLOOKUP(A90,GasCurves,9,FALSE()))+IF(BMO=1,Gasbmo,IF(BMO=3,-Gasbmo,0)))</f>
        <v> </v>
      </c>
      <c r="S90" s="429" t="str">
        <f aca="false">IF(A90="N/A"," ",IF(Basischeck=TRUE(),(VLOOKUP(A90,GasCurves,IF(MONTH(A90)&gt;=4,IF(MONTH(A90)&lt;=10,11,12),12),FALSE())),0))</f>
        <v> </v>
      </c>
      <c r="T90" s="429" t="str">
        <f aca="false">IF(A90="N/A"," ",(IF(MONTH(A90)&gt;=4,IF(MONTH(A90)&lt;=10,Inputs!$H$2,Inputs!$H$3),Inputs!$H$3)))</f>
        <v> </v>
      </c>
      <c r="U90" s="430" t="str">
        <f aca="false">IF(A90="N/A"," ",(VLOOKUP($A90,InterestRatesTable,2)))</f>
        <v> </v>
      </c>
      <c r="AF90" s="384" t="n">
        <v>39173</v>
      </c>
      <c r="AG90" s="36" t="n">
        <v>21</v>
      </c>
      <c r="AH90" s="36" t="n">
        <v>4</v>
      </c>
      <c r="AI90" s="36" t="n">
        <v>5</v>
      </c>
      <c r="AJ90" s="36" t="n">
        <v>0</v>
      </c>
      <c r="AK90" s="36" t="n">
        <v>30</v>
      </c>
    </row>
    <row r="91" customFormat="false" ht="12.75" hidden="false" customHeight="false" outlineLevel="0" collapsed="false">
      <c r="A91" s="420" t="str">
        <f aca="false">Calculations!A58</f>
        <v>N/A</v>
      </c>
      <c r="B91" s="421" t="str">
        <f aca="false">IF(A91="N/A"," ",IF(ISERROR(N91),B79*Pwresc,N91)*VLOOKUP(MONTH(A91),Curveadj,3))</f>
        <v> </v>
      </c>
      <c r="C91" s="422" t="str">
        <f aca="false">IF(A91="N/A"," ",(IF(AND(MONTH(A91)&gt;=6,MONTH(A91)&lt;=8,OR($M$37="REGION 2",$M$37="REGION 2A",$M$37="REGION 2B",$M$37="REGION 3",$M$37="REGION 3A",$M$37="REGION 3B",$M$37="REGION 4",$M$37="REGION 4B",$M$37="REGION 4C",$M$37="REGION 5",$M$37="REGION 5A")),((0.059228/(B91/100))-(0.4980013/(SQRT(B91/100)))+2.137988),HLOOKUP(MONTH(A91),ScalarTable,28))))</f>
        <v> </v>
      </c>
      <c r="D91" s="423" t="str">
        <f aca="false">IF(A91="N/A"," ",C91*B91)</f>
        <v> </v>
      </c>
      <c r="E91" s="421" t="str">
        <f aca="false">IF(A91="N/A"," ",IF(ISERROR(O91),E79*Pwresc,O91)*VLOOKUP(MONTH(A91),Curveadj,3))</f>
        <v> </v>
      </c>
      <c r="F91" s="423" t="str">
        <f aca="false">IF(A91="N/A"," ",E91*C91)</f>
        <v> </v>
      </c>
      <c r="G91" s="421" t="str">
        <f aca="false">IF(A91="N/A"," ",IF(ISERROR(P91),G79*Pwresc,P91)*VLOOKUP(MONTH(A91),Curveadj,3))</f>
        <v> </v>
      </c>
      <c r="H91" s="423" t="str">
        <f aca="false">IF(A91="N/A"," ",G91*C91)</f>
        <v> </v>
      </c>
      <c r="I91" s="423" t="str">
        <f aca="false">IF(A91="N/A"," ",IF(ISERROR(Q91),I79*Pwresc,Q91))</f>
        <v> </v>
      </c>
      <c r="J91" s="424" t="str">
        <f aca="false">IF(A91="N/A"," ",K91+L91+T91)</f>
        <v> </v>
      </c>
      <c r="K91" s="425" t="str">
        <f aca="false">IF(A91="N/A"," ",IF(ISERROR(R91),K79*Gasesc,R91))</f>
        <v> </v>
      </c>
      <c r="L91" s="425" t="str">
        <f aca="false">IF(A91="N/A"," ",IF(ISERROR(S91),L79*Gasesc,IF(S91=0,L79*Gasesc,S91)))</f>
        <v> </v>
      </c>
      <c r="M91" s="431"/>
      <c r="N91" s="427" t="str">
        <f aca="false">IF(A91="N/A"," ",VLOOKUP(A91,PeakPowerCurves,(IF(BMO=2,3,IF(BMO=1,2,4))),FALSE()))</f>
        <v> </v>
      </c>
      <c r="O91" s="427" t="str">
        <f aca="false">IF(A91="N/A"," ",VLOOKUP(A91,SatSunPeakPwr,(IF(BMO=2,3,IF(BMO=1,2,4))),FALSE()))</f>
        <v> </v>
      </c>
      <c r="P91" s="427" t="str">
        <f aca="false">IF(A91="N/A"," ",VLOOKUP(A91,SatSunPeakPwr,(IF(BMO=2,7,IF(BMO=1,6,8))),FALSE()))</f>
        <v> </v>
      </c>
      <c r="Q91" s="428" t="str">
        <f aca="false">IF(A91="N/A"," ",(VLOOKUP(A91,OPPowerPrices,(IF(BMO=2,7,IF(BMO=1,6,8))),FALSE())))</f>
        <v> </v>
      </c>
      <c r="R91" s="429" t="str">
        <f aca="false">IF(A91="N/A"," ",(VLOOKUP(A91,GasCurves,9,FALSE()))+IF(BMO=1,Gasbmo,IF(BMO=3,-Gasbmo,0)))</f>
        <v> </v>
      </c>
      <c r="S91" s="429" t="str">
        <f aca="false">IF(A91="N/A"," ",IF(Basischeck=TRUE(),(VLOOKUP(A91,GasCurves,IF(MONTH(A91)&gt;=4,IF(MONTH(A91)&lt;=10,11,12),12),FALSE())),0))</f>
        <v> </v>
      </c>
      <c r="T91" s="429" t="str">
        <f aca="false">IF(A91="N/A"," ",(IF(MONTH(A91)&gt;=4,IF(MONTH(A91)&lt;=10,Inputs!$H$2,Inputs!$H$3),Inputs!$H$3)))</f>
        <v> </v>
      </c>
      <c r="U91" s="430" t="str">
        <f aca="false">IF(A91="N/A"," ",(VLOOKUP($A91,InterestRatesTable,2)))</f>
        <v> </v>
      </c>
      <c r="AF91" s="384" t="n">
        <v>39203</v>
      </c>
      <c r="AG91" s="36" t="n">
        <v>22</v>
      </c>
      <c r="AH91" s="36" t="n">
        <v>4</v>
      </c>
      <c r="AI91" s="36" t="n">
        <v>5</v>
      </c>
      <c r="AJ91" s="36" t="n">
        <v>1</v>
      </c>
      <c r="AK91" s="36" t="n">
        <v>31</v>
      </c>
    </row>
    <row r="92" customFormat="false" ht="12.75" hidden="false" customHeight="false" outlineLevel="0" collapsed="false">
      <c r="A92" s="420" t="str">
        <f aca="false">Calculations!A59</f>
        <v>N/A</v>
      </c>
      <c r="B92" s="421" t="str">
        <f aca="false">IF(A92="N/A"," ",IF(ISERROR(N92),B80*Pwresc,N92)*VLOOKUP(MONTH(A92),Curveadj,3))</f>
        <v> </v>
      </c>
      <c r="C92" s="422" t="str">
        <f aca="false">IF(A92="N/A"," ",(IF(AND(MONTH(A92)&gt;=6,MONTH(A92)&lt;=8,OR($M$37="REGION 2",$M$37="REGION 2A",$M$37="REGION 2B",$M$37="REGION 3",$M$37="REGION 3A",$M$37="REGION 3B",$M$37="REGION 4",$M$37="REGION 4B",$M$37="REGION 4C",$M$37="REGION 5",$M$37="REGION 5A")),((0.059228/(B92/100))-(0.4980013/(SQRT(B92/100)))+2.137988),HLOOKUP(MONTH(A92),ScalarTable,28))))</f>
        <v> </v>
      </c>
      <c r="D92" s="423" t="str">
        <f aca="false">IF(A92="N/A"," ",C92*B92)</f>
        <v> </v>
      </c>
      <c r="E92" s="421" t="str">
        <f aca="false">IF(A92="N/A"," ",IF(ISERROR(O92),E80*Pwresc,O92)*VLOOKUP(MONTH(A92),Curveadj,3))</f>
        <v> </v>
      </c>
      <c r="F92" s="423" t="str">
        <f aca="false">IF(A92="N/A"," ",E92*C92)</f>
        <v> </v>
      </c>
      <c r="G92" s="421" t="str">
        <f aca="false">IF(A92="N/A"," ",IF(ISERROR(P92),G80*Pwresc,P92)*VLOOKUP(MONTH(A92),Curveadj,3))</f>
        <v> </v>
      </c>
      <c r="H92" s="423" t="str">
        <f aca="false">IF(A92="N/A"," ",G92*C92)</f>
        <v> </v>
      </c>
      <c r="I92" s="423" t="str">
        <f aca="false">IF(A92="N/A"," ",IF(ISERROR(Q92),I80*Pwresc,Q92))</f>
        <v> </v>
      </c>
      <c r="J92" s="424" t="str">
        <f aca="false">IF(A92="N/A"," ",K92+L92+T92)</f>
        <v> </v>
      </c>
      <c r="K92" s="425" t="str">
        <f aca="false">IF(A92="N/A"," ",IF(ISERROR(R92),K80*Gasesc,R92))</f>
        <v> </v>
      </c>
      <c r="L92" s="425" t="str">
        <f aca="false">IF(A92="N/A"," ",IF(ISERROR(S92),L80*Gasesc,IF(S92=0,L80*Gasesc,S92)))</f>
        <v> </v>
      </c>
      <c r="M92" s="431"/>
      <c r="N92" s="427" t="str">
        <f aca="false">IF(A92="N/A"," ",VLOOKUP(A92,PeakPowerCurves,(IF(BMO=2,3,IF(BMO=1,2,4))),FALSE()))</f>
        <v> </v>
      </c>
      <c r="O92" s="427" t="str">
        <f aca="false">IF(A92="N/A"," ",VLOOKUP(A92,SatSunPeakPwr,(IF(BMO=2,3,IF(BMO=1,2,4))),FALSE()))</f>
        <v> </v>
      </c>
      <c r="P92" s="427" t="str">
        <f aca="false">IF(A92="N/A"," ",VLOOKUP(A92,SatSunPeakPwr,(IF(BMO=2,7,IF(BMO=1,6,8))),FALSE()))</f>
        <v> </v>
      </c>
      <c r="Q92" s="428" t="str">
        <f aca="false">IF(A92="N/A"," ",(VLOOKUP(A92,OPPowerPrices,(IF(BMO=2,7,IF(BMO=1,6,8))),FALSE())))</f>
        <v> </v>
      </c>
      <c r="R92" s="429" t="str">
        <f aca="false">IF(A92="N/A"," ",(VLOOKUP(A92,GasCurves,9,FALSE()))+IF(BMO=1,Gasbmo,IF(BMO=3,-Gasbmo,0)))</f>
        <v> </v>
      </c>
      <c r="S92" s="429" t="str">
        <f aca="false">IF(A92="N/A"," ",IF(Basischeck=TRUE(),(VLOOKUP(A92,GasCurves,IF(MONTH(A92)&gt;=4,IF(MONTH(A92)&lt;=10,11,12),12),FALSE())),0))</f>
        <v> </v>
      </c>
      <c r="T92" s="429" t="str">
        <f aca="false">IF(A92="N/A"," ",(IF(MONTH(A92)&gt;=4,IF(MONTH(A92)&lt;=10,Inputs!$H$2,Inputs!$H$3),Inputs!$H$3)))</f>
        <v> </v>
      </c>
      <c r="U92" s="430" t="str">
        <f aca="false">IF(A92="N/A"," ",(VLOOKUP($A92,InterestRatesTable,2)))</f>
        <v> </v>
      </c>
      <c r="AF92" s="384" t="n">
        <v>39234</v>
      </c>
      <c r="AG92" s="36" t="n">
        <v>21</v>
      </c>
      <c r="AH92" s="36" t="n">
        <v>5</v>
      </c>
      <c r="AI92" s="36" t="n">
        <v>4</v>
      </c>
      <c r="AJ92" s="36" t="n">
        <v>0</v>
      </c>
      <c r="AK92" s="36" t="n">
        <v>30</v>
      </c>
    </row>
    <row r="93" customFormat="false" ht="12.75" hidden="false" customHeight="false" outlineLevel="0" collapsed="false">
      <c r="A93" s="420" t="str">
        <f aca="false">Calculations!A60</f>
        <v>N/A</v>
      </c>
      <c r="B93" s="421" t="str">
        <f aca="false">IF(A93="N/A"," ",IF(ISERROR(N93),B81*Pwresc,N93)*VLOOKUP(MONTH(A93),Curveadj,3))</f>
        <v> </v>
      </c>
      <c r="C93" s="422" t="str">
        <f aca="false">IF(A93="N/A"," ",(IF(AND(MONTH(A93)&gt;=6,MONTH(A93)&lt;=8,OR($M$37="REGION 2",$M$37="REGION 2A",$M$37="REGION 2B",$M$37="REGION 3",$M$37="REGION 3A",$M$37="REGION 3B",$M$37="REGION 4",$M$37="REGION 4B",$M$37="REGION 4C",$M$37="REGION 5",$M$37="REGION 5A")),((0.059228/(B93/100))-(0.4980013/(SQRT(B93/100)))+2.137988),HLOOKUP(MONTH(A93),ScalarTable,28))))</f>
        <v> </v>
      </c>
      <c r="D93" s="423" t="str">
        <f aca="false">IF(A93="N/A"," ",C93*B93)</f>
        <v> </v>
      </c>
      <c r="E93" s="421" t="str">
        <f aca="false">IF(A93="N/A"," ",IF(ISERROR(O93),E81*Pwresc,O93)*VLOOKUP(MONTH(A93),Curveadj,3))</f>
        <v> </v>
      </c>
      <c r="F93" s="423" t="str">
        <f aca="false">IF(A93="N/A"," ",E93*C93)</f>
        <v> </v>
      </c>
      <c r="G93" s="421" t="str">
        <f aca="false">IF(A93="N/A"," ",IF(ISERROR(P93),G81*Pwresc,P93)*VLOOKUP(MONTH(A93),Curveadj,3))</f>
        <v> </v>
      </c>
      <c r="H93" s="423" t="str">
        <f aca="false">IF(A93="N/A"," ",G93*C93)</f>
        <v> </v>
      </c>
      <c r="I93" s="423" t="str">
        <f aca="false">IF(A93="N/A"," ",IF(ISERROR(Q93),I81*Pwresc,Q93))</f>
        <v> </v>
      </c>
      <c r="J93" s="424" t="str">
        <f aca="false">IF(A93="N/A"," ",K93+L93+T93)</f>
        <v> </v>
      </c>
      <c r="K93" s="425" t="str">
        <f aca="false">IF(A93="N/A"," ",IF(ISERROR(R93),K81*Gasesc,R93))</f>
        <v> </v>
      </c>
      <c r="L93" s="425" t="str">
        <f aca="false">IF(A93="N/A"," ",IF(ISERROR(S93),L81*Gasesc,IF(S93=0,L81*Gasesc,S93)))</f>
        <v> </v>
      </c>
      <c r="M93" s="431"/>
      <c r="N93" s="427" t="str">
        <f aca="false">IF(A93="N/A"," ",VLOOKUP(A93,PeakPowerCurves,(IF(BMO=2,3,IF(BMO=1,2,4))),FALSE()))</f>
        <v> </v>
      </c>
      <c r="O93" s="427" t="str">
        <f aca="false">IF(A93="N/A"," ",VLOOKUP(A93,SatSunPeakPwr,(IF(BMO=2,3,IF(BMO=1,2,4))),FALSE()))</f>
        <v> </v>
      </c>
      <c r="P93" s="427" t="str">
        <f aca="false">IF(A93="N/A"," ",VLOOKUP(A93,SatSunPeakPwr,(IF(BMO=2,7,IF(BMO=1,6,8))),FALSE()))</f>
        <v> </v>
      </c>
      <c r="Q93" s="428" t="str">
        <f aca="false">IF(A93="N/A"," ",(VLOOKUP(A93,OPPowerPrices,(IF(BMO=2,7,IF(BMO=1,6,8))),FALSE())))</f>
        <v> </v>
      </c>
      <c r="R93" s="429" t="str">
        <f aca="false">IF(A93="N/A"," ",(VLOOKUP(A93,GasCurves,9,FALSE()))+IF(BMO=1,Gasbmo,IF(BMO=3,-Gasbmo,0)))</f>
        <v> </v>
      </c>
      <c r="S93" s="429" t="str">
        <f aca="false">IF(A93="N/A"," ",IF(Basischeck=TRUE(),(VLOOKUP(A93,GasCurves,IF(MONTH(A93)&gt;=4,IF(MONTH(A93)&lt;=10,11,12),12),FALSE())),0))</f>
        <v> </v>
      </c>
      <c r="T93" s="429" t="str">
        <f aca="false">IF(A93="N/A"," ",(IF(MONTH(A93)&gt;=4,IF(MONTH(A93)&lt;=10,Inputs!$H$2,Inputs!$H$3),Inputs!$H$3)))</f>
        <v> </v>
      </c>
      <c r="U93" s="430" t="str">
        <f aca="false">IF(A93="N/A"," ",(VLOOKUP($A93,InterestRatesTable,2)))</f>
        <v> </v>
      </c>
      <c r="AF93" s="384" t="n">
        <v>39264</v>
      </c>
      <c r="AG93" s="36" t="n">
        <v>21</v>
      </c>
      <c r="AH93" s="36" t="n">
        <v>4</v>
      </c>
      <c r="AI93" s="36" t="n">
        <v>6</v>
      </c>
      <c r="AJ93" s="36" t="n">
        <v>1</v>
      </c>
      <c r="AK93" s="36" t="n">
        <v>31</v>
      </c>
    </row>
    <row r="94" customFormat="false" ht="12.75" hidden="false" customHeight="false" outlineLevel="0" collapsed="false">
      <c r="A94" s="420" t="str">
        <f aca="false">Calculations!A61</f>
        <v>N/A</v>
      </c>
      <c r="B94" s="421" t="str">
        <f aca="false">IF(A94="N/A"," ",IF(ISERROR(N94),B82*Pwresc,N94)*VLOOKUP(MONTH(A94),Curveadj,3))</f>
        <v> </v>
      </c>
      <c r="C94" s="422" t="str">
        <f aca="false">IF(A94="N/A"," ",(IF(AND(MONTH(A94)&gt;=6,MONTH(A94)&lt;=8,OR($M$37="REGION 2",$M$37="REGION 2A",$M$37="REGION 2B",$M$37="REGION 3",$M$37="REGION 3A",$M$37="REGION 3B",$M$37="REGION 4",$M$37="REGION 4B",$M$37="REGION 4C",$M$37="REGION 5",$M$37="REGION 5A")),((0.059228/(B94/100))-(0.4980013/(SQRT(B94/100)))+2.137988),HLOOKUP(MONTH(A94),ScalarTable,28))))</f>
        <v> </v>
      </c>
      <c r="D94" s="423" t="str">
        <f aca="false">IF(A94="N/A"," ",C94*B94)</f>
        <v> </v>
      </c>
      <c r="E94" s="421" t="str">
        <f aca="false">IF(A94="N/A"," ",IF(ISERROR(O94),E82*Pwresc,O94)*VLOOKUP(MONTH(A94),Curveadj,3))</f>
        <v> </v>
      </c>
      <c r="F94" s="423" t="str">
        <f aca="false">IF(A94="N/A"," ",E94*C94)</f>
        <v> </v>
      </c>
      <c r="G94" s="421" t="str">
        <f aca="false">IF(A94="N/A"," ",IF(ISERROR(P94),G82*Pwresc,P94)*VLOOKUP(MONTH(A94),Curveadj,3))</f>
        <v> </v>
      </c>
      <c r="H94" s="423" t="str">
        <f aca="false">IF(A94="N/A"," ",G94*C94)</f>
        <v> </v>
      </c>
      <c r="I94" s="423" t="str">
        <f aca="false">IF(A94="N/A"," ",IF(ISERROR(Q94),I82*Pwresc,Q94))</f>
        <v> </v>
      </c>
      <c r="J94" s="424" t="str">
        <f aca="false">IF(A94="N/A"," ",K94+L94+T94)</f>
        <v> </v>
      </c>
      <c r="K94" s="425" t="str">
        <f aca="false">IF(A94="N/A"," ",IF(ISERROR(R94),K82*Gasesc,R94))</f>
        <v> </v>
      </c>
      <c r="L94" s="425" t="str">
        <f aca="false">IF(A94="N/A"," ",IF(ISERROR(S94),L82*Gasesc,IF(S94=0,L82*Gasesc,S94)))</f>
        <v> </v>
      </c>
      <c r="M94" s="431"/>
      <c r="N94" s="427" t="str">
        <f aca="false">IF(A94="N/A"," ",VLOOKUP(A94,PeakPowerCurves,(IF(BMO=2,3,IF(BMO=1,2,4))),FALSE()))</f>
        <v> </v>
      </c>
      <c r="O94" s="427" t="str">
        <f aca="false">IF(A94="N/A"," ",VLOOKUP(A94,SatSunPeakPwr,(IF(BMO=2,3,IF(BMO=1,2,4))),FALSE()))</f>
        <v> </v>
      </c>
      <c r="P94" s="427" t="str">
        <f aca="false">IF(A94="N/A"," ",VLOOKUP(A94,SatSunPeakPwr,(IF(BMO=2,7,IF(BMO=1,6,8))),FALSE()))</f>
        <v> </v>
      </c>
      <c r="Q94" s="428" t="str">
        <f aca="false">IF(A94="N/A"," ",(VLOOKUP(A94,OPPowerPrices,(IF(BMO=2,7,IF(BMO=1,6,8))),FALSE())))</f>
        <v> </v>
      </c>
      <c r="R94" s="429" t="str">
        <f aca="false">IF(A94="N/A"," ",(VLOOKUP(A94,GasCurves,9,FALSE()))+IF(BMO=1,Gasbmo,IF(BMO=3,-Gasbmo,0)))</f>
        <v> </v>
      </c>
      <c r="S94" s="429" t="str">
        <f aca="false">IF(A94="N/A"," ",IF(Basischeck=TRUE(),(VLOOKUP(A94,GasCurves,IF(MONTH(A94)&gt;=4,IF(MONTH(A94)&lt;=10,11,12),12),FALSE())),0))</f>
        <v> </v>
      </c>
      <c r="T94" s="429" t="str">
        <f aca="false">IF(A94="N/A"," ",(IF(MONTH(A94)&gt;=4,IF(MONTH(A94)&lt;=10,Inputs!$H$2,Inputs!$H$3),Inputs!$H$3)))</f>
        <v> </v>
      </c>
      <c r="U94" s="430" t="str">
        <f aca="false">IF(A94="N/A"," ",(VLOOKUP($A94,InterestRatesTable,2)))</f>
        <v> </v>
      </c>
      <c r="AF94" s="384" t="n">
        <v>39295</v>
      </c>
      <c r="AG94" s="36" t="n">
        <v>23</v>
      </c>
      <c r="AH94" s="36" t="n">
        <v>4</v>
      </c>
      <c r="AI94" s="36" t="n">
        <v>4</v>
      </c>
      <c r="AJ94" s="36" t="n">
        <v>0</v>
      </c>
      <c r="AK94" s="36" t="n">
        <v>31</v>
      </c>
    </row>
    <row r="95" customFormat="false" ht="12.75" hidden="false" customHeight="false" outlineLevel="0" collapsed="false">
      <c r="A95" s="420" t="str">
        <f aca="false">Calculations!A62</f>
        <v>N/A</v>
      </c>
      <c r="B95" s="421" t="str">
        <f aca="false">IF(A95="N/A"," ",IF(ISERROR(N95),B83*Pwresc,N95)*VLOOKUP(MONTH(A95),Curveadj,3))</f>
        <v> </v>
      </c>
      <c r="C95" s="422" t="str">
        <f aca="false">IF(A95="N/A"," ",(IF(AND(MONTH(A95)&gt;=6,MONTH(A95)&lt;=8,OR($M$37="REGION 2",$M$37="REGION 2A",$M$37="REGION 2B",$M$37="REGION 3",$M$37="REGION 3A",$M$37="REGION 3B",$M$37="REGION 4",$M$37="REGION 4B",$M$37="REGION 4C",$M$37="REGION 5",$M$37="REGION 5A")),((0.059228/(B95/100))-(0.4980013/(SQRT(B95/100)))+2.137988),HLOOKUP(MONTH(A95),ScalarTable,28))))</f>
        <v> </v>
      </c>
      <c r="D95" s="423" t="str">
        <f aca="false">IF(A95="N/A"," ",C95*B95)</f>
        <v> </v>
      </c>
      <c r="E95" s="421" t="str">
        <f aca="false">IF(A95="N/A"," ",IF(ISERROR(O95),E83*Pwresc,O95)*VLOOKUP(MONTH(A95),Curveadj,3))</f>
        <v> </v>
      </c>
      <c r="F95" s="423" t="str">
        <f aca="false">IF(A95="N/A"," ",E95*C95)</f>
        <v> </v>
      </c>
      <c r="G95" s="421" t="str">
        <f aca="false">IF(A95="N/A"," ",IF(ISERROR(P95),G83*Pwresc,P95)*VLOOKUP(MONTH(A95),Curveadj,3))</f>
        <v> </v>
      </c>
      <c r="H95" s="423" t="str">
        <f aca="false">IF(A95="N/A"," ",G95*C95)</f>
        <v> </v>
      </c>
      <c r="I95" s="423" t="str">
        <f aca="false">IF(A95="N/A"," ",IF(ISERROR(Q95),I83*Pwresc,Q95))</f>
        <v> </v>
      </c>
      <c r="J95" s="424" t="str">
        <f aca="false">IF(A95="N/A"," ",K95+L95+T95)</f>
        <v> </v>
      </c>
      <c r="K95" s="425" t="str">
        <f aca="false">IF(A95="N/A"," ",IF(ISERROR(R95),K83*Gasesc,R95))</f>
        <v> </v>
      </c>
      <c r="L95" s="425" t="str">
        <f aca="false">IF(A95="N/A"," ",IF(ISERROR(S95),L83*Gasesc,IF(S95=0,L83*Gasesc,S95)))</f>
        <v> </v>
      </c>
      <c r="M95" s="431"/>
      <c r="N95" s="427" t="str">
        <f aca="false">IF(A95="N/A"," ",VLOOKUP(A95,PeakPowerCurves,(IF(BMO=2,3,IF(BMO=1,2,4))),FALSE()))</f>
        <v> </v>
      </c>
      <c r="O95" s="427" t="str">
        <f aca="false">IF(A95="N/A"," ",VLOOKUP(A95,SatSunPeakPwr,(IF(BMO=2,3,IF(BMO=1,2,4))),FALSE()))</f>
        <v> </v>
      </c>
      <c r="P95" s="427" t="str">
        <f aca="false">IF(A95="N/A"," ",VLOOKUP(A95,SatSunPeakPwr,(IF(BMO=2,7,IF(BMO=1,6,8))),FALSE()))</f>
        <v> </v>
      </c>
      <c r="Q95" s="428" t="str">
        <f aca="false">IF(A95="N/A"," ",(VLOOKUP(A95,OPPowerPrices,(IF(BMO=2,7,IF(BMO=1,6,8))),FALSE())))</f>
        <v> </v>
      </c>
      <c r="R95" s="429" t="str">
        <f aca="false">IF(A95="N/A"," ",(VLOOKUP(A95,GasCurves,9,FALSE()))+IF(BMO=1,Gasbmo,IF(BMO=3,-Gasbmo,0)))</f>
        <v> </v>
      </c>
      <c r="S95" s="429" t="str">
        <f aca="false">IF(A95="N/A"," ",IF(Basischeck=TRUE(),(VLOOKUP(A95,GasCurves,IF(MONTH(A95)&gt;=4,IF(MONTH(A95)&lt;=10,11,12),12),FALSE())),0))</f>
        <v> </v>
      </c>
      <c r="T95" s="429" t="str">
        <f aca="false">IF(A95="N/A"," ",(IF(MONTH(A95)&gt;=4,IF(MONTH(A95)&lt;=10,Inputs!$H$2,Inputs!$H$3),Inputs!$H$3)))</f>
        <v> </v>
      </c>
      <c r="U95" s="430" t="str">
        <f aca="false">IF(A95="N/A"," ",(VLOOKUP($A95,InterestRatesTable,2)))</f>
        <v> </v>
      </c>
      <c r="AF95" s="384" t="n">
        <v>39326</v>
      </c>
      <c r="AG95" s="36" t="n">
        <v>19</v>
      </c>
      <c r="AH95" s="36" t="n">
        <v>5</v>
      </c>
      <c r="AI95" s="36" t="n">
        <v>6</v>
      </c>
      <c r="AJ95" s="36" t="n">
        <v>1</v>
      </c>
      <c r="AK95" s="36" t="n">
        <v>30</v>
      </c>
    </row>
    <row r="96" customFormat="false" ht="12.75" hidden="false" customHeight="false" outlineLevel="0" collapsed="false">
      <c r="A96" s="420" t="str">
        <f aca="false">Calculations!A63</f>
        <v>N/A</v>
      </c>
      <c r="B96" s="421" t="str">
        <f aca="false">IF(A96="N/A"," ",IF(ISERROR(N96),B84*Pwresc,N96)*VLOOKUP(MONTH(A96),Curveadj,3))</f>
        <v> </v>
      </c>
      <c r="C96" s="422" t="str">
        <f aca="false">IF(A96="N/A"," ",(IF(AND(MONTH(A96)&gt;=6,MONTH(A96)&lt;=8,OR($M$37="REGION 2",$M$37="REGION 2A",$M$37="REGION 2B",$M$37="REGION 3",$M$37="REGION 3A",$M$37="REGION 3B",$M$37="REGION 4",$M$37="REGION 4B",$M$37="REGION 4C",$M$37="REGION 5",$M$37="REGION 5A")),((0.059228/(B96/100))-(0.4980013/(SQRT(B96/100)))+2.137988),HLOOKUP(MONTH(A96),ScalarTable,28))))</f>
        <v> </v>
      </c>
      <c r="D96" s="423" t="str">
        <f aca="false">IF(A96="N/A"," ",C96*B96)</f>
        <v> </v>
      </c>
      <c r="E96" s="421" t="str">
        <f aca="false">IF(A96="N/A"," ",IF(ISERROR(O96),E84*Pwresc,O96)*VLOOKUP(MONTH(A96),Curveadj,3))</f>
        <v> </v>
      </c>
      <c r="F96" s="423" t="str">
        <f aca="false">IF(A96="N/A"," ",E96*C96)</f>
        <v> </v>
      </c>
      <c r="G96" s="421" t="str">
        <f aca="false">IF(A96="N/A"," ",IF(ISERROR(P96),G84*Pwresc,P96)*VLOOKUP(MONTH(A96),Curveadj,3))</f>
        <v> </v>
      </c>
      <c r="H96" s="423" t="str">
        <f aca="false">IF(A96="N/A"," ",G96*C96)</f>
        <v> </v>
      </c>
      <c r="I96" s="423" t="str">
        <f aca="false">IF(A96="N/A"," ",IF(ISERROR(Q96),I84*Pwresc,Q96))</f>
        <v> </v>
      </c>
      <c r="J96" s="424" t="str">
        <f aca="false">IF(A96="N/A"," ",K96+L96+T96)</f>
        <v> </v>
      </c>
      <c r="K96" s="425" t="str">
        <f aca="false">IF(A96="N/A"," ",IF(ISERROR(R96),K84*Gasesc,R96))</f>
        <v> </v>
      </c>
      <c r="L96" s="425" t="str">
        <f aca="false">IF(A96="N/A"," ",IF(ISERROR(S96),L84*Gasesc,IF(S96=0,L84*Gasesc,S96)))</f>
        <v> </v>
      </c>
      <c r="M96" s="431"/>
      <c r="N96" s="427" t="str">
        <f aca="false">IF(A96="N/A"," ",VLOOKUP(A96,PeakPowerCurves,(IF(BMO=2,3,IF(BMO=1,2,4))),FALSE()))</f>
        <v> </v>
      </c>
      <c r="O96" s="427" t="str">
        <f aca="false">IF(A96="N/A"," ",VLOOKUP(A96,SatSunPeakPwr,(IF(BMO=2,3,IF(BMO=1,2,4))),FALSE()))</f>
        <v> </v>
      </c>
      <c r="P96" s="427" t="str">
        <f aca="false">IF(A96="N/A"," ",VLOOKUP(A96,SatSunPeakPwr,(IF(BMO=2,7,IF(BMO=1,6,8))),FALSE()))</f>
        <v> </v>
      </c>
      <c r="Q96" s="428" t="str">
        <f aca="false">IF(A96="N/A"," ",(VLOOKUP(A96,OPPowerPrices,(IF(BMO=2,7,IF(BMO=1,6,8))),FALSE())))</f>
        <v> </v>
      </c>
      <c r="R96" s="429" t="str">
        <f aca="false">IF(A96="N/A"," ",(VLOOKUP(A96,GasCurves,9,FALSE()))+IF(BMO=1,Gasbmo,IF(BMO=3,-Gasbmo,0)))</f>
        <v> </v>
      </c>
      <c r="S96" s="429" t="str">
        <f aca="false">IF(A96="N/A"," ",IF(Basischeck=TRUE(),(VLOOKUP(A96,GasCurves,IF(MONTH(A96)&gt;=4,IF(MONTH(A96)&lt;=10,11,12),12),FALSE())),0))</f>
        <v> </v>
      </c>
      <c r="T96" s="429" t="str">
        <f aca="false">IF(A96="N/A"," ",(IF(MONTH(A96)&gt;=4,IF(MONTH(A96)&lt;=10,Inputs!$H$2,Inputs!$H$3),Inputs!$H$3)))</f>
        <v> </v>
      </c>
      <c r="U96" s="430" t="str">
        <f aca="false">IF(A96="N/A"," ",(VLOOKUP($A96,InterestRatesTable,2)))</f>
        <v> </v>
      </c>
      <c r="AF96" s="384" t="n">
        <v>39356</v>
      </c>
      <c r="AG96" s="36" t="n">
        <v>23</v>
      </c>
      <c r="AH96" s="36" t="n">
        <v>4</v>
      </c>
      <c r="AI96" s="36" t="n">
        <v>4</v>
      </c>
      <c r="AJ96" s="36" t="n">
        <v>0</v>
      </c>
      <c r="AK96" s="36" t="n">
        <v>31</v>
      </c>
    </row>
    <row r="97" customFormat="false" ht="12.75" hidden="false" customHeight="false" outlineLevel="0" collapsed="false">
      <c r="A97" s="420" t="str">
        <f aca="false">Calculations!A64</f>
        <v>N/A</v>
      </c>
      <c r="B97" s="421" t="str">
        <f aca="false">IF(A97="N/A"," ",IF(ISERROR(N97),B85*Pwresc,N97)*VLOOKUP(MONTH(A97),Curveadj,3))</f>
        <v> </v>
      </c>
      <c r="C97" s="422" t="str">
        <f aca="false">IF(A97="N/A"," ",(IF(AND(MONTH(A97)&gt;=6,MONTH(A97)&lt;=8,OR($M$37="REGION 2",$M$37="REGION 2A",$M$37="REGION 2B",$M$37="REGION 3",$M$37="REGION 3A",$M$37="REGION 3B",$M$37="REGION 4",$M$37="REGION 4B",$M$37="REGION 4C",$M$37="REGION 5",$M$37="REGION 5A")),((0.059228/(B97/100))-(0.4980013/(SQRT(B97/100)))+2.137988),HLOOKUP(MONTH(A97),ScalarTable,28))))</f>
        <v> </v>
      </c>
      <c r="D97" s="423" t="str">
        <f aca="false">IF(A97="N/A"," ",C97*B97)</f>
        <v> </v>
      </c>
      <c r="E97" s="421" t="str">
        <f aca="false">IF(A97="N/A"," ",IF(ISERROR(O97),E85*Pwresc,O97)*VLOOKUP(MONTH(A97),Curveadj,3))</f>
        <v> </v>
      </c>
      <c r="F97" s="423" t="str">
        <f aca="false">IF(A97="N/A"," ",E97*C97)</f>
        <v> </v>
      </c>
      <c r="G97" s="421" t="str">
        <f aca="false">IF(A97="N/A"," ",IF(ISERROR(P97),G85*Pwresc,P97)*VLOOKUP(MONTH(A97),Curveadj,3))</f>
        <v> </v>
      </c>
      <c r="H97" s="423" t="str">
        <f aca="false">IF(A97="N/A"," ",G97*C97)</f>
        <v> </v>
      </c>
      <c r="I97" s="423" t="str">
        <f aca="false">IF(A97="N/A"," ",IF(ISERROR(Q97),I85*Pwresc,Q97))</f>
        <v> </v>
      </c>
      <c r="J97" s="424" t="str">
        <f aca="false">IF(A97="N/A"," ",K97+L97+T97)</f>
        <v> </v>
      </c>
      <c r="K97" s="425" t="str">
        <f aca="false">IF(A97="N/A"," ",IF(ISERROR(R97),K85*Gasesc,R97))</f>
        <v> </v>
      </c>
      <c r="L97" s="425" t="str">
        <f aca="false">IF(A97="N/A"," ",IF(ISERROR(S97),L85*Gasesc,IF(S97=0,L85*Gasesc,S97)))</f>
        <v> </v>
      </c>
      <c r="M97" s="431"/>
      <c r="N97" s="427" t="str">
        <f aca="false">IF(A97="N/A"," ",VLOOKUP(A97,PeakPowerCurves,(IF(BMO=2,3,IF(BMO=1,2,4))),FALSE()))</f>
        <v> </v>
      </c>
      <c r="O97" s="427" t="str">
        <f aca="false">IF(A97="N/A"," ",VLOOKUP(A97,SatSunPeakPwr,(IF(BMO=2,3,IF(BMO=1,2,4))),FALSE()))</f>
        <v> </v>
      </c>
      <c r="P97" s="427" t="str">
        <f aca="false">IF(A97="N/A"," ",VLOOKUP(A97,SatSunPeakPwr,(IF(BMO=2,7,IF(BMO=1,6,8))),FALSE()))</f>
        <v> </v>
      </c>
      <c r="Q97" s="428" t="str">
        <f aca="false">IF(A97="N/A"," ",(VLOOKUP(A97,OPPowerPrices,(IF(BMO=2,7,IF(BMO=1,6,8))),FALSE())))</f>
        <v> </v>
      </c>
      <c r="R97" s="429" t="str">
        <f aca="false">IF(A97="N/A"," ",(VLOOKUP(A97,GasCurves,9,FALSE()))+IF(BMO=1,Gasbmo,IF(BMO=3,-Gasbmo,0)))</f>
        <v> </v>
      </c>
      <c r="S97" s="429" t="str">
        <f aca="false">IF(A97="N/A"," ",IF(Basischeck=TRUE(),(VLOOKUP(A97,GasCurves,IF(MONTH(A97)&gt;=4,IF(MONTH(A97)&lt;=10,11,12),12),FALSE())),0))</f>
        <v> </v>
      </c>
      <c r="T97" s="429" t="str">
        <f aca="false">IF(A97="N/A"," ",(IF(MONTH(A97)&gt;=4,IF(MONTH(A97)&lt;=10,Inputs!$H$2,Inputs!$H$3),Inputs!$H$3)))</f>
        <v> </v>
      </c>
      <c r="U97" s="430" t="str">
        <f aca="false">IF(A97="N/A"," ",(VLOOKUP($A97,InterestRatesTable,2)))</f>
        <v> </v>
      </c>
      <c r="AF97" s="384" t="n">
        <v>39387</v>
      </c>
      <c r="AG97" s="36" t="n">
        <v>21</v>
      </c>
      <c r="AH97" s="36" t="n">
        <v>4</v>
      </c>
      <c r="AI97" s="36" t="n">
        <v>5</v>
      </c>
      <c r="AJ97" s="36" t="n">
        <v>1</v>
      </c>
      <c r="AK97" s="36" t="n">
        <v>30</v>
      </c>
    </row>
    <row r="98" customFormat="false" ht="12.75" hidden="false" customHeight="false" outlineLevel="0" collapsed="false">
      <c r="A98" s="420" t="str">
        <f aca="false">Calculations!A65</f>
        <v>N/A</v>
      </c>
      <c r="B98" s="421" t="str">
        <f aca="false">IF(A98="N/A"," ",IF(ISERROR(N98),B86*Pwresc,N98)*VLOOKUP(MONTH(A98),Curveadj,3))</f>
        <v> </v>
      </c>
      <c r="C98" s="422" t="str">
        <f aca="false">IF(A98="N/A"," ",(IF(AND(MONTH(A98)&gt;=6,MONTH(A98)&lt;=8,OR($M$37="REGION 2",$M$37="REGION 2A",$M$37="REGION 2B",$M$37="REGION 3",$M$37="REGION 3A",$M$37="REGION 3B",$M$37="REGION 4",$M$37="REGION 4B",$M$37="REGION 4C",$M$37="REGION 5",$M$37="REGION 5A")),((0.059228/(B98/100))-(0.4980013/(SQRT(B98/100)))+2.137988),HLOOKUP(MONTH(A98),ScalarTable,28))))</f>
        <v> </v>
      </c>
      <c r="D98" s="423" t="str">
        <f aca="false">IF(A98="N/A"," ",C98*B98)</f>
        <v> </v>
      </c>
      <c r="E98" s="421" t="str">
        <f aca="false">IF(A98="N/A"," ",IF(ISERROR(O98),E86*Pwresc,O98)*VLOOKUP(MONTH(A98),Curveadj,3))</f>
        <v> </v>
      </c>
      <c r="F98" s="423" t="str">
        <f aca="false">IF(A98="N/A"," ",E98*C98)</f>
        <v> </v>
      </c>
      <c r="G98" s="421" t="str">
        <f aca="false">IF(A98="N/A"," ",IF(ISERROR(P98),G86*Pwresc,P98)*VLOOKUP(MONTH(A98),Curveadj,3))</f>
        <v> </v>
      </c>
      <c r="H98" s="423" t="str">
        <f aca="false">IF(A98="N/A"," ",G98*C98)</f>
        <v> </v>
      </c>
      <c r="I98" s="423" t="str">
        <f aca="false">IF(A98="N/A"," ",IF(ISERROR(Q98),I86*Pwresc,Q98))</f>
        <v> </v>
      </c>
      <c r="J98" s="424" t="str">
        <f aca="false">IF(A98="N/A"," ",K98+L98+T98)</f>
        <v> </v>
      </c>
      <c r="K98" s="425" t="str">
        <f aca="false">IF(A98="N/A"," ",IF(ISERROR(R98),K86*Gasesc,R98))</f>
        <v> </v>
      </c>
      <c r="L98" s="425" t="str">
        <f aca="false">IF(A98="N/A"," ",IF(ISERROR(S98),L86*Gasesc,IF(S98=0,L86*Gasesc,S98)))</f>
        <v> </v>
      </c>
      <c r="M98" s="431"/>
      <c r="N98" s="427" t="str">
        <f aca="false">IF(A98="N/A"," ",VLOOKUP(A98,PeakPowerCurves,(IF(BMO=2,3,IF(BMO=1,2,4))),FALSE()))</f>
        <v> </v>
      </c>
      <c r="O98" s="427" t="str">
        <f aca="false">IF(A98="N/A"," ",VLOOKUP(A98,SatSunPeakPwr,(IF(BMO=2,3,IF(BMO=1,2,4))),FALSE()))</f>
        <v> </v>
      </c>
      <c r="P98" s="427" t="str">
        <f aca="false">IF(A98="N/A"," ",VLOOKUP(A98,SatSunPeakPwr,(IF(BMO=2,7,IF(BMO=1,6,8))),FALSE()))</f>
        <v> </v>
      </c>
      <c r="Q98" s="428" t="str">
        <f aca="false">IF(A98="N/A"," ",(VLOOKUP(A98,OPPowerPrices,(IF(BMO=2,7,IF(BMO=1,6,8))),FALSE())))</f>
        <v> </v>
      </c>
      <c r="R98" s="429" t="str">
        <f aca="false">IF(A98="N/A"," ",(VLOOKUP(A98,GasCurves,9,FALSE()))+IF(BMO=1,Gasbmo,IF(BMO=3,-Gasbmo,0)))</f>
        <v> </v>
      </c>
      <c r="S98" s="429" t="str">
        <f aca="false">IF(A98="N/A"," ",IF(Basischeck=TRUE(),(VLOOKUP(A98,GasCurves,IF(MONTH(A98)&gt;=4,IF(MONTH(A98)&lt;=10,11,12),12),FALSE())),0))</f>
        <v> </v>
      </c>
      <c r="T98" s="429" t="str">
        <f aca="false">IF(A98="N/A"," ",(IF(MONTH(A98)&gt;=4,IF(MONTH(A98)&lt;=10,Inputs!$H$2,Inputs!$H$3),Inputs!$H$3)))</f>
        <v> </v>
      </c>
      <c r="U98" s="430" t="str">
        <f aca="false">IF(A98="N/A"," ",(VLOOKUP($A98,InterestRatesTable,2)))</f>
        <v> </v>
      </c>
      <c r="AF98" s="384" t="n">
        <v>39417</v>
      </c>
      <c r="AG98" s="36" t="n">
        <v>20</v>
      </c>
      <c r="AH98" s="36" t="n">
        <v>5</v>
      </c>
      <c r="AI98" s="36" t="n">
        <v>6</v>
      </c>
      <c r="AJ98" s="36" t="n">
        <v>1</v>
      </c>
      <c r="AK98" s="36" t="n">
        <v>31</v>
      </c>
    </row>
    <row r="99" customFormat="false" ht="12.75" hidden="false" customHeight="false" outlineLevel="0" collapsed="false">
      <c r="A99" s="420" t="str">
        <f aca="false">Calculations!A66</f>
        <v>N/A</v>
      </c>
      <c r="B99" s="421" t="str">
        <f aca="false">IF(A99="N/A"," ",IF(ISERROR(N99),B87*Pwresc,N99)*VLOOKUP(MONTH(A99),Curveadj,3))</f>
        <v> </v>
      </c>
      <c r="C99" s="422" t="str">
        <f aca="false">IF(A99="N/A"," ",(IF(AND(MONTH(A99)&gt;=6,MONTH(A99)&lt;=8,OR($M$37="REGION 2",$M$37="REGION 2A",$M$37="REGION 2B",$M$37="REGION 3",$M$37="REGION 3A",$M$37="REGION 3B",$M$37="REGION 4",$M$37="REGION 4B",$M$37="REGION 4C",$M$37="REGION 5",$M$37="REGION 5A")),((0.059228/(B99/100))-(0.4980013/(SQRT(B99/100)))+2.137988),HLOOKUP(MONTH(A99),ScalarTable,28))))</f>
        <v> </v>
      </c>
      <c r="D99" s="423" t="str">
        <f aca="false">IF(A99="N/A"," ",C99*B99)</f>
        <v> </v>
      </c>
      <c r="E99" s="421" t="str">
        <f aca="false">IF(A99="N/A"," ",IF(ISERROR(O99),E87*Pwresc,O99)*VLOOKUP(MONTH(A99),Curveadj,3))</f>
        <v> </v>
      </c>
      <c r="F99" s="423" t="str">
        <f aca="false">IF(A99="N/A"," ",E99*C99)</f>
        <v> </v>
      </c>
      <c r="G99" s="421" t="str">
        <f aca="false">IF(A99="N/A"," ",IF(ISERROR(P99),G87*Pwresc,P99)*VLOOKUP(MONTH(A99),Curveadj,3))</f>
        <v> </v>
      </c>
      <c r="H99" s="423" t="str">
        <f aca="false">IF(A99="N/A"," ",G99*C99)</f>
        <v> </v>
      </c>
      <c r="I99" s="423" t="str">
        <f aca="false">IF(A99="N/A"," ",IF(ISERROR(Q99),I87*Pwresc,Q99))</f>
        <v> </v>
      </c>
      <c r="J99" s="424" t="str">
        <f aca="false">IF(A99="N/A"," ",K99+L99+T99)</f>
        <v> </v>
      </c>
      <c r="K99" s="425" t="str">
        <f aca="false">IF(A99="N/A"," ",IF(ISERROR(R99),K87*Gasesc,R99))</f>
        <v> </v>
      </c>
      <c r="L99" s="425" t="str">
        <f aca="false">IF(A99="N/A"," ",IF(ISERROR(S99),L87*Gasesc,IF(S99=0,L87*Gasesc,S99)))</f>
        <v> </v>
      </c>
      <c r="M99" s="431"/>
      <c r="N99" s="427" t="str">
        <f aca="false">IF(A99="N/A"," ",VLOOKUP(A99,PeakPowerCurves,(IF(BMO=2,3,IF(BMO=1,2,4))),FALSE()))</f>
        <v> </v>
      </c>
      <c r="O99" s="427" t="str">
        <f aca="false">IF(A99="N/A"," ",VLOOKUP(A99,SatSunPeakPwr,(IF(BMO=2,3,IF(BMO=1,2,4))),FALSE()))</f>
        <v> </v>
      </c>
      <c r="P99" s="427" t="str">
        <f aca="false">IF(A99="N/A"," ",VLOOKUP(A99,SatSunPeakPwr,(IF(BMO=2,7,IF(BMO=1,6,8))),FALSE()))</f>
        <v> </v>
      </c>
      <c r="Q99" s="428" t="str">
        <f aca="false">IF(A99="N/A"," ",(VLOOKUP(A99,OPPowerPrices,(IF(BMO=2,7,IF(BMO=1,6,8))),FALSE())))</f>
        <v> </v>
      </c>
      <c r="R99" s="429" t="str">
        <f aca="false">IF(A99="N/A"," ",(VLOOKUP(A99,GasCurves,9,FALSE()))+IF(BMO=1,Gasbmo,IF(BMO=3,-Gasbmo,0)))</f>
        <v> </v>
      </c>
      <c r="S99" s="429" t="str">
        <f aca="false">IF(A99="N/A"," ",IF(Basischeck=TRUE(),(VLOOKUP(A99,GasCurves,IF(MONTH(A99)&gt;=4,IF(MONTH(A99)&lt;=10,11,12),12),FALSE())),0))</f>
        <v> </v>
      </c>
      <c r="T99" s="429" t="str">
        <f aca="false">IF(A99="N/A"," ",(IF(MONTH(A99)&gt;=4,IF(MONTH(A99)&lt;=10,Inputs!$H$2,Inputs!$H$3),Inputs!$H$3)))</f>
        <v> </v>
      </c>
      <c r="U99" s="430" t="str">
        <f aca="false">IF(A99="N/A"," ",(VLOOKUP($A99,InterestRatesTable,2)))</f>
        <v> </v>
      </c>
      <c r="AF99" s="384" t="n">
        <v>39448</v>
      </c>
      <c r="AG99" s="36" t="n">
        <v>22</v>
      </c>
      <c r="AH99" s="36" t="n">
        <v>4</v>
      </c>
      <c r="AI99" s="36" t="n">
        <v>5</v>
      </c>
      <c r="AJ99" s="36" t="n">
        <v>1</v>
      </c>
      <c r="AK99" s="36" t="n">
        <v>31</v>
      </c>
    </row>
    <row r="100" customFormat="false" ht="12.75" hidden="false" customHeight="false" outlineLevel="0" collapsed="false">
      <c r="A100" s="420" t="str">
        <f aca="false">Calculations!A67</f>
        <v>N/A</v>
      </c>
      <c r="B100" s="421" t="str">
        <f aca="false">IF(A100="N/A"," ",IF(ISERROR(N100),B88*Pwresc,N100)*VLOOKUP(MONTH(A100),Curveadj,3))</f>
        <v> </v>
      </c>
      <c r="C100" s="422" t="str">
        <f aca="false">IF(A100="N/A"," ",(IF(AND(MONTH(A100)&gt;=6,MONTH(A100)&lt;=8,OR($M$37="REGION 2",$M$37="REGION 2A",$M$37="REGION 2B",$M$37="REGION 3",$M$37="REGION 3A",$M$37="REGION 3B",$M$37="REGION 4",$M$37="REGION 4B",$M$37="REGION 4C",$M$37="REGION 5",$M$37="REGION 5A")),((0.059228/(B100/100))-(0.4980013/(SQRT(B100/100)))+2.137988),HLOOKUP(MONTH(A100),ScalarTable,28))))</f>
        <v> </v>
      </c>
      <c r="D100" s="423" t="str">
        <f aca="false">IF(A100="N/A"," ",C100*B100)</f>
        <v> </v>
      </c>
      <c r="E100" s="421" t="str">
        <f aca="false">IF(A100="N/A"," ",IF(ISERROR(O100),E88*Pwresc,O100)*VLOOKUP(MONTH(A100),Curveadj,3))</f>
        <v> </v>
      </c>
      <c r="F100" s="423" t="str">
        <f aca="false">IF(A100="N/A"," ",E100*C100)</f>
        <v> </v>
      </c>
      <c r="G100" s="421" t="str">
        <f aca="false">IF(A100="N/A"," ",IF(ISERROR(P100),G88*Pwresc,P100)*VLOOKUP(MONTH(A100),Curveadj,3))</f>
        <v> </v>
      </c>
      <c r="H100" s="423" t="str">
        <f aca="false">IF(A100="N/A"," ",G100*C100)</f>
        <v> </v>
      </c>
      <c r="I100" s="423" t="str">
        <f aca="false">IF(A100="N/A"," ",IF(ISERROR(Q100),I88*Pwresc,Q100))</f>
        <v> </v>
      </c>
      <c r="J100" s="424" t="str">
        <f aca="false">IF(A100="N/A"," ",K100+L100+T100)</f>
        <v> </v>
      </c>
      <c r="K100" s="425" t="str">
        <f aca="false">IF(A100="N/A"," ",IF(ISERROR(R100),K88*Gasesc,R100))</f>
        <v> </v>
      </c>
      <c r="L100" s="425" t="str">
        <f aca="false">IF(A100="N/A"," ",IF(ISERROR(S100),L88*Gasesc,IF(S100=0,L88*Gasesc,S100)))</f>
        <v> </v>
      </c>
      <c r="M100" s="431"/>
      <c r="N100" s="427" t="str">
        <f aca="false">IF(A100="N/A"," ",VLOOKUP(A100,PeakPowerCurves,(IF(BMO=2,3,IF(BMO=1,2,4))),FALSE()))</f>
        <v> </v>
      </c>
      <c r="O100" s="427" t="str">
        <f aca="false">IF(A100="N/A"," ",VLOOKUP(A100,SatSunPeakPwr,(IF(BMO=2,3,IF(BMO=1,2,4))),FALSE()))</f>
        <v> </v>
      </c>
      <c r="P100" s="427" t="str">
        <f aca="false">IF(A100="N/A"," ",VLOOKUP(A100,SatSunPeakPwr,(IF(BMO=2,7,IF(BMO=1,6,8))),FALSE()))</f>
        <v> </v>
      </c>
      <c r="Q100" s="428" t="str">
        <f aca="false">IF(A100="N/A"," ",(VLOOKUP(A100,OPPowerPrices,(IF(BMO=2,7,IF(BMO=1,6,8))),FALSE())))</f>
        <v> </v>
      </c>
      <c r="R100" s="429" t="str">
        <f aca="false">IF(A100="N/A"," ",(VLOOKUP(A100,GasCurves,9,FALSE()))+IF(BMO=1,Gasbmo,IF(BMO=3,-Gasbmo,0)))</f>
        <v> </v>
      </c>
      <c r="S100" s="429" t="str">
        <f aca="false">IF(A100="N/A"," ",IF(Basischeck=TRUE(),(VLOOKUP(A100,GasCurves,IF(MONTH(A100)&gt;=4,IF(MONTH(A100)&lt;=10,11,12),12),FALSE())),0))</f>
        <v> </v>
      </c>
      <c r="T100" s="429" t="str">
        <f aca="false">IF(A100="N/A"," ",(IF(MONTH(A100)&gt;=4,IF(MONTH(A100)&lt;=10,Inputs!$H$2,Inputs!$H$3),Inputs!$H$3)))</f>
        <v> </v>
      </c>
      <c r="U100" s="430" t="str">
        <f aca="false">IF(A100="N/A"," ",(VLOOKUP($A100,InterestRatesTable,2)))</f>
        <v> </v>
      </c>
      <c r="AF100" s="384" t="n">
        <v>39479</v>
      </c>
      <c r="AG100" s="36" t="n">
        <v>21</v>
      </c>
      <c r="AH100" s="36" t="n">
        <v>4</v>
      </c>
      <c r="AI100" s="36" t="n">
        <v>4</v>
      </c>
      <c r="AJ100" s="36" t="n">
        <v>0</v>
      </c>
      <c r="AK100" s="36" t="n">
        <v>29</v>
      </c>
    </row>
    <row r="101" customFormat="false" ht="12.75" hidden="false" customHeight="false" outlineLevel="0" collapsed="false">
      <c r="A101" s="420" t="str">
        <f aca="false">Calculations!A68</f>
        <v>N/A</v>
      </c>
      <c r="B101" s="421" t="str">
        <f aca="false">IF(A101="N/A"," ",IF(ISERROR(N101),B89*Pwresc,N101)*VLOOKUP(MONTH(A101),Curveadj,3))</f>
        <v> </v>
      </c>
      <c r="C101" s="422" t="str">
        <f aca="false">IF(A101="N/A"," ",(IF(AND(MONTH(A101)&gt;=6,MONTH(A101)&lt;=8,OR($M$37="REGION 2",$M$37="REGION 2A",$M$37="REGION 2B",$M$37="REGION 3",$M$37="REGION 3A",$M$37="REGION 3B",$M$37="REGION 4",$M$37="REGION 4B",$M$37="REGION 4C",$M$37="REGION 5",$M$37="REGION 5A")),((0.059228/(B101/100))-(0.4980013/(SQRT(B101/100)))+2.137988),HLOOKUP(MONTH(A101),ScalarTable,28))))</f>
        <v> </v>
      </c>
      <c r="D101" s="423" t="str">
        <f aca="false">IF(A101="N/A"," ",C101*B101)</f>
        <v> </v>
      </c>
      <c r="E101" s="421" t="str">
        <f aca="false">IF(A101="N/A"," ",IF(ISERROR(O101),E89*Pwresc,O101)*VLOOKUP(MONTH(A101),Curveadj,3))</f>
        <v> </v>
      </c>
      <c r="F101" s="423" t="str">
        <f aca="false">IF(A101="N/A"," ",E101*C101)</f>
        <v> </v>
      </c>
      <c r="G101" s="421" t="str">
        <f aca="false">IF(A101="N/A"," ",IF(ISERROR(P101),G89*Pwresc,P101)*VLOOKUP(MONTH(A101),Curveadj,3))</f>
        <v> </v>
      </c>
      <c r="H101" s="423" t="str">
        <f aca="false">IF(A101="N/A"," ",G101*C101)</f>
        <v> </v>
      </c>
      <c r="I101" s="423" t="str">
        <f aca="false">IF(A101="N/A"," ",IF(ISERROR(Q101),I89*Pwresc,Q101))</f>
        <v> </v>
      </c>
      <c r="J101" s="424" t="str">
        <f aca="false">IF(A101="N/A"," ",K101+L101+T101)</f>
        <v> </v>
      </c>
      <c r="K101" s="425" t="str">
        <f aca="false">IF(A101="N/A"," ",IF(ISERROR(R101),K89*Gasesc,R101))</f>
        <v> </v>
      </c>
      <c r="L101" s="425" t="str">
        <f aca="false">IF(A101="N/A"," ",IF(ISERROR(S101),L89*Gasesc,IF(S101=0,L89*Gasesc,S101)))</f>
        <v> </v>
      </c>
      <c r="M101" s="431"/>
      <c r="N101" s="427" t="str">
        <f aca="false">IF(A101="N/A"," ",VLOOKUP(A101,PeakPowerCurves,(IF(BMO=2,3,IF(BMO=1,2,4))),FALSE()))</f>
        <v> </v>
      </c>
      <c r="O101" s="427" t="str">
        <f aca="false">IF(A101="N/A"," ",VLOOKUP(A101,SatSunPeakPwr,(IF(BMO=2,3,IF(BMO=1,2,4))),FALSE()))</f>
        <v> </v>
      </c>
      <c r="P101" s="427" t="str">
        <f aca="false">IF(A101="N/A"," ",VLOOKUP(A101,SatSunPeakPwr,(IF(BMO=2,7,IF(BMO=1,6,8))),FALSE()))</f>
        <v> </v>
      </c>
      <c r="Q101" s="428" t="str">
        <f aca="false">IF(A101="N/A"," ",(VLOOKUP(A101,OPPowerPrices,(IF(BMO=2,7,IF(BMO=1,6,8))),FALSE())))</f>
        <v> </v>
      </c>
      <c r="R101" s="429" t="str">
        <f aca="false">IF(A101="N/A"," ",(VLOOKUP(A101,GasCurves,9,FALSE()))+IF(BMO=1,Gasbmo,IF(BMO=3,-Gasbmo,0)))</f>
        <v> </v>
      </c>
      <c r="S101" s="429" t="str">
        <f aca="false">IF(A101="N/A"," ",IF(Basischeck=TRUE(),(VLOOKUP(A101,GasCurves,IF(MONTH(A101)&gt;=4,IF(MONTH(A101)&lt;=10,11,12),12),FALSE())),0))</f>
        <v> </v>
      </c>
      <c r="T101" s="429" t="str">
        <f aca="false">IF(A101="N/A"," ",(IF(MONTH(A101)&gt;=4,IF(MONTH(A101)&lt;=10,Inputs!$H$2,Inputs!$H$3),Inputs!$H$3)))</f>
        <v> </v>
      </c>
      <c r="U101" s="430" t="str">
        <f aca="false">IF(A101="N/A"," ",(VLOOKUP($A101,InterestRatesTable,2)))</f>
        <v> </v>
      </c>
      <c r="AF101" s="384" t="n">
        <v>39508</v>
      </c>
      <c r="AG101" s="36" t="n">
        <v>21</v>
      </c>
      <c r="AH101" s="36" t="n">
        <v>5</v>
      </c>
      <c r="AI101" s="36" t="n">
        <v>5</v>
      </c>
      <c r="AJ101" s="36" t="n">
        <v>0</v>
      </c>
      <c r="AK101" s="36" t="n">
        <v>31</v>
      </c>
    </row>
    <row r="102" customFormat="false" ht="12.75" hidden="false" customHeight="false" outlineLevel="0" collapsed="false">
      <c r="A102" s="420" t="str">
        <f aca="false">Calculations!A69</f>
        <v>N/A</v>
      </c>
      <c r="B102" s="421" t="str">
        <f aca="false">IF(A102="N/A"," ",IF(ISERROR(N102),B90*Pwresc,N102)*VLOOKUP(MONTH(A102),Curveadj,3))</f>
        <v> </v>
      </c>
      <c r="C102" s="422" t="str">
        <f aca="false">IF(A102="N/A"," ",(IF(AND(MONTH(A102)&gt;=6,MONTH(A102)&lt;=8,OR($M$37="REGION 2",$M$37="REGION 2A",$M$37="REGION 2B",$M$37="REGION 3",$M$37="REGION 3A",$M$37="REGION 3B",$M$37="REGION 4",$M$37="REGION 4B",$M$37="REGION 4C",$M$37="REGION 5",$M$37="REGION 5A")),((0.059228/(B102/100))-(0.4980013/(SQRT(B102/100)))+2.137988),HLOOKUP(MONTH(A102),ScalarTable,28))))</f>
        <v> </v>
      </c>
      <c r="D102" s="423" t="str">
        <f aca="false">IF(A102="N/A"," ",C102*B102)</f>
        <v> </v>
      </c>
      <c r="E102" s="421" t="str">
        <f aca="false">IF(A102="N/A"," ",IF(ISERROR(O102),E90*Pwresc,O102)*VLOOKUP(MONTH(A102),Curveadj,3))</f>
        <v> </v>
      </c>
      <c r="F102" s="423" t="str">
        <f aca="false">IF(A102="N/A"," ",E102*C102)</f>
        <v> </v>
      </c>
      <c r="G102" s="421" t="str">
        <f aca="false">IF(A102="N/A"," ",IF(ISERROR(P102),G90*Pwresc,P102)*VLOOKUP(MONTH(A102),Curveadj,3))</f>
        <v> </v>
      </c>
      <c r="H102" s="423" t="str">
        <f aca="false">IF(A102="N/A"," ",G102*C102)</f>
        <v> </v>
      </c>
      <c r="I102" s="423" t="str">
        <f aca="false">IF(A102="N/A"," ",IF(ISERROR(Q102),I90*Pwresc,Q102))</f>
        <v> </v>
      </c>
      <c r="J102" s="424" t="str">
        <f aca="false">IF(A102="N/A"," ",K102+L102+T102)</f>
        <v> </v>
      </c>
      <c r="K102" s="425" t="str">
        <f aca="false">IF(A102="N/A"," ",IF(ISERROR(R102),K90*Gasesc,R102))</f>
        <v> </v>
      </c>
      <c r="L102" s="425" t="str">
        <f aca="false">IF(A102="N/A"," ",IF(ISERROR(S102),L90*Gasesc,IF(S102=0,L90*Gasesc,S102)))</f>
        <v> </v>
      </c>
      <c r="M102" s="431"/>
      <c r="N102" s="427" t="str">
        <f aca="false">IF(A102="N/A"," ",VLOOKUP(A102,PeakPowerCurves,(IF(BMO=2,3,IF(BMO=1,2,4))),FALSE()))</f>
        <v> </v>
      </c>
      <c r="O102" s="427" t="str">
        <f aca="false">IF(A102="N/A"," ",VLOOKUP(A102,SatSunPeakPwr,(IF(BMO=2,3,IF(BMO=1,2,4))),FALSE()))</f>
        <v> </v>
      </c>
      <c r="P102" s="427" t="str">
        <f aca="false">IF(A102="N/A"," ",VLOOKUP(A102,SatSunPeakPwr,(IF(BMO=2,7,IF(BMO=1,6,8))),FALSE()))</f>
        <v> </v>
      </c>
      <c r="Q102" s="428" t="str">
        <f aca="false">IF(A102="N/A"," ",(VLOOKUP(A102,OPPowerPrices,(IF(BMO=2,7,IF(BMO=1,6,8))),FALSE())))</f>
        <v> </v>
      </c>
      <c r="R102" s="429" t="str">
        <f aca="false">IF(A102="N/A"," ",(VLOOKUP(A102,GasCurves,9,FALSE()))+IF(BMO=1,Gasbmo,IF(BMO=3,-Gasbmo,0)))</f>
        <v> </v>
      </c>
      <c r="S102" s="429" t="str">
        <f aca="false">IF(A102="N/A"," ",IF(Basischeck=TRUE(),(VLOOKUP(A102,GasCurves,IF(MONTH(A102)&gt;=4,IF(MONTH(A102)&lt;=10,11,12),12),FALSE())),0))</f>
        <v> </v>
      </c>
      <c r="T102" s="429" t="str">
        <f aca="false">IF(A102="N/A"," ",(IF(MONTH(A102)&gt;=4,IF(MONTH(A102)&lt;=10,Inputs!$H$2,Inputs!$H$3),Inputs!$H$3)))</f>
        <v> </v>
      </c>
      <c r="U102" s="430" t="str">
        <f aca="false">IF(A102="N/A"," ",(VLOOKUP($A102,InterestRatesTable,2)))</f>
        <v> </v>
      </c>
      <c r="AF102" s="384" t="n">
        <v>39539</v>
      </c>
      <c r="AG102" s="36" t="n">
        <v>22</v>
      </c>
      <c r="AH102" s="36" t="n">
        <v>4</v>
      </c>
      <c r="AI102" s="36" t="n">
        <v>4</v>
      </c>
      <c r="AJ102" s="36" t="n">
        <v>0</v>
      </c>
      <c r="AK102" s="36" t="n">
        <v>30</v>
      </c>
    </row>
    <row r="103" customFormat="false" ht="12.75" hidden="false" customHeight="false" outlineLevel="0" collapsed="false">
      <c r="A103" s="420" t="str">
        <f aca="false">Calculations!A70</f>
        <v>N/A</v>
      </c>
      <c r="B103" s="421" t="str">
        <f aca="false">IF(A103="N/A"," ",IF(ISERROR(N103),B91*Pwresc,N103)*VLOOKUP(MONTH(A103),Curveadj,3))</f>
        <v> </v>
      </c>
      <c r="C103" s="422" t="str">
        <f aca="false">IF(A103="N/A"," ",(IF(AND(MONTH(A103)&gt;=6,MONTH(A103)&lt;=8,OR($M$37="REGION 2",$M$37="REGION 2A",$M$37="REGION 2B",$M$37="REGION 3",$M$37="REGION 3A",$M$37="REGION 3B",$M$37="REGION 4",$M$37="REGION 4B",$M$37="REGION 4C",$M$37="REGION 5",$M$37="REGION 5A")),((0.059228/(B103/100))-(0.4980013/(SQRT(B103/100)))+2.137988),HLOOKUP(MONTH(A103),ScalarTable,28))))</f>
        <v> </v>
      </c>
      <c r="D103" s="423" t="str">
        <f aca="false">IF(A103="N/A"," ",C103*B103)</f>
        <v> </v>
      </c>
      <c r="E103" s="421" t="str">
        <f aca="false">IF(A103="N/A"," ",IF(ISERROR(O103),E91*Pwresc,O103)*VLOOKUP(MONTH(A103),Curveadj,3))</f>
        <v> </v>
      </c>
      <c r="F103" s="423" t="str">
        <f aca="false">IF(A103="N/A"," ",E103*C103)</f>
        <v> </v>
      </c>
      <c r="G103" s="421" t="str">
        <f aca="false">IF(A103="N/A"," ",IF(ISERROR(P103),G91*Pwresc,P103)*VLOOKUP(MONTH(A103),Curveadj,3))</f>
        <v> </v>
      </c>
      <c r="H103" s="423" t="str">
        <f aca="false">IF(A103="N/A"," ",G103*C103)</f>
        <v> </v>
      </c>
      <c r="I103" s="423" t="str">
        <f aca="false">IF(A103="N/A"," ",IF(ISERROR(Q103),I91*Pwresc,Q103))</f>
        <v> </v>
      </c>
      <c r="J103" s="424" t="str">
        <f aca="false">IF(A103="N/A"," ",K103+L103+T103)</f>
        <v> </v>
      </c>
      <c r="K103" s="425" t="str">
        <f aca="false">IF(A103="N/A"," ",IF(ISERROR(R103),K91*Gasesc,R103))</f>
        <v> </v>
      </c>
      <c r="L103" s="425" t="str">
        <f aca="false">IF(A103="N/A"," ",IF(ISERROR(S103),L91*Gasesc,IF(S103=0,L91*Gasesc,S103)))</f>
        <v> </v>
      </c>
      <c r="M103" s="431"/>
      <c r="N103" s="427" t="str">
        <f aca="false">IF(A103="N/A"," ",VLOOKUP(A103,PeakPowerCurves,(IF(BMO=2,3,IF(BMO=1,2,4))),FALSE()))</f>
        <v> </v>
      </c>
      <c r="O103" s="427" t="str">
        <f aca="false">IF(A103="N/A"," ",VLOOKUP(A103,SatSunPeakPwr,(IF(BMO=2,3,IF(BMO=1,2,4))),FALSE()))</f>
        <v> </v>
      </c>
      <c r="P103" s="427" t="str">
        <f aca="false">IF(A103="N/A"," ",VLOOKUP(A103,SatSunPeakPwr,(IF(BMO=2,7,IF(BMO=1,6,8))),FALSE()))</f>
        <v> </v>
      </c>
      <c r="Q103" s="428" t="str">
        <f aca="false">IF(A103="N/A"," ",(VLOOKUP(A103,OPPowerPrices,(IF(BMO=2,7,IF(BMO=1,6,8))),FALSE())))</f>
        <v> </v>
      </c>
      <c r="R103" s="429" t="str">
        <f aca="false">IF(A103="N/A"," ",(VLOOKUP(A103,GasCurves,9,FALSE()))+IF(BMO=1,Gasbmo,IF(BMO=3,-Gasbmo,0)))</f>
        <v> </v>
      </c>
      <c r="S103" s="429" t="str">
        <f aca="false">IF(A103="N/A"," ",IF(Basischeck=TRUE(),(VLOOKUP(A103,GasCurves,IF(MONTH(A103)&gt;=4,IF(MONTH(A103)&lt;=10,11,12),12),FALSE())),0))</f>
        <v> </v>
      </c>
      <c r="T103" s="429" t="str">
        <f aca="false">IF(A103="N/A"," ",(IF(MONTH(A103)&gt;=4,IF(MONTH(A103)&lt;=10,Inputs!$H$2,Inputs!$H$3),Inputs!$H$3)))</f>
        <v> </v>
      </c>
      <c r="U103" s="430" t="str">
        <f aca="false">IF(A103="N/A"," ",(VLOOKUP($A103,InterestRatesTable,2)))</f>
        <v> </v>
      </c>
      <c r="AF103" s="384" t="n">
        <v>39569</v>
      </c>
      <c r="AG103" s="36" t="n">
        <v>21</v>
      </c>
      <c r="AH103" s="36" t="n">
        <v>5</v>
      </c>
      <c r="AI103" s="36" t="n">
        <v>5</v>
      </c>
      <c r="AJ103" s="36" t="n">
        <v>1</v>
      </c>
      <c r="AK103" s="36" t="n">
        <v>31</v>
      </c>
    </row>
    <row r="104" customFormat="false" ht="12.75" hidden="false" customHeight="false" outlineLevel="0" collapsed="false">
      <c r="A104" s="420" t="str">
        <f aca="false">Calculations!A71</f>
        <v>N/A</v>
      </c>
      <c r="B104" s="421" t="str">
        <f aca="false">IF(A104="N/A"," ",IF(ISERROR(N104),B92*Pwresc,N104)*VLOOKUP(MONTH(A104),Curveadj,3))</f>
        <v> </v>
      </c>
      <c r="C104" s="422" t="str">
        <f aca="false">IF(A104="N/A"," ",(IF(AND(MONTH(A104)&gt;=6,MONTH(A104)&lt;=8,OR($M$37="REGION 2",$M$37="REGION 2A",$M$37="REGION 2B",$M$37="REGION 3",$M$37="REGION 3A",$M$37="REGION 3B",$M$37="REGION 4",$M$37="REGION 4B",$M$37="REGION 4C",$M$37="REGION 5",$M$37="REGION 5A")),((0.059228/(B104/100))-(0.4980013/(SQRT(B104/100)))+2.137988),HLOOKUP(MONTH(A104),ScalarTable,28))))</f>
        <v> </v>
      </c>
      <c r="D104" s="423" t="str">
        <f aca="false">IF(A104="N/A"," ",C104*B104)</f>
        <v> </v>
      </c>
      <c r="E104" s="421" t="str">
        <f aca="false">IF(A104="N/A"," ",IF(ISERROR(O104),E92*Pwresc,O104)*VLOOKUP(MONTH(A104),Curveadj,3))</f>
        <v> </v>
      </c>
      <c r="F104" s="423" t="str">
        <f aca="false">IF(A104="N/A"," ",E104*C104)</f>
        <v> </v>
      </c>
      <c r="G104" s="421" t="str">
        <f aca="false">IF(A104="N/A"," ",IF(ISERROR(P104),G92*Pwresc,P104)*VLOOKUP(MONTH(A104),Curveadj,3))</f>
        <v> </v>
      </c>
      <c r="H104" s="423" t="str">
        <f aca="false">IF(A104="N/A"," ",G104*C104)</f>
        <v> </v>
      </c>
      <c r="I104" s="423" t="str">
        <f aca="false">IF(A104="N/A"," ",IF(ISERROR(Q104),I92*Pwresc,Q104))</f>
        <v> </v>
      </c>
      <c r="J104" s="424" t="str">
        <f aca="false">IF(A104="N/A"," ",K104+L104+T104)</f>
        <v> </v>
      </c>
      <c r="K104" s="425" t="str">
        <f aca="false">IF(A104="N/A"," ",IF(ISERROR(R104),K92*Gasesc,R104))</f>
        <v> </v>
      </c>
      <c r="L104" s="425" t="str">
        <f aca="false">IF(A104="N/A"," ",IF(ISERROR(S104),L92*Gasesc,IF(S104=0,L92*Gasesc,S104)))</f>
        <v> </v>
      </c>
      <c r="M104" s="431"/>
      <c r="N104" s="427" t="str">
        <f aca="false">IF(A104="N/A"," ",VLOOKUP(A104,PeakPowerCurves,(IF(BMO=2,3,IF(BMO=1,2,4))),FALSE()))</f>
        <v> </v>
      </c>
      <c r="O104" s="427" t="str">
        <f aca="false">IF(A104="N/A"," ",VLOOKUP(A104,SatSunPeakPwr,(IF(BMO=2,3,IF(BMO=1,2,4))),FALSE()))</f>
        <v> </v>
      </c>
      <c r="P104" s="427" t="str">
        <f aca="false">IF(A104="N/A"," ",VLOOKUP(A104,SatSunPeakPwr,(IF(BMO=2,7,IF(BMO=1,6,8))),FALSE()))</f>
        <v> </v>
      </c>
      <c r="Q104" s="428" t="str">
        <f aca="false">IF(A104="N/A"," ",(VLOOKUP(A104,OPPowerPrices,(IF(BMO=2,7,IF(BMO=1,6,8))),FALSE())))</f>
        <v> </v>
      </c>
      <c r="R104" s="429" t="str">
        <f aca="false">IF(A104="N/A"," ",(VLOOKUP(A104,GasCurves,9,FALSE()))+IF(BMO=1,Gasbmo,IF(BMO=3,-Gasbmo,0)))</f>
        <v> </v>
      </c>
      <c r="S104" s="429" t="str">
        <f aca="false">IF(A104="N/A"," ",IF(Basischeck=TRUE(),(VLOOKUP(A104,GasCurves,IF(MONTH(A104)&gt;=4,IF(MONTH(A104)&lt;=10,11,12),12),FALSE())),0))</f>
        <v> </v>
      </c>
      <c r="T104" s="429" t="str">
        <f aca="false">IF(A104="N/A"," ",(IF(MONTH(A104)&gt;=4,IF(MONTH(A104)&lt;=10,Inputs!$H$2,Inputs!$H$3),Inputs!$H$3)))</f>
        <v> </v>
      </c>
      <c r="U104" s="430" t="str">
        <f aca="false">IF(A104="N/A"," ",(VLOOKUP($A104,InterestRatesTable,2)))</f>
        <v> </v>
      </c>
      <c r="AF104" s="384" t="n">
        <v>39600</v>
      </c>
      <c r="AG104" s="36" t="n">
        <v>21</v>
      </c>
      <c r="AH104" s="36" t="n">
        <v>4</v>
      </c>
      <c r="AI104" s="36" t="n">
        <v>5</v>
      </c>
      <c r="AJ104" s="36" t="n">
        <v>0</v>
      </c>
      <c r="AK104" s="36" t="n">
        <v>30</v>
      </c>
    </row>
    <row r="105" customFormat="false" ht="12.75" hidden="false" customHeight="false" outlineLevel="0" collapsed="false">
      <c r="A105" s="420" t="str">
        <f aca="false">Calculations!A72</f>
        <v>N/A</v>
      </c>
      <c r="B105" s="421" t="str">
        <f aca="false">IF(A105="N/A"," ",IF(ISERROR(N105),B93*Pwresc,N105)*VLOOKUP(MONTH(A105),Curveadj,3))</f>
        <v> </v>
      </c>
      <c r="C105" s="422" t="str">
        <f aca="false">IF(A105="N/A"," ",(IF(AND(MONTH(A105)&gt;=6,MONTH(A105)&lt;=8,OR($M$37="REGION 2",$M$37="REGION 2A",$M$37="REGION 2B",$M$37="REGION 3",$M$37="REGION 3A",$M$37="REGION 3B",$M$37="REGION 4",$M$37="REGION 4B",$M$37="REGION 4C",$M$37="REGION 5",$M$37="REGION 5A")),((0.059228/(B105/100))-(0.4980013/(SQRT(B105/100)))+2.137988),HLOOKUP(MONTH(A105),ScalarTable,28))))</f>
        <v> </v>
      </c>
      <c r="D105" s="423" t="str">
        <f aca="false">IF(A105="N/A"," ",C105*B105)</f>
        <v> </v>
      </c>
      <c r="E105" s="421" t="str">
        <f aca="false">IF(A105="N/A"," ",IF(ISERROR(O105),E93*Pwresc,O105)*VLOOKUP(MONTH(A105),Curveadj,3))</f>
        <v> </v>
      </c>
      <c r="F105" s="423" t="str">
        <f aca="false">IF(A105="N/A"," ",E105*C105)</f>
        <v> </v>
      </c>
      <c r="G105" s="421" t="str">
        <f aca="false">IF(A105="N/A"," ",IF(ISERROR(P105),G93*Pwresc,P105)*VLOOKUP(MONTH(A105),Curveadj,3))</f>
        <v> </v>
      </c>
      <c r="H105" s="423" t="str">
        <f aca="false">IF(A105="N/A"," ",G105*C105)</f>
        <v> </v>
      </c>
      <c r="I105" s="423" t="str">
        <f aca="false">IF(A105="N/A"," ",IF(ISERROR(Q105),I93*Pwresc,Q105))</f>
        <v> </v>
      </c>
      <c r="J105" s="424" t="str">
        <f aca="false">IF(A105="N/A"," ",K105+L105+T105)</f>
        <v> </v>
      </c>
      <c r="K105" s="425" t="str">
        <f aca="false">IF(A105="N/A"," ",IF(ISERROR(R105),K93*Gasesc,R105))</f>
        <v> </v>
      </c>
      <c r="L105" s="425" t="str">
        <f aca="false">IF(A105="N/A"," ",IF(ISERROR(S105),L93*Gasesc,IF(S105=0,L93*Gasesc,S105)))</f>
        <v> </v>
      </c>
      <c r="M105" s="431"/>
      <c r="N105" s="427" t="str">
        <f aca="false">IF(A105="N/A"," ",VLOOKUP(A105,PeakPowerCurves,(IF(BMO=2,3,IF(BMO=1,2,4))),FALSE()))</f>
        <v> </v>
      </c>
      <c r="O105" s="427" t="str">
        <f aca="false">IF(A105="N/A"," ",VLOOKUP(A105,SatSunPeakPwr,(IF(BMO=2,3,IF(BMO=1,2,4))),FALSE()))</f>
        <v> </v>
      </c>
      <c r="P105" s="427" t="str">
        <f aca="false">IF(A105="N/A"," ",VLOOKUP(A105,SatSunPeakPwr,(IF(BMO=2,7,IF(BMO=1,6,8))),FALSE()))</f>
        <v> </v>
      </c>
      <c r="Q105" s="428" t="str">
        <f aca="false">IF(A105="N/A"," ",(VLOOKUP(A105,OPPowerPrices,(IF(BMO=2,7,IF(BMO=1,6,8))),FALSE())))</f>
        <v> </v>
      </c>
      <c r="R105" s="429" t="str">
        <f aca="false">IF(A105="N/A"," ",(VLOOKUP(A105,GasCurves,9,FALSE()))+IF(BMO=1,Gasbmo,IF(BMO=3,-Gasbmo,0)))</f>
        <v> </v>
      </c>
      <c r="S105" s="429" t="str">
        <f aca="false">IF(A105="N/A"," ",IF(Basischeck=TRUE(),(VLOOKUP(A105,GasCurves,IF(MONTH(A105)&gt;=4,IF(MONTH(A105)&lt;=10,11,12),12),FALSE())),0))</f>
        <v> </v>
      </c>
      <c r="T105" s="429" t="str">
        <f aca="false">IF(A105="N/A"," ",(IF(MONTH(A105)&gt;=4,IF(MONTH(A105)&lt;=10,Inputs!$H$2,Inputs!$H$3),Inputs!$H$3)))</f>
        <v> </v>
      </c>
      <c r="U105" s="430" t="str">
        <f aca="false">IF(A105="N/A"," ",(VLOOKUP($A105,InterestRatesTable,2)))</f>
        <v> </v>
      </c>
      <c r="AF105" s="384" t="n">
        <v>39630</v>
      </c>
      <c r="AG105" s="36" t="n">
        <v>22</v>
      </c>
      <c r="AH105" s="36" t="n">
        <v>4</v>
      </c>
      <c r="AI105" s="36" t="n">
        <v>5</v>
      </c>
      <c r="AJ105" s="36" t="n">
        <v>1</v>
      </c>
      <c r="AK105" s="36" t="n">
        <v>31</v>
      </c>
    </row>
    <row r="106" customFormat="false" ht="12.75" hidden="false" customHeight="false" outlineLevel="0" collapsed="false">
      <c r="A106" s="420" t="str">
        <f aca="false">Calculations!A73</f>
        <v>N/A</v>
      </c>
      <c r="B106" s="421" t="str">
        <f aca="false">IF(A106="N/A"," ",IF(ISERROR(N106),B94*Pwresc,N106)*VLOOKUP(MONTH(A106),Curveadj,3))</f>
        <v> </v>
      </c>
      <c r="C106" s="422" t="str">
        <f aca="false">IF(A106="N/A"," ",(IF(AND(MONTH(A106)&gt;=6,MONTH(A106)&lt;=8,OR($M$37="REGION 2",$M$37="REGION 2A",$M$37="REGION 2B",$M$37="REGION 3",$M$37="REGION 3A",$M$37="REGION 3B",$M$37="REGION 4",$M$37="REGION 4B",$M$37="REGION 4C",$M$37="REGION 5",$M$37="REGION 5A")),((0.059228/(B106/100))-(0.4980013/(SQRT(B106/100)))+2.137988),HLOOKUP(MONTH(A106),ScalarTable,28))))</f>
        <v> </v>
      </c>
      <c r="D106" s="423" t="str">
        <f aca="false">IF(A106="N/A"," ",C106*B106)</f>
        <v> </v>
      </c>
      <c r="E106" s="421" t="str">
        <f aca="false">IF(A106="N/A"," ",IF(ISERROR(O106),E94*Pwresc,O106)*VLOOKUP(MONTH(A106),Curveadj,3))</f>
        <v> </v>
      </c>
      <c r="F106" s="423" t="str">
        <f aca="false">IF(A106="N/A"," ",E106*C106)</f>
        <v> </v>
      </c>
      <c r="G106" s="421" t="str">
        <f aca="false">IF(A106="N/A"," ",IF(ISERROR(P106),G94*Pwresc,P106)*VLOOKUP(MONTH(A106),Curveadj,3))</f>
        <v> </v>
      </c>
      <c r="H106" s="423" t="str">
        <f aca="false">IF(A106="N/A"," ",G106*C106)</f>
        <v> </v>
      </c>
      <c r="I106" s="423" t="str">
        <f aca="false">IF(A106="N/A"," ",IF(ISERROR(Q106),I94*Pwresc,Q106))</f>
        <v> </v>
      </c>
      <c r="J106" s="424" t="str">
        <f aca="false">IF(A106="N/A"," ",K106+L106+T106)</f>
        <v> </v>
      </c>
      <c r="K106" s="425" t="str">
        <f aca="false">IF(A106="N/A"," ",IF(ISERROR(R106),K94*Gasesc,R106))</f>
        <v> </v>
      </c>
      <c r="L106" s="425" t="str">
        <f aca="false">IF(A106="N/A"," ",IF(ISERROR(S106),L94*Gasesc,IF(S106=0,L94*Gasesc,S106)))</f>
        <v> </v>
      </c>
      <c r="M106" s="431"/>
      <c r="N106" s="427" t="str">
        <f aca="false">IF(A106="N/A"," ",VLOOKUP(A106,PeakPowerCurves,(IF(BMO=2,3,IF(BMO=1,2,4))),FALSE()))</f>
        <v> </v>
      </c>
      <c r="O106" s="427" t="str">
        <f aca="false">IF(A106="N/A"," ",VLOOKUP(A106,SatSunPeakPwr,(IF(BMO=2,3,IF(BMO=1,2,4))),FALSE()))</f>
        <v> </v>
      </c>
      <c r="P106" s="427" t="str">
        <f aca="false">IF(A106="N/A"," ",VLOOKUP(A106,SatSunPeakPwr,(IF(BMO=2,7,IF(BMO=1,6,8))),FALSE()))</f>
        <v> </v>
      </c>
      <c r="Q106" s="428" t="str">
        <f aca="false">IF(A106="N/A"," ",(VLOOKUP(A106,OPPowerPrices,(IF(BMO=2,7,IF(BMO=1,6,8))),FALSE())))</f>
        <v> </v>
      </c>
      <c r="R106" s="429" t="str">
        <f aca="false">IF(A106="N/A"," ",(VLOOKUP(A106,GasCurves,9,FALSE()))+IF(BMO=1,Gasbmo,IF(BMO=3,-Gasbmo,0)))</f>
        <v> </v>
      </c>
      <c r="S106" s="429" t="str">
        <f aca="false">IF(A106="N/A"," ",IF(Basischeck=TRUE(),(VLOOKUP(A106,GasCurves,IF(MONTH(A106)&gt;=4,IF(MONTH(A106)&lt;=10,11,12),12),FALSE())),0))</f>
        <v> </v>
      </c>
      <c r="T106" s="429" t="str">
        <f aca="false">IF(A106="N/A"," ",(IF(MONTH(A106)&gt;=4,IF(MONTH(A106)&lt;=10,Inputs!$H$2,Inputs!$H$3),Inputs!$H$3)))</f>
        <v> </v>
      </c>
      <c r="U106" s="430" t="str">
        <f aca="false">IF(A106="N/A"," ",(VLOOKUP($A106,InterestRatesTable,2)))</f>
        <v> </v>
      </c>
      <c r="AF106" s="384" t="n">
        <v>39661</v>
      </c>
      <c r="AG106" s="36" t="n">
        <v>21</v>
      </c>
      <c r="AH106" s="36" t="n">
        <v>5</v>
      </c>
      <c r="AI106" s="36" t="n">
        <v>5</v>
      </c>
      <c r="AJ106" s="36" t="n">
        <v>0</v>
      </c>
      <c r="AK106" s="36" t="n">
        <v>31</v>
      </c>
    </row>
    <row r="107" customFormat="false" ht="12.75" hidden="false" customHeight="false" outlineLevel="0" collapsed="false">
      <c r="A107" s="420" t="str">
        <f aca="false">Calculations!A74</f>
        <v>N/A</v>
      </c>
      <c r="B107" s="421" t="str">
        <f aca="false">IF(A107="N/A"," ",IF(ISERROR(N107),B95*Pwresc,N107)*VLOOKUP(MONTH(A107),Curveadj,3))</f>
        <v> </v>
      </c>
      <c r="C107" s="422" t="str">
        <f aca="false">IF(A107="N/A"," ",(IF(AND(MONTH(A107)&gt;=6,MONTH(A107)&lt;=8,OR($M$37="REGION 2",$M$37="REGION 2A",$M$37="REGION 2B",$M$37="REGION 3",$M$37="REGION 3A",$M$37="REGION 3B",$M$37="REGION 4",$M$37="REGION 4B",$M$37="REGION 4C",$M$37="REGION 5",$M$37="REGION 5A")),((0.059228/(B107/100))-(0.4980013/(SQRT(B107/100)))+2.137988),HLOOKUP(MONTH(A107),ScalarTable,28))))</f>
        <v> </v>
      </c>
      <c r="D107" s="423" t="str">
        <f aca="false">IF(A107="N/A"," ",C107*B107)</f>
        <v> </v>
      </c>
      <c r="E107" s="421" t="str">
        <f aca="false">IF(A107="N/A"," ",IF(ISERROR(O107),E95*Pwresc,O107)*VLOOKUP(MONTH(A107),Curveadj,3))</f>
        <v> </v>
      </c>
      <c r="F107" s="423" t="str">
        <f aca="false">IF(A107="N/A"," ",E107*C107)</f>
        <v> </v>
      </c>
      <c r="G107" s="421" t="str">
        <f aca="false">IF(A107="N/A"," ",IF(ISERROR(P107),G95*Pwresc,P107)*VLOOKUP(MONTH(A107),Curveadj,3))</f>
        <v> </v>
      </c>
      <c r="H107" s="423" t="str">
        <f aca="false">IF(A107="N/A"," ",G107*C107)</f>
        <v> </v>
      </c>
      <c r="I107" s="423" t="str">
        <f aca="false">IF(A107="N/A"," ",IF(ISERROR(Q107),I95*Pwresc,Q107))</f>
        <v> </v>
      </c>
      <c r="J107" s="424" t="str">
        <f aca="false">IF(A107="N/A"," ",K107+L107+T107)</f>
        <v> </v>
      </c>
      <c r="K107" s="425" t="str">
        <f aca="false">IF(A107="N/A"," ",IF(ISERROR(R107),K95*Gasesc,R107))</f>
        <v> </v>
      </c>
      <c r="L107" s="425" t="str">
        <f aca="false">IF(A107="N/A"," ",IF(ISERROR(S107),L95*Gasesc,IF(S107=0,L95*Gasesc,S107)))</f>
        <v> </v>
      </c>
      <c r="M107" s="431"/>
      <c r="N107" s="427" t="str">
        <f aca="false">IF(A107="N/A"," ",VLOOKUP(A107,PeakPowerCurves,(IF(BMO=2,3,IF(BMO=1,2,4))),FALSE()))</f>
        <v> </v>
      </c>
      <c r="O107" s="427" t="str">
        <f aca="false">IF(A107="N/A"," ",VLOOKUP(A107,SatSunPeakPwr,(IF(BMO=2,3,IF(BMO=1,2,4))),FALSE()))</f>
        <v> </v>
      </c>
      <c r="P107" s="427" t="str">
        <f aca="false">IF(A107="N/A"," ",VLOOKUP(A107,SatSunPeakPwr,(IF(BMO=2,7,IF(BMO=1,6,8))),FALSE()))</f>
        <v> </v>
      </c>
      <c r="Q107" s="428" t="str">
        <f aca="false">IF(A107="N/A"," ",(VLOOKUP(A107,OPPowerPrices,(IF(BMO=2,7,IF(BMO=1,6,8))),FALSE())))</f>
        <v> </v>
      </c>
      <c r="R107" s="429" t="str">
        <f aca="false">IF(A107="N/A"," ",(VLOOKUP(A107,GasCurves,9,FALSE()))+IF(BMO=1,Gasbmo,IF(BMO=3,-Gasbmo,0)))</f>
        <v> </v>
      </c>
      <c r="S107" s="429" t="str">
        <f aca="false">IF(A107="N/A"," ",IF(Basischeck=TRUE(),(VLOOKUP(A107,GasCurves,IF(MONTH(A107)&gt;=4,IF(MONTH(A107)&lt;=10,11,12),12),FALSE())),0))</f>
        <v> </v>
      </c>
      <c r="T107" s="429" t="str">
        <f aca="false">IF(A107="N/A"," ",(IF(MONTH(A107)&gt;=4,IF(MONTH(A107)&lt;=10,Inputs!$H$2,Inputs!$H$3),Inputs!$H$3)))</f>
        <v> </v>
      </c>
      <c r="U107" s="430" t="str">
        <f aca="false">IF(A107="N/A"," ",(VLOOKUP($A107,InterestRatesTable,2)))</f>
        <v> </v>
      </c>
      <c r="AF107" s="384" t="n">
        <v>39692</v>
      </c>
      <c r="AG107" s="36" t="n">
        <v>21</v>
      </c>
      <c r="AH107" s="36" t="n">
        <v>4</v>
      </c>
      <c r="AI107" s="36" t="n">
        <v>5</v>
      </c>
      <c r="AJ107" s="36" t="n">
        <v>1</v>
      </c>
      <c r="AK107" s="36" t="n">
        <v>30</v>
      </c>
    </row>
    <row r="108" customFormat="false" ht="12.75" hidden="false" customHeight="false" outlineLevel="0" collapsed="false">
      <c r="A108" s="420" t="str">
        <f aca="false">Calculations!A75</f>
        <v>N/A</v>
      </c>
      <c r="B108" s="421" t="str">
        <f aca="false">IF(A108="N/A"," ",IF(ISERROR(N108),B96*Pwresc,N108)*VLOOKUP(MONTH(A108),Curveadj,3))</f>
        <v> </v>
      </c>
      <c r="C108" s="422" t="str">
        <f aca="false">IF(A108="N/A"," ",(IF(AND(MONTH(A108)&gt;=6,MONTH(A108)&lt;=8,OR($M$37="REGION 2",$M$37="REGION 2A",$M$37="REGION 2B",$M$37="REGION 3",$M$37="REGION 3A",$M$37="REGION 3B",$M$37="REGION 4",$M$37="REGION 4B",$M$37="REGION 4C",$M$37="REGION 5",$M$37="REGION 5A")),((0.059228/(B108/100))-(0.4980013/(SQRT(B108/100)))+2.137988),HLOOKUP(MONTH(A108),ScalarTable,28))))</f>
        <v> </v>
      </c>
      <c r="D108" s="423" t="str">
        <f aca="false">IF(A108="N/A"," ",C108*B108)</f>
        <v> </v>
      </c>
      <c r="E108" s="421" t="str">
        <f aca="false">IF(A108="N/A"," ",IF(ISERROR(O108),E96*Pwresc,O108)*VLOOKUP(MONTH(A108),Curveadj,3))</f>
        <v> </v>
      </c>
      <c r="F108" s="423" t="str">
        <f aca="false">IF(A108="N/A"," ",E108*C108)</f>
        <v> </v>
      </c>
      <c r="G108" s="421" t="str">
        <f aca="false">IF(A108="N/A"," ",IF(ISERROR(P108),G96*Pwresc,P108)*VLOOKUP(MONTH(A108),Curveadj,3))</f>
        <v> </v>
      </c>
      <c r="H108" s="423" t="str">
        <f aca="false">IF(A108="N/A"," ",G108*C108)</f>
        <v> </v>
      </c>
      <c r="I108" s="423" t="str">
        <f aca="false">IF(A108="N/A"," ",IF(ISERROR(Q108),I96*Pwresc,Q108))</f>
        <v> </v>
      </c>
      <c r="J108" s="424" t="str">
        <f aca="false">IF(A108="N/A"," ",K108+L108+T108)</f>
        <v> </v>
      </c>
      <c r="K108" s="425" t="str">
        <f aca="false">IF(A108="N/A"," ",IF(ISERROR(R108),K96*Gasesc,R108))</f>
        <v> </v>
      </c>
      <c r="L108" s="425" t="str">
        <f aca="false">IF(A108="N/A"," ",IF(ISERROR(S108),L96*Gasesc,IF(S108=0,L96*Gasesc,S108)))</f>
        <v> </v>
      </c>
      <c r="M108" s="431"/>
      <c r="N108" s="427" t="str">
        <f aca="false">IF(A108="N/A"," ",VLOOKUP(A108,PeakPowerCurves,(IF(BMO=2,3,IF(BMO=1,2,4))),FALSE()))</f>
        <v> </v>
      </c>
      <c r="O108" s="427" t="str">
        <f aca="false">IF(A108="N/A"," ",VLOOKUP(A108,SatSunPeakPwr,(IF(BMO=2,3,IF(BMO=1,2,4))),FALSE()))</f>
        <v> </v>
      </c>
      <c r="P108" s="427" t="str">
        <f aca="false">IF(A108="N/A"," ",VLOOKUP(A108,SatSunPeakPwr,(IF(BMO=2,7,IF(BMO=1,6,8))),FALSE()))</f>
        <v> </v>
      </c>
      <c r="Q108" s="428" t="str">
        <f aca="false">IF(A108="N/A"," ",(VLOOKUP(A108,OPPowerPrices,(IF(BMO=2,7,IF(BMO=1,6,8))),FALSE())))</f>
        <v> </v>
      </c>
      <c r="R108" s="429" t="str">
        <f aca="false">IF(A108="N/A"," ",(VLOOKUP(A108,GasCurves,9,FALSE()))+IF(BMO=1,Gasbmo,IF(BMO=3,-Gasbmo,0)))</f>
        <v> </v>
      </c>
      <c r="S108" s="429" t="str">
        <f aca="false">IF(A108="N/A"," ",IF(Basischeck=TRUE(),(VLOOKUP(A108,GasCurves,IF(MONTH(A108)&gt;=4,IF(MONTH(A108)&lt;=10,11,12),12),FALSE())),0))</f>
        <v> </v>
      </c>
      <c r="T108" s="429" t="str">
        <f aca="false">IF(A108="N/A"," ",(IF(MONTH(A108)&gt;=4,IF(MONTH(A108)&lt;=10,Inputs!$H$2,Inputs!$H$3),Inputs!$H$3)))</f>
        <v> </v>
      </c>
      <c r="U108" s="430" t="str">
        <f aca="false">IF(A108="N/A"," ",(VLOOKUP($A108,InterestRatesTable,2)))</f>
        <v> </v>
      </c>
      <c r="AF108" s="384" t="n">
        <v>39722</v>
      </c>
      <c r="AG108" s="36" t="n">
        <v>23</v>
      </c>
      <c r="AH108" s="36" t="n">
        <v>4</v>
      </c>
      <c r="AI108" s="36" t="n">
        <v>4</v>
      </c>
      <c r="AJ108" s="36" t="n">
        <v>0</v>
      </c>
      <c r="AK108" s="36" t="n">
        <v>31</v>
      </c>
    </row>
    <row r="109" customFormat="false" ht="12.75" hidden="false" customHeight="false" outlineLevel="0" collapsed="false">
      <c r="A109" s="420" t="str">
        <f aca="false">Calculations!A76</f>
        <v>N/A</v>
      </c>
      <c r="B109" s="421" t="str">
        <f aca="false">IF(A109="N/A"," ",IF(ISERROR(N109),B97*Pwresc,N109)*VLOOKUP(MONTH(A109),Curveadj,3))</f>
        <v> </v>
      </c>
      <c r="C109" s="422" t="str">
        <f aca="false">IF(A109="N/A"," ",(IF(AND(MONTH(A109)&gt;=6,MONTH(A109)&lt;=8,OR($M$37="REGION 2",$M$37="REGION 2A",$M$37="REGION 2B",$M$37="REGION 3",$M$37="REGION 3A",$M$37="REGION 3B",$M$37="REGION 4",$M$37="REGION 4B",$M$37="REGION 4C",$M$37="REGION 5",$M$37="REGION 5A")),((0.059228/(B109/100))-(0.4980013/(SQRT(B109/100)))+2.137988),HLOOKUP(MONTH(A109),ScalarTable,28))))</f>
        <v> </v>
      </c>
      <c r="D109" s="423" t="str">
        <f aca="false">IF(A109="N/A"," ",C109*B109)</f>
        <v> </v>
      </c>
      <c r="E109" s="421" t="str">
        <f aca="false">IF(A109="N/A"," ",IF(ISERROR(O109),E97*Pwresc,O109)*VLOOKUP(MONTH(A109),Curveadj,3))</f>
        <v> </v>
      </c>
      <c r="F109" s="423" t="str">
        <f aca="false">IF(A109="N/A"," ",E109*C109)</f>
        <v> </v>
      </c>
      <c r="G109" s="421" t="str">
        <f aca="false">IF(A109="N/A"," ",IF(ISERROR(P109),G97*Pwresc,P109)*VLOOKUP(MONTH(A109),Curveadj,3))</f>
        <v> </v>
      </c>
      <c r="H109" s="423" t="str">
        <f aca="false">IF(A109="N/A"," ",G109*C109)</f>
        <v> </v>
      </c>
      <c r="I109" s="423" t="str">
        <f aca="false">IF(A109="N/A"," ",IF(ISERROR(Q109),I97*Pwresc,Q109))</f>
        <v> </v>
      </c>
      <c r="J109" s="424" t="str">
        <f aca="false">IF(A109="N/A"," ",K109+L109+T109)</f>
        <v> </v>
      </c>
      <c r="K109" s="425" t="str">
        <f aca="false">IF(A109="N/A"," ",IF(ISERROR(R109),K97*Gasesc,R109))</f>
        <v> </v>
      </c>
      <c r="L109" s="425" t="str">
        <f aca="false">IF(A109="N/A"," ",IF(ISERROR(S109),L97*Gasesc,IF(S109=0,L97*Gasesc,S109)))</f>
        <v> </v>
      </c>
      <c r="M109" s="431"/>
      <c r="N109" s="427" t="str">
        <f aca="false">IF(A109="N/A"," ",VLOOKUP(A109,PeakPowerCurves,(IF(BMO=2,3,IF(BMO=1,2,4))),FALSE()))</f>
        <v> </v>
      </c>
      <c r="O109" s="427" t="str">
        <f aca="false">IF(A109="N/A"," ",VLOOKUP(A109,SatSunPeakPwr,(IF(BMO=2,3,IF(BMO=1,2,4))),FALSE()))</f>
        <v> </v>
      </c>
      <c r="P109" s="427" t="str">
        <f aca="false">IF(A109="N/A"," ",VLOOKUP(A109,SatSunPeakPwr,(IF(BMO=2,7,IF(BMO=1,6,8))),FALSE()))</f>
        <v> </v>
      </c>
      <c r="Q109" s="428" t="str">
        <f aca="false">IF(A109="N/A"," ",(VLOOKUP(A109,OPPowerPrices,(IF(BMO=2,7,IF(BMO=1,6,8))),FALSE())))</f>
        <v> </v>
      </c>
      <c r="R109" s="429" t="str">
        <f aca="false">IF(A109="N/A"," ",(VLOOKUP(A109,GasCurves,9,FALSE()))+IF(BMO=1,Gasbmo,IF(BMO=3,-Gasbmo,0)))</f>
        <v> </v>
      </c>
      <c r="S109" s="429" t="str">
        <f aca="false">IF(A109="N/A"," ",IF(Basischeck=TRUE(),(VLOOKUP(A109,GasCurves,IF(MONTH(A109)&gt;=4,IF(MONTH(A109)&lt;=10,11,12),12),FALSE())),0))</f>
        <v> </v>
      </c>
      <c r="T109" s="429" t="str">
        <f aca="false">IF(A109="N/A"," ",(IF(MONTH(A109)&gt;=4,IF(MONTH(A109)&lt;=10,Inputs!$H$2,Inputs!$H$3),Inputs!$H$3)))</f>
        <v> </v>
      </c>
      <c r="U109" s="430" t="str">
        <f aca="false">IF(A109="N/A"," ",(VLOOKUP($A109,InterestRatesTable,2)))</f>
        <v> </v>
      </c>
      <c r="AF109" s="384" t="n">
        <v>39753</v>
      </c>
      <c r="AG109" s="36" t="n">
        <v>19</v>
      </c>
      <c r="AH109" s="36" t="n">
        <v>5</v>
      </c>
      <c r="AI109" s="36" t="n">
        <v>6</v>
      </c>
      <c r="AJ109" s="36" t="n">
        <v>1</v>
      </c>
      <c r="AK109" s="36" t="n">
        <v>30</v>
      </c>
    </row>
    <row r="110" customFormat="false" ht="12.75" hidden="false" customHeight="false" outlineLevel="0" collapsed="false">
      <c r="A110" s="420" t="str">
        <f aca="false">Calculations!A77</f>
        <v>N/A</v>
      </c>
      <c r="B110" s="421" t="str">
        <f aca="false">IF(A110="N/A"," ",IF(ISERROR(N110),B98*Pwresc,N110)*VLOOKUP(MONTH(A110),Curveadj,3))</f>
        <v> </v>
      </c>
      <c r="C110" s="422" t="str">
        <f aca="false">IF(A110="N/A"," ",(IF(AND(MONTH(A110)&gt;=6,MONTH(A110)&lt;=8,OR($M$37="REGION 2",$M$37="REGION 2A",$M$37="REGION 2B",$M$37="REGION 3",$M$37="REGION 3A",$M$37="REGION 3B",$M$37="REGION 4",$M$37="REGION 4B",$M$37="REGION 4C",$M$37="REGION 5",$M$37="REGION 5A")),((0.059228/(B110/100))-(0.4980013/(SQRT(B110/100)))+2.137988),HLOOKUP(MONTH(A110),ScalarTable,28))))</f>
        <v> </v>
      </c>
      <c r="D110" s="423" t="str">
        <f aca="false">IF(A110="N/A"," ",C110*B110)</f>
        <v> </v>
      </c>
      <c r="E110" s="421" t="str">
        <f aca="false">IF(A110="N/A"," ",IF(ISERROR(O110),E98*Pwresc,O110)*VLOOKUP(MONTH(A110),Curveadj,3))</f>
        <v> </v>
      </c>
      <c r="F110" s="423" t="str">
        <f aca="false">IF(A110="N/A"," ",E110*C110)</f>
        <v> </v>
      </c>
      <c r="G110" s="421" t="str">
        <f aca="false">IF(A110="N/A"," ",IF(ISERROR(P110),G98*Pwresc,P110)*VLOOKUP(MONTH(A110),Curveadj,3))</f>
        <v> </v>
      </c>
      <c r="H110" s="423" t="str">
        <f aca="false">IF(A110="N/A"," ",G110*C110)</f>
        <v> </v>
      </c>
      <c r="I110" s="423" t="str">
        <f aca="false">IF(A110="N/A"," ",IF(ISERROR(Q110),I98*Pwresc,Q110))</f>
        <v> </v>
      </c>
      <c r="J110" s="424" t="str">
        <f aca="false">IF(A110="N/A"," ",K110+L110+T110)</f>
        <v> </v>
      </c>
      <c r="K110" s="425" t="str">
        <f aca="false">IF(A110="N/A"," ",IF(ISERROR(R110),K98*Gasesc,R110))</f>
        <v> </v>
      </c>
      <c r="L110" s="425" t="str">
        <f aca="false">IF(A110="N/A"," ",IF(ISERROR(S110),L98*Gasesc,IF(S110=0,L98*Gasesc,S110)))</f>
        <v> </v>
      </c>
      <c r="M110" s="431"/>
      <c r="N110" s="427" t="str">
        <f aca="false">IF(A110="N/A"," ",VLOOKUP(A110,PeakPowerCurves,(IF(BMO=2,3,IF(BMO=1,2,4))),FALSE()))</f>
        <v> </v>
      </c>
      <c r="O110" s="427" t="str">
        <f aca="false">IF(A110="N/A"," ",VLOOKUP(A110,SatSunPeakPwr,(IF(BMO=2,3,IF(BMO=1,2,4))),FALSE()))</f>
        <v> </v>
      </c>
      <c r="P110" s="427" t="str">
        <f aca="false">IF(A110="N/A"," ",VLOOKUP(A110,SatSunPeakPwr,(IF(BMO=2,7,IF(BMO=1,6,8))),FALSE()))</f>
        <v> </v>
      </c>
      <c r="Q110" s="428" t="str">
        <f aca="false">IF(A110="N/A"," ",(VLOOKUP(A110,OPPowerPrices,(IF(BMO=2,7,IF(BMO=1,6,8))),FALSE())))</f>
        <v> </v>
      </c>
      <c r="R110" s="429" t="str">
        <f aca="false">IF(A110="N/A"," ",(VLOOKUP(A110,GasCurves,9,FALSE()))+IF(BMO=1,Gasbmo,IF(BMO=3,-Gasbmo,0)))</f>
        <v> </v>
      </c>
      <c r="S110" s="429" t="str">
        <f aca="false">IF(A110="N/A"," ",IF(Basischeck=TRUE(),(VLOOKUP(A110,GasCurves,IF(MONTH(A110)&gt;=4,IF(MONTH(A110)&lt;=10,11,12),12),FALSE())),0))</f>
        <v> </v>
      </c>
      <c r="T110" s="429" t="str">
        <f aca="false">IF(A110="N/A"," ",(IF(MONTH(A110)&gt;=4,IF(MONTH(A110)&lt;=10,Inputs!$H$2,Inputs!$H$3),Inputs!$H$3)))</f>
        <v> </v>
      </c>
      <c r="U110" s="430" t="str">
        <f aca="false">IF(A110="N/A"," ",(VLOOKUP($A110,InterestRatesTable,2)))</f>
        <v> </v>
      </c>
      <c r="AF110" s="384" t="n">
        <v>39783</v>
      </c>
      <c r="AG110" s="36" t="n">
        <v>22</v>
      </c>
      <c r="AH110" s="36" t="n">
        <v>4</v>
      </c>
      <c r="AI110" s="36" t="n">
        <v>5</v>
      </c>
      <c r="AJ110" s="36" t="n">
        <v>1</v>
      </c>
      <c r="AK110" s="36" t="n">
        <v>31</v>
      </c>
    </row>
    <row r="111" customFormat="false" ht="12.75" hidden="false" customHeight="false" outlineLevel="0" collapsed="false">
      <c r="A111" s="420" t="str">
        <f aca="false">Calculations!A78</f>
        <v>N/A</v>
      </c>
      <c r="B111" s="421" t="str">
        <f aca="false">IF(A111="N/A"," ",IF(ISERROR(N111),B99*Pwresc,N111)*VLOOKUP(MONTH(A111),Curveadj,3))</f>
        <v> </v>
      </c>
      <c r="C111" s="422" t="str">
        <f aca="false">IF(A111="N/A"," ",(IF(AND(MONTH(A111)&gt;=6,MONTH(A111)&lt;=8,OR($M$37="REGION 2",$M$37="REGION 2A",$M$37="REGION 2B",$M$37="REGION 3",$M$37="REGION 3A",$M$37="REGION 3B",$M$37="REGION 4",$M$37="REGION 4B",$M$37="REGION 4C",$M$37="REGION 5",$M$37="REGION 5A")),((0.059228/(B111/100))-(0.4980013/(SQRT(B111/100)))+2.137988),HLOOKUP(MONTH(A111),ScalarTable,28))))</f>
        <v> </v>
      </c>
      <c r="D111" s="423" t="str">
        <f aca="false">IF(A111="N/A"," ",C111*B111)</f>
        <v> </v>
      </c>
      <c r="E111" s="421" t="str">
        <f aca="false">IF(A111="N/A"," ",IF(ISERROR(O111),E99*Pwresc,O111)*VLOOKUP(MONTH(A111),Curveadj,3))</f>
        <v> </v>
      </c>
      <c r="F111" s="423" t="str">
        <f aca="false">IF(A111="N/A"," ",E111*C111)</f>
        <v> </v>
      </c>
      <c r="G111" s="421" t="str">
        <f aca="false">IF(A111="N/A"," ",IF(ISERROR(P111),G99*Pwresc,P111)*VLOOKUP(MONTH(A111),Curveadj,3))</f>
        <v> </v>
      </c>
      <c r="H111" s="423" t="str">
        <f aca="false">IF(A111="N/A"," ",G111*C111)</f>
        <v> </v>
      </c>
      <c r="I111" s="423" t="str">
        <f aca="false">IF(A111="N/A"," ",IF(ISERROR(Q111),I99*Pwresc,Q111))</f>
        <v> </v>
      </c>
      <c r="J111" s="424" t="str">
        <f aca="false">IF(A111="N/A"," ",K111+L111+T111)</f>
        <v> </v>
      </c>
      <c r="K111" s="425" t="str">
        <f aca="false">IF(A111="N/A"," ",IF(ISERROR(R111),K99*Gasesc,R111))</f>
        <v> </v>
      </c>
      <c r="L111" s="425" t="str">
        <f aca="false">IF(A111="N/A"," ",IF(ISERROR(S111),L99*Gasesc,IF(S111=0,L99*Gasesc,S111)))</f>
        <v> </v>
      </c>
      <c r="M111" s="431"/>
      <c r="N111" s="427" t="str">
        <f aca="false">IF(A111="N/A"," ",VLOOKUP(A111,PeakPowerCurves,(IF(BMO=2,3,IF(BMO=1,2,4))),FALSE()))</f>
        <v> </v>
      </c>
      <c r="O111" s="427" t="str">
        <f aca="false">IF(A111="N/A"," ",VLOOKUP(A111,SatSunPeakPwr,(IF(BMO=2,3,IF(BMO=1,2,4))),FALSE()))</f>
        <v> </v>
      </c>
      <c r="P111" s="427" t="str">
        <f aca="false">IF(A111="N/A"," ",VLOOKUP(A111,SatSunPeakPwr,(IF(BMO=2,7,IF(BMO=1,6,8))),FALSE()))</f>
        <v> </v>
      </c>
      <c r="Q111" s="428" t="str">
        <f aca="false">IF(A111="N/A"," ",(VLOOKUP(A111,OPPowerPrices,(IF(BMO=2,7,IF(BMO=1,6,8))),FALSE())))</f>
        <v> </v>
      </c>
      <c r="R111" s="429" t="str">
        <f aca="false">IF(A111="N/A"," ",(VLOOKUP(A111,GasCurves,9,FALSE()))+IF(BMO=1,Gasbmo,IF(BMO=3,-Gasbmo,0)))</f>
        <v> </v>
      </c>
      <c r="S111" s="429" t="str">
        <f aca="false">IF(A111="N/A"," ",IF(Basischeck=TRUE(),(VLOOKUP(A111,GasCurves,IF(MONTH(A111)&gt;=4,IF(MONTH(A111)&lt;=10,11,12),12),FALSE())),0))</f>
        <v> </v>
      </c>
      <c r="T111" s="429" t="str">
        <f aca="false">IF(A111="N/A"," ",(IF(MONTH(A111)&gt;=4,IF(MONTH(A111)&lt;=10,Inputs!$H$2,Inputs!$H$3),Inputs!$H$3)))</f>
        <v> </v>
      </c>
      <c r="U111" s="430" t="str">
        <f aca="false">IF(A111="N/A"," ",(VLOOKUP($A111,InterestRatesTable,2)))</f>
        <v> </v>
      </c>
      <c r="AF111" s="384" t="n">
        <v>39814</v>
      </c>
      <c r="AG111" s="36" t="n">
        <v>21</v>
      </c>
      <c r="AH111" s="36" t="n">
        <v>5</v>
      </c>
      <c r="AI111" s="36" t="n">
        <v>5</v>
      </c>
      <c r="AJ111" s="36" t="n">
        <v>1</v>
      </c>
      <c r="AK111" s="36" t="n">
        <v>31</v>
      </c>
    </row>
    <row r="112" customFormat="false" ht="12.75" hidden="false" customHeight="false" outlineLevel="0" collapsed="false">
      <c r="A112" s="420" t="str">
        <f aca="false">Calculations!A79</f>
        <v>N/A</v>
      </c>
      <c r="B112" s="421" t="str">
        <f aca="false">IF(A112="N/A"," ",IF(ISERROR(N112),B100*Pwresc,N112)*VLOOKUP(MONTH(A112),Curveadj,3))</f>
        <v> </v>
      </c>
      <c r="C112" s="422" t="str">
        <f aca="false">IF(A112="N/A"," ",(IF(AND(MONTH(A112)&gt;=6,MONTH(A112)&lt;=8,OR($M$37="REGION 2",$M$37="REGION 2A",$M$37="REGION 2B",$M$37="REGION 3",$M$37="REGION 3A",$M$37="REGION 3B",$M$37="REGION 4",$M$37="REGION 4B",$M$37="REGION 4C",$M$37="REGION 5",$M$37="REGION 5A")),((0.059228/(B112/100))-(0.4980013/(SQRT(B112/100)))+2.137988),HLOOKUP(MONTH(A112),ScalarTable,28))))</f>
        <v> </v>
      </c>
      <c r="D112" s="423" t="str">
        <f aca="false">IF(A112="N/A"," ",C112*B112)</f>
        <v> </v>
      </c>
      <c r="E112" s="421" t="str">
        <f aca="false">IF(A112="N/A"," ",IF(ISERROR(O112),E100*Pwresc,O112)*VLOOKUP(MONTH(A112),Curveadj,3))</f>
        <v> </v>
      </c>
      <c r="F112" s="423" t="str">
        <f aca="false">IF(A112="N/A"," ",E112*C112)</f>
        <v> </v>
      </c>
      <c r="G112" s="421" t="str">
        <f aca="false">IF(A112="N/A"," ",IF(ISERROR(P112),G100*Pwresc,P112)*VLOOKUP(MONTH(A112),Curveadj,3))</f>
        <v> </v>
      </c>
      <c r="H112" s="423" t="str">
        <f aca="false">IF(A112="N/A"," ",G112*C112)</f>
        <v> </v>
      </c>
      <c r="I112" s="423" t="str">
        <f aca="false">IF(A112="N/A"," ",IF(ISERROR(Q112),I100*Pwresc,Q112))</f>
        <v> </v>
      </c>
      <c r="J112" s="424" t="str">
        <f aca="false">IF(A112="N/A"," ",K112+L112+T112)</f>
        <v> </v>
      </c>
      <c r="K112" s="425" t="str">
        <f aca="false">IF(A112="N/A"," ",IF(ISERROR(R112),K100*Gasesc,R112))</f>
        <v> </v>
      </c>
      <c r="L112" s="425" t="str">
        <f aca="false">IF(A112="N/A"," ",IF(ISERROR(S112),L100*Gasesc,IF(S112=0,L100*Gasesc,S112)))</f>
        <v> </v>
      </c>
      <c r="M112" s="431"/>
      <c r="N112" s="427" t="str">
        <f aca="false">IF(A112="N/A"," ",VLOOKUP(A112,PeakPowerCurves,(IF(BMO=2,3,IF(BMO=1,2,4))),FALSE()))</f>
        <v> </v>
      </c>
      <c r="O112" s="427" t="str">
        <f aca="false">IF(A112="N/A"," ",VLOOKUP(A112,SatSunPeakPwr,(IF(BMO=2,3,IF(BMO=1,2,4))),FALSE()))</f>
        <v> </v>
      </c>
      <c r="P112" s="427" t="str">
        <f aca="false">IF(A112="N/A"," ",VLOOKUP(A112,SatSunPeakPwr,(IF(BMO=2,7,IF(BMO=1,6,8))),FALSE()))</f>
        <v> </v>
      </c>
      <c r="Q112" s="428" t="str">
        <f aca="false">IF(A112="N/A"," ",(VLOOKUP(A112,OPPowerPrices,(IF(BMO=2,7,IF(BMO=1,6,8))),FALSE())))</f>
        <v> </v>
      </c>
      <c r="R112" s="429" t="str">
        <f aca="false">IF(A112="N/A"," ",(VLOOKUP(A112,GasCurves,9,FALSE()))+IF(BMO=1,Gasbmo,IF(BMO=3,-Gasbmo,0)))</f>
        <v> </v>
      </c>
      <c r="S112" s="429" t="str">
        <f aca="false">IF(A112="N/A"," ",IF(Basischeck=TRUE(),(VLOOKUP(A112,GasCurves,IF(MONTH(A112)&gt;=4,IF(MONTH(A112)&lt;=10,11,12),12),FALSE())),0))</f>
        <v> </v>
      </c>
      <c r="T112" s="429" t="str">
        <f aca="false">IF(A112="N/A"," ",(IF(MONTH(A112)&gt;=4,IF(MONTH(A112)&lt;=10,Inputs!$H$2,Inputs!$H$3),Inputs!$H$3)))</f>
        <v> </v>
      </c>
      <c r="U112" s="430" t="str">
        <f aca="false">IF(A112="N/A"," ",(VLOOKUP($A112,InterestRatesTable,2)))</f>
        <v> </v>
      </c>
      <c r="AF112" s="384" t="n">
        <v>39845</v>
      </c>
      <c r="AG112" s="36" t="n">
        <v>20</v>
      </c>
      <c r="AH112" s="36" t="n">
        <v>4</v>
      </c>
      <c r="AI112" s="36" t="n">
        <v>4</v>
      </c>
      <c r="AJ112" s="36" t="n">
        <v>0</v>
      </c>
      <c r="AK112" s="36" t="n">
        <v>28</v>
      </c>
    </row>
    <row r="113" customFormat="false" ht="12.75" hidden="false" customHeight="false" outlineLevel="0" collapsed="false">
      <c r="A113" s="420" t="str">
        <f aca="false">Calculations!A80</f>
        <v>N/A</v>
      </c>
      <c r="B113" s="421" t="str">
        <f aca="false">IF(A113="N/A"," ",IF(ISERROR(N113),B101*Pwresc,N113)*VLOOKUP(MONTH(A113),Curveadj,3))</f>
        <v> </v>
      </c>
      <c r="C113" s="422" t="str">
        <f aca="false">IF(A113="N/A"," ",(IF(AND(MONTH(A113)&gt;=6,MONTH(A113)&lt;=8,OR($M$37="REGION 2",$M$37="REGION 2A",$M$37="REGION 2B",$M$37="REGION 3",$M$37="REGION 3A",$M$37="REGION 3B",$M$37="REGION 4",$M$37="REGION 4B",$M$37="REGION 4C",$M$37="REGION 5",$M$37="REGION 5A")),((0.059228/(B113/100))-(0.4980013/(SQRT(B113/100)))+2.137988),HLOOKUP(MONTH(A113),ScalarTable,28))))</f>
        <v> </v>
      </c>
      <c r="D113" s="423" t="str">
        <f aca="false">IF(A113="N/A"," ",C113*B113)</f>
        <v> </v>
      </c>
      <c r="E113" s="421" t="str">
        <f aca="false">IF(A113="N/A"," ",IF(ISERROR(O113),E101*Pwresc,O113)*VLOOKUP(MONTH(A113),Curveadj,3))</f>
        <v> </v>
      </c>
      <c r="F113" s="423" t="str">
        <f aca="false">IF(A113="N/A"," ",E113*C113)</f>
        <v> </v>
      </c>
      <c r="G113" s="421" t="str">
        <f aca="false">IF(A113="N/A"," ",IF(ISERROR(P113),G101*Pwresc,P113)*VLOOKUP(MONTH(A113),Curveadj,3))</f>
        <v> </v>
      </c>
      <c r="H113" s="423" t="str">
        <f aca="false">IF(A113="N/A"," ",G113*C113)</f>
        <v> </v>
      </c>
      <c r="I113" s="423" t="str">
        <f aca="false">IF(A113="N/A"," ",IF(ISERROR(Q113),I101*Pwresc,Q113))</f>
        <v> </v>
      </c>
      <c r="J113" s="424" t="str">
        <f aca="false">IF(A113="N/A"," ",K113+L113+T113)</f>
        <v> </v>
      </c>
      <c r="K113" s="425" t="str">
        <f aca="false">IF(A113="N/A"," ",IF(ISERROR(R113),K101*Gasesc,R113))</f>
        <v> </v>
      </c>
      <c r="L113" s="425" t="str">
        <f aca="false">IF(A113="N/A"," ",IF(ISERROR(S113),L101*Gasesc,IF(S113=0,L101*Gasesc,S113)))</f>
        <v> </v>
      </c>
      <c r="M113" s="431"/>
      <c r="N113" s="427" t="str">
        <f aca="false">IF(A113="N/A"," ",VLOOKUP(A113,PeakPowerCurves,(IF(BMO=2,3,IF(BMO=1,2,4))),FALSE()))</f>
        <v> </v>
      </c>
      <c r="O113" s="427" t="str">
        <f aca="false">IF(A113="N/A"," ",VLOOKUP(A113,SatSunPeakPwr,(IF(BMO=2,3,IF(BMO=1,2,4))),FALSE()))</f>
        <v> </v>
      </c>
      <c r="P113" s="427" t="str">
        <f aca="false">IF(A113="N/A"," ",VLOOKUP(A113,SatSunPeakPwr,(IF(BMO=2,7,IF(BMO=1,6,8))),FALSE()))</f>
        <v> </v>
      </c>
      <c r="Q113" s="428" t="str">
        <f aca="false">IF(A113="N/A"," ",(VLOOKUP(A113,OPPowerPrices,(IF(BMO=2,7,IF(BMO=1,6,8))),FALSE())))</f>
        <v> </v>
      </c>
      <c r="R113" s="429" t="str">
        <f aca="false">IF(A113="N/A"," ",(VLOOKUP(A113,GasCurves,9,FALSE()))+IF(BMO=1,Gasbmo,IF(BMO=3,-Gasbmo,0)))</f>
        <v> </v>
      </c>
      <c r="S113" s="429" t="str">
        <f aca="false">IF(A113="N/A"," ",IF(Basischeck=TRUE(),(VLOOKUP(A113,GasCurves,IF(MONTH(A113)&gt;=4,IF(MONTH(A113)&lt;=10,11,12),12),FALSE())),0))</f>
        <v> </v>
      </c>
      <c r="T113" s="429" t="str">
        <f aca="false">IF(A113="N/A"," ",(IF(MONTH(A113)&gt;=4,IF(MONTH(A113)&lt;=10,Inputs!$H$2,Inputs!$H$3),Inputs!$H$3)))</f>
        <v> </v>
      </c>
      <c r="U113" s="430" t="str">
        <f aca="false">IF(A113="N/A"," ",(VLOOKUP($A113,InterestRatesTable,2)))</f>
        <v> </v>
      </c>
      <c r="AF113" s="384" t="n">
        <v>39873</v>
      </c>
      <c r="AG113" s="36" t="n">
        <v>22</v>
      </c>
      <c r="AH113" s="36" t="n">
        <v>4</v>
      </c>
      <c r="AI113" s="36" t="n">
        <v>5</v>
      </c>
      <c r="AJ113" s="36" t="n">
        <v>0</v>
      </c>
      <c r="AK113" s="36" t="n">
        <v>31</v>
      </c>
    </row>
    <row r="114" customFormat="false" ht="12.75" hidden="false" customHeight="false" outlineLevel="0" collapsed="false">
      <c r="A114" s="420" t="str">
        <f aca="false">Calculations!A81</f>
        <v>N/A</v>
      </c>
      <c r="B114" s="421" t="str">
        <f aca="false">IF(A114="N/A"," ",IF(ISERROR(N114),B102*Pwresc,N114)*VLOOKUP(MONTH(A114),Curveadj,3))</f>
        <v> </v>
      </c>
      <c r="C114" s="422" t="str">
        <f aca="false">IF(A114="N/A"," ",(IF(AND(MONTH(A114)&gt;=6,MONTH(A114)&lt;=8,OR($M$37="REGION 2",$M$37="REGION 2A",$M$37="REGION 2B",$M$37="REGION 3",$M$37="REGION 3A",$M$37="REGION 3B",$M$37="REGION 4",$M$37="REGION 4B",$M$37="REGION 4C",$M$37="REGION 5",$M$37="REGION 5A")),((0.059228/(B114/100))-(0.4980013/(SQRT(B114/100)))+2.137988),HLOOKUP(MONTH(A114),ScalarTable,28))))</f>
        <v> </v>
      </c>
      <c r="D114" s="423" t="str">
        <f aca="false">IF(A114="N/A"," ",C114*B114)</f>
        <v> </v>
      </c>
      <c r="E114" s="421" t="str">
        <f aca="false">IF(A114="N/A"," ",IF(ISERROR(O114),E102*Pwresc,O114)*VLOOKUP(MONTH(A114),Curveadj,3))</f>
        <v> </v>
      </c>
      <c r="F114" s="423" t="str">
        <f aca="false">IF(A114="N/A"," ",E114*C114)</f>
        <v> </v>
      </c>
      <c r="G114" s="421" t="str">
        <f aca="false">IF(A114="N/A"," ",IF(ISERROR(P114),G102*Pwresc,P114)*VLOOKUP(MONTH(A114),Curveadj,3))</f>
        <v> </v>
      </c>
      <c r="H114" s="423" t="str">
        <f aca="false">IF(A114="N/A"," ",G114*C114)</f>
        <v> </v>
      </c>
      <c r="I114" s="423" t="str">
        <f aca="false">IF(A114="N/A"," ",IF(ISERROR(Q114),I102*Pwresc,Q114))</f>
        <v> </v>
      </c>
      <c r="J114" s="424" t="str">
        <f aca="false">IF(A114="N/A"," ",K114+L114+T114)</f>
        <v> </v>
      </c>
      <c r="K114" s="425" t="str">
        <f aca="false">IF(A114="N/A"," ",IF(ISERROR(R114),K102*Gasesc,R114))</f>
        <v> </v>
      </c>
      <c r="L114" s="425" t="str">
        <f aca="false">IF(A114="N/A"," ",IF(ISERROR(S114),L102*Gasesc,IF(S114=0,L102*Gasesc,S114)))</f>
        <v> </v>
      </c>
      <c r="M114" s="431"/>
      <c r="N114" s="427" t="str">
        <f aca="false">IF(A114="N/A"," ",VLOOKUP(A114,PeakPowerCurves,(IF(BMO=2,3,IF(BMO=1,2,4))),FALSE()))</f>
        <v> </v>
      </c>
      <c r="O114" s="427" t="str">
        <f aca="false">IF(A114="N/A"," ",VLOOKUP(A114,SatSunPeakPwr,(IF(BMO=2,3,IF(BMO=1,2,4))),FALSE()))</f>
        <v> </v>
      </c>
      <c r="P114" s="427" t="str">
        <f aca="false">IF(A114="N/A"," ",VLOOKUP(A114,SatSunPeakPwr,(IF(BMO=2,7,IF(BMO=1,6,8))),FALSE()))</f>
        <v> </v>
      </c>
      <c r="Q114" s="428" t="str">
        <f aca="false">IF(A114="N/A"," ",(VLOOKUP(A114,OPPowerPrices,(IF(BMO=2,7,IF(BMO=1,6,8))),FALSE())))</f>
        <v> </v>
      </c>
      <c r="R114" s="429" t="str">
        <f aca="false">IF(A114="N/A"," ",(VLOOKUP(A114,GasCurves,9,FALSE()))+IF(BMO=1,Gasbmo,IF(BMO=3,-Gasbmo,0)))</f>
        <v> </v>
      </c>
      <c r="S114" s="429" t="str">
        <f aca="false">IF(A114="N/A"," ",IF(Basischeck=TRUE(),(VLOOKUP(A114,GasCurves,IF(MONTH(A114)&gt;=4,IF(MONTH(A114)&lt;=10,11,12),12),FALSE())),0))</f>
        <v> </v>
      </c>
      <c r="T114" s="429" t="str">
        <f aca="false">IF(A114="N/A"," ",(IF(MONTH(A114)&gt;=4,IF(MONTH(A114)&lt;=10,Inputs!$H$2,Inputs!$H$3),Inputs!$H$3)))</f>
        <v> </v>
      </c>
      <c r="U114" s="430" t="str">
        <f aca="false">IF(A114="N/A"," ",(VLOOKUP($A114,InterestRatesTable,2)))</f>
        <v> </v>
      </c>
      <c r="AF114" s="384" t="n">
        <v>39904</v>
      </c>
      <c r="AG114" s="36" t="n">
        <v>22</v>
      </c>
      <c r="AH114" s="36" t="n">
        <v>4</v>
      </c>
      <c r="AI114" s="36" t="n">
        <v>4</v>
      </c>
      <c r="AJ114" s="36" t="n">
        <v>0</v>
      </c>
      <c r="AK114" s="36" t="n">
        <v>30</v>
      </c>
    </row>
    <row r="115" customFormat="false" ht="12.75" hidden="false" customHeight="false" outlineLevel="0" collapsed="false">
      <c r="A115" s="420" t="str">
        <f aca="false">Calculations!A82</f>
        <v>N/A</v>
      </c>
      <c r="B115" s="421" t="str">
        <f aca="false">IF(A115="N/A"," ",IF(ISERROR(N115),B103*Pwresc,N115)*VLOOKUP(MONTH(A115),Curveadj,3))</f>
        <v> </v>
      </c>
      <c r="C115" s="422" t="str">
        <f aca="false">IF(A115="N/A"," ",(IF(AND(MONTH(A115)&gt;=6,MONTH(A115)&lt;=8,OR($M$37="REGION 2",$M$37="REGION 2A",$M$37="REGION 2B",$M$37="REGION 3",$M$37="REGION 3A",$M$37="REGION 3B",$M$37="REGION 4",$M$37="REGION 4B",$M$37="REGION 4C",$M$37="REGION 5",$M$37="REGION 5A")),((0.059228/(B115/100))-(0.4980013/(SQRT(B115/100)))+2.137988),HLOOKUP(MONTH(A115),ScalarTable,28))))</f>
        <v> </v>
      </c>
      <c r="D115" s="423" t="str">
        <f aca="false">IF(A115="N/A"," ",C115*B115)</f>
        <v> </v>
      </c>
      <c r="E115" s="421" t="str">
        <f aca="false">IF(A115="N/A"," ",IF(ISERROR(O115),E103*Pwresc,O115)*VLOOKUP(MONTH(A115),Curveadj,3))</f>
        <v> </v>
      </c>
      <c r="F115" s="423" t="str">
        <f aca="false">IF(A115="N/A"," ",E115*C115)</f>
        <v> </v>
      </c>
      <c r="G115" s="421" t="str">
        <f aca="false">IF(A115="N/A"," ",IF(ISERROR(P115),G103*Pwresc,P115)*VLOOKUP(MONTH(A115),Curveadj,3))</f>
        <v> </v>
      </c>
      <c r="H115" s="423" t="str">
        <f aca="false">IF(A115="N/A"," ",G115*C115)</f>
        <v> </v>
      </c>
      <c r="I115" s="423" t="str">
        <f aca="false">IF(A115="N/A"," ",IF(ISERROR(Q115),I103*Pwresc,Q115))</f>
        <v> </v>
      </c>
      <c r="J115" s="424" t="str">
        <f aca="false">IF(A115="N/A"," ",K115+L115+T115)</f>
        <v> </v>
      </c>
      <c r="K115" s="425" t="str">
        <f aca="false">IF(A115="N/A"," ",IF(ISERROR(R115),K103*Gasesc,R115))</f>
        <v> </v>
      </c>
      <c r="L115" s="425" t="str">
        <f aca="false">IF(A115="N/A"," ",IF(ISERROR(S115),L103*Gasesc,IF(S115=0,L103*Gasesc,S115)))</f>
        <v> </v>
      </c>
      <c r="M115" s="431"/>
      <c r="N115" s="427" t="str">
        <f aca="false">IF(A115="N/A"," ",VLOOKUP(A115,PeakPowerCurves,(IF(BMO=2,3,IF(BMO=1,2,4))),FALSE()))</f>
        <v> </v>
      </c>
      <c r="O115" s="427" t="str">
        <f aca="false">IF(A115="N/A"," ",VLOOKUP(A115,SatSunPeakPwr,(IF(BMO=2,3,IF(BMO=1,2,4))),FALSE()))</f>
        <v> </v>
      </c>
      <c r="P115" s="427" t="str">
        <f aca="false">IF(A115="N/A"," ",VLOOKUP(A115,SatSunPeakPwr,(IF(BMO=2,7,IF(BMO=1,6,8))),FALSE()))</f>
        <v> </v>
      </c>
      <c r="Q115" s="428" t="str">
        <f aca="false">IF(A115="N/A"," ",(VLOOKUP(A115,OPPowerPrices,(IF(BMO=2,7,IF(BMO=1,6,8))),FALSE())))</f>
        <v> </v>
      </c>
      <c r="R115" s="429" t="str">
        <f aca="false">IF(A115="N/A"," ",(VLOOKUP(A115,GasCurves,9,FALSE()))+IF(BMO=1,Gasbmo,IF(BMO=3,-Gasbmo,0)))</f>
        <v> </v>
      </c>
      <c r="S115" s="429" t="str">
        <f aca="false">IF(A115="N/A"," ",IF(Basischeck=TRUE(),(VLOOKUP(A115,GasCurves,IF(MONTH(A115)&gt;=4,IF(MONTH(A115)&lt;=10,11,12),12),FALSE())),0))</f>
        <v> </v>
      </c>
      <c r="T115" s="429" t="str">
        <f aca="false">IF(A115="N/A"," ",(IF(MONTH(A115)&gt;=4,IF(MONTH(A115)&lt;=10,Inputs!$H$2,Inputs!$H$3),Inputs!$H$3)))</f>
        <v> </v>
      </c>
      <c r="U115" s="430" t="str">
        <f aca="false">IF(A115="N/A"," ",(VLOOKUP($A115,InterestRatesTable,2)))</f>
        <v> </v>
      </c>
      <c r="AF115" s="384" t="n">
        <v>39934</v>
      </c>
      <c r="AG115" s="36" t="n">
        <v>20</v>
      </c>
      <c r="AH115" s="36" t="n">
        <v>5</v>
      </c>
      <c r="AI115" s="36" t="n">
        <v>6</v>
      </c>
      <c r="AJ115" s="36" t="n">
        <v>1</v>
      </c>
      <c r="AK115" s="36" t="n">
        <v>31</v>
      </c>
    </row>
    <row r="116" customFormat="false" ht="12.75" hidden="false" customHeight="false" outlineLevel="0" collapsed="false">
      <c r="A116" s="420" t="str">
        <f aca="false">Calculations!A83</f>
        <v>N/A</v>
      </c>
      <c r="B116" s="421" t="str">
        <f aca="false">IF(A116="N/A"," ",IF(ISERROR(N116),B104*Pwresc,N116)*VLOOKUP(MONTH(A116),Curveadj,3))</f>
        <v> </v>
      </c>
      <c r="C116" s="422" t="str">
        <f aca="false">IF(A116="N/A"," ",(IF(AND(MONTH(A116)&gt;=6,MONTH(A116)&lt;=8,OR($M$37="REGION 2",$M$37="REGION 2A",$M$37="REGION 2B",$M$37="REGION 3",$M$37="REGION 3A",$M$37="REGION 3B",$M$37="REGION 4",$M$37="REGION 4B",$M$37="REGION 4C",$M$37="REGION 5",$M$37="REGION 5A")),((0.059228/(B116/100))-(0.4980013/(SQRT(B116/100)))+2.137988),HLOOKUP(MONTH(A116),ScalarTable,28))))</f>
        <v> </v>
      </c>
      <c r="D116" s="423" t="str">
        <f aca="false">IF(A116="N/A"," ",C116*B116)</f>
        <v> </v>
      </c>
      <c r="E116" s="421" t="str">
        <f aca="false">IF(A116="N/A"," ",IF(ISERROR(O116),E104*Pwresc,O116)*VLOOKUP(MONTH(A116),Curveadj,3))</f>
        <v> </v>
      </c>
      <c r="F116" s="423" t="str">
        <f aca="false">IF(A116="N/A"," ",E116*C116)</f>
        <v> </v>
      </c>
      <c r="G116" s="421" t="str">
        <f aca="false">IF(A116="N/A"," ",IF(ISERROR(P116),G104*Pwresc,P116)*VLOOKUP(MONTH(A116),Curveadj,3))</f>
        <v> </v>
      </c>
      <c r="H116" s="423" t="str">
        <f aca="false">IF(A116="N/A"," ",G116*C116)</f>
        <v> </v>
      </c>
      <c r="I116" s="423" t="str">
        <f aca="false">IF(A116="N/A"," ",IF(ISERROR(Q116),I104*Pwresc,Q116))</f>
        <v> </v>
      </c>
      <c r="J116" s="424" t="str">
        <f aca="false">IF(A116="N/A"," ",K116+L116+T116)</f>
        <v> </v>
      </c>
      <c r="K116" s="425" t="str">
        <f aca="false">IF(A116="N/A"," ",IF(ISERROR(R116),K104*Gasesc,R116))</f>
        <v> </v>
      </c>
      <c r="L116" s="425" t="str">
        <f aca="false">IF(A116="N/A"," ",IF(ISERROR(S116),L104*Gasesc,IF(S116=0,L104*Gasesc,S116)))</f>
        <v> </v>
      </c>
      <c r="M116" s="431"/>
      <c r="N116" s="427" t="str">
        <f aca="false">IF(A116="N/A"," ",VLOOKUP(A116,PeakPowerCurves,(IF(BMO=2,3,IF(BMO=1,2,4))),FALSE()))</f>
        <v> </v>
      </c>
      <c r="O116" s="427" t="str">
        <f aca="false">IF(A116="N/A"," ",VLOOKUP(A116,SatSunPeakPwr,(IF(BMO=2,3,IF(BMO=1,2,4))),FALSE()))</f>
        <v> </v>
      </c>
      <c r="P116" s="427" t="str">
        <f aca="false">IF(A116="N/A"," ",VLOOKUP(A116,SatSunPeakPwr,(IF(BMO=2,7,IF(BMO=1,6,8))),FALSE()))</f>
        <v> </v>
      </c>
      <c r="Q116" s="428" t="str">
        <f aca="false">IF(A116="N/A"," ",(VLOOKUP(A116,OPPowerPrices,(IF(BMO=2,7,IF(BMO=1,6,8))),FALSE())))</f>
        <v> </v>
      </c>
      <c r="R116" s="429" t="str">
        <f aca="false">IF(A116="N/A"," ",(VLOOKUP(A116,GasCurves,9,FALSE()))+IF(BMO=1,Gasbmo,IF(BMO=3,-Gasbmo,0)))</f>
        <v> </v>
      </c>
      <c r="S116" s="429" t="str">
        <f aca="false">IF(A116="N/A"," ",IF(Basischeck=TRUE(),(VLOOKUP(A116,GasCurves,IF(MONTH(A116)&gt;=4,IF(MONTH(A116)&lt;=10,11,12),12),FALSE())),0))</f>
        <v> </v>
      </c>
      <c r="T116" s="429" t="str">
        <f aca="false">IF(A116="N/A"," ",(IF(MONTH(A116)&gt;=4,IF(MONTH(A116)&lt;=10,Inputs!$H$2,Inputs!$H$3),Inputs!$H$3)))</f>
        <v> </v>
      </c>
      <c r="U116" s="430" t="str">
        <f aca="false">IF(A116="N/A"," ",(VLOOKUP($A116,InterestRatesTable,2)))</f>
        <v> </v>
      </c>
      <c r="AF116" s="384" t="n">
        <v>39965</v>
      </c>
      <c r="AG116" s="36" t="n">
        <v>22</v>
      </c>
      <c r="AH116" s="36" t="n">
        <v>4</v>
      </c>
      <c r="AI116" s="36" t="n">
        <v>4</v>
      </c>
      <c r="AJ116" s="36" t="n">
        <v>0</v>
      </c>
      <c r="AK116" s="36" t="n">
        <v>30</v>
      </c>
    </row>
    <row r="117" customFormat="false" ht="12.75" hidden="false" customHeight="false" outlineLevel="0" collapsed="false">
      <c r="A117" s="420" t="str">
        <f aca="false">Calculations!A84</f>
        <v>N/A</v>
      </c>
      <c r="B117" s="421" t="str">
        <f aca="false">IF(A117="N/A"," ",IF(ISERROR(N117),B105*Pwresc,N117)*VLOOKUP(MONTH(A117),Curveadj,3))</f>
        <v> </v>
      </c>
      <c r="C117" s="422" t="str">
        <f aca="false">IF(A117="N/A"," ",(IF(AND(MONTH(A117)&gt;=6,MONTH(A117)&lt;=8,OR($M$37="REGION 2",$M$37="REGION 2A",$M$37="REGION 2B",$M$37="REGION 3",$M$37="REGION 3A",$M$37="REGION 3B",$M$37="REGION 4",$M$37="REGION 4B",$M$37="REGION 4C",$M$37="REGION 5",$M$37="REGION 5A")),((0.059228/(B117/100))-(0.4980013/(SQRT(B117/100)))+2.137988),HLOOKUP(MONTH(A117),ScalarTable,28))))</f>
        <v> </v>
      </c>
      <c r="D117" s="423" t="str">
        <f aca="false">IF(A117="N/A"," ",C117*B117)</f>
        <v> </v>
      </c>
      <c r="E117" s="421" t="str">
        <f aca="false">IF(A117="N/A"," ",IF(ISERROR(O117),E105*Pwresc,O117)*VLOOKUP(MONTH(A117),Curveadj,3))</f>
        <v> </v>
      </c>
      <c r="F117" s="423" t="str">
        <f aca="false">IF(A117="N/A"," ",E117*C117)</f>
        <v> </v>
      </c>
      <c r="G117" s="421" t="str">
        <f aca="false">IF(A117="N/A"," ",IF(ISERROR(P117),G105*Pwresc,P117)*VLOOKUP(MONTH(A117),Curveadj,3))</f>
        <v> </v>
      </c>
      <c r="H117" s="423" t="str">
        <f aca="false">IF(A117="N/A"," ",G117*C117)</f>
        <v> </v>
      </c>
      <c r="I117" s="423" t="str">
        <f aca="false">IF(A117="N/A"," ",IF(ISERROR(Q117),I105*Pwresc,Q117))</f>
        <v> </v>
      </c>
      <c r="J117" s="424" t="str">
        <f aca="false">IF(A117="N/A"," ",K117+L117+T117)</f>
        <v> </v>
      </c>
      <c r="K117" s="425" t="str">
        <f aca="false">IF(A117="N/A"," ",IF(ISERROR(R117),K105*Gasesc,R117))</f>
        <v> </v>
      </c>
      <c r="L117" s="425" t="str">
        <f aca="false">IF(A117="N/A"," ",IF(ISERROR(S117),L105*Gasesc,IF(S117=0,L105*Gasesc,S117)))</f>
        <v> </v>
      </c>
      <c r="M117" s="431"/>
      <c r="N117" s="427" t="str">
        <f aca="false">IF(A117="N/A"," ",VLOOKUP(A117,PeakPowerCurves,(IF(BMO=2,3,IF(BMO=1,2,4))),FALSE()))</f>
        <v> </v>
      </c>
      <c r="O117" s="427" t="str">
        <f aca="false">IF(A117="N/A"," ",VLOOKUP(A117,SatSunPeakPwr,(IF(BMO=2,3,IF(BMO=1,2,4))),FALSE()))</f>
        <v> </v>
      </c>
      <c r="P117" s="427" t="str">
        <f aca="false">IF(A117="N/A"," ",VLOOKUP(A117,SatSunPeakPwr,(IF(BMO=2,7,IF(BMO=1,6,8))),FALSE()))</f>
        <v> </v>
      </c>
      <c r="Q117" s="428" t="str">
        <f aca="false">IF(A117="N/A"," ",(VLOOKUP(A117,OPPowerPrices,(IF(BMO=2,7,IF(BMO=1,6,8))),FALSE())))</f>
        <v> </v>
      </c>
      <c r="R117" s="429" t="str">
        <f aca="false">IF(A117="N/A"," ",(VLOOKUP(A117,GasCurves,9,FALSE()))+IF(BMO=1,Gasbmo,IF(BMO=3,-Gasbmo,0)))</f>
        <v> </v>
      </c>
      <c r="S117" s="429" t="str">
        <f aca="false">IF(A117="N/A"," ",IF(Basischeck=TRUE(),(VLOOKUP(A117,GasCurves,IF(MONTH(A117)&gt;=4,IF(MONTH(A117)&lt;=10,11,12),12),FALSE())),0))</f>
        <v> </v>
      </c>
      <c r="T117" s="429" t="str">
        <f aca="false">IF(A117="N/A"," ",(IF(MONTH(A117)&gt;=4,IF(MONTH(A117)&lt;=10,Inputs!$H$2,Inputs!$H$3),Inputs!$H$3)))</f>
        <v> </v>
      </c>
      <c r="U117" s="430" t="str">
        <f aca="false">IF(A117="N/A"," ",(VLOOKUP($A117,InterestRatesTable,2)))</f>
        <v> </v>
      </c>
      <c r="AF117" s="384" t="n">
        <v>39995</v>
      </c>
      <c r="AG117" s="36" t="n">
        <v>23</v>
      </c>
      <c r="AH117" s="36" t="n">
        <v>3</v>
      </c>
      <c r="AI117" s="36" t="n">
        <v>5</v>
      </c>
      <c r="AJ117" s="36" t="n">
        <v>1</v>
      </c>
      <c r="AK117" s="36" t="n">
        <v>31</v>
      </c>
    </row>
    <row r="118" customFormat="false" ht="12.75" hidden="false" customHeight="false" outlineLevel="0" collapsed="false">
      <c r="A118" s="420" t="str">
        <f aca="false">Calculations!A85</f>
        <v>N/A</v>
      </c>
      <c r="B118" s="421" t="str">
        <f aca="false">IF(A118="N/A"," ",IF(ISERROR(N118),B106*Pwresc,N118)*VLOOKUP(MONTH(A118),Curveadj,3))</f>
        <v> </v>
      </c>
      <c r="C118" s="422" t="str">
        <f aca="false">IF(A118="N/A"," ",(IF(AND(MONTH(A118)&gt;=6,MONTH(A118)&lt;=8,OR($M$37="REGION 2",$M$37="REGION 2A",$M$37="REGION 2B",$M$37="REGION 3",$M$37="REGION 3A",$M$37="REGION 3B",$M$37="REGION 4",$M$37="REGION 4B",$M$37="REGION 4C",$M$37="REGION 5",$M$37="REGION 5A")),((0.059228/(B118/100))-(0.4980013/(SQRT(B118/100)))+2.137988),HLOOKUP(MONTH(A118),ScalarTable,28))))</f>
        <v> </v>
      </c>
      <c r="D118" s="423" t="str">
        <f aca="false">IF(A118="N/A"," ",C118*B118)</f>
        <v> </v>
      </c>
      <c r="E118" s="421" t="str">
        <f aca="false">IF(A118="N/A"," ",IF(ISERROR(O118),E106*Pwresc,O118)*VLOOKUP(MONTH(A118),Curveadj,3))</f>
        <v> </v>
      </c>
      <c r="F118" s="423" t="str">
        <f aca="false">IF(A118="N/A"," ",E118*C118)</f>
        <v> </v>
      </c>
      <c r="G118" s="421" t="str">
        <f aca="false">IF(A118="N/A"," ",IF(ISERROR(P118),G106*Pwresc,P118)*VLOOKUP(MONTH(A118),Curveadj,3))</f>
        <v> </v>
      </c>
      <c r="H118" s="423" t="str">
        <f aca="false">IF(A118="N/A"," ",G118*C118)</f>
        <v> </v>
      </c>
      <c r="I118" s="423" t="str">
        <f aca="false">IF(A118="N/A"," ",IF(ISERROR(Q118),I106*Pwresc,Q118))</f>
        <v> </v>
      </c>
      <c r="J118" s="424" t="str">
        <f aca="false">IF(A118="N/A"," ",K118+L118+T118)</f>
        <v> </v>
      </c>
      <c r="K118" s="425" t="str">
        <f aca="false">IF(A118="N/A"," ",IF(ISERROR(R118),K106*Gasesc,R118))</f>
        <v> </v>
      </c>
      <c r="L118" s="425" t="str">
        <f aca="false">IF(A118="N/A"," ",IF(ISERROR(S118),L106*Gasesc,IF(S118=0,L106*Gasesc,S118)))</f>
        <v> </v>
      </c>
      <c r="M118" s="431"/>
      <c r="N118" s="427" t="str">
        <f aca="false">IF(A118="N/A"," ",VLOOKUP(A118,PeakPowerCurves,(IF(BMO=2,3,IF(BMO=1,2,4))),FALSE()))</f>
        <v> </v>
      </c>
      <c r="O118" s="427" t="str">
        <f aca="false">IF(A118="N/A"," ",VLOOKUP(A118,SatSunPeakPwr,(IF(BMO=2,3,IF(BMO=1,2,4))),FALSE()))</f>
        <v> </v>
      </c>
      <c r="P118" s="427" t="str">
        <f aca="false">IF(A118="N/A"," ",VLOOKUP(A118,SatSunPeakPwr,(IF(BMO=2,7,IF(BMO=1,6,8))),FALSE()))</f>
        <v> </v>
      </c>
      <c r="Q118" s="428" t="str">
        <f aca="false">IF(A118="N/A"," ",(VLOOKUP(A118,OPPowerPrices,(IF(BMO=2,7,IF(BMO=1,6,8))),FALSE())))</f>
        <v> </v>
      </c>
      <c r="R118" s="429" t="str">
        <f aca="false">IF(A118="N/A"," ",(VLOOKUP(A118,GasCurves,9,FALSE()))+IF(BMO=1,Gasbmo,IF(BMO=3,-Gasbmo,0)))</f>
        <v> </v>
      </c>
      <c r="S118" s="429" t="str">
        <f aca="false">IF(A118="N/A"," ",IF(Basischeck=TRUE(),(VLOOKUP(A118,GasCurves,IF(MONTH(A118)&gt;=4,IF(MONTH(A118)&lt;=10,11,12),12),FALSE())),0))</f>
        <v> </v>
      </c>
      <c r="T118" s="429" t="str">
        <f aca="false">IF(A118="N/A"," ",(IF(MONTH(A118)&gt;=4,IF(MONTH(A118)&lt;=10,Inputs!$H$2,Inputs!$H$3),Inputs!$H$3)))</f>
        <v> </v>
      </c>
      <c r="U118" s="430" t="str">
        <f aca="false">IF(A118="N/A"," ",(VLOOKUP($A118,InterestRatesTable,2)))</f>
        <v> </v>
      </c>
      <c r="AF118" s="384" t="n">
        <v>40026</v>
      </c>
      <c r="AG118" s="36" t="n">
        <v>21</v>
      </c>
      <c r="AH118" s="36" t="n">
        <v>5</v>
      </c>
      <c r="AI118" s="36" t="n">
        <v>5</v>
      </c>
      <c r="AJ118" s="36" t="n">
        <v>0</v>
      </c>
      <c r="AK118" s="36" t="n">
        <v>31</v>
      </c>
    </row>
    <row r="119" customFormat="false" ht="12.75" hidden="false" customHeight="false" outlineLevel="0" collapsed="false">
      <c r="A119" s="420" t="str">
        <f aca="false">Calculations!A86</f>
        <v>N/A</v>
      </c>
      <c r="B119" s="421" t="str">
        <f aca="false">IF(A119="N/A"," ",IF(ISERROR(N119),B107*Pwresc,N119)*VLOOKUP(MONTH(A119),Curveadj,3))</f>
        <v> </v>
      </c>
      <c r="C119" s="422" t="str">
        <f aca="false">IF(A119="N/A"," ",(IF(AND(MONTH(A119)&gt;=6,MONTH(A119)&lt;=8,OR($M$37="REGION 2",$M$37="REGION 2A",$M$37="REGION 2B",$M$37="REGION 3",$M$37="REGION 3A",$M$37="REGION 3B",$M$37="REGION 4",$M$37="REGION 4B",$M$37="REGION 4C",$M$37="REGION 5",$M$37="REGION 5A")),((0.059228/(B119/100))-(0.4980013/(SQRT(B119/100)))+2.137988),HLOOKUP(MONTH(A119),ScalarTable,28))))</f>
        <v> </v>
      </c>
      <c r="D119" s="423" t="str">
        <f aca="false">IF(A119="N/A"," ",C119*B119)</f>
        <v> </v>
      </c>
      <c r="E119" s="421" t="str">
        <f aca="false">IF(A119="N/A"," ",IF(ISERROR(O119),E107*Pwresc,O119)*VLOOKUP(MONTH(A119),Curveadj,3))</f>
        <v> </v>
      </c>
      <c r="F119" s="423" t="str">
        <f aca="false">IF(A119="N/A"," ",E119*C119)</f>
        <v> </v>
      </c>
      <c r="G119" s="421" t="str">
        <f aca="false">IF(A119="N/A"," ",IF(ISERROR(P119),G107*Pwresc,P119)*VLOOKUP(MONTH(A119),Curveadj,3))</f>
        <v> </v>
      </c>
      <c r="H119" s="423" t="str">
        <f aca="false">IF(A119="N/A"," ",G119*C119)</f>
        <v> </v>
      </c>
      <c r="I119" s="423" t="str">
        <f aca="false">IF(A119="N/A"," ",IF(ISERROR(Q119),I107*Pwresc,Q119))</f>
        <v> </v>
      </c>
      <c r="J119" s="424" t="str">
        <f aca="false">IF(A119="N/A"," ",K119+L119+T119)</f>
        <v> </v>
      </c>
      <c r="K119" s="425" t="str">
        <f aca="false">IF(A119="N/A"," ",IF(ISERROR(R119),K107*Gasesc,R119))</f>
        <v> </v>
      </c>
      <c r="L119" s="425" t="str">
        <f aca="false">IF(A119="N/A"," ",IF(ISERROR(S119),L107*Gasesc,IF(S119=0,L107*Gasesc,S119)))</f>
        <v> </v>
      </c>
      <c r="M119" s="431"/>
      <c r="N119" s="427" t="str">
        <f aca="false">IF(A119="N/A"," ",VLOOKUP(A119,PeakPowerCurves,(IF(BMO=2,3,IF(BMO=1,2,4))),FALSE()))</f>
        <v> </v>
      </c>
      <c r="O119" s="427" t="str">
        <f aca="false">IF(A119="N/A"," ",VLOOKUP(A119,SatSunPeakPwr,(IF(BMO=2,3,IF(BMO=1,2,4))),FALSE()))</f>
        <v> </v>
      </c>
      <c r="P119" s="427" t="str">
        <f aca="false">IF(A119="N/A"," ",VLOOKUP(A119,SatSunPeakPwr,(IF(BMO=2,7,IF(BMO=1,6,8))),FALSE()))</f>
        <v> </v>
      </c>
      <c r="Q119" s="428" t="str">
        <f aca="false">IF(A119="N/A"," ",(VLOOKUP(A119,OPPowerPrices,(IF(BMO=2,7,IF(BMO=1,6,8))),FALSE())))</f>
        <v> </v>
      </c>
      <c r="R119" s="429" t="str">
        <f aca="false">IF(A119="N/A"," ",(VLOOKUP(A119,GasCurves,9,FALSE()))+IF(BMO=1,Gasbmo,IF(BMO=3,-Gasbmo,0)))</f>
        <v> </v>
      </c>
      <c r="S119" s="429" t="str">
        <f aca="false">IF(A119="N/A"," ",IF(Basischeck=TRUE(),(VLOOKUP(A119,GasCurves,IF(MONTH(A119)&gt;=4,IF(MONTH(A119)&lt;=10,11,12),12),FALSE())),0))</f>
        <v> </v>
      </c>
      <c r="T119" s="429" t="str">
        <f aca="false">IF(A119="N/A"," ",(IF(MONTH(A119)&gt;=4,IF(MONTH(A119)&lt;=10,Inputs!$H$2,Inputs!$H$3),Inputs!$H$3)))</f>
        <v> </v>
      </c>
      <c r="U119" s="430" t="str">
        <f aca="false">IF(A119="N/A"," ",(VLOOKUP($A119,InterestRatesTable,2)))</f>
        <v> </v>
      </c>
      <c r="AF119" s="384" t="n">
        <v>40057</v>
      </c>
      <c r="AG119" s="36" t="n">
        <v>21</v>
      </c>
      <c r="AH119" s="36" t="n">
        <v>4</v>
      </c>
      <c r="AI119" s="36" t="n">
        <v>5</v>
      </c>
      <c r="AJ119" s="36" t="n">
        <v>1</v>
      </c>
      <c r="AK119" s="36" t="n">
        <v>30</v>
      </c>
    </row>
    <row r="120" customFormat="false" ht="12.75" hidden="false" customHeight="false" outlineLevel="0" collapsed="false">
      <c r="A120" s="420" t="str">
        <f aca="false">Calculations!A87</f>
        <v>N/A</v>
      </c>
      <c r="B120" s="421" t="str">
        <f aca="false">IF(A120="N/A"," ",IF(ISERROR(N120),B108*Pwresc,N120)*VLOOKUP(MONTH(A120),Curveadj,3))</f>
        <v> </v>
      </c>
      <c r="C120" s="422" t="str">
        <f aca="false">IF(A120="N/A"," ",(IF(AND(MONTH(A120)&gt;=6,MONTH(A120)&lt;=8,OR($M$37="REGION 2",$M$37="REGION 2A",$M$37="REGION 2B",$M$37="REGION 3",$M$37="REGION 3A",$M$37="REGION 3B",$M$37="REGION 4",$M$37="REGION 4B",$M$37="REGION 4C",$M$37="REGION 5",$M$37="REGION 5A")),((0.059228/(B120/100))-(0.4980013/(SQRT(B120/100)))+2.137988),HLOOKUP(MONTH(A120),ScalarTable,28))))</f>
        <v> </v>
      </c>
      <c r="D120" s="423" t="str">
        <f aca="false">IF(A120="N/A"," ",C120*B120)</f>
        <v> </v>
      </c>
      <c r="E120" s="421" t="str">
        <f aca="false">IF(A120="N/A"," ",IF(ISERROR(O120),E108*Pwresc,O120)*VLOOKUP(MONTH(A120),Curveadj,3))</f>
        <v> </v>
      </c>
      <c r="F120" s="423" t="str">
        <f aca="false">IF(A120="N/A"," ",E120*C120)</f>
        <v> </v>
      </c>
      <c r="G120" s="421" t="str">
        <f aca="false">IF(A120="N/A"," ",IF(ISERROR(P120),G108*Pwresc,P120)*VLOOKUP(MONTH(A120),Curveadj,3))</f>
        <v> </v>
      </c>
      <c r="H120" s="423" t="str">
        <f aca="false">IF(A120="N/A"," ",G120*C120)</f>
        <v> </v>
      </c>
      <c r="I120" s="423" t="str">
        <f aca="false">IF(A120="N/A"," ",IF(ISERROR(Q120),I108*Pwresc,Q120))</f>
        <v> </v>
      </c>
      <c r="J120" s="424" t="str">
        <f aca="false">IF(A120="N/A"," ",K120+L120+T120)</f>
        <v> </v>
      </c>
      <c r="K120" s="425" t="str">
        <f aca="false">IF(A120="N/A"," ",IF(ISERROR(R120),K108*Gasesc,R120))</f>
        <v> </v>
      </c>
      <c r="L120" s="425" t="str">
        <f aca="false">IF(A120="N/A"," ",IF(ISERROR(S120),L108*Gasesc,IF(S120=0,L108*Gasesc,S120)))</f>
        <v> </v>
      </c>
      <c r="M120" s="431"/>
      <c r="N120" s="427" t="str">
        <f aca="false">IF(A120="N/A"," ",VLOOKUP(A120,PeakPowerCurves,(IF(BMO=2,3,IF(BMO=1,2,4))),FALSE()))</f>
        <v> </v>
      </c>
      <c r="O120" s="427" t="str">
        <f aca="false">IF(A120="N/A"," ",VLOOKUP(A120,SatSunPeakPwr,(IF(BMO=2,3,IF(BMO=1,2,4))),FALSE()))</f>
        <v> </v>
      </c>
      <c r="P120" s="427" t="str">
        <f aca="false">IF(A120="N/A"," ",VLOOKUP(A120,SatSunPeakPwr,(IF(BMO=2,7,IF(BMO=1,6,8))),FALSE()))</f>
        <v> </v>
      </c>
      <c r="Q120" s="428" t="str">
        <f aca="false">IF(A120="N/A"," ",(VLOOKUP(A120,OPPowerPrices,(IF(BMO=2,7,IF(BMO=1,6,8))),FALSE())))</f>
        <v> </v>
      </c>
      <c r="R120" s="429" t="str">
        <f aca="false">IF(A120="N/A"," ",(VLOOKUP(A120,GasCurves,9,FALSE()))+IF(BMO=1,Gasbmo,IF(BMO=3,-Gasbmo,0)))</f>
        <v> </v>
      </c>
      <c r="S120" s="429" t="str">
        <f aca="false">IF(A120="N/A"," ",IF(Basischeck=TRUE(),(VLOOKUP(A120,GasCurves,IF(MONTH(A120)&gt;=4,IF(MONTH(A120)&lt;=10,11,12),12),FALSE())),0))</f>
        <v> </v>
      </c>
      <c r="T120" s="429" t="str">
        <f aca="false">IF(A120="N/A"," ",(IF(MONTH(A120)&gt;=4,IF(MONTH(A120)&lt;=10,Inputs!$H$2,Inputs!$H$3),Inputs!$H$3)))</f>
        <v> </v>
      </c>
      <c r="U120" s="430" t="str">
        <f aca="false">IF(A120="N/A"," ",(VLOOKUP($A120,InterestRatesTable,2)))</f>
        <v> </v>
      </c>
      <c r="AF120" s="384" t="n">
        <v>40087</v>
      </c>
      <c r="AG120" s="36" t="n">
        <v>22</v>
      </c>
      <c r="AH120" s="36" t="n">
        <v>5</v>
      </c>
      <c r="AI120" s="36" t="n">
        <v>4</v>
      </c>
      <c r="AJ120" s="36" t="n">
        <v>0</v>
      </c>
      <c r="AK120" s="36" t="n">
        <v>31</v>
      </c>
    </row>
    <row r="121" customFormat="false" ht="12.75" hidden="false" customHeight="false" outlineLevel="0" collapsed="false">
      <c r="A121" s="420" t="str">
        <f aca="false">Calculations!A88</f>
        <v>N/A</v>
      </c>
      <c r="B121" s="421" t="str">
        <f aca="false">IF(A121="N/A"," ",IF(ISERROR(N121),B109*Pwresc,N121)*VLOOKUP(MONTH(A121),Curveadj,3))</f>
        <v> </v>
      </c>
      <c r="C121" s="422" t="str">
        <f aca="false">IF(A121="N/A"," ",(IF(AND(MONTH(A121)&gt;=6,MONTH(A121)&lt;=8,OR($M$37="REGION 2",$M$37="REGION 2A",$M$37="REGION 2B",$M$37="REGION 3",$M$37="REGION 3A",$M$37="REGION 3B",$M$37="REGION 4",$M$37="REGION 4B",$M$37="REGION 4C",$M$37="REGION 5",$M$37="REGION 5A")),((0.059228/(B121/100))-(0.4980013/(SQRT(B121/100)))+2.137988),HLOOKUP(MONTH(A121),ScalarTable,28))))</f>
        <v> </v>
      </c>
      <c r="D121" s="423" t="str">
        <f aca="false">IF(A121="N/A"," ",C121*B121)</f>
        <v> </v>
      </c>
      <c r="E121" s="421" t="str">
        <f aca="false">IF(A121="N/A"," ",IF(ISERROR(O121),E109*Pwresc,O121)*VLOOKUP(MONTH(A121),Curveadj,3))</f>
        <v> </v>
      </c>
      <c r="F121" s="423" t="str">
        <f aca="false">IF(A121="N/A"," ",E121*C121)</f>
        <v> </v>
      </c>
      <c r="G121" s="421" t="str">
        <f aca="false">IF(A121="N/A"," ",IF(ISERROR(P121),G109*Pwresc,P121)*VLOOKUP(MONTH(A121),Curveadj,3))</f>
        <v> </v>
      </c>
      <c r="H121" s="423" t="str">
        <f aca="false">IF(A121="N/A"," ",G121*C121)</f>
        <v> </v>
      </c>
      <c r="I121" s="423" t="str">
        <f aca="false">IF(A121="N/A"," ",IF(ISERROR(Q121),I109*Pwresc,Q121))</f>
        <v> </v>
      </c>
      <c r="J121" s="424" t="str">
        <f aca="false">IF(A121="N/A"," ",K121+L121+T121)</f>
        <v> </v>
      </c>
      <c r="K121" s="425" t="str">
        <f aca="false">IF(A121="N/A"," ",IF(ISERROR(R121),K109*Gasesc,R121))</f>
        <v> </v>
      </c>
      <c r="L121" s="425" t="str">
        <f aca="false">IF(A121="N/A"," ",IF(ISERROR(S121),L109*Gasesc,IF(S121=0,L109*Gasesc,S121)))</f>
        <v> </v>
      </c>
      <c r="M121" s="431"/>
      <c r="N121" s="427" t="str">
        <f aca="false">IF(A121="N/A"," ",VLOOKUP(A121,PeakPowerCurves,(IF(BMO=2,3,IF(BMO=1,2,4))),FALSE()))</f>
        <v> </v>
      </c>
      <c r="O121" s="427" t="str">
        <f aca="false">IF(A121="N/A"," ",VLOOKUP(A121,SatSunPeakPwr,(IF(BMO=2,3,IF(BMO=1,2,4))),FALSE()))</f>
        <v> </v>
      </c>
      <c r="P121" s="427" t="str">
        <f aca="false">IF(A121="N/A"," ",VLOOKUP(A121,SatSunPeakPwr,(IF(BMO=2,7,IF(BMO=1,6,8))),FALSE()))</f>
        <v> </v>
      </c>
      <c r="Q121" s="428" t="str">
        <f aca="false">IF(A121="N/A"," ",(VLOOKUP(A121,OPPowerPrices,(IF(BMO=2,7,IF(BMO=1,6,8))),FALSE())))</f>
        <v> </v>
      </c>
      <c r="R121" s="429" t="str">
        <f aca="false">IF(A121="N/A"," ",(VLOOKUP(A121,GasCurves,9,FALSE()))+IF(BMO=1,Gasbmo,IF(BMO=3,-Gasbmo,0)))</f>
        <v> </v>
      </c>
      <c r="S121" s="429" t="str">
        <f aca="false">IF(A121="N/A"," ",IF(Basischeck=TRUE(),(VLOOKUP(A121,GasCurves,IF(MONTH(A121)&gt;=4,IF(MONTH(A121)&lt;=10,11,12),12),FALSE())),0))</f>
        <v> </v>
      </c>
      <c r="T121" s="429" t="str">
        <f aca="false">IF(A121="N/A"," ",(IF(MONTH(A121)&gt;=4,IF(MONTH(A121)&lt;=10,Inputs!$H$2,Inputs!$H$3),Inputs!$H$3)))</f>
        <v> </v>
      </c>
      <c r="U121" s="430" t="str">
        <f aca="false">IF(A121="N/A"," ",(VLOOKUP($A121,InterestRatesTable,2)))</f>
        <v> </v>
      </c>
      <c r="AF121" s="384" t="n">
        <v>40118</v>
      </c>
      <c r="AG121" s="36" t="n">
        <v>20</v>
      </c>
      <c r="AH121" s="36" t="n">
        <v>4</v>
      </c>
      <c r="AI121" s="36" t="n">
        <v>6</v>
      </c>
      <c r="AJ121" s="36" t="n">
        <v>1</v>
      </c>
      <c r="AK121" s="36" t="n">
        <v>30</v>
      </c>
    </row>
    <row r="122" customFormat="false" ht="12.75" hidden="false" customHeight="false" outlineLevel="0" collapsed="false">
      <c r="A122" s="420" t="str">
        <f aca="false">Calculations!A89</f>
        <v>N/A</v>
      </c>
      <c r="B122" s="421" t="str">
        <f aca="false">IF(A122="N/A"," ",IF(ISERROR(N122),B110*Pwresc,N122)*VLOOKUP(MONTH(A122),Curveadj,3))</f>
        <v> </v>
      </c>
      <c r="C122" s="422" t="str">
        <f aca="false">IF(A122="N/A"," ",(IF(AND(MONTH(A122)&gt;=6,MONTH(A122)&lt;=8,OR($M$37="REGION 2",$M$37="REGION 2A",$M$37="REGION 2B",$M$37="REGION 3",$M$37="REGION 3A",$M$37="REGION 3B",$M$37="REGION 4",$M$37="REGION 4B",$M$37="REGION 4C",$M$37="REGION 5",$M$37="REGION 5A")),((0.059228/(B122/100))-(0.4980013/(SQRT(B122/100)))+2.137988),HLOOKUP(MONTH(A122),ScalarTable,28))))</f>
        <v> </v>
      </c>
      <c r="D122" s="423" t="str">
        <f aca="false">IF(A122="N/A"," ",C122*B122)</f>
        <v> </v>
      </c>
      <c r="E122" s="421" t="str">
        <f aca="false">IF(A122="N/A"," ",IF(ISERROR(O122),E110*Pwresc,O122)*VLOOKUP(MONTH(A122),Curveadj,3))</f>
        <v> </v>
      </c>
      <c r="F122" s="423" t="str">
        <f aca="false">IF(A122="N/A"," ",E122*C122)</f>
        <v> </v>
      </c>
      <c r="G122" s="421" t="str">
        <f aca="false">IF(A122="N/A"," ",IF(ISERROR(P122),G110*Pwresc,P122)*VLOOKUP(MONTH(A122),Curveadj,3))</f>
        <v> </v>
      </c>
      <c r="H122" s="423" t="str">
        <f aca="false">IF(A122="N/A"," ",G122*C122)</f>
        <v> </v>
      </c>
      <c r="I122" s="423" t="str">
        <f aca="false">IF(A122="N/A"," ",IF(ISERROR(Q122),I110*Pwresc,Q122))</f>
        <v> </v>
      </c>
      <c r="J122" s="424" t="str">
        <f aca="false">IF(A122="N/A"," ",K122+L122+T122)</f>
        <v> </v>
      </c>
      <c r="K122" s="425" t="str">
        <f aca="false">IF(A122="N/A"," ",IF(ISERROR(R122),K110*Gasesc,R122))</f>
        <v> </v>
      </c>
      <c r="L122" s="425" t="str">
        <f aca="false">IF(A122="N/A"," ",IF(ISERROR(S122),L110*Gasesc,IF(S122=0,L110*Gasesc,S122)))</f>
        <v> </v>
      </c>
      <c r="M122" s="431"/>
      <c r="N122" s="427" t="str">
        <f aca="false">IF(A122="N/A"," ",VLOOKUP(A122,PeakPowerCurves,(IF(BMO=2,3,IF(BMO=1,2,4))),FALSE()))</f>
        <v> </v>
      </c>
      <c r="O122" s="427" t="str">
        <f aca="false">IF(A122="N/A"," ",VLOOKUP(A122,SatSunPeakPwr,(IF(BMO=2,3,IF(BMO=1,2,4))),FALSE()))</f>
        <v> </v>
      </c>
      <c r="P122" s="427" t="str">
        <f aca="false">IF(A122="N/A"," ",VLOOKUP(A122,SatSunPeakPwr,(IF(BMO=2,7,IF(BMO=1,6,8))),FALSE()))</f>
        <v> </v>
      </c>
      <c r="Q122" s="428" t="str">
        <f aca="false">IF(A122="N/A"," ",(VLOOKUP(A122,OPPowerPrices,(IF(BMO=2,7,IF(BMO=1,6,8))),FALSE())))</f>
        <v> </v>
      </c>
      <c r="R122" s="429" t="str">
        <f aca="false">IF(A122="N/A"," ",(VLOOKUP(A122,GasCurves,9,FALSE()))+IF(BMO=1,Gasbmo,IF(BMO=3,-Gasbmo,0)))</f>
        <v> </v>
      </c>
      <c r="S122" s="429" t="str">
        <f aca="false">IF(A122="N/A"," ",IF(Basischeck=TRUE(),(VLOOKUP(A122,GasCurves,IF(MONTH(A122)&gt;=4,IF(MONTH(A122)&lt;=10,11,12),12),FALSE())),0))</f>
        <v> </v>
      </c>
      <c r="T122" s="429" t="str">
        <f aca="false">IF(A122="N/A"," ",(IF(MONTH(A122)&gt;=4,IF(MONTH(A122)&lt;=10,Inputs!$H$2,Inputs!$H$3),Inputs!$H$3)))</f>
        <v> </v>
      </c>
      <c r="U122" s="430" t="str">
        <f aca="false">IF(A122="N/A"," ",(VLOOKUP($A122,InterestRatesTable,2)))</f>
        <v> </v>
      </c>
      <c r="AF122" s="384" t="n">
        <v>40148</v>
      </c>
      <c r="AG122" s="36" t="n">
        <v>22</v>
      </c>
      <c r="AH122" s="36" t="n">
        <v>4</v>
      </c>
      <c r="AI122" s="36" t="n">
        <v>5</v>
      </c>
      <c r="AJ122" s="36" t="n">
        <v>1</v>
      </c>
      <c r="AK122" s="36" t="n">
        <v>31</v>
      </c>
    </row>
    <row r="123" customFormat="false" ht="12.75" hidden="false" customHeight="false" outlineLevel="0" collapsed="false">
      <c r="A123" s="420" t="str">
        <f aca="false">Calculations!A90</f>
        <v>N/A</v>
      </c>
      <c r="B123" s="421" t="str">
        <f aca="false">IF(A123="N/A"," ",IF(ISERROR(N123),B111*Pwresc,N123)*VLOOKUP(MONTH(A123),Curveadj,3))</f>
        <v> </v>
      </c>
      <c r="C123" s="422" t="str">
        <f aca="false">IF(A123="N/A"," ",(IF(AND(MONTH(A123)&gt;=6,MONTH(A123)&lt;=8,OR($M$37="REGION 2",$M$37="REGION 2A",$M$37="REGION 2B",$M$37="REGION 3",$M$37="REGION 3A",$M$37="REGION 3B",$M$37="REGION 4",$M$37="REGION 4B",$M$37="REGION 4C",$M$37="REGION 5",$M$37="REGION 5A")),((0.059228/(B123/100))-(0.4980013/(SQRT(B123/100)))+2.137988),HLOOKUP(MONTH(A123),ScalarTable,28))))</f>
        <v> </v>
      </c>
      <c r="D123" s="423" t="str">
        <f aca="false">IF(A123="N/A"," ",C123*B123)</f>
        <v> </v>
      </c>
      <c r="E123" s="421" t="str">
        <f aca="false">IF(A123="N/A"," ",IF(ISERROR(O123),E111*Pwresc,O123)*VLOOKUP(MONTH(A123),Curveadj,3))</f>
        <v> </v>
      </c>
      <c r="F123" s="423" t="str">
        <f aca="false">IF(A123="N/A"," ",E123*C123)</f>
        <v> </v>
      </c>
      <c r="G123" s="421" t="str">
        <f aca="false">IF(A123="N/A"," ",IF(ISERROR(P123),G111*Pwresc,P123)*VLOOKUP(MONTH(A123),Curveadj,3))</f>
        <v> </v>
      </c>
      <c r="H123" s="423" t="str">
        <f aca="false">IF(A123="N/A"," ",G123*C123)</f>
        <v> </v>
      </c>
      <c r="I123" s="423" t="str">
        <f aca="false">IF(A123="N/A"," ",IF(ISERROR(Q123),I111*Pwresc,Q123))</f>
        <v> </v>
      </c>
      <c r="J123" s="424" t="str">
        <f aca="false">IF(A123="N/A"," ",K123+L123+T123)</f>
        <v> </v>
      </c>
      <c r="K123" s="425" t="str">
        <f aca="false">IF(A123="N/A"," ",IF(ISERROR(R123),K111*Gasesc,R123))</f>
        <v> </v>
      </c>
      <c r="L123" s="425" t="str">
        <f aca="false">IF(A123="N/A"," ",IF(ISERROR(S123),L111*Gasesc,IF(S123=0,L111*Gasesc,S123)))</f>
        <v> </v>
      </c>
      <c r="M123" s="431"/>
      <c r="N123" s="427" t="str">
        <f aca="false">IF(A123="N/A"," ",VLOOKUP(A123,PeakPowerCurves,(IF(BMO=2,3,IF(BMO=1,2,4))),FALSE()))</f>
        <v> </v>
      </c>
      <c r="O123" s="427" t="str">
        <f aca="false">IF(A123="N/A"," ",VLOOKUP(A123,SatSunPeakPwr,(IF(BMO=2,3,IF(BMO=1,2,4))),FALSE()))</f>
        <v> </v>
      </c>
      <c r="P123" s="427" t="str">
        <f aca="false">IF(A123="N/A"," ",VLOOKUP(A123,SatSunPeakPwr,(IF(BMO=2,7,IF(BMO=1,6,8))),FALSE()))</f>
        <v> </v>
      </c>
      <c r="Q123" s="428" t="str">
        <f aca="false">IF(A123="N/A"," ",(VLOOKUP(A123,OPPowerPrices,(IF(BMO=2,7,IF(BMO=1,6,8))),FALSE())))</f>
        <v> </v>
      </c>
      <c r="R123" s="429" t="str">
        <f aca="false">IF(A123="N/A"," ",(VLOOKUP(A123,GasCurves,9,FALSE()))+IF(BMO=1,Gasbmo,IF(BMO=3,-Gasbmo,0)))</f>
        <v> </v>
      </c>
      <c r="S123" s="429" t="str">
        <f aca="false">IF(A123="N/A"," ",IF(Basischeck=TRUE(),(VLOOKUP(A123,GasCurves,IF(MONTH(A123)&gt;=4,IF(MONTH(A123)&lt;=10,11,12),12),FALSE())),0))</f>
        <v> </v>
      </c>
      <c r="T123" s="429" t="str">
        <f aca="false">IF(A123="N/A"," ",(IF(MONTH(A123)&gt;=4,IF(MONTH(A123)&lt;=10,Inputs!$H$2,Inputs!$H$3),Inputs!$H$3)))</f>
        <v> </v>
      </c>
      <c r="U123" s="430" t="str">
        <f aca="false">IF(A123="N/A"," ",(VLOOKUP($A123,InterestRatesTable,2)))</f>
        <v> </v>
      </c>
      <c r="AF123" s="384" t="n">
        <v>40179</v>
      </c>
      <c r="AG123" s="36" t="n">
        <v>20</v>
      </c>
      <c r="AH123" s="36" t="n">
        <v>5</v>
      </c>
      <c r="AI123" s="36" t="n">
        <v>6</v>
      </c>
      <c r="AJ123" s="36" t="n">
        <v>1</v>
      </c>
      <c r="AK123" s="36" t="n">
        <v>31</v>
      </c>
    </row>
    <row r="124" customFormat="false" ht="12.75" hidden="false" customHeight="false" outlineLevel="0" collapsed="false">
      <c r="A124" s="420" t="str">
        <f aca="false">Calculations!A91</f>
        <v>N/A</v>
      </c>
      <c r="B124" s="421" t="str">
        <f aca="false">IF(A124="N/A"," ",IF(ISERROR(N124),B112*Pwresc,N124)*VLOOKUP(MONTH(A124),Curveadj,3))</f>
        <v> </v>
      </c>
      <c r="C124" s="422" t="str">
        <f aca="false">IF(A124="N/A"," ",(IF(AND(MONTH(A124)&gt;=6,MONTH(A124)&lt;=8,OR($M$37="REGION 2",$M$37="REGION 2A",$M$37="REGION 2B",$M$37="REGION 3",$M$37="REGION 3A",$M$37="REGION 3B",$M$37="REGION 4",$M$37="REGION 4B",$M$37="REGION 4C",$M$37="REGION 5",$M$37="REGION 5A")),((0.059228/(B124/100))-(0.4980013/(SQRT(B124/100)))+2.137988),HLOOKUP(MONTH(A124),ScalarTable,28))))</f>
        <v> </v>
      </c>
      <c r="D124" s="423" t="str">
        <f aca="false">IF(A124="N/A"," ",C124*B124)</f>
        <v> </v>
      </c>
      <c r="E124" s="421" t="str">
        <f aca="false">IF(A124="N/A"," ",IF(ISERROR(O124),E112*Pwresc,O124)*VLOOKUP(MONTH(A124),Curveadj,3))</f>
        <v> </v>
      </c>
      <c r="F124" s="423" t="str">
        <f aca="false">IF(A124="N/A"," ",E124*C124)</f>
        <v> </v>
      </c>
      <c r="G124" s="421" t="str">
        <f aca="false">IF(A124="N/A"," ",IF(ISERROR(P124),G112*Pwresc,P124)*VLOOKUP(MONTH(A124),Curveadj,3))</f>
        <v> </v>
      </c>
      <c r="H124" s="423" t="str">
        <f aca="false">IF(A124="N/A"," ",G124*C124)</f>
        <v> </v>
      </c>
      <c r="I124" s="423" t="str">
        <f aca="false">IF(A124="N/A"," ",IF(ISERROR(Q124),I112*Pwresc,Q124))</f>
        <v> </v>
      </c>
      <c r="J124" s="424" t="str">
        <f aca="false">IF(A124="N/A"," ",K124+L124+T124)</f>
        <v> </v>
      </c>
      <c r="K124" s="425" t="str">
        <f aca="false">IF(A124="N/A"," ",IF(ISERROR(R124),K112*Gasesc,R124))</f>
        <v> </v>
      </c>
      <c r="L124" s="425" t="str">
        <f aca="false">IF(A124="N/A"," ",IF(ISERROR(S124),L112*Gasesc,IF(S124=0,L112*Gasesc,S124)))</f>
        <v> </v>
      </c>
      <c r="M124" s="431"/>
      <c r="N124" s="427" t="str">
        <f aca="false">IF(A124="N/A"," ",VLOOKUP(A124,PeakPowerCurves,(IF(BMO=2,3,IF(BMO=1,2,4))),FALSE()))</f>
        <v> </v>
      </c>
      <c r="O124" s="427" t="str">
        <f aca="false">IF(A124="N/A"," ",VLOOKUP(A124,SatSunPeakPwr,(IF(BMO=2,3,IF(BMO=1,2,4))),FALSE()))</f>
        <v> </v>
      </c>
      <c r="P124" s="427" t="str">
        <f aca="false">IF(A124="N/A"," ",VLOOKUP(A124,SatSunPeakPwr,(IF(BMO=2,7,IF(BMO=1,6,8))),FALSE()))</f>
        <v> </v>
      </c>
      <c r="Q124" s="428" t="str">
        <f aca="false">IF(A124="N/A"," ",(VLOOKUP(A124,OPPowerPrices,(IF(BMO=2,7,IF(BMO=1,6,8))),FALSE())))</f>
        <v> </v>
      </c>
      <c r="R124" s="429" t="str">
        <f aca="false">IF(A124="N/A"," ",(VLOOKUP(A124,GasCurves,9,FALSE()))+IF(BMO=1,Gasbmo,IF(BMO=3,-Gasbmo,0)))</f>
        <v> </v>
      </c>
      <c r="S124" s="429" t="str">
        <f aca="false">IF(A124="N/A"," ",IF(Basischeck=TRUE(),(VLOOKUP(A124,GasCurves,IF(MONTH(A124)&gt;=4,IF(MONTH(A124)&lt;=10,11,12),12),FALSE())),0))</f>
        <v> </v>
      </c>
      <c r="T124" s="429" t="str">
        <f aca="false">IF(A124="N/A"," ",(IF(MONTH(A124)&gt;=4,IF(MONTH(A124)&lt;=10,Inputs!$H$2,Inputs!$H$3),Inputs!$H$3)))</f>
        <v> </v>
      </c>
      <c r="U124" s="430" t="str">
        <f aca="false">IF(A124="N/A"," ",(VLOOKUP($A124,InterestRatesTable,2)))</f>
        <v> </v>
      </c>
      <c r="AF124" s="384" t="n">
        <v>40210</v>
      </c>
      <c r="AG124" s="36" t="n">
        <v>20</v>
      </c>
      <c r="AH124" s="36" t="n">
        <v>4</v>
      </c>
      <c r="AI124" s="36" t="n">
        <v>4</v>
      </c>
      <c r="AJ124" s="36" t="n">
        <v>0</v>
      </c>
      <c r="AK124" s="36" t="n">
        <v>28</v>
      </c>
    </row>
    <row r="125" customFormat="false" ht="12.75" hidden="false" customHeight="false" outlineLevel="0" collapsed="false">
      <c r="A125" s="420" t="str">
        <f aca="false">Calculations!A92</f>
        <v>N/A</v>
      </c>
      <c r="B125" s="421" t="str">
        <f aca="false">IF(A125="N/A"," ",IF(ISERROR(N125),B113*Pwresc,N125)*VLOOKUP(MONTH(A125),Curveadj,3))</f>
        <v> </v>
      </c>
      <c r="C125" s="422" t="str">
        <f aca="false">IF(A125="N/A"," ",(IF(AND(MONTH(A125)&gt;=6,MONTH(A125)&lt;=8,OR($M$37="REGION 2",$M$37="REGION 2A",$M$37="REGION 2B",$M$37="REGION 3",$M$37="REGION 3A",$M$37="REGION 3B",$M$37="REGION 4",$M$37="REGION 4B",$M$37="REGION 4C",$M$37="REGION 5",$M$37="REGION 5A")),((0.059228/(B125/100))-(0.4980013/(SQRT(B125/100)))+2.137988),HLOOKUP(MONTH(A125),ScalarTable,28))))</f>
        <v> </v>
      </c>
      <c r="D125" s="423" t="str">
        <f aca="false">IF(A125="N/A"," ",C125*B125)</f>
        <v> </v>
      </c>
      <c r="E125" s="421" t="str">
        <f aca="false">IF(A125="N/A"," ",IF(ISERROR(O125),E113*Pwresc,O125)*VLOOKUP(MONTH(A125),Curveadj,3))</f>
        <v> </v>
      </c>
      <c r="F125" s="423" t="str">
        <f aca="false">IF(A125="N/A"," ",E125*C125)</f>
        <v> </v>
      </c>
      <c r="G125" s="421" t="str">
        <f aca="false">IF(A125="N/A"," ",IF(ISERROR(P125),G113*Pwresc,P125)*VLOOKUP(MONTH(A125),Curveadj,3))</f>
        <v> </v>
      </c>
      <c r="H125" s="423" t="str">
        <f aca="false">IF(A125="N/A"," ",G125*C125)</f>
        <v> </v>
      </c>
      <c r="I125" s="423" t="str">
        <f aca="false">IF(A125="N/A"," ",IF(ISERROR(Q125),I113*Pwresc,Q125))</f>
        <v> </v>
      </c>
      <c r="J125" s="424" t="str">
        <f aca="false">IF(A125="N/A"," ",K125+L125+T125)</f>
        <v> </v>
      </c>
      <c r="K125" s="425" t="str">
        <f aca="false">IF(A125="N/A"," ",IF(ISERROR(R125),K113*Gasesc,R125))</f>
        <v> </v>
      </c>
      <c r="L125" s="425" t="str">
        <f aca="false">IF(A125="N/A"," ",IF(ISERROR(S125),L113*Gasesc,IF(S125=0,L113*Gasesc,S125)))</f>
        <v> </v>
      </c>
      <c r="M125" s="431"/>
      <c r="N125" s="427" t="str">
        <f aca="false">IF(A125="N/A"," ",VLOOKUP(A125,PeakPowerCurves,(IF(BMO=2,3,IF(BMO=1,2,4))),FALSE()))</f>
        <v> </v>
      </c>
      <c r="O125" s="427" t="str">
        <f aca="false">IF(A125="N/A"," ",VLOOKUP(A125,SatSunPeakPwr,(IF(BMO=2,3,IF(BMO=1,2,4))),FALSE()))</f>
        <v> </v>
      </c>
      <c r="P125" s="427" t="str">
        <f aca="false">IF(A125="N/A"," ",VLOOKUP(A125,SatSunPeakPwr,(IF(BMO=2,7,IF(BMO=1,6,8))),FALSE()))</f>
        <v> </v>
      </c>
      <c r="Q125" s="428" t="str">
        <f aca="false">IF(A125="N/A"," ",(VLOOKUP(A125,OPPowerPrices,(IF(BMO=2,7,IF(BMO=1,6,8))),FALSE())))</f>
        <v> </v>
      </c>
      <c r="R125" s="429" t="str">
        <f aca="false">IF(A125="N/A"," ",(VLOOKUP(A125,GasCurves,9,FALSE()))+IF(BMO=1,Gasbmo,IF(BMO=3,-Gasbmo,0)))</f>
        <v> </v>
      </c>
      <c r="S125" s="429" t="str">
        <f aca="false">IF(A125="N/A"," ",IF(Basischeck=TRUE(),(VLOOKUP(A125,GasCurves,IF(MONTH(A125)&gt;=4,IF(MONTH(A125)&lt;=10,11,12),12),FALSE())),0))</f>
        <v> </v>
      </c>
      <c r="T125" s="429" t="str">
        <f aca="false">IF(A125="N/A"," ",(IF(MONTH(A125)&gt;=4,IF(MONTH(A125)&lt;=10,Inputs!$H$2,Inputs!$H$3),Inputs!$H$3)))</f>
        <v> </v>
      </c>
      <c r="U125" s="430" t="str">
        <f aca="false">IF(A125="N/A"," ",(VLOOKUP($A125,InterestRatesTable,2)))</f>
        <v> </v>
      </c>
      <c r="AF125" s="384" t="n">
        <v>40238</v>
      </c>
      <c r="AG125" s="36" t="n">
        <v>23</v>
      </c>
      <c r="AH125" s="36" t="n">
        <v>4</v>
      </c>
      <c r="AI125" s="36" t="n">
        <v>4</v>
      </c>
      <c r="AJ125" s="36" t="n">
        <v>0</v>
      </c>
      <c r="AK125" s="36" t="n">
        <v>31</v>
      </c>
    </row>
    <row r="126" customFormat="false" ht="12.75" hidden="false" customHeight="false" outlineLevel="0" collapsed="false">
      <c r="A126" s="420" t="str">
        <f aca="false">Calculations!A93</f>
        <v>N/A</v>
      </c>
      <c r="B126" s="421" t="str">
        <f aca="false">IF(A126="N/A"," ",IF(ISERROR(N126),B114*Pwresc,N126)*VLOOKUP(MONTH(A126),Curveadj,3))</f>
        <v> </v>
      </c>
      <c r="C126" s="422" t="str">
        <f aca="false">IF(A126="N/A"," ",(IF(AND(MONTH(A126)&gt;=6,MONTH(A126)&lt;=8,OR($M$37="REGION 2",$M$37="REGION 2A",$M$37="REGION 2B",$M$37="REGION 3",$M$37="REGION 3A",$M$37="REGION 3B",$M$37="REGION 4",$M$37="REGION 4B",$M$37="REGION 4C",$M$37="REGION 5",$M$37="REGION 5A")),((0.059228/(B126/100))-(0.4980013/(SQRT(B126/100)))+2.137988),HLOOKUP(MONTH(A126),ScalarTable,28))))</f>
        <v> </v>
      </c>
      <c r="D126" s="423" t="str">
        <f aca="false">IF(A126="N/A"," ",C126*B126)</f>
        <v> </v>
      </c>
      <c r="E126" s="421" t="str">
        <f aca="false">IF(A126="N/A"," ",IF(ISERROR(O126),E114*Pwresc,O126)*VLOOKUP(MONTH(A126),Curveadj,3))</f>
        <v> </v>
      </c>
      <c r="F126" s="423" t="str">
        <f aca="false">IF(A126="N/A"," ",E126*C126)</f>
        <v> </v>
      </c>
      <c r="G126" s="421" t="str">
        <f aca="false">IF(A126="N/A"," ",IF(ISERROR(P126),G114*Pwresc,P126)*VLOOKUP(MONTH(A126),Curveadj,3))</f>
        <v> </v>
      </c>
      <c r="H126" s="423" t="str">
        <f aca="false">IF(A126="N/A"," ",G126*C126)</f>
        <v> </v>
      </c>
      <c r="I126" s="423" t="str">
        <f aca="false">IF(A126="N/A"," ",IF(ISERROR(Q126),I114*Pwresc,Q126))</f>
        <v> </v>
      </c>
      <c r="J126" s="424" t="str">
        <f aca="false">IF(A126="N/A"," ",K126+L126+T126)</f>
        <v> </v>
      </c>
      <c r="K126" s="425" t="str">
        <f aca="false">IF(A126="N/A"," ",IF(ISERROR(R126),K114*Gasesc,R126))</f>
        <v> </v>
      </c>
      <c r="L126" s="425" t="str">
        <f aca="false">IF(A126="N/A"," ",IF(ISERROR(S126),L114*Gasesc,IF(S126=0,L114*Gasesc,S126)))</f>
        <v> </v>
      </c>
      <c r="M126" s="431"/>
      <c r="N126" s="427" t="str">
        <f aca="false">IF(A126="N/A"," ",VLOOKUP(A126,PeakPowerCurves,(IF(BMO=2,3,IF(BMO=1,2,4))),FALSE()))</f>
        <v> </v>
      </c>
      <c r="O126" s="427" t="str">
        <f aca="false">IF(A126="N/A"," ",VLOOKUP(A126,SatSunPeakPwr,(IF(BMO=2,3,IF(BMO=1,2,4))),FALSE()))</f>
        <v> </v>
      </c>
      <c r="P126" s="427" t="str">
        <f aca="false">IF(A126="N/A"," ",VLOOKUP(A126,SatSunPeakPwr,(IF(BMO=2,7,IF(BMO=1,6,8))),FALSE()))</f>
        <v> </v>
      </c>
      <c r="Q126" s="428" t="str">
        <f aca="false">IF(A126="N/A"," ",(VLOOKUP(A126,OPPowerPrices,(IF(BMO=2,7,IF(BMO=1,6,8))),FALSE())))</f>
        <v> </v>
      </c>
      <c r="R126" s="429" t="str">
        <f aca="false">IF(A126="N/A"," ",(VLOOKUP(A126,GasCurves,9,FALSE()))+IF(BMO=1,Gasbmo,IF(BMO=3,-Gasbmo,0)))</f>
        <v> </v>
      </c>
      <c r="S126" s="429" t="str">
        <f aca="false">IF(A126="N/A"," ",IF(Basischeck=TRUE(),(VLOOKUP(A126,GasCurves,IF(MONTH(A126)&gt;=4,IF(MONTH(A126)&lt;=10,11,12),12),FALSE())),0))</f>
        <v> </v>
      </c>
      <c r="T126" s="429" t="str">
        <f aca="false">IF(A126="N/A"," ",(IF(MONTH(A126)&gt;=4,IF(MONTH(A126)&lt;=10,Inputs!$H$2,Inputs!$H$3),Inputs!$H$3)))</f>
        <v> </v>
      </c>
      <c r="U126" s="430" t="str">
        <f aca="false">IF(A126="N/A"," ",(VLOOKUP($A126,InterestRatesTable,2)))</f>
        <v> </v>
      </c>
      <c r="AF126" s="384" t="n">
        <v>40269</v>
      </c>
      <c r="AG126" s="36" t="n">
        <v>22</v>
      </c>
      <c r="AH126" s="36" t="n">
        <v>4</v>
      </c>
      <c r="AI126" s="36" t="n">
        <v>4</v>
      </c>
      <c r="AJ126" s="36" t="n">
        <v>0</v>
      </c>
      <c r="AK126" s="36" t="n">
        <v>30</v>
      </c>
    </row>
    <row r="127" customFormat="false" ht="12.75" hidden="false" customHeight="false" outlineLevel="0" collapsed="false">
      <c r="A127" s="420" t="str">
        <f aca="false">Calculations!A94</f>
        <v>N/A</v>
      </c>
      <c r="B127" s="421" t="str">
        <f aca="false">IF(A127="N/A"," ",IF(ISERROR(N127),B115*Pwresc,N127)*VLOOKUP(MONTH(A127),Curveadj,3))</f>
        <v> </v>
      </c>
      <c r="C127" s="422" t="str">
        <f aca="false">IF(A127="N/A"," ",(IF(AND(MONTH(A127)&gt;=6,MONTH(A127)&lt;=8,OR($M$37="REGION 2",$M$37="REGION 2A",$M$37="REGION 2B",$M$37="REGION 3",$M$37="REGION 3A",$M$37="REGION 3B",$M$37="REGION 4",$M$37="REGION 4B",$M$37="REGION 4C",$M$37="REGION 5",$M$37="REGION 5A")),((0.059228/(B127/100))-(0.4980013/(SQRT(B127/100)))+2.137988),HLOOKUP(MONTH(A127),ScalarTable,28))))</f>
        <v> </v>
      </c>
      <c r="D127" s="423" t="str">
        <f aca="false">IF(A127="N/A"," ",C127*B127)</f>
        <v> </v>
      </c>
      <c r="E127" s="421" t="str">
        <f aca="false">IF(A127="N/A"," ",IF(ISERROR(O127),E115*Pwresc,O127)*VLOOKUP(MONTH(A127),Curveadj,3))</f>
        <v> </v>
      </c>
      <c r="F127" s="423" t="str">
        <f aca="false">IF(A127="N/A"," ",E127*C127)</f>
        <v> </v>
      </c>
      <c r="G127" s="421" t="str">
        <f aca="false">IF(A127="N/A"," ",IF(ISERROR(P127),G115*Pwresc,P127)*VLOOKUP(MONTH(A127),Curveadj,3))</f>
        <v> </v>
      </c>
      <c r="H127" s="423" t="str">
        <f aca="false">IF(A127="N/A"," ",G127*C127)</f>
        <v> </v>
      </c>
      <c r="I127" s="423" t="str">
        <f aca="false">IF(A127="N/A"," ",IF(ISERROR(Q127),I115*Pwresc,Q127))</f>
        <v> </v>
      </c>
      <c r="J127" s="424" t="str">
        <f aca="false">IF(A127="N/A"," ",K127+L127+T127)</f>
        <v> </v>
      </c>
      <c r="K127" s="425" t="str">
        <f aca="false">IF(A127="N/A"," ",IF(ISERROR(R127),K115*Gasesc,R127))</f>
        <v> </v>
      </c>
      <c r="L127" s="425" t="str">
        <f aca="false">IF(A127="N/A"," ",IF(ISERROR(S127),L115*Gasesc,IF(S127=0,L115*Gasesc,S127)))</f>
        <v> </v>
      </c>
      <c r="M127" s="431"/>
      <c r="N127" s="427" t="str">
        <f aca="false">IF(A127="N/A"," ",VLOOKUP(A127,PeakPowerCurves,(IF(BMO=2,3,IF(BMO=1,2,4))),FALSE()))</f>
        <v> </v>
      </c>
      <c r="O127" s="427" t="str">
        <f aca="false">IF(A127="N/A"," ",VLOOKUP(A127,SatSunPeakPwr,(IF(BMO=2,3,IF(BMO=1,2,4))),FALSE()))</f>
        <v> </v>
      </c>
      <c r="P127" s="427" t="str">
        <f aca="false">IF(A127="N/A"," ",VLOOKUP(A127,SatSunPeakPwr,(IF(BMO=2,7,IF(BMO=1,6,8))),FALSE()))</f>
        <v> </v>
      </c>
      <c r="Q127" s="428" t="str">
        <f aca="false">IF(A127="N/A"," ",(VLOOKUP(A127,OPPowerPrices,(IF(BMO=2,7,IF(BMO=1,6,8))),FALSE())))</f>
        <v> </v>
      </c>
      <c r="R127" s="429" t="str">
        <f aca="false">IF(A127="N/A"," ",(VLOOKUP(A127,GasCurves,9,FALSE()))+IF(BMO=1,Gasbmo,IF(BMO=3,-Gasbmo,0)))</f>
        <v> </v>
      </c>
      <c r="S127" s="429" t="str">
        <f aca="false">IF(A127="N/A"," ",IF(Basischeck=TRUE(),(VLOOKUP(A127,GasCurves,IF(MONTH(A127)&gt;=4,IF(MONTH(A127)&lt;=10,11,12),12),FALSE())),0))</f>
        <v> </v>
      </c>
      <c r="T127" s="429" t="str">
        <f aca="false">IF(A127="N/A"," ",(IF(MONTH(A127)&gt;=4,IF(MONTH(A127)&lt;=10,Inputs!$H$2,Inputs!$H$3),Inputs!$H$3)))</f>
        <v> </v>
      </c>
      <c r="U127" s="430" t="str">
        <f aca="false">IF(A127="N/A"," ",(VLOOKUP($A127,InterestRatesTable,2)))</f>
        <v> </v>
      </c>
      <c r="AF127" s="384" t="n">
        <v>40299</v>
      </c>
      <c r="AG127" s="36" t="n">
        <v>20</v>
      </c>
      <c r="AH127" s="36" t="n">
        <v>5</v>
      </c>
      <c r="AI127" s="36" t="n">
        <v>6</v>
      </c>
      <c r="AJ127" s="36" t="n">
        <v>1</v>
      </c>
      <c r="AK127" s="36" t="n">
        <v>31</v>
      </c>
    </row>
    <row r="128" customFormat="false" ht="12.75" hidden="false" customHeight="false" outlineLevel="0" collapsed="false">
      <c r="A128" s="420" t="str">
        <f aca="false">Calculations!A95</f>
        <v>N/A</v>
      </c>
      <c r="B128" s="421" t="str">
        <f aca="false">IF(A128="N/A"," ",IF(ISERROR(N128),B116*Pwresc,N128)*VLOOKUP(MONTH(A128),Curveadj,3))</f>
        <v> </v>
      </c>
      <c r="C128" s="422" t="str">
        <f aca="false">IF(A128="N/A"," ",(IF(AND(MONTH(A128)&gt;=6,MONTH(A128)&lt;=8,OR($M$37="REGION 2",$M$37="REGION 2A",$M$37="REGION 2B",$M$37="REGION 3",$M$37="REGION 3A",$M$37="REGION 3B",$M$37="REGION 4",$M$37="REGION 4B",$M$37="REGION 4C",$M$37="REGION 5",$M$37="REGION 5A")),((0.059228/(B128/100))-(0.4980013/(SQRT(B128/100)))+2.137988),HLOOKUP(MONTH(A128),ScalarTable,28))))</f>
        <v> </v>
      </c>
      <c r="D128" s="423" t="str">
        <f aca="false">IF(A128="N/A"," ",C128*B128)</f>
        <v> </v>
      </c>
      <c r="E128" s="421" t="str">
        <f aca="false">IF(A128="N/A"," ",IF(ISERROR(O128),E116*Pwresc,O128)*VLOOKUP(MONTH(A128),Curveadj,3))</f>
        <v> </v>
      </c>
      <c r="F128" s="423" t="str">
        <f aca="false">IF(A128="N/A"," ",E128*C128)</f>
        <v> </v>
      </c>
      <c r="G128" s="421" t="str">
        <f aca="false">IF(A128="N/A"," ",IF(ISERROR(P128),G116*Pwresc,P128)*VLOOKUP(MONTH(A128),Curveadj,3))</f>
        <v> </v>
      </c>
      <c r="H128" s="423" t="str">
        <f aca="false">IF(A128="N/A"," ",G128*C128)</f>
        <v> </v>
      </c>
      <c r="I128" s="423" t="str">
        <f aca="false">IF(A128="N/A"," ",IF(ISERROR(Q128),I116*Pwresc,Q128))</f>
        <v> </v>
      </c>
      <c r="J128" s="424" t="str">
        <f aca="false">IF(A128="N/A"," ",K128+L128+T128)</f>
        <v> </v>
      </c>
      <c r="K128" s="425" t="str">
        <f aca="false">IF(A128="N/A"," ",IF(ISERROR(R128),K116*Gasesc,R128))</f>
        <v> </v>
      </c>
      <c r="L128" s="425" t="str">
        <f aca="false">IF(A128="N/A"," ",IF(ISERROR(S128),L116*Gasesc,IF(S128=0,L116*Gasesc,S128)))</f>
        <v> </v>
      </c>
      <c r="M128" s="431"/>
      <c r="N128" s="427" t="str">
        <f aca="false">IF(A128="N/A"," ",VLOOKUP(A128,PeakPowerCurves,(IF(BMO=2,3,IF(BMO=1,2,4))),FALSE()))</f>
        <v> </v>
      </c>
      <c r="O128" s="427" t="str">
        <f aca="false">IF(A128="N/A"," ",VLOOKUP(A128,SatSunPeakPwr,(IF(BMO=2,3,IF(BMO=1,2,4))),FALSE()))</f>
        <v> </v>
      </c>
      <c r="P128" s="427" t="str">
        <f aca="false">IF(A128="N/A"," ",VLOOKUP(A128,SatSunPeakPwr,(IF(BMO=2,7,IF(BMO=1,6,8))),FALSE()))</f>
        <v> </v>
      </c>
      <c r="Q128" s="428" t="str">
        <f aca="false">IF(A128="N/A"," ",(VLOOKUP(A128,OPPowerPrices,(IF(BMO=2,7,IF(BMO=1,6,8))),FALSE())))</f>
        <v> </v>
      </c>
      <c r="R128" s="429" t="str">
        <f aca="false">IF(A128="N/A"," ",(VLOOKUP(A128,GasCurves,9,FALSE()))+IF(BMO=1,Gasbmo,IF(BMO=3,-Gasbmo,0)))</f>
        <v> </v>
      </c>
      <c r="S128" s="429" t="str">
        <f aca="false">IF(A128="N/A"," ",IF(Basischeck=TRUE(),(VLOOKUP(A128,GasCurves,IF(MONTH(A128)&gt;=4,IF(MONTH(A128)&lt;=10,11,12),12),FALSE())),0))</f>
        <v> </v>
      </c>
      <c r="T128" s="429" t="str">
        <f aca="false">IF(A128="N/A"," ",(IF(MONTH(A128)&gt;=4,IF(MONTH(A128)&lt;=10,Inputs!$H$2,Inputs!$H$3),Inputs!$H$3)))</f>
        <v> </v>
      </c>
      <c r="U128" s="430" t="str">
        <f aca="false">IF(A128="N/A"," ",(VLOOKUP($A128,InterestRatesTable,2)))</f>
        <v> </v>
      </c>
      <c r="AF128" s="384" t="n">
        <v>40330</v>
      </c>
      <c r="AG128" s="36" t="n">
        <v>22</v>
      </c>
      <c r="AH128" s="36" t="n">
        <v>4</v>
      </c>
      <c r="AI128" s="36" t="n">
        <v>4</v>
      </c>
      <c r="AJ128" s="36" t="n">
        <v>0</v>
      </c>
      <c r="AK128" s="36" t="n">
        <v>30</v>
      </c>
    </row>
    <row r="129" customFormat="false" ht="12.75" hidden="false" customHeight="false" outlineLevel="0" collapsed="false">
      <c r="A129" s="420" t="str">
        <f aca="false">Calculations!A96</f>
        <v>N/A</v>
      </c>
      <c r="B129" s="421" t="str">
        <f aca="false">IF(A129="N/A"," ",IF(ISERROR(N129),B117*Pwresc,N129)*VLOOKUP(MONTH(A129),Curveadj,3))</f>
        <v> </v>
      </c>
      <c r="C129" s="422" t="str">
        <f aca="false">IF(A129="N/A"," ",(IF(AND(MONTH(A129)&gt;=6,MONTH(A129)&lt;=8,OR($M$37="REGION 2",$M$37="REGION 2A",$M$37="REGION 2B",$M$37="REGION 3",$M$37="REGION 3A",$M$37="REGION 3B",$M$37="REGION 4",$M$37="REGION 4B",$M$37="REGION 4C",$M$37="REGION 5",$M$37="REGION 5A")),((0.059228/(B129/100))-(0.4980013/(SQRT(B129/100)))+2.137988),HLOOKUP(MONTH(A129),ScalarTable,28))))</f>
        <v> </v>
      </c>
      <c r="D129" s="423" t="str">
        <f aca="false">IF(A129="N/A"," ",C129*B129)</f>
        <v> </v>
      </c>
      <c r="E129" s="421" t="str">
        <f aca="false">IF(A129="N/A"," ",IF(ISERROR(O129),E117*Pwresc,O129)*VLOOKUP(MONTH(A129),Curveadj,3))</f>
        <v> </v>
      </c>
      <c r="F129" s="423" t="str">
        <f aca="false">IF(A129="N/A"," ",E129*C129)</f>
        <v> </v>
      </c>
      <c r="G129" s="421" t="str">
        <f aca="false">IF(A129="N/A"," ",IF(ISERROR(P129),G117*Pwresc,P129)*VLOOKUP(MONTH(A129),Curveadj,3))</f>
        <v> </v>
      </c>
      <c r="H129" s="423" t="str">
        <f aca="false">IF(A129="N/A"," ",G129*C129)</f>
        <v> </v>
      </c>
      <c r="I129" s="423" t="str">
        <f aca="false">IF(A129="N/A"," ",IF(ISERROR(Q129),I117*Pwresc,Q129))</f>
        <v> </v>
      </c>
      <c r="J129" s="424" t="str">
        <f aca="false">IF(A129="N/A"," ",K129+L129+T129)</f>
        <v> </v>
      </c>
      <c r="K129" s="425" t="str">
        <f aca="false">IF(A129="N/A"," ",IF(ISERROR(R129),K117*Gasesc,R129))</f>
        <v> </v>
      </c>
      <c r="L129" s="425" t="str">
        <f aca="false">IF(A129="N/A"," ",IF(ISERROR(S129),L117*Gasesc,IF(S129=0,L117*Gasesc,S129)))</f>
        <v> </v>
      </c>
      <c r="M129" s="431"/>
      <c r="N129" s="427" t="str">
        <f aca="false">IF(A129="N/A"," ",VLOOKUP(A129,PeakPowerCurves,(IF(BMO=2,3,IF(BMO=1,2,4))),FALSE()))</f>
        <v> </v>
      </c>
      <c r="O129" s="427" t="str">
        <f aca="false">IF(A129="N/A"," ",VLOOKUP(A129,SatSunPeakPwr,(IF(BMO=2,3,IF(BMO=1,2,4))),FALSE()))</f>
        <v> </v>
      </c>
      <c r="P129" s="427" t="str">
        <f aca="false">IF(A129="N/A"," ",VLOOKUP(A129,SatSunPeakPwr,(IF(BMO=2,7,IF(BMO=1,6,8))),FALSE()))</f>
        <v> </v>
      </c>
      <c r="Q129" s="428" t="str">
        <f aca="false">IF(A129="N/A"," ",(VLOOKUP(A129,OPPowerPrices,(IF(BMO=2,7,IF(BMO=1,6,8))),FALSE())))</f>
        <v> </v>
      </c>
      <c r="R129" s="429" t="str">
        <f aca="false">IF(A129="N/A"," ",(VLOOKUP(A129,GasCurves,9,FALSE()))+IF(BMO=1,Gasbmo,IF(BMO=3,-Gasbmo,0)))</f>
        <v> </v>
      </c>
      <c r="S129" s="429" t="str">
        <f aca="false">IF(A129="N/A"," ",IF(Basischeck=TRUE(),(VLOOKUP(A129,GasCurves,IF(MONTH(A129)&gt;=4,IF(MONTH(A129)&lt;=10,11,12),12),FALSE())),0))</f>
        <v> </v>
      </c>
      <c r="T129" s="429" t="str">
        <f aca="false">IF(A129="N/A"," ",(IF(MONTH(A129)&gt;=4,IF(MONTH(A129)&lt;=10,Inputs!$H$2,Inputs!$H$3),Inputs!$H$3)))</f>
        <v> </v>
      </c>
      <c r="U129" s="430" t="str">
        <f aca="false">IF(A129="N/A"," ",(VLOOKUP($A129,InterestRatesTable,2)))</f>
        <v> </v>
      </c>
      <c r="AF129" s="384" t="n">
        <v>40360</v>
      </c>
      <c r="AG129" s="36" t="n">
        <v>21</v>
      </c>
      <c r="AH129" s="36" t="n">
        <v>5</v>
      </c>
      <c r="AI129" s="36" t="n">
        <v>5</v>
      </c>
      <c r="AJ129" s="36" t="n">
        <v>1</v>
      </c>
      <c r="AK129" s="36" t="n">
        <v>31</v>
      </c>
    </row>
    <row r="130" customFormat="false" ht="12.75" hidden="false" customHeight="false" outlineLevel="0" collapsed="false">
      <c r="A130" s="420" t="str">
        <f aca="false">Calculations!A97</f>
        <v>N/A</v>
      </c>
      <c r="B130" s="421" t="str">
        <f aca="false">IF(A130="N/A"," ",IF(ISERROR(N130),B118*Pwresc,N130)*VLOOKUP(MONTH(A130),Curveadj,3))</f>
        <v> </v>
      </c>
      <c r="C130" s="422" t="str">
        <f aca="false">IF(A130="N/A"," ",(IF(AND(MONTH(A130)&gt;=6,MONTH(A130)&lt;=8,OR($M$37="REGION 2",$M$37="REGION 2A",$M$37="REGION 2B",$M$37="REGION 3",$M$37="REGION 3A",$M$37="REGION 3B",$M$37="REGION 4",$M$37="REGION 4B",$M$37="REGION 4C",$M$37="REGION 5",$M$37="REGION 5A")),((0.059228/(B130/100))-(0.4980013/(SQRT(B130/100)))+2.137988),HLOOKUP(MONTH(A130),ScalarTable,28))))</f>
        <v> </v>
      </c>
      <c r="D130" s="423" t="str">
        <f aca="false">IF(A130="N/A"," ",C130*B130)</f>
        <v> </v>
      </c>
      <c r="E130" s="421" t="str">
        <f aca="false">IF(A130="N/A"," ",IF(ISERROR(O130),E118*Pwresc,O130)*VLOOKUP(MONTH(A130),Curveadj,3))</f>
        <v> </v>
      </c>
      <c r="F130" s="423" t="str">
        <f aca="false">IF(A130="N/A"," ",E130*C130)</f>
        <v> </v>
      </c>
      <c r="G130" s="421" t="str">
        <f aca="false">IF(A130="N/A"," ",IF(ISERROR(P130),G118*Pwresc,P130)*VLOOKUP(MONTH(A130),Curveadj,3))</f>
        <v> </v>
      </c>
      <c r="H130" s="423" t="str">
        <f aca="false">IF(A130="N/A"," ",G130*C130)</f>
        <v> </v>
      </c>
      <c r="I130" s="423" t="str">
        <f aca="false">IF(A130="N/A"," ",IF(ISERROR(Q130),I118*Pwresc,Q130))</f>
        <v> </v>
      </c>
      <c r="J130" s="424" t="str">
        <f aca="false">IF(A130="N/A"," ",K130+L130+T130)</f>
        <v> </v>
      </c>
      <c r="K130" s="425" t="str">
        <f aca="false">IF(A130="N/A"," ",IF(ISERROR(R130),K118*Gasesc,R130))</f>
        <v> </v>
      </c>
      <c r="L130" s="425" t="str">
        <f aca="false">IF(A130="N/A"," ",IF(ISERROR(S130),L118*Gasesc,IF(S130=0,L118*Gasesc,S130)))</f>
        <v> </v>
      </c>
      <c r="M130" s="431"/>
      <c r="N130" s="427" t="str">
        <f aca="false">IF(A130="N/A"," ",VLOOKUP(A130,PeakPowerCurves,(IF(BMO=2,3,IF(BMO=1,2,4))),FALSE()))</f>
        <v> </v>
      </c>
      <c r="O130" s="427" t="str">
        <f aca="false">IF(A130="N/A"," ",VLOOKUP(A130,SatSunPeakPwr,(IF(BMO=2,3,IF(BMO=1,2,4))),FALSE()))</f>
        <v> </v>
      </c>
      <c r="P130" s="427" t="str">
        <f aca="false">IF(A130="N/A"," ",VLOOKUP(A130,SatSunPeakPwr,(IF(BMO=2,7,IF(BMO=1,6,8))),FALSE()))</f>
        <v> </v>
      </c>
      <c r="Q130" s="428" t="str">
        <f aca="false">IF(A130="N/A"," ",(VLOOKUP(A130,OPPowerPrices,(IF(BMO=2,7,IF(BMO=1,6,8))),FALSE())))</f>
        <v> </v>
      </c>
      <c r="R130" s="429" t="str">
        <f aca="false">IF(A130="N/A"," ",(VLOOKUP(A130,GasCurves,9,FALSE()))+IF(BMO=1,Gasbmo,IF(BMO=3,-Gasbmo,0)))</f>
        <v> </v>
      </c>
      <c r="S130" s="429" t="str">
        <f aca="false">IF(A130="N/A"," ",IF(Basischeck=TRUE(),(VLOOKUP(A130,GasCurves,IF(MONTH(A130)&gt;=4,IF(MONTH(A130)&lt;=10,11,12),12),FALSE())),0))</f>
        <v> </v>
      </c>
      <c r="T130" s="429" t="str">
        <f aca="false">IF(A130="N/A"," ",(IF(MONTH(A130)&gt;=4,IF(MONTH(A130)&lt;=10,Inputs!$H$2,Inputs!$H$3),Inputs!$H$3)))</f>
        <v> </v>
      </c>
      <c r="U130" s="430" t="str">
        <f aca="false">IF(A130="N/A"," ",(VLOOKUP($A130,InterestRatesTable,2)))</f>
        <v> </v>
      </c>
      <c r="AF130" s="384" t="n">
        <v>40391</v>
      </c>
      <c r="AG130" s="36" t="n">
        <v>22</v>
      </c>
      <c r="AH130" s="36" t="n">
        <v>4</v>
      </c>
      <c r="AI130" s="36" t="n">
        <v>5</v>
      </c>
      <c r="AJ130" s="36" t="n">
        <v>0</v>
      </c>
      <c r="AK130" s="36" t="n">
        <v>31</v>
      </c>
    </row>
    <row r="131" customFormat="false" ht="12.75" hidden="false" customHeight="false" outlineLevel="0" collapsed="false">
      <c r="A131" s="420" t="str">
        <f aca="false">Calculations!A98</f>
        <v>N/A</v>
      </c>
      <c r="B131" s="421" t="str">
        <f aca="false">IF(A131="N/A"," ",IF(ISERROR(N131),B119*Pwresc,N131)*VLOOKUP(MONTH(A131),Curveadj,3))</f>
        <v> </v>
      </c>
      <c r="C131" s="422" t="str">
        <f aca="false">IF(A131="N/A"," ",(IF(AND(MONTH(A131)&gt;=6,MONTH(A131)&lt;=8,OR($M$37="REGION 2",$M$37="REGION 2A",$M$37="REGION 2B",$M$37="REGION 3",$M$37="REGION 3A",$M$37="REGION 3B",$M$37="REGION 4",$M$37="REGION 4B",$M$37="REGION 4C",$M$37="REGION 5",$M$37="REGION 5A")),((0.059228/(B131/100))-(0.4980013/(SQRT(B131/100)))+2.137988),HLOOKUP(MONTH(A131),ScalarTable,28))))</f>
        <v> </v>
      </c>
      <c r="D131" s="423" t="str">
        <f aca="false">IF(A131="N/A"," ",C131*B131)</f>
        <v> </v>
      </c>
      <c r="E131" s="421" t="str">
        <f aca="false">IF(A131="N/A"," ",IF(ISERROR(O131),E119*Pwresc,O131)*VLOOKUP(MONTH(A131),Curveadj,3))</f>
        <v> </v>
      </c>
      <c r="F131" s="423" t="str">
        <f aca="false">IF(A131="N/A"," ",E131*C131)</f>
        <v> </v>
      </c>
      <c r="G131" s="421" t="str">
        <f aca="false">IF(A131="N/A"," ",IF(ISERROR(P131),G119*Pwresc,P131)*VLOOKUP(MONTH(A131),Curveadj,3))</f>
        <v> </v>
      </c>
      <c r="H131" s="423" t="str">
        <f aca="false">IF(A131="N/A"," ",G131*C131)</f>
        <v> </v>
      </c>
      <c r="I131" s="423" t="str">
        <f aca="false">IF(A131="N/A"," ",IF(ISERROR(Q131),I119*Pwresc,Q131))</f>
        <v> </v>
      </c>
      <c r="J131" s="424" t="str">
        <f aca="false">IF(A131="N/A"," ",K131+L131+T131)</f>
        <v> </v>
      </c>
      <c r="K131" s="425" t="str">
        <f aca="false">IF(A131="N/A"," ",IF(ISERROR(R131),K119*Gasesc,R131))</f>
        <v> </v>
      </c>
      <c r="L131" s="425" t="str">
        <f aca="false">IF(A131="N/A"," ",IF(ISERROR(S131),L119*Gasesc,IF(S131=0,L119*Gasesc,S131)))</f>
        <v> </v>
      </c>
      <c r="M131" s="431"/>
      <c r="N131" s="427" t="str">
        <f aca="false">IF(A131="N/A"," ",VLOOKUP(A131,PeakPowerCurves,(IF(BMO=2,3,IF(BMO=1,2,4))),FALSE()))</f>
        <v> </v>
      </c>
      <c r="O131" s="427" t="str">
        <f aca="false">IF(A131="N/A"," ",VLOOKUP(A131,SatSunPeakPwr,(IF(BMO=2,3,IF(BMO=1,2,4))),FALSE()))</f>
        <v> </v>
      </c>
      <c r="P131" s="427" t="str">
        <f aca="false">IF(A131="N/A"," ",VLOOKUP(A131,SatSunPeakPwr,(IF(BMO=2,7,IF(BMO=1,6,8))),FALSE()))</f>
        <v> </v>
      </c>
      <c r="Q131" s="428" t="str">
        <f aca="false">IF(A131="N/A"," ",(VLOOKUP(A131,OPPowerPrices,(IF(BMO=2,7,IF(BMO=1,6,8))),FALSE())))</f>
        <v> </v>
      </c>
      <c r="R131" s="429" t="str">
        <f aca="false">IF(A131="N/A"," ",(VLOOKUP(A131,GasCurves,9,FALSE()))+IF(BMO=1,Gasbmo,IF(BMO=3,-Gasbmo,0)))</f>
        <v> </v>
      </c>
      <c r="S131" s="429" t="str">
        <f aca="false">IF(A131="N/A"," ",IF(Basischeck=TRUE(),(VLOOKUP(A131,GasCurves,IF(MONTH(A131)&gt;=4,IF(MONTH(A131)&lt;=10,11,12),12),FALSE())),0))</f>
        <v> </v>
      </c>
      <c r="T131" s="429" t="str">
        <f aca="false">IF(A131="N/A"," ",(IF(MONTH(A131)&gt;=4,IF(MONTH(A131)&lt;=10,Inputs!$H$2,Inputs!$H$3),Inputs!$H$3)))</f>
        <v> </v>
      </c>
      <c r="U131" s="430" t="str">
        <f aca="false">IF(A131="N/A"," ",(VLOOKUP($A131,InterestRatesTable,2)))</f>
        <v> </v>
      </c>
      <c r="AF131" s="384" t="n">
        <v>40422</v>
      </c>
      <c r="AG131" s="36" t="n">
        <v>21</v>
      </c>
      <c r="AH131" s="36" t="n">
        <v>4</v>
      </c>
      <c r="AI131" s="36" t="n">
        <v>5</v>
      </c>
      <c r="AJ131" s="36" t="n">
        <v>1</v>
      </c>
      <c r="AK131" s="36" t="n">
        <v>30</v>
      </c>
    </row>
    <row r="132" customFormat="false" ht="12.75" hidden="false" customHeight="false" outlineLevel="0" collapsed="false">
      <c r="A132" s="420" t="str">
        <f aca="false">Calculations!A99</f>
        <v>N/A</v>
      </c>
      <c r="B132" s="421" t="str">
        <f aca="false">IF(A132="N/A"," ",IF(ISERROR(N132),B120*Pwresc,N132)*VLOOKUP(MONTH(A132),Curveadj,3))</f>
        <v> </v>
      </c>
      <c r="C132" s="422" t="str">
        <f aca="false">IF(A132="N/A"," ",(IF(AND(MONTH(A132)&gt;=6,MONTH(A132)&lt;=8,OR($M$37="REGION 2",$M$37="REGION 2A",$M$37="REGION 2B",$M$37="REGION 3",$M$37="REGION 3A",$M$37="REGION 3B",$M$37="REGION 4",$M$37="REGION 4B",$M$37="REGION 4C",$M$37="REGION 5",$M$37="REGION 5A")),((0.059228/(B132/100))-(0.4980013/(SQRT(B132/100)))+2.137988),HLOOKUP(MONTH(A132),ScalarTable,28))))</f>
        <v> </v>
      </c>
      <c r="D132" s="423" t="str">
        <f aca="false">IF(A132="N/A"," ",C132*B132)</f>
        <v> </v>
      </c>
      <c r="E132" s="421" t="str">
        <f aca="false">IF(A132="N/A"," ",IF(ISERROR(O132),E120*Pwresc,O132)*VLOOKUP(MONTH(A132),Curveadj,3))</f>
        <v> </v>
      </c>
      <c r="F132" s="423" t="str">
        <f aca="false">IF(A132="N/A"," ",E132*C132)</f>
        <v> </v>
      </c>
      <c r="G132" s="421" t="str">
        <f aca="false">IF(A132="N/A"," ",IF(ISERROR(P132),G120*Pwresc,P132)*VLOOKUP(MONTH(A132),Curveadj,3))</f>
        <v> </v>
      </c>
      <c r="H132" s="423" t="str">
        <f aca="false">IF(A132="N/A"," ",G132*C132)</f>
        <v> </v>
      </c>
      <c r="I132" s="423" t="str">
        <f aca="false">IF(A132="N/A"," ",IF(ISERROR(Q132),I120*Pwresc,Q132))</f>
        <v> </v>
      </c>
      <c r="J132" s="424" t="str">
        <f aca="false">IF(A132="N/A"," ",K132+L132+T132)</f>
        <v> </v>
      </c>
      <c r="K132" s="425" t="str">
        <f aca="false">IF(A132="N/A"," ",IF(ISERROR(R132),K120*Gasesc,R132))</f>
        <v> </v>
      </c>
      <c r="L132" s="425" t="str">
        <f aca="false">IF(A132="N/A"," ",IF(ISERROR(S132),L120*Gasesc,IF(S132=0,L120*Gasesc,S132)))</f>
        <v> </v>
      </c>
      <c r="M132" s="431"/>
      <c r="N132" s="427" t="str">
        <f aca="false">IF(A132="N/A"," ",VLOOKUP(A132,PeakPowerCurves,(IF(BMO=2,3,IF(BMO=1,2,4))),FALSE()))</f>
        <v> </v>
      </c>
      <c r="O132" s="427" t="str">
        <f aca="false">IF(A132="N/A"," ",VLOOKUP(A132,SatSunPeakPwr,(IF(BMO=2,3,IF(BMO=1,2,4))),FALSE()))</f>
        <v> </v>
      </c>
      <c r="P132" s="427" t="str">
        <f aca="false">IF(A132="N/A"," ",VLOOKUP(A132,SatSunPeakPwr,(IF(BMO=2,7,IF(BMO=1,6,8))),FALSE()))</f>
        <v> </v>
      </c>
      <c r="Q132" s="428" t="str">
        <f aca="false">IF(A132="N/A"," ",(VLOOKUP(A132,OPPowerPrices,(IF(BMO=2,7,IF(BMO=1,6,8))),FALSE())))</f>
        <v> </v>
      </c>
      <c r="R132" s="429" t="str">
        <f aca="false">IF(A132="N/A"," ",(VLOOKUP(A132,GasCurves,9,FALSE()))+IF(BMO=1,Gasbmo,IF(BMO=3,-Gasbmo,0)))</f>
        <v> </v>
      </c>
      <c r="S132" s="429" t="str">
        <f aca="false">IF(A132="N/A"," ",IF(Basischeck=TRUE(),(VLOOKUP(A132,GasCurves,IF(MONTH(A132)&gt;=4,IF(MONTH(A132)&lt;=10,11,12),12),FALSE())),0))</f>
        <v> </v>
      </c>
      <c r="T132" s="429" t="str">
        <f aca="false">IF(A132="N/A"," ",(IF(MONTH(A132)&gt;=4,IF(MONTH(A132)&lt;=10,Inputs!$H$2,Inputs!$H$3),Inputs!$H$3)))</f>
        <v> </v>
      </c>
      <c r="U132" s="430" t="str">
        <f aca="false">IF(A132="N/A"," ",(VLOOKUP($A132,InterestRatesTable,2)))</f>
        <v> </v>
      </c>
      <c r="AF132" s="384" t="n">
        <v>40452</v>
      </c>
      <c r="AG132" s="36" t="n">
        <v>21</v>
      </c>
      <c r="AH132" s="36" t="n">
        <v>5</v>
      </c>
      <c r="AI132" s="36" t="n">
        <v>5</v>
      </c>
      <c r="AJ132" s="36" t="n">
        <v>0</v>
      </c>
      <c r="AK132" s="36" t="n">
        <v>31</v>
      </c>
    </row>
    <row r="133" customFormat="false" ht="12.75" hidden="false" customHeight="false" outlineLevel="0" collapsed="false">
      <c r="A133" s="420" t="str">
        <f aca="false">Calculations!A100</f>
        <v>N/A</v>
      </c>
      <c r="B133" s="421" t="str">
        <f aca="false">IF(A133="N/A"," ",IF(ISERROR(N133),B121*Pwresc,N133)*VLOOKUP(MONTH(A133),Curveadj,3))</f>
        <v> </v>
      </c>
      <c r="C133" s="422" t="str">
        <f aca="false">IF(A133="N/A"," ",(IF(AND(MONTH(A133)&gt;=6,MONTH(A133)&lt;=8,OR($M$37="REGION 2",$M$37="REGION 2A",$M$37="REGION 2B",$M$37="REGION 3",$M$37="REGION 3A",$M$37="REGION 3B",$M$37="REGION 4",$M$37="REGION 4B",$M$37="REGION 4C",$M$37="REGION 5",$M$37="REGION 5A")),((0.059228/(B133/100))-(0.4980013/(SQRT(B133/100)))+2.137988),HLOOKUP(MONTH(A133),ScalarTable,28))))</f>
        <v> </v>
      </c>
      <c r="D133" s="423" t="str">
        <f aca="false">IF(A133="N/A"," ",C133*B133)</f>
        <v> </v>
      </c>
      <c r="E133" s="421" t="str">
        <f aca="false">IF(A133="N/A"," ",IF(ISERROR(O133),E121*Pwresc,O133)*VLOOKUP(MONTH(A133),Curveadj,3))</f>
        <v> </v>
      </c>
      <c r="F133" s="423" t="str">
        <f aca="false">IF(A133="N/A"," ",E133*C133)</f>
        <v> </v>
      </c>
      <c r="G133" s="421" t="str">
        <f aca="false">IF(A133="N/A"," ",IF(ISERROR(P133),G121*Pwresc,P133)*VLOOKUP(MONTH(A133),Curveadj,3))</f>
        <v> </v>
      </c>
      <c r="H133" s="423" t="str">
        <f aca="false">IF(A133="N/A"," ",G133*C133)</f>
        <v> </v>
      </c>
      <c r="I133" s="423" t="str">
        <f aca="false">IF(A133="N/A"," ",IF(ISERROR(Q133),I121*Pwresc,Q133))</f>
        <v> </v>
      </c>
      <c r="J133" s="424" t="str">
        <f aca="false">IF(A133="N/A"," ",K133+L133+T133)</f>
        <v> </v>
      </c>
      <c r="K133" s="425" t="str">
        <f aca="false">IF(A133="N/A"," ",IF(ISERROR(R133),K121*Gasesc,R133))</f>
        <v> </v>
      </c>
      <c r="L133" s="425" t="str">
        <f aca="false">IF(A133="N/A"," ",IF(ISERROR(S133),L121*Gasesc,IF(S133=0,L121*Gasesc,S133)))</f>
        <v> </v>
      </c>
      <c r="M133" s="431"/>
      <c r="N133" s="427" t="str">
        <f aca="false">IF(A133="N/A"," ",VLOOKUP(A133,PeakPowerCurves,(IF(BMO=2,3,IF(BMO=1,2,4))),FALSE()))</f>
        <v> </v>
      </c>
      <c r="O133" s="427" t="str">
        <f aca="false">IF(A133="N/A"," ",VLOOKUP(A133,SatSunPeakPwr,(IF(BMO=2,3,IF(BMO=1,2,4))),FALSE()))</f>
        <v> </v>
      </c>
      <c r="P133" s="427" t="str">
        <f aca="false">IF(A133="N/A"," ",VLOOKUP(A133,SatSunPeakPwr,(IF(BMO=2,7,IF(BMO=1,6,8))),FALSE()))</f>
        <v> </v>
      </c>
      <c r="Q133" s="428" t="str">
        <f aca="false">IF(A133="N/A"," ",(VLOOKUP(A133,OPPowerPrices,(IF(BMO=2,7,IF(BMO=1,6,8))),FALSE())))</f>
        <v> </v>
      </c>
      <c r="R133" s="429" t="str">
        <f aca="false">IF(A133="N/A"," ",(VLOOKUP(A133,GasCurves,9,FALSE()))+IF(BMO=1,Gasbmo,IF(BMO=3,-Gasbmo,0)))</f>
        <v> </v>
      </c>
      <c r="S133" s="429" t="str">
        <f aca="false">IF(A133="N/A"," ",IF(Basischeck=TRUE(),(VLOOKUP(A133,GasCurves,IF(MONTH(A133)&gt;=4,IF(MONTH(A133)&lt;=10,11,12),12),FALSE())),0))</f>
        <v> </v>
      </c>
      <c r="T133" s="429" t="str">
        <f aca="false">IF(A133="N/A"," ",(IF(MONTH(A133)&gt;=4,IF(MONTH(A133)&lt;=10,Inputs!$H$2,Inputs!$H$3),Inputs!$H$3)))</f>
        <v> </v>
      </c>
      <c r="U133" s="430" t="str">
        <f aca="false">IF(A133="N/A"," ",(VLOOKUP($A133,InterestRatesTable,2)))</f>
        <v> </v>
      </c>
      <c r="AF133" s="384" t="n">
        <v>40483</v>
      </c>
      <c r="AG133" s="36" t="n">
        <v>21</v>
      </c>
      <c r="AH133" s="36" t="n">
        <v>4</v>
      </c>
      <c r="AI133" s="36" t="n">
        <v>5</v>
      </c>
      <c r="AJ133" s="36" t="n">
        <v>1</v>
      </c>
      <c r="AK133" s="36" t="n">
        <v>30</v>
      </c>
    </row>
    <row r="134" customFormat="false" ht="12.75" hidden="false" customHeight="false" outlineLevel="0" collapsed="false">
      <c r="A134" s="420" t="str">
        <f aca="false">Calculations!A101</f>
        <v>N/A</v>
      </c>
      <c r="B134" s="421" t="str">
        <f aca="false">IF(A134="N/A"," ",IF(ISERROR(N134),B122*Pwresc,N134)*VLOOKUP(MONTH(A134),Curveadj,3))</f>
        <v> </v>
      </c>
      <c r="C134" s="422" t="str">
        <f aca="false">IF(A134="N/A"," ",(IF(AND(MONTH(A134)&gt;=6,MONTH(A134)&lt;=8,OR($M$37="REGION 2",$M$37="REGION 2A",$M$37="REGION 2B",$M$37="REGION 3",$M$37="REGION 3A",$M$37="REGION 3B",$M$37="REGION 4",$M$37="REGION 4B",$M$37="REGION 4C",$M$37="REGION 5",$M$37="REGION 5A")),((0.059228/(B134/100))-(0.4980013/(SQRT(B134/100)))+2.137988),HLOOKUP(MONTH(A134),ScalarTable,28))))</f>
        <v> </v>
      </c>
      <c r="D134" s="423" t="str">
        <f aca="false">IF(A134="N/A"," ",C134*B134)</f>
        <v> </v>
      </c>
      <c r="E134" s="421" t="str">
        <f aca="false">IF(A134="N/A"," ",IF(ISERROR(O134),E122*Pwresc,O134)*VLOOKUP(MONTH(A134),Curveadj,3))</f>
        <v> </v>
      </c>
      <c r="F134" s="423" t="str">
        <f aca="false">IF(A134="N/A"," ",E134*C134)</f>
        <v> </v>
      </c>
      <c r="G134" s="421" t="str">
        <f aca="false">IF(A134="N/A"," ",IF(ISERROR(P134),G122*Pwresc,P134)*VLOOKUP(MONTH(A134),Curveadj,3))</f>
        <v> </v>
      </c>
      <c r="H134" s="423" t="str">
        <f aca="false">IF(A134="N/A"," ",G134*C134)</f>
        <v> </v>
      </c>
      <c r="I134" s="423" t="str">
        <f aca="false">IF(A134="N/A"," ",IF(ISERROR(Q134),I122*Pwresc,Q134))</f>
        <v> </v>
      </c>
      <c r="J134" s="424" t="str">
        <f aca="false">IF(A134="N/A"," ",K134+L134+T134)</f>
        <v> </v>
      </c>
      <c r="K134" s="425" t="str">
        <f aca="false">IF(A134="N/A"," ",IF(ISERROR(R134),K122*Gasesc,R134))</f>
        <v> </v>
      </c>
      <c r="L134" s="425" t="str">
        <f aca="false">IF(A134="N/A"," ",IF(ISERROR(S134),L122*Gasesc,IF(S134=0,L122*Gasesc,S134)))</f>
        <v> </v>
      </c>
      <c r="M134" s="431"/>
      <c r="N134" s="427" t="str">
        <f aca="false">IF(A134="N/A"," ",VLOOKUP(A134,PeakPowerCurves,(IF(BMO=2,3,IF(BMO=1,2,4))),FALSE()))</f>
        <v> </v>
      </c>
      <c r="O134" s="427" t="str">
        <f aca="false">IF(A134="N/A"," ",VLOOKUP(A134,SatSunPeakPwr,(IF(BMO=2,3,IF(BMO=1,2,4))),FALSE()))</f>
        <v> </v>
      </c>
      <c r="P134" s="427" t="str">
        <f aca="false">IF(A134="N/A"," ",VLOOKUP(A134,SatSunPeakPwr,(IF(BMO=2,7,IF(BMO=1,6,8))),FALSE()))</f>
        <v> </v>
      </c>
      <c r="Q134" s="428" t="str">
        <f aca="false">IF(A134="N/A"," ",(VLOOKUP(A134,OPPowerPrices,(IF(BMO=2,7,IF(BMO=1,6,8))),FALSE())))</f>
        <v> </v>
      </c>
      <c r="R134" s="429" t="str">
        <f aca="false">IF(A134="N/A"," ",(VLOOKUP(A134,GasCurves,9,FALSE()))+IF(BMO=1,Gasbmo,IF(BMO=3,-Gasbmo,0)))</f>
        <v> </v>
      </c>
      <c r="S134" s="429" t="str">
        <f aca="false">IF(A134="N/A"," ",IF(Basischeck=TRUE(),(VLOOKUP(A134,GasCurves,IF(MONTH(A134)&gt;=4,IF(MONTH(A134)&lt;=10,11,12),12),FALSE())),0))</f>
        <v> </v>
      </c>
      <c r="T134" s="429" t="str">
        <f aca="false">IF(A134="N/A"," ",(IF(MONTH(A134)&gt;=4,IF(MONTH(A134)&lt;=10,Inputs!$H$2,Inputs!$H$3),Inputs!$H$3)))</f>
        <v> </v>
      </c>
      <c r="U134" s="430" t="str">
        <f aca="false">IF(A134="N/A"," ",(VLOOKUP($A134,InterestRatesTable,2)))</f>
        <v> </v>
      </c>
      <c r="AF134" s="384" t="n">
        <v>40513</v>
      </c>
      <c r="AG134" s="36" t="n">
        <v>23</v>
      </c>
      <c r="AH134" s="36" t="n">
        <v>3</v>
      </c>
      <c r="AI134" s="36" t="n">
        <v>5</v>
      </c>
      <c r="AJ134" s="36" t="n">
        <v>1</v>
      </c>
      <c r="AK134" s="36" t="n">
        <v>31</v>
      </c>
    </row>
    <row r="135" customFormat="false" ht="12.75" hidden="false" customHeight="false" outlineLevel="0" collapsed="false">
      <c r="A135" s="420" t="str">
        <f aca="false">Calculations!A102</f>
        <v>N/A</v>
      </c>
      <c r="B135" s="421" t="str">
        <f aca="false">IF(A135="N/A"," ",IF(ISERROR(N135),B123*Pwresc,N135)*VLOOKUP(MONTH(A135),Curveadj,3))</f>
        <v> </v>
      </c>
      <c r="C135" s="422" t="str">
        <f aca="false">IF(A135="N/A"," ",(IF(AND(MONTH(A135)&gt;=6,MONTH(A135)&lt;=8,OR($M$37="REGION 2",$M$37="REGION 2A",$M$37="REGION 2B",$M$37="REGION 3",$M$37="REGION 3A",$M$37="REGION 3B",$M$37="REGION 4",$M$37="REGION 4B",$M$37="REGION 4C",$M$37="REGION 5",$M$37="REGION 5A")),((0.059228/(B135/100))-(0.4980013/(SQRT(B135/100)))+2.137988),HLOOKUP(MONTH(A135),ScalarTable,28))))</f>
        <v> </v>
      </c>
      <c r="D135" s="423" t="str">
        <f aca="false">IF(A135="N/A"," ",C135*B135)</f>
        <v> </v>
      </c>
      <c r="E135" s="421" t="str">
        <f aca="false">IF(A135="N/A"," ",IF(ISERROR(O135),E123*Pwresc,O135)*VLOOKUP(MONTH(A135),Curveadj,3))</f>
        <v> </v>
      </c>
      <c r="F135" s="423" t="str">
        <f aca="false">IF(A135="N/A"," ",E135*C135)</f>
        <v> </v>
      </c>
      <c r="G135" s="421" t="str">
        <f aca="false">IF(A135="N/A"," ",IF(ISERROR(P135),G123*Pwresc,P135)*VLOOKUP(MONTH(A135),Curveadj,3))</f>
        <v> </v>
      </c>
      <c r="H135" s="423" t="str">
        <f aca="false">IF(A135="N/A"," ",G135*C135)</f>
        <v> </v>
      </c>
      <c r="I135" s="423" t="str">
        <f aca="false">IF(A135="N/A"," ",IF(ISERROR(Q135),I123*Pwresc,Q135))</f>
        <v> </v>
      </c>
      <c r="J135" s="424" t="str">
        <f aca="false">IF(A135="N/A"," ",K135+L135+T135)</f>
        <v> </v>
      </c>
      <c r="K135" s="425" t="str">
        <f aca="false">IF(A135="N/A"," ",IF(ISERROR(R135),K123*Gasesc,R135))</f>
        <v> </v>
      </c>
      <c r="L135" s="425" t="str">
        <f aca="false">IF(A135="N/A"," ",IF(ISERROR(S135),L123*Gasesc,IF(S135=0,L123*Gasesc,S135)))</f>
        <v> </v>
      </c>
      <c r="M135" s="431"/>
      <c r="N135" s="427" t="str">
        <f aca="false">IF(A135="N/A"," ",VLOOKUP(A135,PeakPowerCurves,(IF(BMO=2,3,IF(BMO=1,2,4))),FALSE()))</f>
        <v> </v>
      </c>
      <c r="O135" s="427" t="str">
        <f aca="false">IF(A135="N/A"," ",VLOOKUP(A135,SatSunPeakPwr,(IF(BMO=2,3,IF(BMO=1,2,4))),FALSE()))</f>
        <v> </v>
      </c>
      <c r="P135" s="427" t="str">
        <f aca="false">IF(A135="N/A"," ",VLOOKUP(A135,SatSunPeakPwr,(IF(BMO=2,7,IF(BMO=1,6,8))),FALSE()))</f>
        <v> </v>
      </c>
      <c r="Q135" s="428" t="str">
        <f aca="false">IF(A135="N/A"," ",(VLOOKUP(A135,OPPowerPrices,(IF(BMO=2,7,IF(BMO=1,6,8))),FALSE())))</f>
        <v> </v>
      </c>
      <c r="R135" s="429" t="str">
        <f aca="false">IF(A135="N/A"," ",(VLOOKUP(A135,GasCurves,9,FALSE()))+IF(BMO=1,Gasbmo,IF(BMO=3,-Gasbmo,0)))</f>
        <v> </v>
      </c>
      <c r="S135" s="429" t="str">
        <f aca="false">IF(A135="N/A"," ",IF(Basischeck=TRUE(),(VLOOKUP(A135,GasCurves,IF(MONTH(A135)&gt;=4,IF(MONTH(A135)&lt;=10,11,12),12),FALSE())),0))</f>
        <v> </v>
      </c>
      <c r="T135" s="429" t="str">
        <f aca="false">IF(A135="N/A"," ",(IF(MONTH(A135)&gt;=4,IF(MONTH(A135)&lt;=10,Inputs!$H$2,Inputs!$H$3),Inputs!$H$3)))</f>
        <v> </v>
      </c>
      <c r="U135" s="430" t="str">
        <f aca="false">IF(A135="N/A"," ",(VLOOKUP($A135,InterestRatesTable,2)))</f>
        <v> </v>
      </c>
      <c r="AF135" s="384" t="n">
        <v>40544</v>
      </c>
      <c r="AG135" s="36" t="n">
        <v>21</v>
      </c>
      <c r="AH135" s="36" t="n">
        <v>4</v>
      </c>
      <c r="AI135" s="36" t="n">
        <v>6</v>
      </c>
      <c r="AJ135" s="36" t="n">
        <v>1</v>
      </c>
      <c r="AK135" s="36" t="n">
        <v>31</v>
      </c>
    </row>
    <row r="136" customFormat="false" ht="12.75" hidden="false" customHeight="false" outlineLevel="0" collapsed="false">
      <c r="A136" s="420" t="str">
        <f aca="false">Calculations!A103</f>
        <v>N/A</v>
      </c>
      <c r="B136" s="421" t="str">
        <f aca="false">IF(A136="N/A"," ",IF(ISERROR(N136),B124*Pwresc,N136)*VLOOKUP(MONTH(A136),Curveadj,3))</f>
        <v> </v>
      </c>
      <c r="C136" s="422" t="str">
        <f aca="false">IF(A136="N/A"," ",(IF(AND(MONTH(A136)&gt;=6,MONTH(A136)&lt;=8,OR($M$37="REGION 2",$M$37="REGION 2A",$M$37="REGION 2B",$M$37="REGION 3",$M$37="REGION 3A",$M$37="REGION 3B",$M$37="REGION 4",$M$37="REGION 4B",$M$37="REGION 4C",$M$37="REGION 5",$M$37="REGION 5A")),((0.059228/(B136/100))-(0.4980013/(SQRT(B136/100)))+2.137988),HLOOKUP(MONTH(A136),ScalarTable,28))))</f>
        <v> </v>
      </c>
      <c r="D136" s="423" t="str">
        <f aca="false">IF(A136="N/A"," ",C136*B136)</f>
        <v> </v>
      </c>
      <c r="E136" s="421" t="str">
        <f aca="false">IF(A136="N/A"," ",IF(ISERROR(O136),E124*Pwresc,O136)*VLOOKUP(MONTH(A136),Curveadj,3))</f>
        <v> </v>
      </c>
      <c r="F136" s="423" t="str">
        <f aca="false">IF(A136="N/A"," ",E136*C136)</f>
        <v> </v>
      </c>
      <c r="G136" s="421" t="str">
        <f aca="false">IF(A136="N/A"," ",IF(ISERROR(P136),G124*Pwresc,P136)*VLOOKUP(MONTH(A136),Curveadj,3))</f>
        <v> </v>
      </c>
      <c r="H136" s="423" t="str">
        <f aca="false">IF(A136="N/A"," ",G136*C136)</f>
        <v> </v>
      </c>
      <c r="I136" s="423" t="str">
        <f aca="false">IF(A136="N/A"," ",IF(ISERROR(Q136),I124*Pwresc,Q136))</f>
        <v> </v>
      </c>
      <c r="J136" s="424" t="str">
        <f aca="false">IF(A136="N/A"," ",K136+L136+T136)</f>
        <v> </v>
      </c>
      <c r="K136" s="425" t="str">
        <f aca="false">IF(A136="N/A"," ",IF(ISERROR(R136),K124*Gasesc,R136))</f>
        <v> </v>
      </c>
      <c r="L136" s="425" t="str">
        <f aca="false">IF(A136="N/A"," ",IF(ISERROR(S136),L124*Gasesc,IF(S136=0,L124*Gasesc,S136)))</f>
        <v> </v>
      </c>
      <c r="M136" s="431"/>
      <c r="N136" s="427" t="str">
        <f aca="false">IF(A136="N/A"," ",VLOOKUP(A136,PeakPowerCurves,(IF(BMO=2,3,IF(BMO=1,2,4))),FALSE()))</f>
        <v> </v>
      </c>
      <c r="O136" s="427" t="str">
        <f aca="false">IF(A136="N/A"," ",VLOOKUP(A136,SatSunPeakPwr,(IF(BMO=2,3,IF(BMO=1,2,4))),FALSE()))</f>
        <v> </v>
      </c>
      <c r="P136" s="427" t="str">
        <f aca="false">IF(A136="N/A"," ",VLOOKUP(A136,SatSunPeakPwr,(IF(BMO=2,7,IF(BMO=1,6,8))),FALSE()))</f>
        <v> </v>
      </c>
      <c r="Q136" s="428" t="str">
        <f aca="false">IF(A136="N/A"," ",(VLOOKUP(A136,OPPowerPrices,(IF(BMO=2,7,IF(BMO=1,6,8))),FALSE())))</f>
        <v> </v>
      </c>
      <c r="R136" s="429" t="str">
        <f aca="false">IF(A136="N/A"," ",(VLOOKUP(A136,GasCurves,9,FALSE()))+IF(BMO=1,Gasbmo,IF(BMO=3,-Gasbmo,0)))</f>
        <v> </v>
      </c>
      <c r="S136" s="429" t="str">
        <f aca="false">IF(A136="N/A"," ",IF(Basischeck=TRUE(),(VLOOKUP(A136,GasCurves,IF(MONTH(A136)&gt;=4,IF(MONTH(A136)&lt;=10,11,12),12),FALSE())),0))</f>
        <v> </v>
      </c>
      <c r="T136" s="429" t="str">
        <f aca="false">IF(A136="N/A"," ",(IF(MONTH(A136)&gt;=4,IF(MONTH(A136)&lt;=10,Inputs!$H$2,Inputs!$H$3),Inputs!$H$3)))</f>
        <v> </v>
      </c>
      <c r="U136" s="430" t="str">
        <f aca="false">IF(A136="N/A"," ",(VLOOKUP($A136,InterestRatesTable,2)))</f>
        <v> </v>
      </c>
      <c r="AF136" s="384" t="n">
        <v>40575</v>
      </c>
      <c r="AG136" s="36" t="n">
        <v>20</v>
      </c>
      <c r="AH136" s="36" t="n">
        <v>4</v>
      </c>
      <c r="AI136" s="36" t="n">
        <v>4</v>
      </c>
      <c r="AJ136" s="36" t="n">
        <v>0</v>
      </c>
      <c r="AK136" s="36" t="n">
        <v>28</v>
      </c>
    </row>
    <row r="137" customFormat="false" ht="12.75" hidden="false" customHeight="false" outlineLevel="0" collapsed="false">
      <c r="A137" s="420" t="str">
        <f aca="false">Calculations!A104</f>
        <v>N/A</v>
      </c>
      <c r="B137" s="421" t="str">
        <f aca="false">IF(A137="N/A"," ",IF(ISERROR(N137),B125*Pwresc,N137)*VLOOKUP(MONTH(A137),Curveadj,3))</f>
        <v> </v>
      </c>
      <c r="C137" s="422" t="str">
        <f aca="false">IF(A137="N/A"," ",(IF(AND(MONTH(A137)&gt;=6,MONTH(A137)&lt;=8,OR($M$37="REGION 2",$M$37="REGION 2A",$M$37="REGION 2B",$M$37="REGION 3",$M$37="REGION 3A",$M$37="REGION 3B",$M$37="REGION 4",$M$37="REGION 4B",$M$37="REGION 4C",$M$37="REGION 5",$M$37="REGION 5A")),((0.059228/(B137/100))-(0.4980013/(SQRT(B137/100)))+2.137988),HLOOKUP(MONTH(A137),ScalarTable,28))))</f>
        <v> </v>
      </c>
      <c r="D137" s="423" t="str">
        <f aca="false">IF(A137="N/A"," ",C137*B137)</f>
        <v> </v>
      </c>
      <c r="E137" s="421" t="str">
        <f aca="false">IF(A137="N/A"," ",IF(ISERROR(O137),E125*Pwresc,O137)*VLOOKUP(MONTH(A137),Curveadj,3))</f>
        <v> </v>
      </c>
      <c r="F137" s="423" t="str">
        <f aca="false">IF(A137="N/A"," ",E137*C137)</f>
        <v> </v>
      </c>
      <c r="G137" s="421" t="str">
        <f aca="false">IF(A137="N/A"," ",IF(ISERROR(P137),G125*Pwresc,P137)*VLOOKUP(MONTH(A137),Curveadj,3))</f>
        <v> </v>
      </c>
      <c r="H137" s="423" t="str">
        <f aca="false">IF(A137="N/A"," ",G137*C137)</f>
        <v> </v>
      </c>
      <c r="I137" s="423" t="str">
        <f aca="false">IF(A137="N/A"," ",IF(ISERROR(Q137),I125*Pwresc,Q137))</f>
        <v> </v>
      </c>
      <c r="J137" s="424" t="str">
        <f aca="false">IF(A137="N/A"," ",K137+L137+T137)</f>
        <v> </v>
      </c>
      <c r="K137" s="425" t="str">
        <f aca="false">IF(A137="N/A"," ",IF(ISERROR(R137),K125*Gasesc,R137))</f>
        <v> </v>
      </c>
      <c r="L137" s="425" t="str">
        <f aca="false">IF(A137="N/A"," ",IF(ISERROR(S137),L125*Gasesc,IF(S137=0,L125*Gasesc,S137)))</f>
        <v> </v>
      </c>
      <c r="M137" s="431"/>
      <c r="N137" s="427" t="str">
        <f aca="false">IF(A137="N/A"," ",VLOOKUP(A137,PeakPowerCurves,(IF(BMO=2,3,IF(BMO=1,2,4))),FALSE()))</f>
        <v> </v>
      </c>
      <c r="O137" s="427" t="str">
        <f aca="false">IF(A137="N/A"," ",VLOOKUP(A137,SatSunPeakPwr,(IF(BMO=2,3,IF(BMO=1,2,4))),FALSE()))</f>
        <v> </v>
      </c>
      <c r="P137" s="427" t="str">
        <f aca="false">IF(A137="N/A"," ",VLOOKUP(A137,SatSunPeakPwr,(IF(BMO=2,7,IF(BMO=1,6,8))),FALSE()))</f>
        <v> </v>
      </c>
      <c r="Q137" s="428" t="str">
        <f aca="false">IF(A137="N/A"," ",(VLOOKUP(A137,OPPowerPrices,(IF(BMO=2,7,IF(BMO=1,6,8))),FALSE())))</f>
        <v> </v>
      </c>
      <c r="R137" s="429" t="str">
        <f aca="false">IF(A137="N/A"," ",(VLOOKUP(A137,GasCurves,9,FALSE()))+IF(BMO=1,Gasbmo,IF(BMO=3,-Gasbmo,0)))</f>
        <v> </v>
      </c>
      <c r="S137" s="429" t="str">
        <f aca="false">IF(A137="N/A"," ",IF(Basischeck=TRUE(),(VLOOKUP(A137,GasCurves,IF(MONTH(A137)&gt;=4,IF(MONTH(A137)&lt;=10,11,12),12),FALSE())),0))</f>
        <v> </v>
      </c>
      <c r="T137" s="429" t="str">
        <f aca="false">IF(A137="N/A"," ",(IF(MONTH(A137)&gt;=4,IF(MONTH(A137)&lt;=10,Inputs!$H$2,Inputs!$H$3),Inputs!$H$3)))</f>
        <v> </v>
      </c>
      <c r="U137" s="430" t="str">
        <f aca="false">IF(A137="N/A"," ",(VLOOKUP($A137,InterestRatesTable,2)))</f>
        <v> </v>
      </c>
      <c r="AF137" s="384" t="n">
        <v>40603</v>
      </c>
      <c r="AG137" s="36" t="n">
        <v>23</v>
      </c>
      <c r="AH137" s="36" t="n">
        <v>4</v>
      </c>
      <c r="AI137" s="36" t="n">
        <v>4</v>
      </c>
      <c r="AJ137" s="36" t="n">
        <v>0</v>
      </c>
      <c r="AK137" s="36" t="n">
        <v>31</v>
      </c>
    </row>
    <row r="138" customFormat="false" ht="12.75" hidden="false" customHeight="false" outlineLevel="0" collapsed="false">
      <c r="A138" s="420" t="str">
        <f aca="false">Calculations!A105</f>
        <v>N/A</v>
      </c>
      <c r="B138" s="421" t="str">
        <f aca="false">IF(A138="N/A"," ",IF(ISERROR(N138),B126*Pwresc,N138)*VLOOKUP(MONTH(A138),Curveadj,3))</f>
        <v> </v>
      </c>
      <c r="C138" s="422" t="str">
        <f aca="false">IF(A138="N/A"," ",(IF(AND(MONTH(A138)&gt;=6,MONTH(A138)&lt;=8,OR($M$37="REGION 2",$M$37="REGION 2A",$M$37="REGION 2B",$M$37="REGION 3",$M$37="REGION 3A",$M$37="REGION 3B",$M$37="REGION 4",$M$37="REGION 4B",$M$37="REGION 4C",$M$37="REGION 5",$M$37="REGION 5A")),((0.059228/(B138/100))-(0.4980013/(SQRT(B138/100)))+2.137988),HLOOKUP(MONTH(A138),ScalarTable,28))))</f>
        <v> </v>
      </c>
      <c r="D138" s="423" t="str">
        <f aca="false">IF(A138="N/A"," ",C138*B138)</f>
        <v> </v>
      </c>
      <c r="E138" s="421" t="str">
        <f aca="false">IF(A138="N/A"," ",IF(ISERROR(O138),E126*Pwresc,O138)*VLOOKUP(MONTH(A138),Curveadj,3))</f>
        <v> </v>
      </c>
      <c r="F138" s="423" t="str">
        <f aca="false">IF(A138="N/A"," ",E138*C138)</f>
        <v> </v>
      </c>
      <c r="G138" s="421" t="str">
        <f aca="false">IF(A138="N/A"," ",IF(ISERROR(P138),G126*Pwresc,P138)*VLOOKUP(MONTH(A138),Curveadj,3))</f>
        <v> </v>
      </c>
      <c r="H138" s="423" t="str">
        <f aca="false">IF(A138="N/A"," ",G138*C138)</f>
        <v> </v>
      </c>
      <c r="I138" s="423" t="str">
        <f aca="false">IF(A138="N/A"," ",IF(ISERROR(Q138),I126*Pwresc,Q138))</f>
        <v> </v>
      </c>
      <c r="J138" s="424" t="str">
        <f aca="false">IF(A138="N/A"," ",K138+L138+T138)</f>
        <v> </v>
      </c>
      <c r="K138" s="425" t="str">
        <f aca="false">IF(A138="N/A"," ",IF(ISERROR(R138),K126*Gasesc,R138))</f>
        <v> </v>
      </c>
      <c r="L138" s="425" t="str">
        <f aca="false">IF(A138="N/A"," ",IF(ISERROR(S138),L126*Gasesc,IF(S138=0,L126*Gasesc,S138)))</f>
        <v> </v>
      </c>
      <c r="M138" s="431"/>
      <c r="N138" s="427" t="str">
        <f aca="false">IF(A138="N/A"," ",VLOOKUP(A138,PeakPowerCurves,(IF(BMO=2,3,IF(BMO=1,2,4))),FALSE()))</f>
        <v> </v>
      </c>
      <c r="O138" s="427" t="str">
        <f aca="false">IF(A138="N/A"," ",VLOOKUP(A138,SatSunPeakPwr,(IF(BMO=2,3,IF(BMO=1,2,4))),FALSE()))</f>
        <v> </v>
      </c>
      <c r="P138" s="427" t="str">
        <f aca="false">IF(A138="N/A"," ",VLOOKUP(A138,SatSunPeakPwr,(IF(BMO=2,7,IF(BMO=1,6,8))),FALSE()))</f>
        <v> </v>
      </c>
      <c r="Q138" s="428" t="str">
        <f aca="false">IF(A138="N/A"," ",(VLOOKUP(A138,OPPowerPrices,(IF(BMO=2,7,IF(BMO=1,6,8))),FALSE())))</f>
        <v> </v>
      </c>
      <c r="R138" s="429" t="str">
        <f aca="false">IF(A138="N/A"," ",(VLOOKUP(A138,GasCurves,9,FALSE()))+IF(BMO=1,Gasbmo,IF(BMO=3,-Gasbmo,0)))</f>
        <v> </v>
      </c>
      <c r="S138" s="429" t="str">
        <f aca="false">IF(A138="N/A"," ",IF(Basischeck=TRUE(),(VLOOKUP(A138,GasCurves,IF(MONTH(A138)&gt;=4,IF(MONTH(A138)&lt;=10,11,12),12),FALSE())),0))</f>
        <v> </v>
      </c>
      <c r="T138" s="429" t="str">
        <f aca="false">IF(A138="N/A"," ",(IF(MONTH(A138)&gt;=4,IF(MONTH(A138)&lt;=10,Inputs!$H$2,Inputs!$H$3),Inputs!$H$3)))</f>
        <v> </v>
      </c>
      <c r="U138" s="430" t="str">
        <f aca="false">IF(A138="N/A"," ",(VLOOKUP($A138,InterestRatesTable,2)))</f>
        <v> </v>
      </c>
      <c r="AF138" s="384" t="n">
        <v>40634</v>
      </c>
      <c r="AG138" s="36" t="n">
        <v>21</v>
      </c>
      <c r="AH138" s="36" t="n">
        <v>5</v>
      </c>
      <c r="AI138" s="36" t="n">
        <v>4</v>
      </c>
      <c r="AJ138" s="36" t="n">
        <v>0</v>
      </c>
      <c r="AK138" s="36" t="n">
        <v>30</v>
      </c>
    </row>
    <row r="139" customFormat="false" ht="12.75" hidden="false" customHeight="false" outlineLevel="0" collapsed="false">
      <c r="A139" s="420" t="str">
        <f aca="false">Calculations!A106</f>
        <v>N/A</v>
      </c>
      <c r="B139" s="421" t="str">
        <f aca="false">IF(A139="N/A"," ",IF(ISERROR(N139),B127*Pwresc,N139)*VLOOKUP(MONTH(A139),Curveadj,3))</f>
        <v> </v>
      </c>
      <c r="C139" s="422" t="str">
        <f aca="false">IF(A139="N/A"," ",(IF(AND(MONTH(A139)&gt;=6,MONTH(A139)&lt;=8,OR($M$37="REGION 2",$M$37="REGION 2A",$M$37="REGION 2B",$M$37="REGION 3",$M$37="REGION 3A",$M$37="REGION 3B",$M$37="REGION 4",$M$37="REGION 4B",$M$37="REGION 4C",$M$37="REGION 5",$M$37="REGION 5A")),((0.059228/(B139/100))-(0.4980013/(SQRT(B139/100)))+2.137988),HLOOKUP(MONTH(A139),ScalarTable,28))))</f>
        <v> </v>
      </c>
      <c r="D139" s="423" t="str">
        <f aca="false">IF(A139="N/A"," ",C139*B139)</f>
        <v> </v>
      </c>
      <c r="E139" s="421" t="str">
        <f aca="false">IF(A139="N/A"," ",IF(ISERROR(O139),E127*Pwresc,O139)*VLOOKUP(MONTH(A139),Curveadj,3))</f>
        <v> </v>
      </c>
      <c r="F139" s="423" t="str">
        <f aca="false">IF(A139="N/A"," ",E139*C139)</f>
        <v> </v>
      </c>
      <c r="G139" s="421" t="str">
        <f aca="false">IF(A139="N/A"," ",IF(ISERROR(P139),G127*Pwresc,P139)*VLOOKUP(MONTH(A139),Curveadj,3))</f>
        <v> </v>
      </c>
      <c r="H139" s="423" t="str">
        <f aca="false">IF(A139="N/A"," ",G139*C139)</f>
        <v> </v>
      </c>
      <c r="I139" s="423" t="str">
        <f aca="false">IF(A139="N/A"," ",IF(ISERROR(Q139),I127*Pwresc,Q139))</f>
        <v> </v>
      </c>
      <c r="J139" s="424" t="str">
        <f aca="false">IF(A139="N/A"," ",K139+L139+T139)</f>
        <v> </v>
      </c>
      <c r="K139" s="425" t="str">
        <f aca="false">IF(A139="N/A"," ",IF(ISERROR(R139),K127*Gasesc,R139))</f>
        <v> </v>
      </c>
      <c r="L139" s="425" t="str">
        <f aca="false">IF(A139="N/A"," ",IF(ISERROR(S139),L127*Gasesc,IF(S139=0,L127*Gasesc,S139)))</f>
        <v> </v>
      </c>
      <c r="M139" s="431"/>
      <c r="N139" s="427" t="str">
        <f aca="false">IF(A139="N/A"," ",VLOOKUP(A139,PeakPowerCurves,(IF(BMO=2,3,IF(BMO=1,2,4))),FALSE()))</f>
        <v> </v>
      </c>
      <c r="O139" s="427" t="str">
        <f aca="false">IF(A139="N/A"," ",VLOOKUP(A139,SatSunPeakPwr,(IF(BMO=2,3,IF(BMO=1,2,4))),FALSE()))</f>
        <v> </v>
      </c>
      <c r="P139" s="427" t="str">
        <f aca="false">IF(A139="N/A"," ",VLOOKUP(A139,SatSunPeakPwr,(IF(BMO=2,7,IF(BMO=1,6,8))),FALSE()))</f>
        <v> </v>
      </c>
      <c r="Q139" s="428" t="str">
        <f aca="false">IF(A139="N/A"," ",(VLOOKUP(A139,OPPowerPrices,(IF(BMO=2,7,IF(BMO=1,6,8))),FALSE())))</f>
        <v> </v>
      </c>
      <c r="R139" s="429" t="str">
        <f aca="false">IF(A139="N/A"," ",(VLOOKUP(A139,GasCurves,9,FALSE()))+IF(BMO=1,Gasbmo,IF(BMO=3,-Gasbmo,0)))</f>
        <v> </v>
      </c>
      <c r="S139" s="429" t="str">
        <f aca="false">IF(A139="N/A"," ",IF(Basischeck=TRUE(),(VLOOKUP(A139,GasCurves,IF(MONTH(A139)&gt;=4,IF(MONTH(A139)&lt;=10,11,12),12),FALSE())),0))</f>
        <v> </v>
      </c>
      <c r="T139" s="429" t="str">
        <f aca="false">IF(A139="N/A"," ",(IF(MONTH(A139)&gt;=4,IF(MONTH(A139)&lt;=10,Inputs!$H$2,Inputs!$H$3),Inputs!$H$3)))</f>
        <v> </v>
      </c>
      <c r="U139" s="430" t="str">
        <f aca="false">IF(A139="N/A"," ",(VLOOKUP($A139,InterestRatesTable,2)))</f>
        <v> </v>
      </c>
      <c r="AF139" s="384" t="n">
        <v>40664</v>
      </c>
      <c r="AG139" s="36" t="n">
        <v>21</v>
      </c>
      <c r="AH139" s="36" t="n">
        <v>4</v>
      </c>
      <c r="AI139" s="36" t="n">
        <v>6</v>
      </c>
      <c r="AJ139" s="36" t="n">
        <v>1</v>
      </c>
      <c r="AK139" s="36" t="n">
        <v>31</v>
      </c>
    </row>
    <row r="140" customFormat="false" ht="12.75" hidden="false" customHeight="false" outlineLevel="0" collapsed="false">
      <c r="A140" s="420" t="str">
        <f aca="false">Calculations!A107</f>
        <v>N/A</v>
      </c>
      <c r="B140" s="421" t="str">
        <f aca="false">IF(A140="N/A"," ",IF(ISERROR(N140),B128*Pwresc,N140)*VLOOKUP(MONTH(A140),Curveadj,3))</f>
        <v> </v>
      </c>
      <c r="C140" s="422" t="str">
        <f aca="false">IF(A140="N/A"," ",(IF(AND(MONTH(A140)&gt;=6,MONTH(A140)&lt;=8,OR($M$37="REGION 2",$M$37="REGION 2A",$M$37="REGION 2B",$M$37="REGION 3",$M$37="REGION 3A",$M$37="REGION 3B",$M$37="REGION 4",$M$37="REGION 4B",$M$37="REGION 4C",$M$37="REGION 5",$M$37="REGION 5A")),((0.059228/(B140/100))-(0.4980013/(SQRT(B140/100)))+2.137988),HLOOKUP(MONTH(A140),ScalarTable,28))))</f>
        <v> </v>
      </c>
      <c r="D140" s="423" t="str">
        <f aca="false">IF(A140="N/A"," ",C140*B140)</f>
        <v> </v>
      </c>
      <c r="E140" s="421" t="str">
        <f aca="false">IF(A140="N/A"," ",IF(ISERROR(O140),E128*Pwresc,O140)*VLOOKUP(MONTH(A140),Curveadj,3))</f>
        <v> </v>
      </c>
      <c r="F140" s="423" t="str">
        <f aca="false">IF(A140="N/A"," ",E140*C140)</f>
        <v> </v>
      </c>
      <c r="G140" s="421" t="str">
        <f aca="false">IF(A140="N/A"," ",IF(ISERROR(P140),G128*Pwresc,P140)*VLOOKUP(MONTH(A140),Curveadj,3))</f>
        <v> </v>
      </c>
      <c r="H140" s="423" t="str">
        <f aca="false">IF(A140="N/A"," ",G140*C140)</f>
        <v> </v>
      </c>
      <c r="I140" s="423" t="str">
        <f aca="false">IF(A140="N/A"," ",IF(ISERROR(Q140),I128*Pwresc,Q140))</f>
        <v> </v>
      </c>
      <c r="J140" s="424" t="str">
        <f aca="false">IF(A140="N/A"," ",K140+L140+T140)</f>
        <v> </v>
      </c>
      <c r="K140" s="425" t="str">
        <f aca="false">IF(A140="N/A"," ",IF(ISERROR(R140),K128*Gasesc,R140))</f>
        <v> </v>
      </c>
      <c r="L140" s="425" t="str">
        <f aca="false">IF(A140="N/A"," ",IF(ISERROR(S140),L128*Gasesc,IF(S140=0,L128*Gasesc,S140)))</f>
        <v> </v>
      </c>
      <c r="M140" s="431"/>
      <c r="N140" s="427" t="str">
        <f aca="false">IF(A140="N/A"," ",VLOOKUP(A140,PeakPowerCurves,(IF(BMO=2,3,IF(BMO=1,2,4))),FALSE()))</f>
        <v> </v>
      </c>
      <c r="O140" s="427" t="str">
        <f aca="false">IF(A140="N/A"," ",VLOOKUP(A140,SatSunPeakPwr,(IF(BMO=2,3,IF(BMO=1,2,4))),FALSE()))</f>
        <v> </v>
      </c>
      <c r="P140" s="427" t="str">
        <f aca="false">IF(A140="N/A"," ",VLOOKUP(A140,SatSunPeakPwr,(IF(BMO=2,7,IF(BMO=1,6,8))),FALSE()))</f>
        <v> </v>
      </c>
      <c r="Q140" s="428" t="str">
        <f aca="false">IF(A140="N/A"," ",(VLOOKUP(A140,OPPowerPrices,(IF(BMO=2,7,IF(BMO=1,6,8))),FALSE())))</f>
        <v> </v>
      </c>
      <c r="R140" s="429" t="str">
        <f aca="false">IF(A140="N/A"," ",(VLOOKUP(A140,GasCurves,9,FALSE()))+IF(BMO=1,Gasbmo,IF(BMO=3,-Gasbmo,0)))</f>
        <v> </v>
      </c>
      <c r="S140" s="429" t="str">
        <f aca="false">IF(A140="N/A"," ",IF(Basischeck=TRUE(),(VLOOKUP(A140,GasCurves,IF(MONTH(A140)&gt;=4,IF(MONTH(A140)&lt;=10,11,12),12),FALSE())),0))</f>
        <v> </v>
      </c>
      <c r="T140" s="429" t="str">
        <f aca="false">IF(A140="N/A"," ",(IF(MONTH(A140)&gt;=4,IF(MONTH(A140)&lt;=10,Inputs!$H$2,Inputs!$H$3),Inputs!$H$3)))</f>
        <v> </v>
      </c>
      <c r="U140" s="430" t="str">
        <f aca="false">IF(A140="N/A"," ",(VLOOKUP($A140,InterestRatesTable,2)))</f>
        <v> </v>
      </c>
      <c r="AF140" s="384" t="n">
        <v>40695</v>
      </c>
      <c r="AG140" s="36" t="n">
        <v>22</v>
      </c>
      <c r="AH140" s="36" t="n">
        <v>4</v>
      </c>
      <c r="AI140" s="36" t="n">
        <v>4</v>
      </c>
      <c r="AJ140" s="36" t="n">
        <v>0</v>
      </c>
      <c r="AK140" s="36" t="n">
        <v>30</v>
      </c>
    </row>
    <row r="141" customFormat="false" ht="12.75" hidden="false" customHeight="false" outlineLevel="0" collapsed="false">
      <c r="A141" s="420" t="str">
        <f aca="false">Calculations!A108</f>
        <v>N/A</v>
      </c>
      <c r="B141" s="421" t="str">
        <f aca="false">IF(A141="N/A"," ",IF(ISERROR(N141),B129*Pwresc,N141)*VLOOKUP(MONTH(A141),Curveadj,3))</f>
        <v> </v>
      </c>
      <c r="C141" s="422" t="str">
        <f aca="false">IF(A141="N/A"," ",(IF(AND(MONTH(A141)&gt;=6,MONTH(A141)&lt;=8,OR($M$37="REGION 2",$M$37="REGION 2A",$M$37="REGION 2B",$M$37="REGION 3",$M$37="REGION 3A",$M$37="REGION 3B",$M$37="REGION 4",$M$37="REGION 4B",$M$37="REGION 4C",$M$37="REGION 5",$M$37="REGION 5A")),((0.059228/(B141/100))-(0.4980013/(SQRT(B141/100)))+2.137988),HLOOKUP(MONTH(A141),ScalarTable,28))))</f>
        <v> </v>
      </c>
      <c r="D141" s="423" t="str">
        <f aca="false">IF(A141="N/A"," ",C141*B141)</f>
        <v> </v>
      </c>
      <c r="E141" s="421" t="str">
        <f aca="false">IF(A141="N/A"," ",IF(ISERROR(O141),E129*Pwresc,O141)*VLOOKUP(MONTH(A141),Curveadj,3))</f>
        <v> </v>
      </c>
      <c r="F141" s="423" t="str">
        <f aca="false">IF(A141="N/A"," ",E141*C141)</f>
        <v> </v>
      </c>
      <c r="G141" s="421" t="str">
        <f aca="false">IF(A141="N/A"," ",IF(ISERROR(P141),G129*Pwresc,P141)*VLOOKUP(MONTH(A141),Curveadj,3))</f>
        <v> </v>
      </c>
      <c r="H141" s="423" t="str">
        <f aca="false">IF(A141="N/A"," ",G141*C141)</f>
        <v> </v>
      </c>
      <c r="I141" s="423" t="str">
        <f aca="false">IF(A141="N/A"," ",IF(ISERROR(Q141),I129*Pwresc,Q141))</f>
        <v> </v>
      </c>
      <c r="J141" s="424" t="str">
        <f aca="false">IF(A141="N/A"," ",K141+L141+T141)</f>
        <v> </v>
      </c>
      <c r="K141" s="425" t="str">
        <f aca="false">IF(A141="N/A"," ",IF(ISERROR(R141),K129*Gasesc,R141))</f>
        <v> </v>
      </c>
      <c r="L141" s="425" t="str">
        <f aca="false">IF(A141="N/A"," ",IF(ISERROR(S141),L129*Gasesc,IF(S141=0,L129*Gasesc,S141)))</f>
        <v> </v>
      </c>
      <c r="M141" s="431"/>
      <c r="N141" s="427" t="str">
        <f aca="false">IF(A141="N/A"," ",VLOOKUP(A141,PeakPowerCurves,(IF(BMO=2,3,IF(BMO=1,2,4))),FALSE()))</f>
        <v> </v>
      </c>
      <c r="O141" s="427" t="str">
        <f aca="false">IF(A141="N/A"," ",VLOOKUP(A141,SatSunPeakPwr,(IF(BMO=2,3,IF(BMO=1,2,4))),FALSE()))</f>
        <v> </v>
      </c>
      <c r="P141" s="427" t="str">
        <f aca="false">IF(A141="N/A"," ",VLOOKUP(A141,SatSunPeakPwr,(IF(BMO=2,7,IF(BMO=1,6,8))),FALSE()))</f>
        <v> </v>
      </c>
      <c r="Q141" s="428" t="str">
        <f aca="false">IF(A141="N/A"," ",(VLOOKUP(A141,OPPowerPrices,(IF(BMO=2,7,IF(BMO=1,6,8))),FALSE())))</f>
        <v> </v>
      </c>
      <c r="R141" s="429" t="str">
        <f aca="false">IF(A141="N/A"," ",(VLOOKUP(A141,GasCurves,9,FALSE()))+IF(BMO=1,Gasbmo,IF(BMO=3,-Gasbmo,0)))</f>
        <v> </v>
      </c>
      <c r="S141" s="429" t="str">
        <f aca="false">IF(A141="N/A"," ",IF(Basischeck=TRUE(),(VLOOKUP(A141,GasCurves,IF(MONTH(A141)&gt;=4,IF(MONTH(A141)&lt;=10,11,12),12),FALSE())),0))</f>
        <v> </v>
      </c>
      <c r="T141" s="429" t="str">
        <f aca="false">IF(A141="N/A"," ",(IF(MONTH(A141)&gt;=4,IF(MONTH(A141)&lt;=10,Inputs!$H$2,Inputs!$H$3),Inputs!$H$3)))</f>
        <v> </v>
      </c>
      <c r="U141" s="430" t="str">
        <f aca="false">IF(A141="N/A"," ",(VLOOKUP($A141,InterestRatesTable,2)))</f>
        <v> </v>
      </c>
      <c r="AF141" s="384" t="n">
        <v>40725</v>
      </c>
      <c r="AG141" s="36" t="n">
        <v>20</v>
      </c>
      <c r="AH141" s="36" t="n">
        <v>5</v>
      </c>
      <c r="AI141" s="36" t="n">
        <v>6</v>
      </c>
      <c r="AJ141" s="36" t="n">
        <v>1</v>
      </c>
      <c r="AK141" s="36" t="n">
        <v>31</v>
      </c>
    </row>
    <row r="142" customFormat="false" ht="12.75" hidden="false" customHeight="false" outlineLevel="0" collapsed="false">
      <c r="A142" s="420" t="str">
        <f aca="false">Calculations!A109</f>
        <v>N/A</v>
      </c>
      <c r="B142" s="421" t="str">
        <f aca="false">IF(A142="N/A"," ",IF(ISERROR(N142),B130*Pwresc,N142)*VLOOKUP(MONTH(A142),Curveadj,3))</f>
        <v> </v>
      </c>
      <c r="C142" s="422" t="str">
        <f aca="false">IF(A142="N/A"," ",(IF(AND(MONTH(A142)&gt;=6,MONTH(A142)&lt;=8,OR($M$37="REGION 2",$M$37="REGION 2A",$M$37="REGION 2B",$M$37="REGION 3",$M$37="REGION 3A",$M$37="REGION 3B",$M$37="REGION 4",$M$37="REGION 4B",$M$37="REGION 4C",$M$37="REGION 5",$M$37="REGION 5A")),((0.059228/(B142/100))-(0.4980013/(SQRT(B142/100)))+2.137988),HLOOKUP(MONTH(A142),ScalarTable,28))))</f>
        <v> </v>
      </c>
      <c r="D142" s="423" t="str">
        <f aca="false">IF(A142="N/A"," ",C142*B142)</f>
        <v> </v>
      </c>
      <c r="E142" s="421" t="str">
        <f aca="false">IF(A142="N/A"," ",IF(ISERROR(O142),E130*Pwresc,O142)*VLOOKUP(MONTH(A142),Curveadj,3))</f>
        <v> </v>
      </c>
      <c r="F142" s="423" t="str">
        <f aca="false">IF(A142="N/A"," ",E142*C142)</f>
        <v> </v>
      </c>
      <c r="G142" s="421" t="str">
        <f aca="false">IF(A142="N/A"," ",IF(ISERROR(P142),G130*Pwresc,P142)*VLOOKUP(MONTH(A142),Curveadj,3))</f>
        <v> </v>
      </c>
      <c r="H142" s="423" t="str">
        <f aca="false">IF(A142="N/A"," ",G142*C142)</f>
        <v> </v>
      </c>
      <c r="I142" s="423" t="str">
        <f aca="false">IF(A142="N/A"," ",IF(ISERROR(Q142),I130*Pwresc,Q142))</f>
        <v> </v>
      </c>
      <c r="J142" s="424" t="str">
        <f aca="false">IF(A142="N/A"," ",K142+L142+T142)</f>
        <v> </v>
      </c>
      <c r="K142" s="425" t="str">
        <f aca="false">IF(A142="N/A"," ",IF(ISERROR(R142),K130*Gasesc,R142))</f>
        <v> </v>
      </c>
      <c r="L142" s="425" t="str">
        <f aca="false">IF(A142="N/A"," ",IF(ISERROR(S142),L130*Gasesc,IF(S142=0,L130*Gasesc,S142)))</f>
        <v> </v>
      </c>
      <c r="M142" s="431"/>
      <c r="N142" s="427" t="str">
        <f aca="false">IF(A142="N/A"," ",VLOOKUP(A142,PeakPowerCurves,(IF(BMO=2,3,IF(BMO=1,2,4))),FALSE()))</f>
        <v> </v>
      </c>
      <c r="O142" s="427" t="str">
        <f aca="false">IF(A142="N/A"," ",VLOOKUP(A142,SatSunPeakPwr,(IF(BMO=2,3,IF(BMO=1,2,4))),FALSE()))</f>
        <v> </v>
      </c>
      <c r="P142" s="427" t="str">
        <f aca="false">IF(A142="N/A"," ",VLOOKUP(A142,SatSunPeakPwr,(IF(BMO=2,7,IF(BMO=1,6,8))),FALSE()))</f>
        <v> </v>
      </c>
      <c r="Q142" s="428" t="str">
        <f aca="false">IF(A142="N/A"," ",(VLOOKUP(A142,OPPowerPrices,(IF(BMO=2,7,IF(BMO=1,6,8))),FALSE())))</f>
        <v> </v>
      </c>
      <c r="R142" s="429" t="str">
        <f aca="false">IF(A142="N/A"," ",(VLOOKUP(A142,GasCurves,9,FALSE()))+IF(BMO=1,Gasbmo,IF(BMO=3,-Gasbmo,0)))</f>
        <v> </v>
      </c>
      <c r="S142" s="429" t="str">
        <f aca="false">IF(A142="N/A"," ",IF(Basischeck=TRUE(),(VLOOKUP(A142,GasCurves,IF(MONTH(A142)&gt;=4,IF(MONTH(A142)&lt;=10,11,12),12),FALSE())),0))</f>
        <v> </v>
      </c>
      <c r="T142" s="429" t="str">
        <f aca="false">IF(A142="N/A"," ",(IF(MONTH(A142)&gt;=4,IF(MONTH(A142)&lt;=10,Inputs!$H$2,Inputs!$H$3),Inputs!$H$3)))</f>
        <v> </v>
      </c>
      <c r="U142" s="430" t="str">
        <f aca="false">IF(A142="N/A"," ",(VLOOKUP($A142,InterestRatesTable,2)))</f>
        <v> </v>
      </c>
      <c r="AF142" s="384" t="n">
        <v>40756</v>
      </c>
      <c r="AG142" s="36" t="n">
        <v>23</v>
      </c>
      <c r="AH142" s="36" t="n">
        <v>4</v>
      </c>
      <c r="AI142" s="36" t="n">
        <v>4</v>
      </c>
      <c r="AJ142" s="36" t="n">
        <v>0</v>
      </c>
      <c r="AK142" s="36" t="n">
        <v>31</v>
      </c>
    </row>
    <row r="143" customFormat="false" ht="12.75" hidden="false" customHeight="false" outlineLevel="0" collapsed="false">
      <c r="A143" s="420" t="str">
        <f aca="false">Calculations!A110</f>
        <v>N/A</v>
      </c>
      <c r="B143" s="421" t="str">
        <f aca="false">IF(A143="N/A"," ",IF(ISERROR(N143),B131*Pwresc,N143)*VLOOKUP(MONTH(A143),Curveadj,3))</f>
        <v> </v>
      </c>
      <c r="C143" s="422" t="str">
        <f aca="false">IF(A143="N/A"," ",(IF(AND(MONTH(A143)&gt;=6,MONTH(A143)&lt;=8,OR($M$37="REGION 2",$M$37="REGION 2A",$M$37="REGION 2B",$M$37="REGION 3",$M$37="REGION 3A",$M$37="REGION 3B",$M$37="REGION 4",$M$37="REGION 4B",$M$37="REGION 4C",$M$37="REGION 5",$M$37="REGION 5A")),((0.059228/(B143/100))-(0.4980013/(SQRT(B143/100)))+2.137988),HLOOKUP(MONTH(A143),ScalarTable,28))))</f>
        <v> </v>
      </c>
      <c r="D143" s="423" t="str">
        <f aca="false">IF(A143="N/A"," ",C143*B143)</f>
        <v> </v>
      </c>
      <c r="E143" s="421" t="str">
        <f aca="false">IF(A143="N/A"," ",IF(ISERROR(O143),E131*Pwresc,O143)*VLOOKUP(MONTH(A143),Curveadj,3))</f>
        <v> </v>
      </c>
      <c r="F143" s="423" t="str">
        <f aca="false">IF(A143="N/A"," ",E143*C143)</f>
        <v> </v>
      </c>
      <c r="G143" s="421" t="str">
        <f aca="false">IF(A143="N/A"," ",IF(ISERROR(P143),G131*Pwresc,P143)*VLOOKUP(MONTH(A143),Curveadj,3))</f>
        <v> </v>
      </c>
      <c r="H143" s="423" t="str">
        <f aca="false">IF(A143="N/A"," ",G143*C143)</f>
        <v> </v>
      </c>
      <c r="I143" s="423" t="str">
        <f aca="false">IF(A143="N/A"," ",IF(ISERROR(Q143),I131*Pwresc,Q143))</f>
        <v> </v>
      </c>
      <c r="J143" s="424" t="str">
        <f aca="false">IF(A143="N/A"," ",K143+L143+T143)</f>
        <v> </v>
      </c>
      <c r="K143" s="425" t="str">
        <f aca="false">IF(A143="N/A"," ",IF(ISERROR(R143),K131*Gasesc,R143))</f>
        <v> </v>
      </c>
      <c r="L143" s="425" t="str">
        <f aca="false">IF(A143="N/A"," ",IF(ISERROR(S143),L131*Gasesc,IF(S143=0,L131*Gasesc,S143)))</f>
        <v> </v>
      </c>
      <c r="M143" s="431"/>
      <c r="N143" s="427" t="str">
        <f aca="false">IF(A143="N/A"," ",VLOOKUP(A143,PeakPowerCurves,(IF(BMO=2,3,IF(BMO=1,2,4))),FALSE()))</f>
        <v> </v>
      </c>
      <c r="O143" s="427" t="str">
        <f aca="false">IF(A143="N/A"," ",VLOOKUP(A143,SatSunPeakPwr,(IF(BMO=2,3,IF(BMO=1,2,4))),FALSE()))</f>
        <v> </v>
      </c>
      <c r="P143" s="427" t="str">
        <f aca="false">IF(A143="N/A"," ",VLOOKUP(A143,SatSunPeakPwr,(IF(BMO=2,7,IF(BMO=1,6,8))),FALSE()))</f>
        <v> </v>
      </c>
      <c r="Q143" s="428" t="str">
        <f aca="false">IF(A143="N/A"," ",(VLOOKUP(A143,OPPowerPrices,(IF(BMO=2,7,IF(BMO=1,6,8))),FALSE())))</f>
        <v> </v>
      </c>
      <c r="R143" s="429" t="str">
        <f aca="false">IF(A143="N/A"," ",(VLOOKUP(A143,GasCurves,9,FALSE()))+IF(BMO=1,Gasbmo,IF(BMO=3,-Gasbmo,0)))</f>
        <v> </v>
      </c>
      <c r="S143" s="429" t="str">
        <f aca="false">IF(A143="N/A"," ",IF(Basischeck=TRUE(),(VLOOKUP(A143,GasCurves,IF(MONTH(A143)&gt;=4,IF(MONTH(A143)&lt;=10,11,12),12),FALSE())),0))</f>
        <v> </v>
      </c>
      <c r="T143" s="429" t="str">
        <f aca="false">IF(A143="N/A"," ",(IF(MONTH(A143)&gt;=4,IF(MONTH(A143)&lt;=10,Inputs!$H$2,Inputs!$H$3),Inputs!$H$3)))</f>
        <v> </v>
      </c>
      <c r="U143" s="430" t="str">
        <f aca="false">IF(A143="N/A"," ",(VLOOKUP($A143,InterestRatesTable,2)))</f>
        <v> </v>
      </c>
      <c r="AF143" s="384" t="n">
        <v>40787</v>
      </c>
      <c r="AG143" s="36" t="n">
        <v>21</v>
      </c>
      <c r="AH143" s="36" t="n">
        <v>4</v>
      </c>
      <c r="AI143" s="36" t="n">
        <v>5</v>
      </c>
      <c r="AJ143" s="36" t="n">
        <v>1</v>
      </c>
      <c r="AK143" s="36" t="n">
        <v>30</v>
      </c>
    </row>
    <row r="144" customFormat="false" ht="12.75" hidden="false" customHeight="false" outlineLevel="0" collapsed="false">
      <c r="A144" s="420" t="str">
        <f aca="false">Calculations!A111</f>
        <v>N/A</v>
      </c>
      <c r="B144" s="421" t="str">
        <f aca="false">IF(A144="N/A"," ",IF(ISERROR(N144),B132*Pwresc,N144)*VLOOKUP(MONTH(A144),Curveadj,3))</f>
        <v> </v>
      </c>
      <c r="C144" s="422" t="str">
        <f aca="false">IF(A144="N/A"," ",(IF(AND(MONTH(A144)&gt;=6,MONTH(A144)&lt;=8,OR($M$37="REGION 2",$M$37="REGION 2A",$M$37="REGION 2B",$M$37="REGION 3",$M$37="REGION 3A",$M$37="REGION 3B",$M$37="REGION 4",$M$37="REGION 4B",$M$37="REGION 4C",$M$37="REGION 5",$M$37="REGION 5A")),((0.059228/(B144/100))-(0.4980013/(SQRT(B144/100)))+2.137988),HLOOKUP(MONTH(A144),ScalarTable,28))))</f>
        <v> </v>
      </c>
      <c r="D144" s="423" t="str">
        <f aca="false">IF(A144="N/A"," ",C144*B144)</f>
        <v> </v>
      </c>
      <c r="E144" s="421" t="str">
        <f aca="false">IF(A144="N/A"," ",IF(ISERROR(O144),E132*Pwresc,O144)*VLOOKUP(MONTH(A144),Curveadj,3))</f>
        <v> </v>
      </c>
      <c r="F144" s="423" t="str">
        <f aca="false">IF(A144="N/A"," ",E144*C144)</f>
        <v> </v>
      </c>
      <c r="G144" s="421" t="str">
        <f aca="false">IF(A144="N/A"," ",IF(ISERROR(P144),G132*Pwresc,P144)*VLOOKUP(MONTH(A144),Curveadj,3))</f>
        <v> </v>
      </c>
      <c r="H144" s="423" t="str">
        <f aca="false">IF(A144="N/A"," ",G144*C144)</f>
        <v> </v>
      </c>
      <c r="I144" s="423" t="str">
        <f aca="false">IF(A144="N/A"," ",IF(ISERROR(Q144),I132*Pwresc,Q144))</f>
        <v> </v>
      </c>
      <c r="J144" s="424" t="str">
        <f aca="false">IF(A144="N/A"," ",K144+L144+T144)</f>
        <v> </v>
      </c>
      <c r="K144" s="425" t="str">
        <f aca="false">IF(A144="N/A"," ",IF(ISERROR(R144),K132*Gasesc,R144))</f>
        <v> </v>
      </c>
      <c r="L144" s="425" t="str">
        <f aca="false">IF(A144="N/A"," ",IF(ISERROR(S144),L132*Gasesc,IF(S144=0,L132*Gasesc,S144)))</f>
        <v> </v>
      </c>
      <c r="M144" s="431"/>
      <c r="N144" s="427" t="str">
        <f aca="false">IF(A144="N/A"," ",VLOOKUP(A144,PeakPowerCurves,(IF(BMO=2,3,IF(BMO=1,2,4))),FALSE()))</f>
        <v> </v>
      </c>
      <c r="O144" s="427" t="str">
        <f aca="false">IF(A144="N/A"," ",VLOOKUP(A144,SatSunPeakPwr,(IF(BMO=2,3,IF(BMO=1,2,4))),FALSE()))</f>
        <v> </v>
      </c>
      <c r="P144" s="427" t="str">
        <f aca="false">IF(A144="N/A"," ",VLOOKUP(A144,SatSunPeakPwr,(IF(BMO=2,7,IF(BMO=1,6,8))),FALSE()))</f>
        <v> </v>
      </c>
      <c r="Q144" s="428" t="str">
        <f aca="false">IF(A144="N/A"," ",(VLOOKUP(A144,OPPowerPrices,(IF(BMO=2,7,IF(BMO=1,6,8))),FALSE())))</f>
        <v> </v>
      </c>
      <c r="R144" s="429" t="str">
        <f aca="false">IF(A144="N/A"," ",(VLOOKUP(A144,GasCurves,9,FALSE()))+IF(BMO=1,Gasbmo,IF(BMO=3,-Gasbmo,0)))</f>
        <v> </v>
      </c>
      <c r="S144" s="429" t="str">
        <f aca="false">IF(A144="N/A"," ",IF(Basischeck=TRUE(),(VLOOKUP(A144,GasCurves,IF(MONTH(A144)&gt;=4,IF(MONTH(A144)&lt;=10,11,12),12),FALSE())),0))</f>
        <v> </v>
      </c>
      <c r="T144" s="429" t="str">
        <f aca="false">IF(A144="N/A"," ",(IF(MONTH(A144)&gt;=4,IF(MONTH(A144)&lt;=10,Inputs!$H$2,Inputs!$H$3),Inputs!$H$3)))</f>
        <v> </v>
      </c>
      <c r="U144" s="430" t="str">
        <f aca="false">IF(A144="N/A"," ",(VLOOKUP($A144,InterestRatesTable,2)))</f>
        <v> </v>
      </c>
      <c r="AF144" s="384" t="n">
        <v>40817</v>
      </c>
      <c r="AG144" s="36" t="n">
        <v>21</v>
      </c>
      <c r="AH144" s="36" t="n">
        <v>5</v>
      </c>
      <c r="AI144" s="36" t="n">
        <v>5</v>
      </c>
      <c r="AJ144" s="36" t="n">
        <v>0</v>
      </c>
      <c r="AK144" s="36" t="n">
        <v>31</v>
      </c>
    </row>
    <row r="145" customFormat="false" ht="12.75" hidden="false" customHeight="false" outlineLevel="0" collapsed="false">
      <c r="A145" s="420" t="str">
        <f aca="false">Calculations!A112</f>
        <v>N/A</v>
      </c>
      <c r="B145" s="421" t="str">
        <f aca="false">IF(A145="N/A"," ",IF(ISERROR(N145),B133*Pwresc,N145)*VLOOKUP(MONTH(A145),Curveadj,3))</f>
        <v> </v>
      </c>
      <c r="C145" s="422" t="str">
        <f aca="false">IF(A145="N/A"," ",(IF(AND(MONTH(A145)&gt;=6,MONTH(A145)&lt;=8,OR($M$37="REGION 2",$M$37="REGION 2A",$M$37="REGION 2B",$M$37="REGION 3",$M$37="REGION 3A",$M$37="REGION 3B",$M$37="REGION 4",$M$37="REGION 4B",$M$37="REGION 4C",$M$37="REGION 5",$M$37="REGION 5A")),((0.059228/(B145/100))-(0.4980013/(SQRT(B145/100)))+2.137988),HLOOKUP(MONTH(A145),ScalarTable,28))))</f>
        <v> </v>
      </c>
      <c r="D145" s="423" t="str">
        <f aca="false">IF(A145="N/A"," ",C145*B145)</f>
        <v> </v>
      </c>
      <c r="E145" s="421" t="str">
        <f aca="false">IF(A145="N/A"," ",IF(ISERROR(O145),E133*Pwresc,O145)*VLOOKUP(MONTH(A145),Curveadj,3))</f>
        <v> </v>
      </c>
      <c r="F145" s="423" t="str">
        <f aca="false">IF(A145="N/A"," ",E145*C145)</f>
        <v> </v>
      </c>
      <c r="G145" s="421" t="str">
        <f aca="false">IF(A145="N/A"," ",IF(ISERROR(P145),G133*Pwresc,P145)*VLOOKUP(MONTH(A145),Curveadj,3))</f>
        <v> </v>
      </c>
      <c r="H145" s="423" t="str">
        <f aca="false">IF(A145="N/A"," ",G145*C145)</f>
        <v> </v>
      </c>
      <c r="I145" s="423" t="str">
        <f aca="false">IF(A145="N/A"," ",IF(ISERROR(Q145),I133*Pwresc,Q145))</f>
        <v> </v>
      </c>
      <c r="J145" s="424" t="str">
        <f aca="false">IF(A145="N/A"," ",K145+L145+T145)</f>
        <v> </v>
      </c>
      <c r="K145" s="425" t="str">
        <f aca="false">IF(A145="N/A"," ",IF(ISERROR(R145),K133*Gasesc,R145))</f>
        <v> </v>
      </c>
      <c r="L145" s="425" t="str">
        <f aca="false">IF(A145="N/A"," ",IF(ISERROR(S145),L133*Gasesc,IF(S145=0,L133*Gasesc,S145)))</f>
        <v> </v>
      </c>
      <c r="M145" s="431"/>
      <c r="N145" s="427" t="str">
        <f aca="false">IF(A145="N/A"," ",VLOOKUP(A145,PeakPowerCurves,(IF(BMO=2,3,IF(BMO=1,2,4))),FALSE()))</f>
        <v> </v>
      </c>
      <c r="O145" s="427" t="str">
        <f aca="false">IF(A145="N/A"," ",VLOOKUP(A145,SatSunPeakPwr,(IF(BMO=2,3,IF(BMO=1,2,4))),FALSE()))</f>
        <v> </v>
      </c>
      <c r="P145" s="427" t="str">
        <f aca="false">IF(A145="N/A"," ",VLOOKUP(A145,SatSunPeakPwr,(IF(BMO=2,7,IF(BMO=1,6,8))),FALSE()))</f>
        <v> </v>
      </c>
      <c r="Q145" s="428" t="str">
        <f aca="false">IF(A145="N/A"," ",(VLOOKUP(A145,OPPowerPrices,(IF(BMO=2,7,IF(BMO=1,6,8))),FALSE())))</f>
        <v> </v>
      </c>
      <c r="R145" s="429" t="str">
        <f aca="false">IF(A145="N/A"," ",(VLOOKUP(A145,GasCurves,9,FALSE()))+IF(BMO=1,Gasbmo,IF(BMO=3,-Gasbmo,0)))</f>
        <v> </v>
      </c>
      <c r="S145" s="429" t="str">
        <f aca="false">IF(A145="N/A"," ",IF(Basischeck=TRUE(),(VLOOKUP(A145,GasCurves,IF(MONTH(A145)&gt;=4,IF(MONTH(A145)&lt;=10,11,12),12),FALSE())),0))</f>
        <v> </v>
      </c>
      <c r="T145" s="429" t="str">
        <f aca="false">IF(A145="N/A"," ",(IF(MONTH(A145)&gt;=4,IF(MONTH(A145)&lt;=10,Inputs!$H$2,Inputs!$H$3),Inputs!$H$3)))</f>
        <v> </v>
      </c>
      <c r="U145" s="430" t="str">
        <f aca="false">IF(A145="N/A"," ",(VLOOKUP($A145,InterestRatesTable,2)))</f>
        <v> </v>
      </c>
      <c r="AF145" s="384" t="n">
        <v>40848</v>
      </c>
      <c r="AG145" s="36" t="n">
        <v>21</v>
      </c>
      <c r="AH145" s="36" t="n">
        <v>4</v>
      </c>
      <c r="AI145" s="36" t="n">
        <v>5</v>
      </c>
      <c r="AJ145" s="36" t="n">
        <v>1</v>
      </c>
      <c r="AK145" s="36" t="n">
        <v>30</v>
      </c>
    </row>
    <row r="146" customFormat="false" ht="12.75" hidden="false" customHeight="false" outlineLevel="0" collapsed="false">
      <c r="A146" s="420" t="str">
        <f aca="false">Calculations!A113</f>
        <v>N/A</v>
      </c>
      <c r="B146" s="421" t="str">
        <f aca="false">IF(A146="N/A"," ",IF(ISERROR(N146),B134*Pwresc,N146)*VLOOKUP(MONTH(A146),Curveadj,3))</f>
        <v> </v>
      </c>
      <c r="C146" s="422" t="str">
        <f aca="false">IF(A146="N/A"," ",(IF(AND(MONTH(A146)&gt;=6,MONTH(A146)&lt;=8,OR($M$37="REGION 2",$M$37="REGION 2A",$M$37="REGION 2B",$M$37="REGION 3",$M$37="REGION 3A",$M$37="REGION 3B",$M$37="REGION 4",$M$37="REGION 4B",$M$37="REGION 4C",$M$37="REGION 5",$M$37="REGION 5A")),((0.059228/(B146/100))-(0.4980013/(SQRT(B146/100)))+2.137988),HLOOKUP(MONTH(A146),ScalarTable,28))))</f>
        <v> </v>
      </c>
      <c r="D146" s="423" t="str">
        <f aca="false">IF(A146="N/A"," ",C146*B146)</f>
        <v> </v>
      </c>
      <c r="E146" s="421" t="str">
        <f aca="false">IF(A146="N/A"," ",IF(ISERROR(O146),E134*Pwresc,O146)*VLOOKUP(MONTH(A146),Curveadj,3))</f>
        <v> </v>
      </c>
      <c r="F146" s="423" t="str">
        <f aca="false">IF(A146="N/A"," ",E146*C146)</f>
        <v> </v>
      </c>
      <c r="G146" s="421" t="str">
        <f aca="false">IF(A146="N/A"," ",IF(ISERROR(P146),G134*Pwresc,P146)*VLOOKUP(MONTH(A146),Curveadj,3))</f>
        <v> </v>
      </c>
      <c r="H146" s="423" t="str">
        <f aca="false">IF(A146="N/A"," ",G146*C146)</f>
        <v> </v>
      </c>
      <c r="I146" s="423" t="str">
        <f aca="false">IF(A146="N/A"," ",IF(ISERROR(Q146),I134*Pwresc,Q146))</f>
        <v> </v>
      </c>
      <c r="J146" s="424" t="str">
        <f aca="false">IF(A146="N/A"," ",K146+L146+T146)</f>
        <v> </v>
      </c>
      <c r="K146" s="425" t="str">
        <f aca="false">IF(A146="N/A"," ",IF(ISERROR(R146),K134*Gasesc,R146))</f>
        <v> </v>
      </c>
      <c r="L146" s="425" t="str">
        <f aca="false">IF(A146="N/A"," ",IF(ISERROR(S146),L134*Gasesc,IF(S146=0,L134*Gasesc,S146)))</f>
        <v> </v>
      </c>
      <c r="M146" s="431"/>
      <c r="N146" s="427" t="str">
        <f aca="false">IF(A146="N/A"," ",VLOOKUP(A146,PeakPowerCurves,(IF(BMO=2,3,IF(BMO=1,2,4))),FALSE()))</f>
        <v> </v>
      </c>
      <c r="O146" s="427" t="str">
        <f aca="false">IF(A146="N/A"," ",VLOOKUP(A146,SatSunPeakPwr,(IF(BMO=2,3,IF(BMO=1,2,4))),FALSE()))</f>
        <v> </v>
      </c>
      <c r="P146" s="427" t="str">
        <f aca="false">IF(A146="N/A"," ",VLOOKUP(A146,SatSunPeakPwr,(IF(BMO=2,7,IF(BMO=1,6,8))),FALSE()))</f>
        <v> </v>
      </c>
      <c r="Q146" s="428" t="str">
        <f aca="false">IF(A146="N/A"," ",(VLOOKUP(A146,OPPowerPrices,(IF(BMO=2,7,IF(BMO=1,6,8))),FALSE())))</f>
        <v> </v>
      </c>
      <c r="R146" s="429" t="str">
        <f aca="false">IF(A146="N/A"," ",(VLOOKUP(A146,GasCurves,9,FALSE()))+IF(BMO=1,Gasbmo,IF(BMO=3,-Gasbmo,0)))</f>
        <v> </v>
      </c>
      <c r="S146" s="429" t="str">
        <f aca="false">IF(A146="N/A"," ",IF(Basischeck=TRUE(),(VLOOKUP(A146,GasCurves,IF(MONTH(A146)&gt;=4,IF(MONTH(A146)&lt;=10,11,12),12),FALSE())),0))</f>
        <v> </v>
      </c>
      <c r="T146" s="429" t="str">
        <f aca="false">IF(A146="N/A"," ",(IF(MONTH(A146)&gt;=4,IF(MONTH(A146)&lt;=10,Inputs!$H$2,Inputs!$H$3),Inputs!$H$3)))</f>
        <v> </v>
      </c>
      <c r="U146" s="430" t="str">
        <f aca="false">IF(A146="N/A"," ",(VLOOKUP($A146,InterestRatesTable,2)))</f>
        <v> </v>
      </c>
      <c r="AF146" s="384" t="n">
        <v>40878</v>
      </c>
      <c r="AG146" s="36" t="n">
        <v>21</v>
      </c>
      <c r="AH146" s="36" t="n">
        <v>5</v>
      </c>
      <c r="AI146" s="36" t="n">
        <v>5</v>
      </c>
      <c r="AJ146" s="36" t="n">
        <v>1</v>
      </c>
      <c r="AK146" s="36" t="n">
        <v>31</v>
      </c>
    </row>
    <row r="147" customFormat="false" ht="12.75" hidden="false" customHeight="false" outlineLevel="0" collapsed="false">
      <c r="A147" s="420" t="str">
        <f aca="false">Calculations!A114</f>
        <v>N/A</v>
      </c>
      <c r="B147" s="421" t="str">
        <f aca="false">IF(A147="N/A"," ",IF(ISERROR(N147),B135*Pwresc,N147)*VLOOKUP(MONTH(A147),Curveadj,3))</f>
        <v> </v>
      </c>
      <c r="C147" s="422" t="str">
        <f aca="false">IF(A147="N/A"," ",(IF(AND(MONTH(A147)&gt;=6,MONTH(A147)&lt;=8,OR($M$37="REGION 2",$M$37="REGION 2A",$M$37="REGION 2B",$M$37="REGION 3",$M$37="REGION 3A",$M$37="REGION 3B",$M$37="REGION 4",$M$37="REGION 4B",$M$37="REGION 4C",$M$37="REGION 5",$M$37="REGION 5A")),((0.059228/(B147/100))-(0.4980013/(SQRT(B147/100)))+2.137988),HLOOKUP(MONTH(A147),ScalarTable,28))))</f>
        <v> </v>
      </c>
      <c r="D147" s="423" t="str">
        <f aca="false">IF(A147="N/A"," ",C147*B147)</f>
        <v> </v>
      </c>
      <c r="E147" s="421" t="str">
        <f aca="false">IF(A147="N/A"," ",IF(ISERROR(O147),E135*Pwresc,O147)*VLOOKUP(MONTH(A147),Curveadj,3))</f>
        <v> </v>
      </c>
      <c r="F147" s="423" t="str">
        <f aca="false">IF(A147="N/A"," ",E147*C147)</f>
        <v> </v>
      </c>
      <c r="G147" s="421" t="str">
        <f aca="false">IF(A147="N/A"," ",IF(ISERROR(P147),G135*Pwresc,P147)*VLOOKUP(MONTH(A147),Curveadj,3))</f>
        <v> </v>
      </c>
      <c r="H147" s="423" t="str">
        <f aca="false">IF(A147="N/A"," ",G147*C147)</f>
        <v> </v>
      </c>
      <c r="I147" s="423" t="str">
        <f aca="false">IF(A147="N/A"," ",IF(ISERROR(Q147),I135*Pwresc,Q147))</f>
        <v> </v>
      </c>
      <c r="J147" s="424" t="str">
        <f aca="false">IF(A147="N/A"," ",K147+L147+T147)</f>
        <v> </v>
      </c>
      <c r="K147" s="425" t="str">
        <f aca="false">IF(A147="N/A"," ",IF(ISERROR(R147),K135*Gasesc,R147))</f>
        <v> </v>
      </c>
      <c r="L147" s="425" t="str">
        <f aca="false">IF(A147="N/A"," ",IF(ISERROR(S147),L135*Gasesc,IF(S147=0,L135*Gasesc,S147)))</f>
        <v> </v>
      </c>
      <c r="M147" s="431"/>
      <c r="N147" s="427" t="str">
        <f aca="false">IF(A147="N/A"," ",VLOOKUP(A147,PeakPowerCurves,(IF(BMO=2,3,IF(BMO=1,2,4))),FALSE()))</f>
        <v> </v>
      </c>
      <c r="O147" s="427" t="str">
        <f aca="false">IF(A147="N/A"," ",VLOOKUP(A147,SatSunPeakPwr,(IF(BMO=2,3,IF(BMO=1,2,4))),FALSE()))</f>
        <v> </v>
      </c>
      <c r="P147" s="427" t="str">
        <f aca="false">IF(A147="N/A"," ",VLOOKUP(A147,SatSunPeakPwr,(IF(BMO=2,7,IF(BMO=1,6,8))),FALSE()))</f>
        <v> </v>
      </c>
      <c r="Q147" s="428" t="str">
        <f aca="false">IF(A147="N/A"," ",(VLOOKUP(A147,OPPowerPrices,(IF(BMO=2,7,IF(BMO=1,6,8))),FALSE())))</f>
        <v> </v>
      </c>
      <c r="R147" s="429" t="str">
        <f aca="false">IF(A147="N/A"," ",(VLOOKUP(A147,GasCurves,9,FALSE()))+IF(BMO=1,Gasbmo,IF(BMO=3,-Gasbmo,0)))</f>
        <v> </v>
      </c>
      <c r="S147" s="429" t="str">
        <f aca="false">IF(A147="N/A"," ",IF(Basischeck=TRUE(),(VLOOKUP(A147,GasCurves,IF(MONTH(A147)&gt;=4,IF(MONTH(A147)&lt;=10,11,12),12),FALSE())),0))</f>
        <v> </v>
      </c>
      <c r="T147" s="429" t="str">
        <f aca="false">IF(A147="N/A"," ",(IF(MONTH(A147)&gt;=4,IF(MONTH(A147)&lt;=10,Inputs!$H$2,Inputs!$H$3),Inputs!$H$3)))</f>
        <v> </v>
      </c>
      <c r="U147" s="430" t="str">
        <f aca="false">IF(A147="N/A"," ",(VLOOKUP($A147,InterestRatesTable,2)))</f>
        <v> </v>
      </c>
      <c r="AF147" s="384" t="n">
        <v>40909</v>
      </c>
      <c r="AG147" s="36" t="n">
        <v>21</v>
      </c>
      <c r="AH147" s="36" t="n">
        <v>4</v>
      </c>
      <c r="AI147" s="36" t="n">
        <v>6</v>
      </c>
      <c r="AJ147" s="36" t="n">
        <v>1</v>
      </c>
      <c r="AK147" s="36" t="n">
        <v>31</v>
      </c>
    </row>
    <row r="148" customFormat="false" ht="12.75" hidden="false" customHeight="false" outlineLevel="0" collapsed="false">
      <c r="A148" s="420" t="str">
        <f aca="false">Calculations!A115</f>
        <v>N/A</v>
      </c>
      <c r="B148" s="421" t="str">
        <f aca="false">IF(A148="N/A"," ",IF(ISERROR(N148),B136*Pwresc,N148)*VLOOKUP(MONTH(A148),Curveadj,3))</f>
        <v> </v>
      </c>
      <c r="C148" s="422" t="str">
        <f aca="false">IF(A148="N/A"," ",(IF(AND(MONTH(A148)&gt;=6,MONTH(A148)&lt;=8,OR($M$37="REGION 2",$M$37="REGION 2A",$M$37="REGION 2B",$M$37="REGION 3",$M$37="REGION 3A",$M$37="REGION 3B",$M$37="REGION 4",$M$37="REGION 4B",$M$37="REGION 4C",$M$37="REGION 5",$M$37="REGION 5A")),((0.059228/(B148/100))-(0.4980013/(SQRT(B148/100)))+2.137988),HLOOKUP(MONTH(A148),ScalarTable,28))))</f>
        <v> </v>
      </c>
      <c r="D148" s="423" t="str">
        <f aca="false">IF(A148="N/A"," ",C148*B148)</f>
        <v> </v>
      </c>
      <c r="E148" s="421" t="str">
        <f aca="false">IF(A148="N/A"," ",IF(ISERROR(O148),E136*Pwresc,O148)*VLOOKUP(MONTH(A148),Curveadj,3))</f>
        <v> </v>
      </c>
      <c r="F148" s="423" t="str">
        <f aca="false">IF(A148="N/A"," ",E148*C148)</f>
        <v> </v>
      </c>
      <c r="G148" s="421" t="str">
        <f aca="false">IF(A148="N/A"," ",IF(ISERROR(P148),G136*Pwresc,P148)*VLOOKUP(MONTH(A148),Curveadj,3))</f>
        <v> </v>
      </c>
      <c r="H148" s="423" t="str">
        <f aca="false">IF(A148="N/A"," ",G148*C148)</f>
        <v> </v>
      </c>
      <c r="I148" s="423" t="str">
        <f aca="false">IF(A148="N/A"," ",IF(ISERROR(Q148),I136*Pwresc,Q148))</f>
        <v> </v>
      </c>
      <c r="J148" s="424" t="str">
        <f aca="false">IF(A148="N/A"," ",K148+L148+T148)</f>
        <v> </v>
      </c>
      <c r="K148" s="425" t="str">
        <f aca="false">IF(A148="N/A"," ",IF(ISERROR(R148),K136*Gasesc,R148))</f>
        <v> </v>
      </c>
      <c r="L148" s="425" t="str">
        <f aca="false">IF(A148="N/A"," ",IF(ISERROR(S148),L136*Gasesc,IF(S148=0,L136*Gasesc,S148)))</f>
        <v> </v>
      </c>
      <c r="M148" s="431"/>
      <c r="N148" s="427" t="str">
        <f aca="false">IF(A148="N/A"," ",VLOOKUP(A148,PeakPowerCurves,(IF(BMO=2,3,IF(BMO=1,2,4))),FALSE()))</f>
        <v> </v>
      </c>
      <c r="O148" s="427" t="str">
        <f aca="false">IF(A148="N/A"," ",VLOOKUP(A148,SatSunPeakPwr,(IF(BMO=2,3,IF(BMO=1,2,4))),FALSE()))</f>
        <v> </v>
      </c>
      <c r="P148" s="427" t="str">
        <f aca="false">IF(A148="N/A"," ",VLOOKUP(A148,SatSunPeakPwr,(IF(BMO=2,7,IF(BMO=1,6,8))),FALSE()))</f>
        <v> </v>
      </c>
      <c r="Q148" s="428" t="str">
        <f aca="false">IF(A148="N/A"," ",(VLOOKUP(A148,OPPowerPrices,(IF(BMO=2,7,IF(BMO=1,6,8))),FALSE())))</f>
        <v> </v>
      </c>
      <c r="R148" s="429" t="str">
        <f aca="false">IF(A148="N/A"," ",(VLOOKUP(A148,GasCurves,9,FALSE()))+IF(BMO=1,Gasbmo,IF(BMO=3,-Gasbmo,0)))</f>
        <v> </v>
      </c>
      <c r="S148" s="429" t="str">
        <f aca="false">IF(A148="N/A"," ",IF(Basischeck=TRUE(),(VLOOKUP(A148,GasCurves,IF(MONTH(A148)&gt;=4,IF(MONTH(A148)&lt;=10,11,12),12),FALSE())),0))</f>
        <v> </v>
      </c>
      <c r="T148" s="429" t="str">
        <f aca="false">IF(A148="N/A"," ",(IF(MONTH(A148)&gt;=4,IF(MONTH(A148)&lt;=10,Inputs!$H$2,Inputs!$H$3),Inputs!$H$3)))</f>
        <v> </v>
      </c>
      <c r="U148" s="430" t="str">
        <f aca="false">IF(A148="N/A"," ",(VLOOKUP($A148,InterestRatesTable,2)))</f>
        <v> </v>
      </c>
      <c r="AF148" s="384" t="n">
        <v>40940</v>
      </c>
      <c r="AG148" s="36" t="n">
        <v>21</v>
      </c>
      <c r="AH148" s="36" t="n">
        <v>4</v>
      </c>
      <c r="AI148" s="36" t="n">
        <v>4</v>
      </c>
      <c r="AJ148" s="36" t="n">
        <v>0</v>
      </c>
      <c r="AK148" s="36" t="n">
        <v>29</v>
      </c>
    </row>
    <row r="149" customFormat="false" ht="12.75" hidden="false" customHeight="false" outlineLevel="0" collapsed="false">
      <c r="A149" s="420" t="str">
        <f aca="false">Calculations!A116</f>
        <v>N/A</v>
      </c>
      <c r="B149" s="421" t="str">
        <f aca="false">IF(A149="N/A"," ",IF(ISERROR(N149),B137*Pwresc,N149)*VLOOKUP(MONTH(A149),Curveadj,3))</f>
        <v> </v>
      </c>
      <c r="C149" s="422" t="str">
        <f aca="false">IF(A149="N/A"," ",(IF(AND(MONTH(A149)&gt;=6,MONTH(A149)&lt;=8,OR($M$37="REGION 2",$M$37="REGION 2A",$M$37="REGION 2B",$M$37="REGION 3",$M$37="REGION 3A",$M$37="REGION 3B",$M$37="REGION 4",$M$37="REGION 4B",$M$37="REGION 4C",$M$37="REGION 5",$M$37="REGION 5A")),((0.059228/(B149/100))-(0.4980013/(SQRT(B149/100)))+2.137988),HLOOKUP(MONTH(A149),ScalarTable,28))))</f>
        <v> </v>
      </c>
      <c r="D149" s="423" t="str">
        <f aca="false">IF(A149="N/A"," ",C149*B149)</f>
        <v> </v>
      </c>
      <c r="E149" s="421" t="str">
        <f aca="false">IF(A149="N/A"," ",IF(ISERROR(O149),E137*Pwresc,O149)*VLOOKUP(MONTH(A149),Curveadj,3))</f>
        <v> </v>
      </c>
      <c r="F149" s="423" t="str">
        <f aca="false">IF(A149="N/A"," ",E149*C149)</f>
        <v> </v>
      </c>
      <c r="G149" s="421" t="str">
        <f aca="false">IF(A149="N/A"," ",IF(ISERROR(P149),G137*Pwresc,P149)*VLOOKUP(MONTH(A149),Curveadj,3))</f>
        <v> </v>
      </c>
      <c r="H149" s="423" t="str">
        <f aca="false">IF(A149="N/A"," ",G149*C149)</f>
        <v> </v>
      </c>
      <c r="I149" s="423" t="str">
        <f aca="false">IF(A149="N/A"," ",IF(ISERROR(Q149),I137*Pwresc,Q149))</f>
        <v> </v>
      </c>
      <c r="J149" s="424" t="str">
        <f aca="false">IF(A149="N/A"," ",K149+L149+T149)</f>
        <v> </v>
      </c>
      <c r="K149" s="425" t="str">
        <f aca="false">IF(A149="N/A"," ",IF(ISERROR(R149),K137*Gasesc,R149))</f>
        <v> </v>
      </c>
      <c r="L149" s="425" t="str">
        <f aca="false">IF(A149="N/A"," ",IF(ISERROR(S149),L137*Gasesc,IF(S149=0,L137*Gasesc,S149)))</f>
        <v> </v>
      </c>
      <c r="M149" s="431"/>
      <c r="N149" s="427" t="str">
        <f aca="false">IF(A149="N/A"," ",VLOOKUP(A149,PeakPowerCurves,(IF(BMO=2,3,IF(BMO=1,2,4))),FALSE()))</f>
        <v> </v>
      </c>
      <c r="O149" s="427" t="str">
        <f aca="false">IF(A149="N/A"," ",VLOOKUP(A149,SatSunPeakPwr,(IF(BMO=2,3,IF(BMO=1,2,4))),FALSE()))</f>
        <v> </v>
      </c>
      <c r="P149" s="427" t="str">
        <f aca="false">IF(A149="N/A"," ",VLOOKUP(A149,SatSunPeakPwr,(IF(BMO=2,7,IF(BMO=1,6,8))),FALSE()))</f>
        <v> </v>
      </c>
      <c r="Q149" s="428" t="str">
        <f aca="false">IF(A149="N/A"," ",(VLOOKUP(A149,OPPowerPrices,(IF(BMO=2,7,IF(BMO=1,6,8))),FALSE())))</f>
        <v> </v>
      </c>
      <c r="R149" s="429" t="str">
        <f aca="false">IF(A149="N/A"," ",(VLOOKUP(A149,GasCurves,9,FALSE()))+IF(BMO=1,Gasbmo,IF(BMO=3,-Gasbmo,0)))</f>
        <v> </v>
      </c>
      <c r="S149" s="429" t="str">
        <f aca="false">IF(A149="N/A"," ",IF(Basischeck=TRUE(),(VLOOKUP(A149,GasCurves,IF(MONTH(A149)&gt;=4,IF(MONTH(A149)&lt;=10,11,12),12),FALSE())),0))</f>
        <v> </v>
      </c>
      <c r="T149" s="429" t="str">
        <f aca="false">IF(A149="N/A"," ",(IF(MONTH(A149)&gt;=4,IF(MONTH(A149)&lt;=10,Inputs!$H$2,Inputs!$H$3),Inputs!$H$3)))</f>
        <v> </v>
      </c>
      <c r="U149" s="430" t="str">
        <f aca="false">IF(A149="N/A"," ",(VLOOKUP($A149,InterestRatesTable,2)))</f>
        <v> </v>
      </c>
      <c r="AF149" s="384" t="n">
        <v>40969</v>
      </c>
      <c r="AG149" s="36" t="n">
        <v>22</v>
      </c>
      <c r="AH149" s="36" t="n">
        <v>5</v>
      </c>
      <c r="AI149" s="36" t="n">
        <v>4</v>
      </c>
      <c r="AJ149" s="36" t="n">
        <v>0</v>
      </c>
      <c r="AK149" s="36" t="n">
        <v>31</v>
      </c>
    </row>
    <row r="150" customFormat="false" ht="12.75" hidden="false" customHeight="false" outlineLevel="0" collapsed="false">
      <c r="A150" s="420" t="str">
        <f aca="false">Calculations!A117</f>
        <v>N/A</v>
      </c>
      <c r="B150" s="421" t="str">
        <f aca="false">IF(A150="N/A"," ",IF(ISERROR(N150),B138*Pwresc,N150)*VLOOKUP(MONTH(A150),Curveadj,3))</f>
        <v> </v>
      </c>
      <c r="C150" s="422" t="str">
        <f aca="false">IF(A150="N/A"," ",(IF(AND(MONTH(A150)&gt;=6,MONTH(A150)&lt;=8,OR($M$37="REGION 2",$M$37="REGION 2A",$M$37="REGION 2B",$M$37="REGION 3",$M$37="REGION 3A",$M$37="REGION 3B",$M$37="REGION 4",$M$37="REGION 4B",$M$37="REGION 4C",$M$37="REGION 5",$M$37="REGION 5A")),((0.059228/(B150/100))-(0.4980013/(SQRT(B150/100)))+2.137988),HLOOKUP(MONTH(A150),ScalarTable,28))))</f>
        <v> </v>
      </c>
      <c r="D150" s="423" t="str">
        <f aca="false">IF(A150="N/A"," ",C150*B150)</f>
        <v> </v>
      </c>
      <c r="E150" s="421" t="str">
        <f aca="false">IF(A150="N/A"," ",IF(ISERROR(O150),E138*Pwresc,O150)*VLOOKUP(MONTH(A150),Curveadj,3))</f>
        <v> </v>
      </c>
      <c r="F150" s="423" t="str">
        <f aca="false">IF(A150="N/A"," ",E150*C150)</f>
        <v> </v>
      </c>
      <c r="G150" s="421" t="str">
        <f aca="false">IF(A150="N/A"," ",IF(ISERROR(P150),G138*Pwresc,P150)*VLOOKUP(MONTH(A150),Curveadj,3))</f>
        <v> </v>
      </c>
      <c r="H150" s="423" t="str">
        <f aca="false">IF(A150="N/A"," ",G150*C150)</f>
        <v> </v>
      </c>
      <c r="I150" s="423" t="str">
        <f aca="false">IF(A150="N/A"," ",IF(ISERROR(Q150),I138*Pwresc,Q150))</f>
        <v> </v>
      </c>
      <c r="J150" s="424" t="str">
        <f aca="false">IF(A150="N/A"," ",K150+L150+T150)</f>
        <v> </v>
      </c>
      <c r="K150" s="425" t="str">
        <f aca="false">IF(A150="N/A"," ",IF(ISERROR(R150),K138*Gasesc,R150))</f>
        <v> </v>
      </c>
      <c r="L150" s="425" t="str">
        <f aca="false">IF(A150="N/A"," ",IF(ISERROR(S150),L138*Gasesc,IF(S150=0,L138*Gasesc,S150)))</f>
        <v> </v>
      </c>
      <c r="M150" s="431"/>
      <c r="N150" s="427" t="str">
        <f aca="false">IF(A150="N/A"," ",VLOOKUP(A150,PeakPowerCurves,(IF(BMO=2,3,IF(BMO=1,2,4))),FALSE()))</f>
        <v> </v>
      </c>
      <c r="O150" s="427" t="str">
        <f aca="false">IF(A150="N/A"," ",VLOOKUP(A150,SatSunPeakPwr,(IF(BMO=2,3,IF(BMO=1,2,4))),FALSE()))</f>
        <v> </v>
      </c>
      <c r="P150" s="427" t="str">
        <f aca="false">IF(A150="N/A"," ",VLOOKUP(A150,SatSunPeakPwr,(IF(BMO=2,7,IF(BMO=1,6,8))),FALSE()))</f>
        <v> </v>
      </c>
      <c r="Q150" s="428" t="str">
        <f aca="false">IF(A150="N/A"," ",(VLOOKUP(A150,OPPowerPrices,(IF(BMO=2,7,IF(BMO=1,6,8))),FALSE())))</f>
        <v> </v>
      </c>
      <c r="R150" s="429" t="str">
        <f aca="false">IF(A150="N/A"," ",(VLOOKUP(A150,GasCurves,9,FALSE()))+IF(BMO=1,Gasbmo,IF(BMO=3,-Gasbmo,0)))</f>
        <v> </v>
      </c>
      <c r="S150" s="429" t="str">
        <f aca="false">IF(A150="N/A"," ",IF(Basischeck=TRUE(),(VLOOKUP(A150,GasCurves,IF(MONTH(A150)&gt;=4,IF(MONTH(A150)&lt;=10,11,12),12),FALSE())),0))</f>
        <v> </v>
      </c>
      <c r="T150" s="429" t="str">
        <f aca="false">IF(A150="N/A"," ",(IF(MONTH(A150)&gt;=4,IF(MONTH(A150)&lt;=10,Inputs!$H$2,Inputs!$H$3),Inputs!$H$3)))</f>
        <v> </v>
      </c>
      <c r="U150" s="430" t="str">
        <f aca="false">IF(A150="N/A"," ",(VLOOKUP($A150,InterestRatesTable,2)))</f>
        <v> </v>
      </c>
      <c r="AF150" s="384" t="n">
        <v>41000</v>
      </c>
      <c r="AG150" s="36" t="n">
        <v>21</v>
      </c>
      <c r="AH150" s="36" t="n">
        <v>4</v>
      </c>
      <c r="AI150" s="36" t="n">
        <v>5</v>
      </c>
      <c r="AJ150" s="36" t="n">
        <v>0</v>
      </c>
      <c r="AK150" s="36" t="n">
        <v>30</v>
      </c>
    </row>
    <row r="151" customFormat="false" ht="12.75" hidden="false" customHeight="false" outlineLevel="0" collapsed="false">
      <c r="A151" s="420" t="str">
        <f aca="false">Calculations!A118</f>
        <v>N/A</v>
      </c>
      <c r="B151" s="421" t="str">
        <f aca="false">IF(A151="N/A"," ",IF(ISERROR(N151),B139*Pwresc,N151)*VLOOKUP(MONTH(A151),Curveadj,3))</f>
        <v> </v>
      </c>
      <c r="C151" s="422" t="str">
        <f aca="false">IF(A151="N/A"," ",(IF(AND(MONTH(A151)&gt;=6,MONTH(A151)&lt;=8,OR($M$37="REGION 2",$M$37="REGION 2A",$M$37="REGION 2B",$M$37="REGION 3",$M$37="REGION 3A",$M$37="REGION 3B",$M$37="REGION 4",$M$37="REGION 4B",$M$37="REGION 4C",$M$37="REGION 5",$M$37="REGION 5A")),((0.059228/(B151/100))-(0.4980013/(SQRT(B151/100)))+2.137988),HLOOKUP(MONTH(A151),ScalarTable,28))))</f>
        <v> </v>
      </c>
      <c r="D151" s="423" t="str">
        <f aca="false">IF(A151="N/A"," ",C151*B151)</f>
        <v> </v>
      </c>
      <c r="E151" s="421" t="str">
        <f aca="false">IF(A151="N/A"," ",IF(ISERROR(O151),E139*Pwresc,O151)*VLOOKUP(MONTH(A151),Curveadj,3))</f>
        <v> </v>
      </c>
      <c r="F151" s="423" t="str">
        <f aca="false">IF(A151="N/A"," ",E151*C151)</f>
        <v> </v>
      </c>
      <c r="G151" s="421" t="str">
        <f aca="false">IF(A151="N/A"," ",IF(ISERROR(P151),G139*Pwresc,P151)*VLOOKUP(MONTH(A151),Curveadj,3))</f>
        <v> </v>
      </c>
      <c r="H151" s="423" t="str">
        <f aca="false">IF(A151="N/A"," ",G151*C151)</f>
        <v> </v>
      </c>
      <c r="I151" s="423" t="str">
        <f aca="false">IF(A151="N/A"," ",IF(ISERROR(Q151),I139*Pwresc,Q151))</f>
        <v> </v>
      </c>
      <c r="J151" s="424" t="str">
        <f aca="false">IF(A151="N/A"," ",K151+L151+T151)</f>
        <v> </v>
      </c>
      <c r="K151" s="425" t="str">
        <f aca="false">IF(A151="N/A"," ",IF(ISERROR(R151),K139*Gasesc,R151))</f>
        <v> </v>
      </c>
      <c r="L151" s="425" t="str">
        <f aca="false">IF(A151="N/A"," ",IF(ISERROR(S151),L139*Gasesc,IF(S151=0,L139*Gasesc,S151)))</f>
        <v> </v>
      </c>
      <c r="M151" s="431"/>
      <c r="N151" s="427" t="str">
        <f aca="false">IF(A151="N/A"," ",VLOOKUP(A151,PeakPowerCurves,(IF(BMO=2,3,IF(BMO=1,2,4))),FALSE()))</f>
        <v> </v>
      </c>
      <c r="O151" s="427" t="str">
        <f aca="false">IF(A151="N/A"," ",VLOOKUP(A151,SatSunPeakPwr,(IF(BMO=2,3,IF(BMO=1,2,4))),FALSE()))</f>
        <v> </v>
      </c>
      <c r="P151" s="427" t="str">
        <f aca="false">IF(A151="N/A"," ",VLOOKUP(A151,SatSunPeakPwr,(IF(BMO=2,7,IF(BMO=1,6,8))),FALSE()))</f>
        <v> </v>
      </c>
      <c r="Q151" s="428" t="str">
        <f aca="false">IF(A151="N/A"," ",(VLOOKUP(A151,OPPowerPrices,(IF(BMO=2,7,IF(BMO=1,6,8))),FALSE())))</f>
        <v> </v>
      </c>
      <c r="R151" s="429" t="str">
        <f aca="false">IF(A151="N/A"," ",(VLOOKUP(A151,GasCurves,9,FALSE()))+IF(BMO=1,Gasbmo,IF(BMO=3,-Gasbmo,0)))</f>
        <v> </v>
      </c>
      <c r="S151" s="429" t="str">
        <f aca="false">IF(A151="N/A"," ",IF(Basischeck=TRUE(),(VLOOKUP(A151,GasCurves,IF(MONTH(A151)&gt;=4,IF(MONTH(A151)&lt;=10,11,12),12),FALSE())),0))</f>
        <v> </v>
      </c>
      <c r="T151" s="429" t="str">
        <f aca="false">IF(A151="N/A"," ",(IF(MONTH(A151)&gt;=4,IF(MONTH(A151)&lt;=10,Inputs!$H$2,Inputs!$H$3),Inputs!$H$3)))</f>
        <v> </v>
      </c>
      <c r="U151" s="430" t="str">
        <f aca="false">IF(A151="N/A"," ",(VLOOKUP($A151,InterestRatesTable,2)))</f>
        <v> </v>
      </c>
      <c r="AF151" s="384" t="n">
        <v>41030</v>
      </c>
      <c r="AG151" s="36" t="n">
        <v>22</v>
      </c>
      <c r="AH151" s="36" t="n">
        <v>4</v>
      </c>
      <c r="AI151" s="36" t="n">
        <v>5</v>
      </c>
      <c r="AJ151" s="36" t="n">
        <v>1</v>
      </c>
      <c r="AK151" s="36" t="n">
        <v>31</v>
      </c>
    </row>
    <row r="152" customFormat="false" ht="12.75" hidden="false" customHeight="false" outlineLevel="0" collapsed="false">
      <c r="A152" s="420" t="str">
        <f aca="false">Calculations!A119</f>
        <v>N/A</v>
      </c>
      <c r="B152" s="421" t="str">
        <f aca="false">IF(A152="N/A"," ",IF(ISERROR(N152),B140*Pwresc,N152)*VLOOKUP(MONTH(A152),Curveadj,3))</f>
        <v> </v>
      </c>
      <c r="C152" s="422" t="str">
        <f aca="false">IF(A152="N/A"," ",(IF(AND(MONTH(A152)&gt;=6,MONTH(A152)&lt;=8,OR($M$37="REGION 2",$M$37="REGION 2A",$M$37="REGION 2B",$M$37="REGION 3",$M$37="REGION 3A",$M$37="REGION 3B",$M$37="REGION 4",$M$37="REGION 4B",$M$37="REGION 4C",$M$37="REGION 5",$M$37="REGION 5A")),((0.059228/(B152/100))-(0.4980013/(SQRT(B152/100)))+2.137988),HLOOKUP(MONTH(A152),ScalarTable,28))))</f>
        <v> </v>
      </c>
      <c r="D152" s="423" t="str">
        <f aca="false">IF(A152="N/A"," ",C152*B152)</f>
        <v> </v>
      </c>
      <c r="E152" s="421" t="str">
        <f aca="false">IF(A152="N/A"," ",IF(ISERROR(O152),E140*Pwresc,O152)*VLOOKUP(MONTH(A152),Curveadj,3))</f>
        <v> </v>
      </c>
      <c r="F152" s="423" t="str">
        <f aca="false">IF(A152="N/A"," ",E152*C152)</f>
        <v> </v>
      </c>
      <c r="G152" s="421" t="str">
        <f aca="false">IF(A152="N/A"," ",IF(ISERROR(P152),G140*Pwresc,P152)*VLOOKUP(MONTH(A152),Curveadj,3))</f>
        <v> </v>
      </c>
      <c r="H152" s="423" t="str">
        <f aca="false">IF(A152="N/A"," ",G152*C152)</f>
        <v> </v>
      </c>
      <c r="I152" s="423" t="str">
        <f aca="false">IF(A152="N/A"," ",IF(ISERROR(Q152),I140*Pwresc,Q152))</f>
        <v> </v>
      </c>
      <c r="J152" s="424" t="str">
        <f aca="false">IF(A152="N/A"," ",K152+L152+T152)</f>
        <v> </v>
      </c>
      <c r="K152" s="425" t="str">
        <f aca="false">IF(A152="N/A"," ",IF(ISERROR(R152),K140*Gasesc,R152))</f>
        <v> </v>
      </c>
      <c r="L152" s="425" t="str">
        <f aca="false">IF(A152="N/A"," ",IF(ISERROR(S152),L140*Gasesc,IF(S152=0,L140*Gasesc,S152)))</f>
        <v> </v>
      </c>
      <c r="M152" s="431"/>
      <c r="N152" s="427" t="str">
        <f aca="false">IF(A152="N/A"," ",VLOOKUP(A152,PeakPowerCurves,(IF(BMO=2,3,IF(BMO=1,2,4))),FALSE()))</f>
        <v> </v>
      </c>
      <c r="O152" s="427" t="str">
        <f aca="false">IF(A152="N/A"," ",VLOOKUP(A152,SatSunPeakPwr,(IF(BMO=2,3,IF(BMO=1,2,4))),FALSE()))</f>
        <v> </v>
      </c>
      <c r="P152" s="427" t="str">
        <f aca="false">IF(A152="N/A"," ",VLOOKUP(A152,SatSunPeakPwr,(IF(BMO=2,7,IF(BMO=1,6,8))),FALSE()))</f>
        <v> </v>
      </c>
      <c r="Q152" s="428" t="str">
        <f aca="false">IF(A152="N/A"," ",(VLOOKUP(A152,OPPowerPrices,(IF(BMO=2,7,IF(BMO=1,6,8))),FALSE())))</f>
        <v> </v>
      </c>
      <c r="R152" s="429" t="str">
        <f aca="false">IF(A152="N/A"," ",(VLOOKUP(A152,GasCurves,9,FALSE()))+IF(BMO=1,Gasbmo,IF(BMO=3,-Gasbmo,0)))</f>
        <v> </v>
      </c>
      <c r="S152" s="429" t="str">
        <f aca="false">IF(A152="N/A"," ",IF(Basischeck=TRUE(),(VLOOKUP(A152,GasCurves,IF(MONTH(A152)&gt;=4,IF(MONTH(A152)&lt;=10,11,12),12),FALSE())),0))</f>
        <v> </v>
      </c>
      <c r="T152" s="429" t="str">
        <f aca="false">IF(A152="N/A"," ",(IF(MONTH(A152)&gt;=4,IF(MONTH(A152)&lt;=10,Inputs!$H$2,Inputs!$H$3),Inputs!$H$3)))</f>
        <v> </v>
      </c>
      <c r="U152" s="430" t="str">
        <f aca="false">IF(A152="N/A"," ",(VLOOKUP($A152,InterestRatesTable,2)))</f>
        <v> </v>
      </c>
      <c r="AF152" s="384" t="n">
        <v>41061</v>
      </c>
      <c r="AG152" s="36" t="n">
        <v>21</v>
      </c>
      <c r="AH152" s="36" t="n">
        <v>5</v>
      </c>
      <c r="AI152" s="36" t="n">
        <v>4</v>
      </c>
      <c r="AJ152" s="36" t="n">
        <v>0</v>
      </c>
      <c r="AK152" s="36" t="n">
        <v>30</v>
      </c>
    </row>
    <row r="153" customFormat="false" ht="12.75" hidden="false" customHeight="false" outlineLevel="0" collapsed="false">
      <c r="A153" s="420" t="str">
        <f aca="false">Calculations!A120</f>
        <v>N/A</v>
      </c>
      <c r="B153" s="421" t="str">
        <f aca="false">IF(A153="N/A"," ",IF(ISERROR(N153),B141*Pwresc,N153)*VLOOKUP(MONTH(A153),Curveadj,3))</f>
        <v> </v>
      </c>
      <c r="C153" s="422" t="str">
        <f aca="false">IF(A153="N/A"," ",(IF(AND(MONTH(A153)&gt;=6,MONTH(A153)&lt;=8,OR($M$37="REGION 2",$M$37="REGION 2A",$M$37="REGION 2B",$M$37="REGION 3",$M$37="REGION 3A",$M$37="REGION 3B",$M$37="REGION 4",$M$37="REGION 4B",$M$37="REGION 4C",$M$37="REGION 5",$M$37="REGION 5A")),((0.059228/(B153/100))-(0.4980013/(SQRT(B153/100)))+2.137988),HLOOKUP(MONTH(A153),ScalarTable,28))))</f>
        <v> </v>
      </c>
      <c r="D153" s="423" t="str">
        <f aca="false">IF(A153="N/A"," ",C153*B153)</f>
        <v> </v>
      </c>
      <c r="E153" s="421" t="str">
        <f aca="false">IF(A153="N/A"," ",IF(ISERROR(O153),E141*Pwresc,O153)*VLOOKUP(MONTH(A153),Curveadj,3))</f>
        <v> </v>
      </c>
      <c r="F153" s="423" t="str">
        <f aca="false">IF(A153="N/A"," ",E153*C153)</f>
        <v> </v>
      </c>
      <c r="G153" s="421" t="str">
        <f aca="false">IF(A153="N/A"," ",IF(ISERROR(P153),G141*Pwresc,P153)*VLOOKUP(MONTH(A153),Curveadj,3))</f>
        <v> </v>
      </c>
      <c r="H153" s="423" t="str">
        <f aca="false">IF(A153="N/A"," ",G153*C153)</f>
        <v> </v>
      </c>
      <c r="I153" s="423" t="str">
        <f aca="false">IF(A153="N/A"," ",IF(ISERROR(Q153),I141*Pwresc,Q153))</f>
        <v> </v>
      </c>
      <c r="J153" s="424" t="str">
        <f aca="false">IF(A153="N/A"," ",K153+L153+T153)</f>
        <v> </v>
      </c>
      <c r="K153" s="425" t="str">
        <f aca="false">IF(A153="N/A"," ",IF(ISERROR(R153),K141*Gasesc,R153))</f>
        <v> </v>
      </c>
      <c r="L153" s="425" t="str">
        <f aca="false">IF(A153="N/A"," ",IF(ISERROR(S153),L141*Gasesc,IF(S153=0,L141*Gasesc,S153)))</f>
        <v> </v>
      </c>
      <c r="M153" s="431"/>
      <c r="N153" s="427" t="str">
        <f aca="false">IF(A153="N/A"," ",VLOOKUP(A153,PeakPowerCurves,(IF(BMO=2,3,IF(BMO=1,2,4))),FALSE()))</f>
        <v> </v>
      </c>
      <c r="O153" s="427" t="str">
        <f aca="false">IF(A153="N/A"," ",VLOOKUP(A153,SatSunPeakPwr,(IF(BMO=2,3,IF(BMO=1,2,4))),FALSE()))</f>
        <v> </v>
      </c>
      <c r="P153" s="427" t="str">
        <f aca="false">IF(A153="N/A"," ",VLOOKUP(A153,SatSunPeakPwr,(IF(BMO=2,7,IF(BMO=1,6,8))),FALSE()))</f>
        <v> </v>
      </c>
      <c r="Q153" s="428" t="str">
        <f aca="false">IF(A153="N/A"," ",(VLOOKUP(A153,OPPowerPrices,(IF(BMO=2,7,IF(BMO=1,6,8))),FALSE())))</f>
        <v> </v>
      </c>
      <c r="R153" s="429" t="str">
        <f aca="false">IF(A153="N/A"," ",(VLOOKUP(A153,GasCurves,9,FALSE()))+IF(BMO=1,Gasbmo,IF(BMO=3,-Gasbmo,0)))</f>
        <v> </v>
      </c>
      <c r="S153" s="429" t="str">
        <f aca="false">IF(A153="N/A"," ",IF(Basischeck=TRUE(),(VLOOKUP(A153,GasCurves,IF(MONTH(A153)&gt;=4,IF(MONTH(A153)&lt;=10,11,12),12),FALSE())),0))</f>
        <v> </v>
      </c>
      <c r="T153" s="429" t="str">
        <f aca="false">IF(A153="N/A"," ",(IF(MONTH(A153)&gt;=4,IF(MONTH(A153)&lt;=10,Inputs!$H$2,Inputs!$H$3),Inputs!$H$3)))</f>
        <v> </v>
      </c>
      <c r="U153" s="430" t="str">
        <f aca="false">IF(A153="N/A"," ",(VLOOKUP($A153,InterestRatesTable,2)))</f>
        <v> </v>
      </c>
      <c r="AF153" s="384" t="n">
        <v>41091</v>
      </c>
      <c r="AG153" s="36" t="n">
        <v>21</v>
      </c>
      <c r="AH153" s="36" t="n">
        <v>4</v>
      </c>
      <c r="AI153" s="36" t="n">
        <v>6</v>
      </c>
      <c r="AJ153" s="36" t="n">
        <v>1</v>
      </c>
      <c r="AK153" s="36" t="n">
        <v>31</v>
      </c>
    </row>
    <row r="154" customFormat="false" ht="12.75" hidden="false" customHeight="false" outlineLevel="0" collapsed="false">
      <c r="A154" s="420" t="str">
        <f aca="false">Calculations!A121</f>
        <v>N/A</v>
      </c>
      <c r="B154" s="421" t="str">
        <f aca="false">IF(A154="N/A"," ",IF(ISERROR(N154),B142*Pwresc,N154)*VLOOKUP(MONTH(A154),Curveadj,3))</f>
        <v> </v>
      </c>
      <c r="C154" s="422" t="str">
        <f aca="false">IF(A154="N/A"," ",(IF(AND(MONTH(A154)&gt;=6,MONTH(A154)&lt;=8,OR($M$37="REGION 2",$M$37="REGION 2A",$M$37="REGION 2B",$M$37="REGION 3",$M$37="REGION 3A",$M$37="REGION 3B",$M$37="REGION 4",$M$37="REGION 4B",$M$37="REGION 4C",$M$37="REGION 5",$M$37="REGION 5A")),((0.059228/(B154/100))-(0.4980013/(SQRT(B154/100)))+2.137988),HLOOKUP(MONTH(A154),ScalarTable,28))))</f>
        <v> </v>
      </c>
      <c r="D154" s="423" t="str">
        <f aca="false">IF(A154="N/A"," ",C154*B154)</f>
        <v> </v>
      </c>
      <c r="E154" s="421" t="str">
        <f aca="false">IF(A154="N/A"," ",IF(ISERROR(O154),E142*Pwresc,O154)*VLOOKUP(MONTH(A154),Curveadj,3))</f>
        <v> </v>
      </c>
      <c r="F154" s="423" t="str">
        <f aca="false">IF(A154="N/A"," ",E154*C154)</f>
        <v> </v>
      </c>
      <c r="G154" s="421" t="str">
        <f aca="false">IF(A154="N/A"," ",IF(ISERROR(P154),G142*Pwresc,P154)*VLOOKUP(MONTH(A154),Curveadj,3))</f>
        <v> </v>
      </c>
      <c r="H154" s="423" t="str">
        <f aca="false">IF(A154="N/A"," ",G154*C154)</f>
        <v> </v>
      </c>
      <c r="I154" s="423" t="str">
        <f aca="false">IF(A154="N/A"," ",IF(ISERROR(Q154),I142*Pwresc,Q154))</f>
        <v> </v>
      </c>
      <c r="J154" s="424" t="str">
        <f aca="false">IF(A154="N/A"," ",K154+L154+T154)</f>
        <v> </v>
      </c>
      <c r="K154" s="425" t="str">
        <f aca="false">IF(A154="N/A"," ",IF(ISERROR(R154),K142*Gasesc,R154))</f>
        <v> </v>
      </c>
      <c r="L154" s="425" t="str">
        <f aca="false">IF(A154="N/A"," ",IF(ISERROR(S154),L142*Gasesc,IF(S154=0,L142*Gasesc,S154)))</f>
        <v> </v>
      </c>
      <c r="M154" s="431"/>
      <c r="N154" s="427" t="str">
        <f aca="false">IF(A154="N/A"," ",VLOOKUP(A154,PeakPowerCurves,(IF(BMO=2,3,IF(BMO=1,2,4))),FALSE()))</f>
        <v> </v>
      </c>
      <c r="O154" s="427" t="str">
        <f aca="false">IF(A154="N/A"," ",VLOOKUP(A154,SatSunPeakPwr,(IF(BMO=2,3,IF(BMO=1,2,4))),FALSE()))</f>
        <v> </v>
      </c>
      <c r="P154" s="427" t="str">
        <f aca="false">IF(A154="N/A"," ",VLOOKUP(A154,SatSunPeakPwr,(IF(BMO=2,7,IF(BMO=1,6,8))),FALSE()))</f>
        <v> </v>
      </c>
      <c r="Q154" s="428" t="str">
        <f aca="false">IF(A154="N/A"," ",(VLOOKUP(A154,OPPowerPrices,(IF(BMO=2,7,IF(BMO=1,6,8))),FALSE())))</f>
        <v> </v>
      </c>
      <c r="R154" s="429" t="str">
        <f aca="false">IF(A154="N/A"," ",(VLOOKUP(A154,GasCurves,9,FALSE()))+IF(BMO=1,Gasbmo,IF(BMO=3,-Gasbmo,0)))</f>
        <v> </v>
      </c>
      <c r="S154" s="429" t="str">
        <f aca="false">IF(A154="N/A"," ",IF(Basischeck=TRUE(),(VLOOKUP(A154,GasCurves,IF(MONTH(A154)&gt;=4,IF(MONTH(A154)&lt;=10,11,12),12),FALSE())),0))</f>
        <v> </v>
      </c>
      <c r="T154" s="429" t="str">
        <f aca="false">IF(A154="N/A"," ",(IF(MONTH(A154)&gt;=4,IF(MONTH(A154)&lt;=10,Inputs!$H$2,Inputs!$H$3),Inputs!$H$3)))</f>
        <v> </v>
      </c>
      <c r="U154" s="430" t="str">
        <f aca="false">IF(A154="N/A"," ",(VLOOKUP($A154,InterestRatesTable,2)))</f>
        <v> </v>
      </c>
      <c r="AF154" s="384" t="n">
        <v>41122</v>
      </c>
      <c r="AG154" s="36" t="n">
        <v>23</v>
      </c>
      <c r="AH154" s="36" t="n">
        <v>4</v>
      </c>
      <c r="AI154" s="36" t="n">
        <v>4</v>
      </c>
      <c r="AJ154" s="36" t="n">
        <v>0</v>
      </c>
      <c r="AK154" s="36" t="n">
        <v>31</v>
      </c>
    </row>
    <row r="155" customFormat="false" ht="12.75" hidden="false" customHeight="false" outlineLevel="0" collapsed="false">
      <c r="A155" s="420" t="str">
        <f aca="false">Calculations!A122</f>
        <v>N/A</v>
      </c>
      <c r="B155" s="421" t="str">
        <f aca="false">IF(A155="N/A"," ",IF(ISERROR(N155),B143*Pwresc,N155)*VLOOKUP(MONTH(A155),Curveadj,3))</f>
        <v> </v>
      </c>
      <c r="C155" s="422" t="str">
        <f aca="false">IF(A155="N/A"," ",(IF(AND(MONTH(A155)&gt;=6,MONTH(A155)&lt;=8,OR($M$37="REGION 2",$M$37="REGION 2A",$M$37="REGION 2B",$M$37="REGION 3",$M$37="REGION 3A",$M$37="REGION 3B",$M$37="REGION 4",$M$37="REGION 4B",$M$37="REGION 4C",$M$37="REGION 5",$M$37="REGION 5A")),((0.059228/(B155/100))-(0.4980013/(SQRT(B155/100)))+2.137988),HLOOKUP(MONTH(A155),ScalarTable,28))))</f>
        <v> </v>
      </c>
      <c r="D155" s="423" t="str">
        <f aca="false">IF(A155="N/A"," ",C155*B155)</f>
        <v> </v>
      </c>
      <c r="E155" s="421" t="str">
        <f aca="false">IF(A155="N/A"," ",IF(ISERROR(O155),E143*Pwresc,O155)*VLOOKUP(MONTH(A155),Curveadj,3))</f>
        <v> </v>
      </c>
      <c r="F155" s="423" t="str">
        <f aca="false">IF(A155="N/A"," ",E155*C155)</f>
        <v> </v>
      </c>
      <c r="G155" s="421" t="str">
        <f aca="false">IF(A155="N/A"," ",IF(ISERROR(P155),G143*Pwresc,P155)*VLOOKUP(MONTH(A155),Curveadj,3))</f>
        <v> </v>
      </c>
      <c r="H155" s="423" t="str">
        <f aca="false">IF(A155="N/A"," ",G155*C155)</f>
        <v> </v>
      </c>
      <c r="I155" s="423" t="str">
        <f aca="false">IF(A155="N/A"," ",IF(ISERROR(Q155),I143*Pwresc,Q155))</f>
        <v> </v>
      </c>
      <c r="J155" s="424" t="str">
        <f aca="false">IF(A155="N/A"," ",K155+L155+T155)</f>
        <v> </v>
      </c>
      <c r="K155" s="425" t="str">
        <f aca="false">IF(A155="N/A"," ",IF(ISERROR(R155),K143*Gasesc,R155))</f>
        <v> </v>
      </c>
      <c r="L155" s="425" t="str">
        <f aca="false">IF(A155="N/A"," ",IF(ISERROR(S155),L143*Gasesc,IF(S155=0,L143*Gasesc,S155)))</f>
        <v> </v>
      </c>
      <c r="M155" s="431"/>
      <c r="N155" s="427" t="str">
        <f aca="false">IF(A155="N/A"," ",VLOOKUP(A155,PeakPowerCurves,(IF(BMO=2,3,IF(BMO=1,2,4))),FALSE()))</f>
        <v> </v>
      </c>
      <c r="O155" s="427" t="str">
        <f aca="false">IF(A155="N/A"," ",VLOOKUP(A155,SatSunPeakPwr,(IF(BMO=2,3,IF(BMO=1,2,4))),FALSE()))</f>
        <v> </v>
      </c>
      <c r="P155" s="427" t="str">
        <f aca="false">IF(A155="N/A"," ",VLOOKUP(A155,SatSunPeakPwr,(IF(BMO=2,7,IF(BMO=1,6,8))),FALSE()))</f>
        <v> </v>
      </c>
      <c r="Q155" s="428" t="str">
        <f aca="false">IF(A155="N/A"," ",(VLOOKUP(A155,OPPowerPrices,(IF(BMO=2,7,IF(BMO=1,6,8))),FALSE())))</f>
        <v> </v>
      </c>
      <c r="R155" s="429" t="str">
        <f aca="false">IF(A155="N/A"," ",(VLOOKUP(A155,GasCurves,9,FALSE()))+IF(BMO=1,Gasbmo,IF(BMO=3,-Gasbmo,0)))</f>
        <v> </v>
      </c>
      <c r="S155" s="429" t="str">
        <f aca="false">IF(A155="N/A"," ",IF(Basischeck=TRUE(),(VLOOKUP(A155,GasCurves,IF(MONTH(A155)&gt;=4,IF(MONTH(A155)&lt;=10,11,12),12),FALSE())),0))</f>
        <v> </v>
      </c>
      <c r="T155" s="429" t="str">
        <f aca="false">IF(A155="N/A"," ",(IF(MONTH(A155)&gt;=4,IF(MONTH(A155)&lt;=10,Inputs!$H$2,Inputs!$H$3),Inputs!$H$3)))</f>
        <v> </v>
      </c>
      <c r="U155" s="430" t="str">
        <f aca="false">IF(A155="N/A"," ",(VLOOKUP($A155,InterestRatesTable,2)))</f>
        <v> </v>
      </c>
      <c r="AF155" s="384" t="n">
        <v>41153</v>
      </c>
      <c r="AG155" s="36" t="n">
        <v>19</v>
      </c>
      <c r="AH155" s="36" t="n">
        <v>5</v>
      </c>
      <c r="AI155" s="36" t="n">
        <v>6</v>
      </c>
      <c r="AJ155" s="36" t="n">
        <v>1</v>
      </c>
      <c r="AK155" s="36" t="n">
        <v>30</v>
      </c>
    </row>
    <row r="156" customFormat="false" ht="12.75" hidden="false" customHeight="false" outlineLevel="0" collapsed="false">
      <c r="A156" s="420" t="str">
        <f aca="false">Calculations!A123</f>
        <v>N/A</v>
      </c>
      <c r="B156" s="421" t="str">
        <f aca="false">IF(A156="N/A"," ",IF(ISERROR(N156),B144*Pwresc,N156)*VLOOKUP(MONTH(A156),Curveadj,3))</f>
        <v> </v>
      </c>
      <c r="C156" s="422" t="str">
        <f aca="false">IF(A156="N/A"," ",(IF(AND(MONTH(A156)&gt;=6,MONTH(A156)&lt;=8,OR($M$37="REGION 2",$M$37="REGION 2A",$M$37="REGION 2B",$M$37="REGION 3",$M$37="REGION 3A",$M$37="REGION 3B",$M$37="REGION 4",$M$37="REGION 4B",$M$37="REGION 4C",$M$37="REGION 5",$M$37="REGION 5A")),((0.059228/(B156/100))-(0.4980013/(SQRT(B156/100)))+2.137988),HLOOKUP(MONTH(A156),ScalarTable,28))))</f>
        <v> </v>
      </c>
      <c r="D156" s="423" t="str">
        <f aca="false">IF(A156="N/A"," ",C156*B156)</f>
        <v> </v>
      </c>
      <c r="E156" s="421" t="str">
        <f aca="false">IF(A156="N/A"," ",IF(ISERROR(O156),E144*Pwresc,O156)*VLOOKUP(MONTH(A156),Curveadj,3))</f>
        <v> </v>
      </c>
      <c r="F156" s="423" t="str">
        <f aca="false">IF(A156="N/A"," ",E156*C156)</f>
        <v> </v>
      </c>
      <c r="G156" s="421" t="str">
        <f aca="false">IF(A156="N/A"," ",IF(ISERROR(P156),G144*Pwresc,P156)*VLOOKUP(MONTH(A156),Curveadj,3))</f>
        <v> </v>
      </c>
      <c r="H156" s="423" t="str">
        <f aca="false">IF(A156="N/A"," ",G156*C156)</f>
        <v> </v>
      </c>
      <c r="I156" s="423" t="str">
        <f aca="false">IF(A156="N/A"," ",IF(ISERROR(Q156),I144*Pwresc,Q156))</f>
        <v> </v>
      </c>
      <c r="J156" s="424" t="str">
        <f aca="false">IF(A156="N/A"," ",K156+L156+T156)</f>
        <v> </v>
      </c>
      <c r="K156" s="425" t="str">
        <f aca="false">IF(A156="N/A"," ",IF(ISERROR(R156),K144*Gasesc,R156))</f>
        <v> </v>
      </c>
      <c r="L156" s="425" t="str">
        <f aca="false">IF(A156="N/A"," ",IF(ISERROR(S156),L144*Gasesc,IF(S156=0,L144*Gasesc,S156)))</f>
        <v> </v>
      </c>
      <c r="M156" s="431"/>
      <c r="N156" s="427" t="str">
        <f aca="false">IF(A156="N/A"," ",VLOOKUP(A156,PeakPowerCurves,(IF(BMO=2,3,IF(BMO=1,2,4))),FALSE()))</f>
        <v> </v>
      </c>
      <c r="O156" s="427" t="str">
        <f aca="false">IF(A156="N/A"," ",VLOOKUP(A156,SatSunPeakPwr,(IF(BMO=2,3,IF(BMO=1,2,4))),FALSE()))</f>
        <v> </v>
      </c>
      <c r="P156" s="427" t="str">
        <f aca="false">IF(A156="N/A"," ",VLOOKUP(A156,SatSunPeakPwr,(IF(BMO=2,7,IF(BMO=1,6,8))),FALSE()))</f>
        <v> </v>
      </c>
      <c r="Q156" s="428" t="str">
        <f aca="false">IF(A156="N/A"," ",(VLOOKUP(A156,OPPowerPrices,(IF(BMO=2,7,IF(BMO=1,6,8))),FALSE())))</f>
        <v> </v>
      </c>
      <c r="R156" s="429" t="str">
        <f aca="false">IF(A156="N/A"," ",(VLOOKUP(A156,GasCurves,9,FALSE()))+IF(BMO=1,Gasbmo,IF(BMO=3,-Gasbmo,0)))</f>
        <v> </v>
      </c>
      <c r="S156" s="429" t="str">
        <f aca="false">IF(A156="N/A"," ",IF(Basischeck=TRUE(),(VLOOKUP(A156,GasCurves,IF(MONTH(A156)&gt;=4,IF(MONTH(A156)&lt;=10,11,12),12),FALSE())),0))</f>
        <v> </v>
      </c>
      <c r="T156" s="429" t="str">
        <f aca="false">IF(A156="N/A"," ",(IF(MONTH(A156)&gt;=4,IF(MONTH(A156)&lt;=10,Inputs!$H$2,Inputs!$H$3),Inputs!$H$3)))</f>
        <v> </v>
      </c>
      <c r="U156" s="430" t="str">
        <f aca="false">IF(A156="N/A"," ",(VLOOKUP($A156,InterestRatesTable,2)))</f>
        <v> </v>
      </c>
      <c r="AF156" s="384" t="n">
        <v>41183</v>
      </c>
      <c r="AG156" s="36" t="n">
        <v>23</v>
      </c>
      <c r="AH156" s="36" t="n">
        <v>4</v>
      </c>
      <c r="AI156" s="36" t="n">
        <v>4</v>
      </c>
      <c r="AJ156" s="36" t="n">
        <v>0</v>
      </c>
      <c r="AK156" s="36" t="n">
        <v>31</v>
      </c>
    </row>
    <row r="157" customFormat="false" ht="12.75" hidden="false" customHeight="false" outlineLevel="0" collapsed="false">
      <c r="A157" s="420" t="str">
        <f aca="false">Calculations!A124</f>
        <v>N/A</v>
      </c>
      <c r="B157" s="421" t="str">
        <f aca="false">IF(A157="N/A"," ",IF(ISERROR(N157),B145*Pwresc,N157)*VLOOKUP(MONTH(A157),Curveadj,3))</f>
        <v> </v>
      </c>
      <c r="C157" s="422" t="str">
        <f aca="false">IF(A157="N/A"," ",(IF(AND(MONTH(A157)&gt;=6,MONTH(A157)&lt;=8,OR($M$37="REGION 2",$M$37="REGION 2A",$M$37="REGION 2B",$M$37="REGION 3",$M$37="REGION 3A",$M$37="REGION 3B",$M$37="REGION 4",$M$37="REGION 4B",$M$37="REGION 4C",$M$37="REGION 5",$M$37="REGION 5A")),((0.059228/(B157/100))-(0.4980013/(SQRT(B157/100)))+2.137988),HLOOKUP(MONTH(A157),ScalarTable,28))))</f>
        <v> </v>
      </c>
      <c r="D157" s="423" t="str">
        <f aca="false">IF(A157="N/A"," ",C157*B157)</f>
        <v> </v>
      </c>
      <c r="E157" s="421" t="str">
        <f aca="false">IF(A157="N/A"," ",IF(ISERROR(O157),E145*Pwresc,O157)*VLOOKUP(MONTH(A157),Curveadj,3))</f>
        <v> </v>
      </c>
      <c r="F157" s="423" t="str">
        <f aca="false">IF(A157="N/A"," ",E157*C157)</f>
        <v> </v>
      </c>
      <c r="G157" s="421" t="str">
        <f aca="false">IF(A157="N/A"," ",IF(ISERROR(P157),G145*Pwresc,P157)*VLOOKUP(MONTH(A157),Curveadj,3))</f>
        <v> </v>
      </c>
      <c r="H157" s="423" t="str">
        <f aca="false">IF(A157="N/A"," ",G157*C157)</f>
        <v> </v>
      </c>
      <c r="I157" s="423" t="str">
        <f aca="false">IF(A157="N/A"," ",IF(ISERROR(Q157),I145*Pwresc,Q157))</f>
        <v> </v>
      </c>
      <c r="J157" s="424" t="str">
        <f aca="false">IF(A157="N/A"," ",K157+L157+T157)</f>
        <v> </v>
      </c>
      <c r="K157" s="425" t="str">
        <f aca="false">IF(A157="N/A"," ",IF(ISERROR(R157),K145*Gasesc,R157))</f>
        <v> </v>
      </c>
      <c r="L157" s="425" t="str">
        <f aca="false">IF(A157="N/A"," ",IF(ISERROR(S157),L145*Gasesc,IF(S157=0,L145*Gasesc,S157)))</f>
        <v> </v>
      </c>
      <c r="M157" s="431"/>
      <c r="N157" s="427" t="str">
        <f aca="false">IF(A157="N/A"," ",VLOOKUP(A157,PeakPowerCurves,(IF(BMO=2,3,IF(BMO=1,2,4))),FALSE()))</f>
        <v> </v>
      </c>
      <c r="O157" s="427" t="str">
        <f aca="false">IF(A157="N/A"," ",VLOOKUP(A157,SatSunPeakPwr,(IF(BMO=2,3,IF(BMO=1,2,4))),FALSE()))</f>
        <v> </v>
      </c>
      <c r="P157" s="427" t="str">
        <f aca="false">IF(A157="N/A"," ",VLOOKUP(A157,SatSunPeakPwr,(IF(BMO=2,7,IF(BMO=1,6,8))),FALSE()))</f>
        <v> </v>
      </c>
      <c r="Q157" s="428" t="str">
        <f aca="false">IF(A157="N/A"," ",(VLOOKUP(A157,OPPowerPrices,(IF(BMO=2,7,IF(BMO=1,6,8))),FALSE())))</f>
        <v> </v>
      </c>
      <c r="R157" s="429" t="str">
        <f aca="false">IF(A157="N/A"," ",(VLOOKUP(A157,GasCurves,9,FALSE()))+IF(BMO=1,Gasbmo,IF(BMO=3,-Gasbmo,0)))</f>
        <v> </v>
      </c>
      <c r="S157" s="429" t="str">
        <f aca="false">IF(A157="N/A"," ",IF(Basischeck=TRUE(),(VLOOKUP(A157,GasCurves,IF(MONTH(A157)&gt;=4,IF(MONTH(A157)&lt;=10,11,12),12),FALSE())),0))</f>
        <v> </v>
      </c>
      <c r="T157" s="429" t="str">
        <f aca="false">IF(A157="N/A"," ",(IF(MONTH(A157)&gt;=4,IF(MONTH(A157)&lt;=10,Inputs!$H$2,Inputs!$H$3),Inputs!$H$3)))</f>
        <v> </v>
      </c>
      <c r="U157" s="430" t="str">
        <f aca="false">IF(A157="N/A"," ",(VLOOKUP($A157,InterestRatesTable,2)))</f>
        <v> </v>
      </c>
      <c r="AF157" s="384" t="n">
        <v>41214</v>
      </c>
      <c r="AG157" s="36" t="n">
        <v>21</v>
      </c>
      <c r="AH157" s="36" t="n">
        <v>4</v>
      </c>
      <c r="AI157" s="36" t="n">
        <v>5</v>
      </c>
      <c r="AJ157" s="36" t="n">
        <v>1</v>
      </c>
      <c r="AK157" s="36" t="n">
        <v>30</v>
      </c>
    </row>
    <row r="158" customFormat="false" ht="12.75" hidden="false" customHeight="false" outlineLevel="0" collapsed="false">
      <c r="A158" s="420" t="str">
        <f aca="false">Calculations!A125</f>
        <v>N/A</v>
      </c>
      <c r="B158" s="421" t="str">
        <f aca="false">IF(A158="N/A"," ",IF(ISERROR(N158),B146*Pwresc,N158)*VLOOKUP(MONTH(A158),Curveadj,3))</f>
        <v> </v>
      </c>
      <c r="C158" s="422" t="str">
        <f aca="false">IF(A158="N/A"," ",(IF(AND(MONTH(A158)&gt;=6,MONTH(A158)&lt;=8,OR($M$37="REGION 2",$M$37="REGION 2A",$M$37="REGION 2B",$M$37="REGION 3",$M$37="REGION 3A",$M$37="REGION 3B",$M$37="REGION 4",$M$37="REGION 4B",$M$37="REGION 4C",$M$37="REGION 5",$M$37="REGION 5A")),((0.059228/(B158/100))-(0.4980013/(SQRT(B158/100)))+2.137988),HLOOKUP(MONTH(A158),ScalarTable,28))))</f>
        <v> </v>
      </c>
      <c r="D158" s="423" t="str">
        <f aca="false">IF(A158="N/A"," ",C158*B158)</f>
        <v> </v>
      </c>
      <c r="E158" s="421" t="str">
        <f aca="false">IF(A158="N/A"," ",IF(ISERROR(O158),E146*Pwresc,O158)*VLOOKUP(MONTH(A158),Curveadj,3))</f>
        <v> </v>
      </c>
      <c r="F158" s="423" t="str">
        <f aca="false">IF(A158="N/A"," ",E158*C158)</f>
        <v> </v>
      </c>
      <c r="G158" s="421" t="str">
        <f aca="false">IF(A158="N/A"," ",IF(ISERROR(P158),G146*Pwresc,P158)*VLOOKUP(MONTH(A158),Curveadj,3))</f>
        <v> </v>
      </c>
      <c r="H158" s="423" t="str">
        <f aca="false">IF(A158="N/A"," ",G158*C158)</f>
        <v> </v>
      </c>
      <c r="I158" s="423" t="str">
        <f aca="false">IF(A158="N/A"," ",IF(ISERROR(Q158),I146*Pwresc,Q158))</f>
        <v> </v>
      </c>
      <c r="J158" s="424" t="str">
        <f aca="false">IF(A158="N/A"," ",K158+L158+T158)</f>
        <v> </v>
      </c>
      <c r="K158" s="425" t="str">
        <f aca="false">IF(A158="N/A"," ",IF(ISERROR(R158),K146*Gasesc,R158))</f>
        <v> </v>
      </c>
      <c r="L158" s="425" t="str">
        <f aca="false">IF(A158="N/A"," ",IF(ISERROR(S158),L146*Gasesc,IF(S158=0,L146*Gasesc,S158)))</f>
        <v> </v>
      </c>
      <c r="M158" s="431"/>
      <c r="N158" s="427" t="str">
        <f aca="false">IF(A158="N/A"," ",VLOOKUP(A158,PeakPowerCurves,(IF(BMO=2,3,IF(BMO=1,2,4))),FALSE()))</f>
        <v> </v>
      </c>
      <c r="O158" s="427" t="str">
        <f aca="false">IF(A158="N/A"," ",VLOOKUP(A158,SatSunPeakPwr,(IF(BMO=2,3,IF(BMO=1,2,4))),FALSE()))</f>
        <v> </v>
      </c>
      <c r="P158" s="427" t="str">
        <f aca="false">IF(A158="N/A"," ",VLOOKUP(A158,SatSunPeakPwr,(IF(BMO=2,7,IF(BMO=1,6,8))),FALSE()))</f>
        <v> </v>
      </c>
      <c r="Q158" s="428" t="str">
        <f aca="false">IF(A158="N/A"," ",(VLOOKUP(A158,OPPowerPrices,(IF(BMO=2,7,IF(BMO=1,6,8))),FALSE())))</f>
        <v> </v>
      </c>
      <c r="R158" s="429" t="str">
        <f aca="false">IF(A158="N/A"," ",(VLOOKUP(A158,GasCurves,9,FALSE()))+IF(BMO=1,Gasbmo,IF(BMO=3,-Gasbmo,0)))</f>
        <v> </v>
      </c>
      <c r="S158" s="429" t="str">
        <f aca="false">IF(A158="N/A"," ",IF(Basischeck=TRUE(),(VLOOKUP(A158,GasCurves,IF(MONTH(A158)&gt;=4,IF(MONTH(A158)&lt;=10,11,12),12),FALSE())),0))</f>
        <v> </v>
      </c>
      <c r="T158" s="429" t="str">
        <f aca="false">IF(A158="N/A"," ",(IF(MONTH(A158)&gt;=4,IF(MONTH(A158)&lt;=10,Inputs!$H$2,Inputs!$H$3),Inputs!$H$3)))</f>
        <v> </v>
      </c>
      <c r="U158" s="430" t="str">
        <f aca="false">IF(A158="N/A"," ",(VLOOKUP($A158,InterestRatesTable,2)))</f>
        <v> </v>
      </c>
      <c r="AF158" s="384" t="n">
        <v>41244</v>
      </c>
      <c r="AG158" s="36" t="n">
        <v>20</v>
      </c>
      <c r="AH158" s="36" t="n">
        <v>5</v>
      </c>
      <c r="AI158" s="36" t="n">
        <v>6</v>
      </c>
      <c r="AJ158" s="36" t="n">
        <v>1</v>
      </c>
      <c r="AK158" s="36" t="n">
        <v>31</v>
      </c>
    </row>
    <row r="159" customFormat="false" ht="12.75" hidden="false" customHeight="false" outlineLevel="0" collapsed="false">
      <c r="A159" s="420" t="str">
        <f aca="false">Calculations!A126</f>
        <v>N/A</v>
      </c>
      <c r="B159" s="421" t="str">
        <f aca="false">IF(A159="N/A"," ",IF(ISERROR(N159),B147*Pwresc,N159)*VLOOKUP(MONTH(A159),Curveadj,3))</f>
        <v> </v>
      </c>
      <c r="C159" s="422" t="str">
        <f aca="false">IF(A159="N/A"," ",(IF(AND(MONTH(A159)&gt;=6,MONTH(A159)&lt;=8,OR($M$37="REGION 2",$M$37="REGION 2A",$M$37="REGION 2B",$M$37="REGION 3",$M$37="REGION 3A",$M$37="REGION 3B",$M$37="REGION 4",$M$37="REGION 4B",$M$37="REGION 4C",$M$37="REGION 5",$M$37="REGION 5A")),((0.059228/(B159/100))-(0.4980013/(SQRT(B159/100)))+2.137988),HLOOKUP(MONTH(A159),ScalarTable,28))))</f>
        <v> </v>
      </c>
      <c r="D159" s="423" t="str">
        <f aca="false">IF(A159="N/A"," ",C159*B159)</f>
        <v> </v>
      </c>
      <c r="E159" s="421" t="str">
        <f aca="false">IF(A159="N/A"," ",IF(ISERROR(O159),E147*Pwresc,O159)*VLOOKUP(MONTH(A159),Curveadj,3))</f>
        <v> </v>
      </c>
      <c r="F159" s="423" t="str">
        <f aca="false">IF(A159="N/A"," ",E159*C159)</f>
        <v> </v>
      </c>
      <c r="G159" s="421" t="str">
        <f aca="false">IF(A159="N/A"," ",IF(ISERROR(P159),G147*Pwresc,P159)*VLOOKUP(MONTH(A159),Curveadj,3))</f>
        <v> </v>
      </c>
      <c r="H159" s="423" t="str">
        <f aca="false">IF(A159="N/A"," ",G159*C159)</f>
        <v> </v>
      </c>
      <c r="I159" s="423" t="str">
        <f aca="false">IF(A159="N/A"," ",IF(ISERROR(Q159),I147*Pwresc,Q159))</f>
        <v> </v>
      </c>
      <c r="J159" s="424" t="str">
        <f aca="false">IF(A159="N/A"," ",K159+L159+T159)</f>
        <v> </v>
      </c>
      <c r="K159" s="425" t="str">
        <f aca="false">IF(A159="N/A"," ",IF(ISERROR(R159),K147*Gasesc,R159))</f>
        <v> </v>
      </c>
      <c r="L159" s="425" t="str">
        <f aca="false">IF(A159="N/A"," ",IF(ISERROR(S159),L147*Gasesc,IF(S159=0,L147*Gasesc,S159)))</f>
        <v> </v>
      </c>
      <c r="M159" s="431"/>
      <c r="N159" s="427" t="str">
        <f aca="false">IF(A159="N/A"," ",VLOOKUP(A159,PeakPowerCurves,(IF(BMO=2,3,IF(BMO=1,2,4))),FALSE()))</f>
        <v> </v>
      </c>
      <c r="O159" s="427" t="str">
        <f aca="false">IF(A159="N/A"," ",VLOOKUP(A159,SatSunPeakPwr,(IF(BMO=2,3,IF(BMO=1,2,4))),FALSE()))</f>
        <v> </v>
      </c>
      <c r="P159" s="427" t="str">
        <f aca="false">IF(A159="N/A"," ",VLOOKUP(A159,SatSunPeakPwr,(IF(BMO=2,7,IF(BMO=1,6,8))),FALSE()))</f>
        <v> </v>
      </c>
      <c r="Q159" s="428" t="str">
        <f aca="false">IF(A159="N/A"," ",(VLOOKUP(A159,OPPowerPrices,(IF(BMO=2,7,IF(BMO=1,6,8))),FALSE())))</f>
        <v> </v>
      </c>
      <c r="R159" s="429" t="str">
        <f aca="false">IF(A159="N/A"," ",(VLOOKUP(A159,GasCurves,9,FALSE()))+IF(BMO=1,Gasbmo,IF(BMO=3,-Gasbmo,0)))</f>
        <v> </v>
      </c>
      <c r="S159" s="429" t="str">
        <f aca="false">IF(A159="N/A"," ",IF(Basischeck=TRUE(),(VLOOKUP(A159,GasCurves,IF(MONTH(A159)&gt;=4,IF(MONTH(A159)&lt;=10,11,12),12),FALSE())),0))</f>
        <v> </v>
      </c>
      <c r="T159" s="429" t="str">
        <f aca="false">IF(A159="N/A"," ",(IF(MONTH(A159)&gt;=4,IF(MONTH(A159)&lt;=10,Inputs!$H$2,Inputs!$H$3),Inputs!$H$3)))</f>
        <v> </v>
      </c>
      <c r="U159" s="430" t="str">
        <f aca="false">IF(A159="N/A"," ",(VLOOKUP($A159,InterestRatesTable,2)))</f>
        <v> </v>
      </c>
      <c r="AF159" s="384" t="n">
        <v>41275</v>
      </c>
      <c r="AG159" s="36" t="n">
        <v>22</v>
      </c>
      <c r="AH159" s="36" t="n">
        <v>4</v>
      </c>
      <c r="AI159" s="36" t="n">
        <v>5</v>
      </c>
      <c r="AJ159" s="36" t="n">
        <v>1</v>
      </c>
      <c r="AK159" s="36" t="n">
        <v>31</v>
      </c>
    </row>
    <row r="160" customFormat="false" ht="12.75" hidden="false" customHeight="false" outlineLevel="0" collapsed="false">
      <c r="A160" s="420" t="str">
        <f aca="false">Calculations!A127</f>
        <v>N/A</v>
      </c>
      <c r="B160" s="421" t="str">
        <f aca="false">IF(A160="N/A"," ",IF(ISERROR(N160),B148*Pwresc,N160)*VLOOKUP(MONTH(A160),Curveadj,3))</f>
        <v> </v>
      </c>
      <c r="C160" s="422" t="str">
        <f aca="false">IF(A160="N/A"," ",(IF(AND(MONTH(A160)&gt;=6,MONTH(A160)&lt;=8,OR($M$37="REGION 2",$M$37="REGION 2A",$M$37="REGION 2B",$M$37="REGION 3",$M$37="REGION 3A",$M$37="REGION 3B",$M$37="REGION 4",$M$37="REGION 4B",$M$37="REGION 4C",$M$37="REGION 5",$M$37="REGION 5A")),((0.059228/(B160/100))-(0.4980013/(SQRT(B160/100)))+2.137988),HLOOKUP(MONTH(A160),ScalarTable,28))))</f>
        <v> </v>
      </c>
      <c r="D160" s="423" t="str">
        <f aca="false">IF(A160="N/A"," ",C160*B160)</f>
        <v> </v>
      </c>
      <c r="E160" s="421" t="str">
        <f aca="false">IF(A160="N/A"," ",IF(ISERROR(O160),E148*Pwresc,O160)*VLOOKUP(MONTH(A160),Curveadj,3))</f>
        <v> </v>
      </c>
      <c r="F160" s="423" t="str">
        <f aca="false">IF(A160="N/A"," ",E160*C160)</f>
        <v> </v>
      </c>
      <c r="G160" s="421" t="str">
        <f aca="false">IF(A160="N/A"," ",IF(ISERROR(P160),G148*Pwresc,P160)*VLOOKUP(MONTH(A160),Curveadj,3))</f>
        <v> </v>
      </c>
      <c r="H160" s="423" t="str">
        <f aca="false">IF(A160="N/A"," ",G160*C160)</f>
        <v> </v>
      </c>
      <c r="I160" s="423" t="str">
        <f aca="false">IF(A160="N/A"," ",IF(ISERROR(Q160),I148*Pwresc,Q160))</f>
        <v> </v>
      </c>
      <c r="J160" s="424" t="str">
        <f aca="false">IF(A160="N/A"," ",K160+L160+T160)</f>
        <v> </v>
      </c>
      <c r="K160" s="425" t="str">
        <f aca="false">IF(A160="N/A"," ",IF(ISERROR(R160),K148*Gasesc,R160))</f>
        <v> </v>
      </c>
      <c r="L160" s="425" t="str">
        <f aca="false">IF(A160="N/A"," ",IF(ISERROR(S160),L148*Gasesc,IF(S160=0,L148*Gasesc,S160)))</f>
        <v> </v>
      </c>
      <c r="M160" s="431"/>
      <c r="N160" s="427" t="str">
        <f aca="false">IF(A160="N/A"," ",VLOOKUP(A160,PeakPowerCurves,(IF(BMO=2,3,IF(BMO=1,2,4))),FALSE()))</f>
        <v> </v>
      </c>
      <c r="O160" s="427" t="str">
        <f aca="false">IF(A160="N/A"," ",VLOOKUP(A160,SatSunPeakPwr,(IF(BMO=2,3,IF(BMO=1,2,4))),FALSE()))</f>
        <v> </v>
      </c>
      <c r="P160" s="427" t="str">
        <f aca="false">IF(A160="N/A"," ",VLOOKUP(A160,SatSunPeakPwr,(IF(BMO=2,7,IF(BMO=1,6,8))),FALSE()))</f>
        <v> </v>
      </c>
      <c r="Q160" s="428" t="str">
        <f aca="false">IF(A160="N/A"," ",(VLOOKUP(A160,OPPowerPrices,(IF(BMO=2,7,IF(BMO=1,6,8))),FALSE())))</f>
        <v> </v>
      </c>
      <c r="R160" s="429" t="str">
        <f aca="false">IF(A160="N/A"," ",(VLOOKUP(A160,GasCurves,9,FALSE()))+IF(BMO=1,Gasbmo,IF(BMO=3,-Gasbmo,0)))</f>
        <v> </v>
      </c>
      <c r="S160" s="429" t="str">
        <f aca="false">IF(A160="N/A"," ",IF(Basischeck=TRUE(),(VLOOKUP(A160,GasCurves,IF(MONTH(A160)&gt;=4,IF(MONTH(A160)&lt;=10,11,12),12),FALSE())),0))</f>
        <v> </v>
      </c>
      <c r="T160" s="429" t="str">
        <f aca="false">IF(A160="N/A"," ",(IF(MONTH(A160)&gt;=4,IF(MONTH(A160)&lt;=10,Inputs!$H$2,Inputs!$H$3),Inputs!$H$3)))</f>
        <v> </v>
      </c>
      <c r="U160" s="430" t="str">
        <f aca="false">IF(A160="N/A"," ",(VLOOKUP($A160,InterestRatesTable,2)))</f>
        <v> </v>
      </c>
      <c r="AF160" s="384" t="n">
        <v>41306</v>
      </c>
      <c r="AG160" s="36" t="n">
        <v>20</v>
      </c>
      <c r="AH160" s="36" t="n">
        <v>4</v>
      </c>
      <c r="AI160" s="36" t="n">
        <v>4</v>
      </c>
      <c r="AJ160" s="36" t="n">
        <v>0</v>
      </c>
      <c r="AK160" s="36" t="n">
        <v>28</v>
      </c>
    </row>
    <row r="161" customFormat="false" ht="12.75" hidden="false" customHeight="false" outlineLevel="0" collapsed="false">
      <c r="A161" s="420" t="str">
        <f aca="false">Calculations!A128</f>
        <v>N/A</v>
      </c>
      <c r="B161" s="421" t="str">
        <f aca="false">IF(A161="N/A"," ",IF(ISERROR(N161),B149*Pwresc,N161)*VLOOKUP(MONTH(A161),Curveadj,3))</f>
        <v> </v>
      </c>
      <c r="C161" s="422" t="str">
        <f aca="false">IF(A161="N/A"," ",(IF(AND(MONTH(A161)&gt;=6,MONTH(A161)&lt;=8,OR($M$37="REGION 2",$M$37="REGION 2A",$M$37="REGION 2B",$M$37="REGION 3",$M$37="REGION 3A",$M$37="REGION 3B",$M$37="REGION 4",$M$37="REGION 4B",$M$37="REGION 4C",$M$37="REGION 5",$M$37="REGION 5A")),((0.059228/(B161/100))-(0.4980013/(SQRT(B161/100)))+2.137988),HLOOKUP(MONTH(A161),ScalarTable,28))))</f>
        <v> </v>
      </c>
      <c r="D161" s="423" t="str">
        <f aca="false">IF(A161="N/A"," ",C161*B161)</f>
        <v> </v>
      </c>
      <c r="E161" s="421" t="str">
        <f aca="false">IF(A161="N/A"," ",IF(ISERROR(O161),E149*Pwresc,O161)*VLOOKUP(MONTH(A161),Curveadj,3))</f>
        <v> </v>
      </c>
      <c r="F161" s="423" t="str">
        <f aca="false">IF(A161="N/A"," ",E161*C161)</f>
        <v> </v>
      </c>
      <c r="G161" s="421" t="str">
        <f aca="false">IF(A161="N/A"," ",IF(ISERROR(P161),G149*Pwresc,P161)*VLOOKUP(MONTH(A161),Curveadj,3))</f>
        <v> </v>
      </c>
      <c r="H161" s="423" t="str">
        <f aca="false">IF(A161="N/A"," ",G161*C161)</f>
        <v> </v>
      </c>
      <c r="I161" s="423" t="str">
        <f aca="false">IF(A161="N/A"," ",IF(ISERROR(Q161),I149*Pwresc,Q161))</f>
        <v> </v>
      </c>
      <c r="J161" s="424" t="str">
        <f aca="false">IF(A161="N/A"," ",K161+L161+T161)</f>
        <v> </v>
      </c>
      <c r="K161" s="425" t="str">
        <f aca="false">IF(A161="N/A"," ",IF(ISERROR(R161),K149*Gasesc,R161))</f>
        <v> </v>
      </c>
      <c r="L161" s="425" t="str">
        <f aca="false">IF(A161="N/A"," ",IF(ISERROR(S161),L149*Gasesc,IF(S161=0,L149*Gasesc,S161)))</f>
        <v> </v>
      </c>
      <c r="M161" s="431"/>
      <c r="N161" s="427" t="str">
        <f aca="false">IF(A161="N/A"," ",VLOOKUP(A161,PeakPowerCurves,(IF(BMO=2,3,IF(BMO=1,2,4))),FALSE()))</f>
        <v> </v>
      </c>
      <c r="O161" s="427" t="str">
        <f aca="false">IF(A161="N/A"," ",VLOOKUP(A161,SatSunPeakPwr,(IF(BMO=2,3,IF(BMO=1,2,4))),FALSE()))</f>
        <v> </v>
      </c>
      <c r="P161" s="427" t="str">
        <f aca="false">IF(A161="N/A"," ",VLOOKUP(A161,SatSunPeakPwr,(IF(BMO=2,7,IF(BMO=1,6,8))),FALSE()))</f>
        <v> </v>
      </c>
      <c r="Q161" s="428" t="str">
        <f aca="false">IF(A161="N/A"," ",(VLOOKUP(A161,OPPowerPrices,(IF(BMO=2,7,IF(BMO=1,6,8))),FALSE())))</f>
        <v> </v>
      </c>
      <c r="R161" s="429" t="str">
        <f aca="false">IF(A161="N/A"," ",(VLOOKUP(A161,GasCurves,9,FALSE()))+IF(BMO=1,Gasbmo,IF(BMO=3,-Gasbmo,0)))</f>
        <v> </v>
      </c>
      <c r="S161" s="429" t="str">
        <f aca="false">IF(A161="N/A"," ",IF(Basischeck=TRUE(),(VLOOKUP(A161,GasCurves,IF(MONTH(A161)&gt;=4,IF(MONTH(A161)&lt;=10,11,12),12),FALSE())),0))</f>
        <v> </v>
      </c>
      <c r="T161" s="429" t="str">
        <f aca="false">IF(A161="N/A"," ",(IF(MONTH(A161)&gt;=4,IF(MONTH(A161)&lt;=10,Inputs!$H$2,Inputs!$H$3),Inputs!$H$3)))</f>
        <v> </v>
      </c>
      <c r="U161" s="430" t="str">
        <f aca="false">IF(A161="N/A"," ",(VLOOKUP($A161,InterestRatesTable,2)))</f>
        <v> </v>
      </c>
      <c r="AF161" s="384" t="n">
        <v>41334</v>
      </c>
      <c r="AG161" s="36" t="n">
        <v>21</v>
      </c>
      <c r="AH161" s="36" t="n">
        <v>5</v>
      </c>
      <c r="AI161" s="36" t="n">
        <v>5</v>
      </c>
      <c r="AJ161" s="36" t="n">
        <v>0</v>
      </c>
      <c r="AK161" s="36" t="n">
        <v>31</v>
      </c>
    </row>
    <row r="162" customFormat="false" ht="12.75" hidden="false" customHeight="false" outlineLevel="0" collapsed="false">
      <c r="A162" s="420" t="str">
        <f aca="false">Calculations!A129</f>
        <v>N/A</v>
      </c>
      <c r="B162" s="421" t="str">
        <f aca="false">IF(A162="N/A"," ",IF(ISERROR(N162),B150*Pwresc,N162)*VLOOKUP(MONTH(A162),Curveadj,3))</f>
        <v> </v>
      </c>
      <c r="C162" s="422" t="str">
        <f aca="false">IF(A162="N/A"," ",(IF(AND(MONTH(A162)&gt;=6,MONTH(A162)&lt;=8,OR($M$37="REGION 2",$M$37="REGION 2A",$M$37="REGION 2B",$M$37="REGION 3",$M$37="REGION 3A",$M$37="REGION 3B",$M$37="REGION 4",$M$37="REGION 4B",$M$37="REGION 4C",$M$37="REGION 5",$M$37="REGION 5A")),((0.059228/(B162/100))-(0.4980013/(SQRT(B162/100)))+2.137988),HLOOKUP(MONTH(A162),ScalarTable,28))))</f>
        <v> </v>
      </c>
      <c r="D162" s="423" t="str">
        <f aca="false">IF(A162="N/A"," ",C162*B162)</f>
        <v> </v>
      </c>
      <c r="E162" s="421" t="str">
        <f aca="false">IF(A162="N/A"," ",IF(ISERROR(O162),E150*Pwresc,O162)*VLOOKUP(MONTH(A162),Curveadj,3))</f>
        <v> </v>
      </c>
      <c r="F162" s="423" t="str">
        <f aca="false">IF(A162="N/A"," ",E162*C162)</f>
        <v> </v>
      </c>
      <c r="G162" s="421" t="str">
        <f aca="false">IF(A162="N/A"," ",IF(ISERROR(P162),G150*Pwresc,P162)*VLOOKUP(MONTH(A162),Curveadj,3))</f>
        <v> </v>
      </c>
      <c r="H162" s="423" t="str">
        <f aca="false">IF(A162="N/A"," ",G162*C162)</f>
        <v> </v>
      </c>
      <c r="I162" s="423" t="str">
        <f aca="false">IF(A162="N/A"," ",IF(ISERROR(Q162),I150*Pwresc,Q162))</f>
        <v> </v>
      </c>
      <c r="J162" s="424" t="str">
        <f aca="false">IF(A162="N/A"," ",K162+L162+T162)</f>
        <v> </v>
      </c>
      <c r="K162" s="425" t="str">
        <f aca="false">IF(A162="N/A"," ",IF(ISERROR(R162),K150*Gasesc,R162))</f>
        <v> </v>
      </c>
      <c r="L162" s="425" t="str">
        <f aca="false">IF(A162="N/A"," ",IF(ISERROR(S162),L150*Gasesc,IF(S162=0,L150*Gasesc,S162)))</f>
        <v> </v>
      </c>
      <c r="M162" s="431"/>
      <c r="N162" s="427" t="str">
        <f aca="false">IF(A162="N/A"," ",VLOOKUP(A162,PeakPowerCurves,(IF(BMO=2,3,IF(BMO=1,2,4))),FALSE()))</f>
        <v> </v>
      </c>
      <c r="O162" s="427" t="str">
        <f aca="false">IF(A162="N/A"," ",VLOOKUP(A162,SatSunPeakPwr,(IF(BMO=2,3,IF(BMO=1,2,4))),FALSE()))</f>
        <v> </v>
      </c>
      <c r="P162" s="427" t="str">
        <f aca="false">IF(A162="N/A"," ",VLOOKUP(A162,SatSunPeakPwr,(IF(BMO=2,7,IF(BMO=1,6,8))),FALSE()))</f>
        <v> </v>
      </c>
      <c r="Q162" s="428" t="str">
        <f aca="false">IF(A162="N/A"," ",(VLOOKUP(A162,OPPowerPrices,(IF(BMO=2,7,IF(BMO=1,6,8))),FALSE())))</f>
        <v> </v>
      </c>
      <c r="R162" s="429" t="str">
        <f aca="false">IF(A162="N/A"," ",(VLOOKUP(A162,GasCurves,9,FALSE()))+IF(BMO=1,Gasbmo,IF(BMO=3,-Gasbmo,0)))</f>
        <v> </v>
      </c>
      <c r="S162" s="429" t="str">
        <f aca="false">IF(A162="N/A"," ",IF(Basischeck=TRUE(),(VLOOKUP(A162,GasCurves,IF(MONTH(A162)&gt;=4,IF(MONTH(A162)&lt;=10,11,12),12),FALSE())),0))</f>
        <v> </v>
      </c>
      <c r="T162" s="429" t="str">
        <f aca="false">IF(A162="N/A"," ",(IF(MONTH(A162)&gt;=4,IF(MONTH(A162)&lt;=10,Inputs!$H$2,Inputs!$H$3),Inputs!$H$3)))</f>
        <v> </v>
      </c>
      <c r="U162" s="430" t="str">
        <f aca="false">IF(A162="N/A"," ",(VLOOKUP($A162,InterestRatesTable,2)))</f>
        <v> </v>
      </c>
      <c r="AF162" s="384" t="n">
        <v>41365</v>
      </c>
      <c r="AG162" s="36" t="n">
        <v>22</v>
      </c>
      <c r="AH162" s="36" t="n">
        <v>4</v>
      </c>
      <c r="AI162" s="36" t="n">
        <v>4</v>
      </c>
      <c r="AJ162" s="36" t="n">
        <v>0</v>
      </c>
      <c r="AK162" s="36" t="n">
        <v>30</v>
      </c>
    </row>
    <row r="163" customFormat="false" ht="12.75" hidden="false" customHeight="false" outlineLevel="0" collapsed="false">
      <c r="A163" s="420" t="str">
        <f aca="false">Calculations!A130</f>
        <v>N/A</v>
      </c>
      <c r="B163" s="421" t="str">
        <f aca="false">IF(A163="N/A"," ",IF(ISERROR(N163),B151*Pwresc,N163)*VLOOKUP(MONTH(A163),Curveadj,3))</f>
        <v> </v>
      </c>
      <c r="C163" s="422" t="str">
        <f aca="false">IF(A163="N/A"," ",(IF(AND(MONTH(A163)&gt;=6,MONTH(A163)&lt;=8,OR($M$37="REGION 2",$M$37="REGION 2A",$M$37="REGION 2B",$M$37="REGION 3",$M$37="REGION 3A",$M$37="REGION 3B",$M$37="REGION 4",$M$37="REGION 4B",$M$37="REGION 4C",$M$37="REGION 5",$M$37="REGION 5A")),((0.059228/(B163/100))-(0.4980013/(SQRT(B163/100)))+2.137988),HLOOKUP(MONTH(A163),ScalarTable,28))))</f>
        <v> </v>
      </c>
      <c r="D163" s="423" t="str">
        <f aca="false">IF(A163="N/A"," ",C163*B163)</f>
        <v> </v>
      </c>
      <c r="E163" s="421" t="str">
        <f aca="false">IF(A163="N/A"," ",IF(ISERROR(O163),E151*Pwresc,O163)*VLOOKUP(MONTH(A163),Curveadj,3))</f>
        <v> </v>
      </c>
      <c r="F163" s="423" t="str">
        <f aca="false">IF(A163="N/A"," ",E163*C163)</f>
        <v> </v>
      </c>
      <c r="G163" s="421" t="str">
        <f aca="false">IF(A163="N/A"," ",IF(ISERROR(P163),G151*Pwresc,P163)*VLOOKUP(MONTH(A163),Curveadj,3))</f>
        <v> </v>
      </c>
      <c r="H163" s="423" t="str">
        <f aca="false">IF(A163="N/A"," ",G163*C163)</f>
        <v> </v>
      </c>
      <c r="I163" s="423" t="str">
        <f aca="false">IF(A163="N/A"," ",IF(ISERROR(Q163),I151*Pwresc,Q163))</f>
        <v> </v>
      </c>
      <c r="J163" s="424" t="str">
        <f aca="false">IF(A163="N/A"," ",K163+L163+T163)</f>
        <v> </v>
      </c>
      <c r="K163" s="425" t="str">
        <f aca="false">IF(A163="N/A"," ",IF(ISERROR(R163),K151*Gasesc,R163))</f>
        <v> </v>
      </c>
      <c r="L163" s="425" t="str">
        <f aca="false">IF(A163="N/A"," ",IF(ISERROR(S163),L151*Gasesc,IF(S163=0,L151*Gasesc,S163)))</f>
        <v> </v>
      </c>
      <c r="M163" s="431"/>
      <c r="N163" s="427" t="str">
        <f aca="false">IF(A163="N/A"," ",VLOOKUP(A163,PeakPowerCurves,(IF(BMO=2,3,IF(BMO=1,2,4))),FALSE()))</f>
        <v> </v>
      </c>
      <c r="O163" s="427" t="str">
        <f aca="false">IF(A163="N/A"," ",VLOOKUP(A163,SatSunPeakPwr,(IF(BMO=2,3,IF(BMO=1,2,4))),FALSE()))</f>
        <v> </v>
      </c>
      <c r="P163" s="427" t="str">
        <f aca="false">IF(A163="N/A"," ",VLOOKUP(A163,SatSunPeakPwr,(IF(BMO=2,7,IF(BMO=1,6,8))),FALSE()))</f>
        <v> </v>
      </c>
      <c r="Q163" s="428" t="str">
        <f aca="false">IF(A163="N/A"," ",(VLOOKUP(A163,OPPowerPrices,(IF(BMO=2,7,IF(BMO=1,6,8))),FALSE())))</f>
        <v> </v>
      </c>
      <c r="R163" s="429" t="str">
        <f aca="false">IF(A163="N/A"," ",(VLOOKUP(A163,GasCurves,9,FALSE()))+IF(BMO=1,Gasbmo,IF(BMO=3,-Gasbmo,0)))</f>
        <v> </v>
      </c>
      <c r="S163" s="429" t="str">
        <f aca="false">IF(A163="N/A"," ",IF(Basischeck=TRUE(),(VLOOKUP(A163,GasCurves,IF(MONTH(A163)&gt;=4,IF(MONTH(A163)&lt;=10,11,12),12),FALSE())),0))</f>
        <v> </v>
      </c>
      <c r="T163" s="429" t="str">
        <f aca="false">IF(A163="N/A"," ",(IF(MONTH(A163)&gt;=4,IF(MONTH(A163)&lt;=10,Inputs!$H$2,Inputs!$H$3),Inputs!$H$3)))</f>
        <v> </v>
      </c>
      <c r="U163" s="430" t="str">
        <f aca="false">IF(A163="N/A"," ",(VLOOKUP($A163,InterestRatesTable,2)))</f>
        <v> </v>
      </c>
      <c r="AF163" s="384" t="n">
        <v>41395</v>
      </c>
      <c r="AG163" s="36" t="n">
        <v>22</v>
      </c>
      <c r="AH163" s="36" t="n">
        <v>4</v>
      </c>
      <c r="AI163" s="36" t="n">
        <v>5</v>
      </c>
      <c r="AJ163" s="36" t="n">
        <v>1</v>
      </c>
      <c r="AK163" s="36" t="n">
        <v>31</v>
      </c>
    </row>
    <row r="164" customFormat="false" ht="12.75" hidden="false" customHeight="false" outlineLevel="0" collapsed="false">
      <c r="A164" s="420" t="str">
        <f aca="false">Calculations!A131</f>
        <v>N/A</v>
      </c>
      <c r="B164" s="421" t="str">
        <f aca="false">IF(A164="N/A"," ",IF(ISERROR(N164),B152*Pwresc,N164)*VLOOKUP(MONTH(A164),Curveadj,3))</f>
        <v> </v>
      </c>
      <c r="C164" s="422" t="str">
        <f aca="false">IF(A164="N/A"," ",(IF(AND(MONTH(A164)&gt;=6,MONTH(A164)&lt;=8,OR($M$37="REGION 2",$M$37="REGION 2A",$M$37="REGION 2B",$M$37="REGION 3",$M$37="REGION 3A",$M$37="REGION 3B",$M$37="REGION 4",$M$37="REGION 4B",$M$37="REGION 4C",$M$37="REGION 5",$M$37="REGION 5A")),((0.059228/(B164/100))-(0.4980013/(SQRT(B164/100)))+2.137988),HLOOKUP(MONTH(A164),ScalarTable,28))))</f>
        <v> </v>
      </c>
      <c r="D164" s="423" t="str">
        <f aca="false">IF(A164="N/A"," ",C164*B164)</f>
        <v> </v>
      </c>
      <c r="E164" s="421" t="str">
        <f aca="false">IF(A164="N/A"," ",IF(ISERROR(O164),E152*Pwresc,O164)*VLOOKUP(MONTH(A164),Curveadj,3))</f>
        <v> </v>
      </c>
      <c r="F164" s="423" t="str">
        <f aca="false">IF(A164="N/A"," ",E164*C164)</f>
        <v> </v>
      </c>
      <c r="G164" s="421" t="str">
        <f aca="false">IF(A164="N/A"," ",IF(ISERROR(P164),G152*Pwresc,P164)*VLOOKUP(MONTH(A164),Curveadj,3))</f>
        <v> </v>
      </c>
      <c r="H164" s="423" t="str">
        <f aca="false">IF(A164="N/A"," ",G164*C164)</f>
        <v> </v>
      </c>
      <c r="I164" s="423" t="str">
        <f aca="false">IF(A164="N/A"," ",IF(ISERROR(Q164),I152*Pwresc,Q164))</f>
        <v> </v>
      </c>
      <c r="J164" s="424" t="str">
        <f aca="false">IF(A164="N/A"," ",K164+L164+T164)</f>
        <v> </v>
      </c>
      <c r="K164" s="425" t="str">
        <f aca="false">IF(A164="N/A"," ",IF(ISERROR(R164),K152*Gasesc,R164))</f>
        <v> </v>
      </c>
      <c r="L164" s="425" t="str">
        <f aca="false">IF(A164="N/A"," ",IF(ISERROR(S164),L152*Gasesc,IF(S164=0,L152*Gasesc,S164)))</f>
        <v> </v>
      </c>
      <c r="M164" s="431"/>
      <c r="N164" s="427" t="str">
        <f aca="false">IF(A164="N/A"," ",VLOOKUP(A164,PeakPowerCurves,(IF(BMO=2,3,IF(BMO=1,2,4))),FALSE()))</f>
        <v> </v>
      </c>
      <c r="O164" s="427" t="str">
        <f aca="false">IF(A164="N/A"," ",VLOOKUP(A164,SatSunPeakPwr,(IF(BMO=2,3,IF(BMO=1,2,4))),FALSE()))</f>
        <v> </v>
      </c>
      <c r="P164" s="427" t="str">
        <f aca="false">IF(A164="N/A"," ",VLOOKUP(A164,SatSunPeakPwr,(IF(BMO=2,7,IF(BMO=1,6,8))),FALSE()))</f>
        <v> </v>
      </c>
      <c r="Q164" s="428" t="str">
        <f aca="false">IF(A164="N/A"," ",(VLOOKUP(A164,OPPowerPrices,(IF(BMO=2,7,IF(BMO=1,6,8))),FALSE())))</f>
        <v> </v>
      </c>
      <c r="R164" s="429" t="str">
        <f aca="false">IF(A164="N/A"," ",(VLOOKUP(A164,GasCurves,9,FALSE()))+IF(BMO=1,Gasbmo,IF(BMO=3,-Gasbmo,0)))</f>
        <v> </v>
      </c>
      <c r="S164" s="429" t="str">
        <f aca="false">IF(A164="N/A"," ",IF(Basischeck=TRUE(),(VLOOKUP(A164,GasCurves,IF(MONTH(A164)&gt;=4,IF(MONTH(A164)&lt;=10,11,12),12),FALSE())),0))</f>
        <v> </v>
      </c>
      <c r="T164" s="429" t="str">
        <f aca="false">IF(A164="N/A"," ",(IF(MONTH(A164)&gt;=4,IF(MONTH(A164)&lt;=10,Inputs!$H$2,Inputs!$H$3),Inputs!$H$3)))</f>
        <v> </v>
      </c>
      <c r="U164" s="430" t="str">
        <f aca="false">IF(A164="N/A"," ",(VLOOKUP($A164,InterestRatesTable,2)))</f>
        <v> </v>
      </c>
      <c r="AF164" s="384" t="n">
        <v>41426</v>
      </c>
      <c r="AG164" s="36" t="n">
        <v>20</v>
      </c>
      <c r="AH164" s="36" t="n">
        <v>5</v>
      </c>
      <c r="AI164" s="36" t="n">
        <v>5</v>
      </c>
      <c r="AJ164" s="36" t="n">
        <v>0</v>
      </c>
      <c r="AK164" s="36" t="n">
        <v>30</v>
      </c>
    </row>
    <row r="165" customFormat="false" ht="12.75" hidden="false" customHeight="false" outlineLevel="0" collapsed="false">
      <c r="A165" s="420" t="str">
        <f aca="false">Calculations!A132</f>
        <v>N/A</v>
      </c>
      <c r="B165" s="421" t="str">
        <f aca="false">IF(A165="N/A"," ",IF(ISERROR(N165),B153*Pwresc,N165)*VLOOKUP(MONTH(A165),Curveadj,3))</f>
        <v> </v>
      </c>
      <c r="C165" s="422" t="str">
        <f aca="false">IF(A165="N/A"," ",(IF(AND(MONTH(A165)&gt;=6,MONTH(A165)&lt;=8,OR($M$37="REGION 2",$M$37="REGION 2A",$M$37="REGION 2B",$M$37="REGION 3",$M$37="REGION 3A",$M$37="REGION 3B",$M$37="REGION 4",$M$37="REGION 4B",$M$37="REGION 4C",$M$37="REGION 5",$M$37="REGION 5A")),((0.059228/(B165/100))-(0.4980013/(SQRT(B165/100)))+2.137988),HLOOKUP(MONTH(A165),ScalarTable,28))))</f>
        <v> </v>
      </c>
      <c r="D165" s="423" t="str">
        <f aca="false">IF(A165="N/A"," ",C165*B165)</f>
        <v> </v>
      </c>
      <c r="E165" s="421" t="str">
        <f aca="false">IF(A165="N/A"," ",IF(ISERROR(O165),E153*Pwresc,O165)*VLOOKUP(MONTH(A165),Curveadj,3))</f>
        <v> </v>
      </c>
      <c r="F165" s="423" t="str">
        <f aca="false">IF(A165="N/A"," ",E165*C165)</f>
        <v> </v>
      </c>
      <c r="G165" s="421" t="str">
        <f aca="false">IF(A165="N/A"," ",IF(ISERROR(P165),G153*Pwresc,P165)*VLOOKUP(MONTH(A165),Curveadj,3))</f>
        <v> </v>
      </c>
      <c r="H165" s="423" t="str">
        <f aca="false">IF(A165="N/A"," ",G165*C165)</f>
        <v> </v>
      </c>
      <c r="I165" s="423" t="str">
        <f aca="false">IF(A165="N/A"," ",IF(ISERROR(Q165),I153*Pwresc,Q165))</f>
        <v> </v>
      </c>
      <c r="J165" s="424" t="str">
        <f aca="false">IF(A165="N/A"," ",K165+L165+T165)</f>
        <v> </v>
      </c>
      <c r="K165" s="425" t="str">
        <f aca="false">IF(A165="N/A"," ",IF(ISERROR(R165),K153*Gasesc,R165))</f>
        <v> </v>
      </c>
      <c r="L165" s="425" t="str">
        <f aca="false">IF(A165="N/A"," ",IF(ISERROR(S165),L153*Gasesc,IF(S165=0,L153*Gasesc,S165)))</f>
        <v> </v>
      </c>
      <c r="M165" s="431"/>
      <c r="N165" s="427" t="str">
        <f aca="false">IF(A165="N/A"," ",VLOOKUP(A165,PeakPowerCurves,(IF(BMO=2,3,IF(BMO=1,2,4))),FALSE()))</f>
        <v> </v>
      </c>
      <c r="O165" s="427" t="str">
        <f aca="false">IF(A165="N/A"," ",VLOOKUP(A165,SatSunPeakPwr,(IF(BMO=2,3,IF(BMO=1,2,4))),FALSE()))</f>
        <v> </v>
      </c>
      <c r="P165" s="427" t="str">
        <f aca="false">IF(A165="N/A"," ",VLOOKUP(A165,SatSunPeakPwr,(IF(BMO=2,7,IF(BMO=1,6,8))),FALSE()))</f>
        <v> </v>
      </c>
      <c r="Q165" s="428" t="str">
        <f aca="false">IF(A165="N/A"," ",(VLOOKUP(A165,OPPowerPrices,(IF(BMO=2,7,IF(BMO=1,6,8))),FALSE())))</f>
        <v> </v>
      </c>
      <c r="R165" s="429" t="str">
        <f aca="false">IF(A165="N/A"," ",(VLOOKUP(A165,GasCurves,9,FALSE()))+IF(BMO=1,Gasbmo,IF(BMO=3,-Gasbmo,0)))</f>
        <v> </v>
      </c>
      <c r="S165" s="429" t="str">
        <f aca="false">IF(A165="N/A"," ",IF(Basischeck=TRUE(),(VLOOKUP(A165,GasCurves,IF(MONTH(A165)&gt;=4,IF(MONTH(A165)&lt;=10,11,12),12),FALSE())),0))</f>
        <v> </v>
      </c>
      <c r="T165" s="429" t="str">
        <f aca="false">IF(A165="N/A"," ",(IF(MONTH(A165)&gt;=4,IF(MONTH(A165)&lt;=10,Inputs!$H$2,Inputs!$H$3),Inputs!$H$3)))</f>
        <v> </v>
      </c>
      <c r="U165" s="430" t="str">
        <f aca="false">IF(A165="N/A"," ",(VLOOKUP($A165,InterestRatesTable,2)))</f>
        <v> </v>
      </c>
      <c r="AF165" s="384" t="n">
        <v>41456</v>
      </c>
      <c r="AG165" s="36" t="n">
        <v>22</v>
      </c>
      <c r="AH165" s="36" t="n">
        <v>4</v>
      </c>
      <c r="AI165" s="36" t="n">
        <v>5</v>
      </c>
      <c r="AJ165" s="36" t="n">
        <v>1</v>
      </c>
      <c r="AK165" s="36" t="n">
        <v>31</v>
      </c>
    </row>
    <row r="166" customFormat="false" ht="12.75" hidden="false" customHeight="false" outlineLevel="0" collapsed="false">
      <c r="A166" s="420" t="str">
        <f aca="false">Calculations!A133</f>
        <v>N/A</v>
      </c>
      <c r="B166" s="421" t="str">
        <f aca="false">IF(A166="N/A"," ",IF(ISERROR(N166),B154*Pwresc,N166)*VLOOKUP(MONTH(A166),Curveadj,3))</f>
        <v> </v>
      </c>
      <c r="C166" s="422" t="str">
        <f aca="false">IF(A166="N/A"," ",(IF(AND(MONTH(A166)&gt;=6,MONTH(A166)&lt;=8,OR($M$37="REGION 2",$M$37="REGION 2A",$M$37="REGION 2B",$M$37="REGION 3",$M$37="REGION 3A",$M$37="REGION 3B",$M$37="REGION 4",$M$37="REGION 4B",$M$37="REGION 4C",$M$37="REGION 5",$M$37="REGION 5A")),((0.059228/(B166/100))-(0.4980013/(SQRT(B166/100)))+2.137988),HLOOKUP(MONTH(A166),ScalarTable,28))))</f>
        <v> </v>
      </c>
      <c r="D166" s="423" t="str">
        <f aca="false">IF(A166="N/A"," ",C166*B166)</f>
        <v> </v>
      </c>
      <c r="E166" s="421" t="str">
        <f aca="false">IF(A166="N/A"," ",IF(ISERROR(O166),E154*Pwresc,O166)*VLOOKUP(MONTH(A166),Curveadj,3))</f>
        <v> </v>
      </c>
      <c r="F166" s="423" t="str">
        <f aca="false">IF(A166="N/A"," ",E166*C166)</f>
        <v> </v>
      </c>
      <c r="G166" s="421" t="str">
        <f aca="false">IF(A166="N/A"," ",IF(ISERROR(P166),G154*Pwresc,P166)*VLOOKUP(MONTH(A166),Curveadj,3))</f>
        <v> </v>
      </c>
      <c r="H166" s="423" t="str">
        <f aca="false">IF(A166="N/A"," ",G166*C166)</f>
        <v> </v>
      </c>
      <c r="I166" s="423" t="str">
        <f aca="false">IF(A166="N/A"," ",IF(ISERROR(Q166),I154*Pwresc,Q166))</f>
        <v> </v>
      </c>
      <c r="J166" s="424" t="str">
        <f aca="false">IF(A166="N/A"," ",K166+L166+T166)</f>
        <v> </v>
      </c>
      <c r="K166" s="425" t="str">
        <f aca="false">IF(A166="N/A"," ",IF(ISERROR(R166),K154*Gasesc,R166))</f>
        <v> </v>
      </c>
      <c r="L166" s="425" t="str">
        <f aca="false">IF(A166="N/A"," ",IF(ISERROR(S166),L154*Gasesc,IF(S166=0,L154*Gasesc,S166)))</f>
        <v> </v>
      </c>
      <c r="M166" s="431"/>
      <c r="N166" s="427" t="str">
        <f aca="false">IF(A166="N/A"," ",VLOOKUP(A166,PeakPowerCurves,(IF(BMO=2,3,IF(BMO=1,2,4))),FALSE()))</f>
        <v> </v>
      </c>
      <c r="O166" s="427" t="str">
        <f aca="false">IF(A166="N/A"," ",VLOOKUP(A166,SatSunPeakPwr,(IF(BMO=2,3,IF(BMO=1,2,4))),FALSE()))</f>
        <v> </v>
      </c>
      <c r="P166" s="427" t="str">
        <f aca="false">IF(A166="N/A"," ",VLOOKUP(A166,SatSunPeakPwr,(IF(BMO=2,7,IF(BMO=1,6,8))),FALSE()))</f>
        <v> </v>
      </c>
      <c r="Q166" s="428" t="str">
        <f aca="false">IF(A166="N/A"," ",(VLOOKUP(A166,OPPowerPrices,(IF(BMO=2,7,IF(BMO=1,6,8))),FALSE())))</f>
        <v> </v>
      </c>
      <c r="R166" s="429" t="str">
        <f aca="false">IF(A166="N/A"," ",(VLOOKUP(A166,GasCurves,9,FALSE()))+IF(BMO=1,Gasbmo,IF(BMO=3,-Gasbmo,0)))</f>
        <v> </v>
      </c>
      <c r="S166" s="429" t="str">
        <f aca="false">IF(A166="N/A"," ",IF(Basischeck=TRUE(),(VLOOKUP(A166,GasCurves,IF(MONTH(A166)&gt;=4,IF(MONTH(A166)&lt;=10,11,12),12),FALSE())),0))</f>
        <v> </v>
      </c>
      <c r="T166" s="429" t="str">
        <f aca="false">IF(A166="N/A"," ",(IF(MONTH(A166)&gt;=4,IF(MONTH(A166)&lt;=10,Inputs!$H$2,Inputs!$H$3),Inputs!$H$3)))</f>
        <v> </v>
      </c>
      <c r="U166" s="430" t="str">
        <f aca="false">IF(A166="N/A"," ",(VLOOKUP($A166,InterestRatesTable,2)))</f>
        <v> </v>
      </c>
      <c r="AF166" s="384" t="n">
        <v>41487</v>
      </c>
      <c r="AG166" s="36" t="n">
        <v>22</v>
      </c>
      <c r="AH166" s="36" t="n">
        <v>5</v>
      </c>
      <c r="AI166" s="36" t="n">
        <v>4</v>
      </c>
      <c r="AJ166" s="36" t="n">
        <v>0</v>
      </c>
      <c r="AK166" s="36" t="n">
        <v>31</v>
      </c>
    </row>
    <row r="167" customFormat="false" ht="12.75" hidden="false" customHeight="false" outlineLevel="0" collapsed="false">
      <c r="A167" s="420" t="str">
        <f aca="false">Calculations!A134</f>
        <v>N/A</v>
      </c>
      <c r="B167" s="421" t="str">
        <f aca="false">IF(A167="N/A"," ",IF(ISERROR(N167),B155*Pwresc,N167)*VLOOKUP(MONTH(A167),Curveadj,3))</f>
        <v> </v>
      </c>
      <c r="C167" s="422" t="str">
        <f aca="false">IF(A167="N/A"," ",(IF(AND(MONTH(A167)&gt;=6,MONTH(A167)&lt;=8,OR($M$37="REGION 2",$M$37="REGION 2A",$M$37="REGION 2B",$M$37="REGION 3",$M$37="REGION 3A",$M$37="REGION 3B",$M$37="REGION 4",$M$37="REGION 4B",$M$37="REGION 4C",$M$37="REGION 5",$M$37="REGION 5A")),((0.059228/(B167/100))-(0.4980013/(SQRT(B167/100)))+2.137988),HLOOKUP(MONTH(A167),ScalarTable,28))))</f>
        <v> </v>
      </c>
      <c r="D167" s="423" t="str">
        <f aca="false">IF(A167="N/A"," ",C167*B167)</f>
        <v> </v>
      </c>
      <c r="E167" s="421" t="str">
        <f aca="false">IF(A167="N/A"," ",IF(ISERROR(O167),E155*Pwresc,O167)*VLOOKUP(MONTH(A167),Curveadj,3))</f>
        <v> </v>
      </c>
      <c r="F167" s="423" t="str">
        <f aca="false">IF(A167="N/A"," ",E167*C167)</f>
        <v> </v>
      </c>
      <c r="G167" s="421" t="str">
        <f aca="false">IF(A167="N/A"," ",IF(ISERROR(P167),G155*Pwresc,P167)*VLOOKUP(MONTH(A167),Curveadj,3))</f>
        <v> </v>
      </c>
      <c r="H167" s="423" t="str">
        <f aca="false">IF(A167="N/A"," ",G167*C167)</f>
        <v> </v>
      </c>
      <c r="I167" s="423" t="str">
        <f aca="false">IF(A167="N/A"," ",IF(ISERROR(Q167),I155*Pwresc,Q167))</f>
        <v> </v>
      </c>
      <c r="J167" s="424" t="str">
        <f aca="false">IF(A167="N/A"," ",K167+L167+T167)</f>
        <v> </v>
      </c>
      <c r="K167" s="425" t="str">
        <f aca="false">IF(A167="N/A"," ",IF(ISERROR(R167),K155*Gasesc,R167))</f>
        <v> </v>
      </c>
      <c r="L167" s="425" t="str">
        <f aca="false">IF(A167="N/A"," ",IF(ISERROR(S167),L155*Gasesc,IF(S167=0,L155*Gasesc,S167)))</f>
        <v> </v>
      </c>
      <c r="M167" s="431"/>
      <c r="N167" s="427" t="str">
        <f aca="false">IF(A167="N/A"," ",VLOOKUP(A167,PeakPowerCurves,(IF(BMO=2,3,IF(BMO=1,2,4))),FALSE()))</f>
        <v> </v>
      </c>
      <c r="O167" s="427" t="str">
        <f aca="false">IF(A167="N/A"," ",VLOOKUP(A167,SatSunPeakPwr,(IF(BMO=2,3,IF(BMO=1,2,4))),FALSE()))</f>
        <v> </v>
      </c>
      <c r="P167" s="427" t="str">
        <f aca="false">IF(A167="N/A"," ",VLOOKUP(A167,SatSunPeakPwr,(IF(BMO=2,7,IF(BMO=1,6,8))),FALSE()))</f>
        <v> </v>
      </c>
      <c r="Q167" s="428" t="str">
        <f aca="false">IF(A167="N/A"," ",(VLOOKUP(A167,OPPowerPrices,(IF(BMO=2,7,IF(BMO=1,6,8))),FALSE())))</f>
        <v> </v>
      </c>
      <c r="R167" s="429" t="str">
        <f aca="false">IF(A167="N/A"," ",(VLOOKUP(A167,GasCurves,9,FALSE()))+IF(BMO=1,Gasbmo,IF(BMO=3,-Gasbmo,0)))</f>
        <v> </v>
      </c>
      <c r="S167" s="429" t="str">
        <f aca="false">IF(A167="N/A"," ",IF(Basischeck=TRUE(),(VLOOKUP(A167,GasCurves,IF(MONTH(A167)&gt;=4,IF(MONTH(A167)&lt;=10,11,12),12),FALSE())),0))</f>
        <v> </v>
      </c>
      <c r="T167" s="429" t="str">
        <f aca="false">IF(A167="N/A"," ",(IF(MONTH(A167)&gt;=4,IF(MONTH(A167)&lt;=10,Inputs!$H$2,Inputs!$H$3),Inputs!$H$3)))</f>
        <v> </v>
      </c>
      <c r="U167" s="430" t="str">
        <f aca="false">IF(A167="N/A"," ",(VLOOKUP($A167,InterestRatesTable,2)))</f>
        <v> </v>
      </c>
      <c r="AF167" s="384" t="n">
        <v>41518</v>
      </c>
      <c r="AG167" s="36" t="n">
        <v>20</v>
      </c>
      <c r="AH167" s="36" t="n">
        <v>4</v>
      </c>
      <c r="AI167" s="36" t="n">
        <v>6</v>
      </c>
      <c r="AJ167" s="36" t="n">
        <v>1</v>
      </c>
      <c r="AK167" s="36" t="n">
        <v>30</v>
      </c>
    </row>
    <row r="168" customFormat="false" ht="12.75" hidden="false" customHeight="false" outlineLevel="0" collapsed="false">
      <c r="A168" s="420" t="str">
        <f aca="false">Calculations!A135</f>
        <v>N/A</v>
      </c>
      <c r="B168" s="421" t="str">
        <f aca="false">IF(A168="N/A"," ",IF(ISERROR(N168),B156*Pwresc,N168)*VLOOKUP(MONTH(A168),Curveadj,3))</f>
        <v> </v>
      </c>
      <c r="C168" s="422" t="str">
        <f aca="false">IF(A168="N/A"," ",(IF(AND(MONTH(A168)&gt;=6,MONTH(A168)&lt;=8,OR($M$37="REGION 2",$M$37="REGION 2A",$M$37="REGION 2B",$M$37="REGION 3",$M$37="REGION 3A",$M$37="REGION 3B",$M$37="REGION 4",$M$37="REGION 4B",$M$37="REGION 4C",$M$37="REGION 5",$M$37="REGION 5A")),((0.059228/(B168/100))-(0.4980013/(SQRT(B168/100)))+2.137988),HLOOKUP(MONTH(A168),ScalarTable,28))))</f>
        <v> </v>
      </c>
      <c r="D168" s="423" t="str">
        <f aca="false">IF(A168="N/A"," ",C168*B168)</f>
        <v> </v>
      </c>
      <c r="E168" s="421" t="str">
        <f aca="false">IF(A168="N/A"," ",IF(ISERROR(O168),E156*Pwresc,O168)*VLOOKUP(MONTH(A168),Curveadj,3))</f>
        <v> </v>
      </c>
      <c r="F168" s="423" t="str">
        <f aca="false">IF(A168="N/A"," ",E168*C168)</f>
        <v> </v>
      </c>
      <c r="G168" s="421" t="str">
        <f aca="false">IF(A168="N/A"," ",IF(ISERROR(P168),G156*Pwresc,P168)*VLOOKUP(MONTH(A168),Curveadj,3))</f>
        <v> </v>
      </c>
      <c r="H168" s="423" t="str">
        <f aca="false">IF(A168="N/A"," ",G168*C168)</f>
        <v> </v>
      </c>
      <c r="I168" s="423" t="str">
        <f aca="false">IF(A168="N/A"," ",IF(ISERROR(Q168),I156*Pwresc,Q168))</f>
        <v> </v>
      </c>
      <c r="J168" s="424" t="str">
        <f aca="false">IF(A168="N/A"," ",K168+L168+T168)</f>
        <v> </v>
      </c>
      <c r="K168" s="425" t="str">
        <f aca="false">IF(A168="N/A"," ",IF(ISERROR(R168),K156*Gasesc,R168))</f>
        <v> </v>
      </c>
      <c r="L168" s="425" t="str">
        <f aca="false">IF(A168="N/A"," ",IF(ISERROR(S168),L156*Gasesc,IF(S168=0,L156*Gasesc,S168)))</f>
        <v> </v>
      </c>
      <c r="M168" s="431"/>
      <c r="N168" s="427" t="str">
        <f aca="false">IF(A168="N/A"," ",VLOOKUP(A168,PeakPowerCurves,(IF(BMO=2,3,IF(BMO=1,2,4))),FALSE()))</f>
        <v> </v>
      </c>
      <c r="O168" s="427" t="str">
        <f aca="false">IF(A168="N/A"," ",VLOOKUP(A168,SatSunPeakPwr,(IF(BMO=2,3,IF(BMO=1,2,4))),FALSE()))</f>
        <v> </v>
      </c>
      <c r="P168" s="427" t="str">
        <f aca="false">IF(A168="N/A"," ",VLOOKUP(A168,SatSunPeakPwr,(IF(BMO=2,7,IF(BMO=1,6,8))),FALSE()))</f>
        <v> </v>
      </c>
      <c r="Q168" s="428" t="str">
        <f aca="false">IF(A168="N/A"," ",(VLOOKUP(A168,OPPowerPrices,(IF(BMO=2,7,IF(BMO=1,6,8))),FALSE())))</f>
        <v> </v>
      </c>
      <c r="R168" s="429" t="str">
        <f aca="false">IF(A168="N/A"," ",(VLOOKUP(A168,GasCurves,9,FALSE()))+IF(BMO=1,Gasbmo,IF(BMO=3,-Gasbmo,0)))</f>
        <v> </v>
      </c>
      <c r="S168" s="429" t="str">
        <f aca="false">IF(A168="N/A"," ",IF(Basischeck=TRUE(),(VLOOKUP(A168,GasCurves,IF(MONTH(A168)&gt;=4,IF(MONTH(A168)&lt;=10,11,12),12),FALSE())),0))</f>
        <v> </v>
      </c>
      <c r="T168" s="429" t="str">
        <f aca="false">IF(A168="N/A"," ",(IF(MONTH(A168)&gt;=4,IF(MONTH(A168)&lt;=10,Inputs!$H$2,Inputs!$H$3),Inputs!$H$3)))</f>
        <v> </v>
      </c>
      <c r="U168" s="430" t="str">
        <f aca="false">IF(A168="N/A"," ",(VLOOKUP($A168,InterestRatesTable,2)))</f>
        <v> </v>
      </c>
      <c r="AF168" s="384" t="n">
        <v>41548</v>
      </c>
      <c r="AG168" s="36" t="n">
        <v>23</v>
      </c>
      <c r="AH168" s="36" t="n">
        <v>4</v>
      </c>
      <c r="AI168" s="36" t="n">
        <v>4</v>
      </c>
      <c r="AJ168" s="36" t="n">
        <v>0</v>
      </c>
      <c r="AK168" s="36" t="n">
        <v>31</v>
      </c>
    </row>
    <row r="169" customFormat="false" ht="12.75" hidden="false" customHeight="false" outlineLevel="0" collapsed="false">
      <c r="A169" s="420" t="str">
        <f aca="false">Calculations!A136</f>
        <v>N/A</v>
      </c>
      <c r="B169" s="421" t="str">
        <f aca="false">IF(A169="N/A"," ",IF(ISERROR(N169),B157*Pwresc,N169)*VLOOKUP(MONTH(A169),Curveadj,3))</f>
        <v> </v>
      </c>
      <c r="C169" s="422" t="str">
        <f aca="false">IF(A169="N/A"," ",(IF(AND(MONTH(A169)&gt;=6,MONTH(A169)&lt;=8,OR($M$37="REGION 2",$M$37="REGION 2A",$M$37="REGION 2B",$M$37="REGION 3",$M$37="REGION 3A",$M$37="REGION 3B",$M$37="REGION 4",$M$37="REGION 4B",$M$37="REGION 4C",$M$37="REGION 5",$M$37="REGION 5A")),((0.059228/(B169/100))-(0.4980013/(SQRT(B169/100)))+2.137988),HLOOKUP(MONTH(A169),ScalarTable,28))))</f>
        <v> </v>
      </c>
      <c r="D169" s="423" t="str">
        <f aca="false">IF(A169="N/A"," ",C169*B169)</f>
        <v> </v>
      </c>
      <c r="E169" s="421" t="str">
        <f aca="false">IF(A169="N/A"," ",IF(ISERROR(O169),E157*Pwresc,O169)*VLOOKUP(MONTH(A169),Curveadj,3))</f>
        <v> </v>
      </c>
      <c r="F169" s="423" t="str">
        <f aca="false">IF(A169="N/A"," ",E169*C169)</f>
        <v> </v>
      </c>
      <c r="G169" s="421" t="str">
        <f aca="false">IF(A169="N/A"," ",IF(ISERROR(P169),G157*Pwresc,P169)*VLOOKUP(MONTH(A169),Curveadj,3))</f>
        <v> </v>
      </c>
      <c r="H169" s="423" t="str">
        <f aca="false">IF(A169="N/A"," ",G169*C169)</f>
        <v> </v>
      </c>
      <c r="I169" s="423" t="str">
        <f aca="false">IF(A169="N/A"," ",IF(ISERROR(Q169),I157*Pwresc,Q169))</f>
        <v> </v>
      </c>
      <c r="J169" s="424" t="str">
        <f aca="false">IF(A169="N/A"," ",K169+L169+T169)</f>
        <v> </v>
      </c>
      <c r="K169" s="425" t="str">
        <f aca="false">IF(A169="N/A"," ",IF(ISERROR(R169),K157*Gasesc,R169))</f>
        <v> </v>
      </c>
      <c r="L169" s="425" t="str">
        <f aca="false">IF(A169="N/A"," ",IF(ISERROR(S169),L157*Gasesc,IF(S169=0,L157*Gasesc,S169)))</f>
        <v> </v>
      </c>
      <c r="M169" s="431"/>
      <c r="N169" s="427" t="str">
        <f aca="false">IF(A169="N/A"," ",VLOOKUP(A169,PeakPowerCurves,(IF(BMO=2,3,IF(BMO=1,2,4))),FALSE()))</f>
        <v> </v>
      </c>
      <c r="O169" s="427" t="str">
        <f aca="false">IF(A169="N/A"," ",VLOOKUP(A169,SatSunPeakPwr,(IF(BMO=2,3,IF(BMO=1,2,4))),FALSE()))</f>
        <v> </v>
      </c>
      <c r="P169" s="427" t="str">
        <f aca="false">IF(A169="N/A"," ",VLOOKUP(A169,SatSunPeakPwr,(IF(BMO=2,7,IF(BMO=1,6,8))),FALSE()))</f>
        <v> </v>
      </c>
      <c r="Q169" s="428" t="str">
        <f aca="false">IF(A169="N/A"," ",(VLOOKUP(A169,OPPowerPrices,(IF(BMO=2,7,IF(BMO=1,6,8))),FALSE())))</f>
        <v> </v>
      </c>
      <c r="R169" s="429" t="str">
        <f aca="false">IF(A169="N/A"," ",(VLOOKUP(A169,GasCurves,9,FALSE()))+IF(BMO=1,Gasbmo,IF(BMO=3,-Gasbmo,0)))</f>
        <v> </v>
      </c>
      <c r="S169" s="429" t="str">
        <f aca="false">IF(A169="N/A"," ",IF(Basischeck=TRUE(),(VLOOKUP(A169,GasCurves,IF(MONTH(A169)&gt;=4,IF(MONTH(A169)&lt;=10,11,12),12),FALSE())),0))</f>
        <v> </v>
      </c>
      <c r="T169" s="429" t="str">
        <f aca="false">IF(A169="N/A"," ",(IF(MONTH(A169)&gt;=4,IF(MONTH(A169)&lt;=10,Inputs!$H$2,Inputs!$H$3),Inputs!$H$3)))</f>
        <v> </v>
      </c>
      <c r="U169" s="430" t="str">
        <f aca="false">IF(A169="N/A"," ",(VLOOKUP($A169,InterestRatesTable,2)))</f>
        <v> </v>
      </c>
      <c r="AF169" s="384" t="n">
        <v>41579</v>
      </c>
      <c r="AG169" s="36" t="n">
        <v>20</v>
      </c>
      <c r="AH169" s="36" t="n">
        <v>5</v>
      </c>
      <c r="AI169" s="36" t="n">
        <v>5</v>
      </c>
      <c r="AJ169" s="36" t="n">
        <v>1</v>
      </c>
      <c r="AK169" s="36" t="n">
        <v>30</v>
      </c>
    </row>
    <row r="170" customFormat="false" ht="12.75" hidden="false" customHeight="false" outlineLevel="0" collapsed="false">
      <c r="A170" s="420" t="str">
        <f aca="false">Calculations!A137</f>
        <v>N/A</v>
      </c>
      <c r="B170" s="421" t="str">
        <f aca="false">IF(A170="N/A"," ",IF(ISERROR(N170),B158*Pwresc,N170)*VLOOKUP(MONTH(A170),Curveadj,3))</f>
        <v> </v>
      </c>
      <c r="C170" s="422" t="str">
        <f aca="false">IF(A170="N/A"," ",(IF(AND(MONTH(A170)&gt;=6,MONTH(A170)&lt;=8,OR($M$37="REGION 2",$M$37="REGION 2A",$M$37="REGION 2B",$M$37="REGION 3",$M$37="REGION 3A",$M$37="REGION 3B",$M$37="REGION 4",$M$37="REGION 4B",$M$37="REGION 4C",$M$37="REGION 5",$M$37="REGION 5A")),((0.059228/(B170/100))-(0.4980013/(SQRT(B170/100)))+2.137988),HLOOKUP(MONTH(A170),ScalarTable,28))))</f>
        <v> </v>
      </c>
      <c r="D170" s="423" t="str">
        <f aca="false">IF(A170="N/A"," ",C170*B170)</f>
        <v> </v>
      </c>
      <c r="E170" s="421" t="str">
        <f aca="false">IF(A170="N/A"," ",IF(ISERROR(O170),E158*Pwresc,O170)*VLOOKUP(MONTH(A170),Curveadj,3))</f>
        <v> </v>
      </c>
      <c r="F170" s="423" t="str">
        <f aca="false">IF(A170="N/A"," ",E170*C170)</f>
        <v> </v>
      </c>
      <c r="G170" s="421" t="str">
        <f aca="false">IF(A170="N/A"," ",IF(ISERROR(P170),G158*Pwresc,P170)*VLOOKUP(MONTH(A170),Curveadj,3))</f>
        <v> </v>
      </c>
      <c r="H170" s="423" t="str">
        <f aca="false">IF(A170="N/A"," ",G170*C170)</f>
        <v> </v>
      </c>
      <c r="I170" s="423" t="str">
        <f aca="false">IF(A170="N/A"," ",IF(ISERROR(Q170),I158*Pwresc,Q170))</f>
        <v> </v>
      </c>
      <c r="J170" s="424" t="str">
        <f aca="false">IF(A170="N/A"," ",K170+L170+T170)</f>
        <v> </v>
      </c>
      <c r="K170" s="425" t="str">
        <f aca="false">IF(A170="N/A"," ",IF(ISERROR(R170),K158*Gasesc,R170))</f>
        <v> </v>
      </c>
      <c r="L170" s="425" t="str">
        <f aca="false">IF(A170="N/A"," ",IF(ISERROR(S170),L158*Gasesc,IF(S170=0,L158*Gasesc,S170)))</f>
        <v> </v>
      </c>
      <c r="M170" s="431"/>
      <c r="N170" s="427" t="str">
        <f aca="false">IF(A170="N/A"," ",VLOOKUP(A170,PeakPowerCurves,(IF(BMO=2,3,IF(BMO=1,2,4))),FALSE()))</f>
        <v> </v>
      </c>
      <c r="O170" s="427" t="str">
        <f aca="false">IF(A170="N/A"," ",VLOOKUP(A170,SatSunPeakPwr,(IF(BMO=2,3,IF(BMO=1,2,4))),FALSE()))</f>
        <v> </v>
      </c>
      <c r="P170" s="427" t="str">
        <f aca="false">IF(A170="N/A"," ",VLOOKUP(A170,SatSunPeakPwr,(IF(BMO=2,7,IF(BMO=1,6,8))),FALSE()))</f>
        <v> </v>
      </c>
      <c r="Q170" s="428" t="str">
        <f aca="false">IF(A170="N/A"," ",(VLOOKUP(A170,OPPowerPrices,(IF(BMO=2,7,IF(BMO=1,6,8))),FALSE())))</f>
        <v> </v>
      </c>
      <c r="R170" s="429" t="str">
        <f aca="false">IF(A170="N/A"," ",(VLOOKUP(A170,GasCurves,9,FALSE()))+IF(BMO=1,Gasbmo,IF(BMO=3,-Gasbmo,0)))</f>
        <v> </v>
      </c>
      <c r="S170" s="429" t="str">
        <f aca="false">IF(A170="N/A"," ",IF(Basischeck=TRUE(),(VLOOKUP(A170,GasCurves,IF(MONTH(A170)&gt;=4,IF(MONTH(A170)&lt;=10,11,12),12),FALSE())),0))</f>
        <v> </v>
      </c>
      <c r="T170" s="429" t="str">
        <f aca="false">IF(A170="N/A"," ",(IF(MONTH(A170)&gt;=4,IF(MONTH(A170)&lt;=10,Inputs!$H$2,Inputs!$H$3),Inputs!$H$3)))</f>
        <v> </v>
      </c>
      <c r="U170" s="430" t="str">
        <f aca="false">IF(A170="N/A"," ",(VLOOKUP($A170,InterestRatesTable,2)))</f>
        <v> </v>
      </c>
      <c r="AF170" s="384" t="n">
        <v>41609</v>
      </c>
      <c r="AG170" s="36" t="n">
        <v>21</v>
      </c>
      <c r="AH170" s="36" t="n">
        <v>4</v>
      </c>
      <c r="AI170" s="36" t="n">
        <v>6</v>
      </c>
      <c r="AJ170" s="36" t="n">
        <v>1</v>
      </c>
      <c r="AK170" s="36" t="n">
        <v>31</v>
      </c>
    </row>
    <row r="171" customFormat="false" ht="12.75" hidden="false" customHeight="false" outlineLevel="0" collapsed="false">
      <c r="A171" s="420" t="str">
        <f aca="false">Calculations!A138</f>
        <v>N/A</v>
      </c>
      <c r="B171" s="421" t="str">
        <f aca="false">IF(A171="N/A"," ",IF(ISERROR(N171),B159*Pwresc,N171)*VLOOKUP(MONTH(A171),Curveadj,3))</f>
        <v> </v>
      </c>
      <c r="C171" s="422" t="str">
        <f aca="false">IF(A171="N/A"," ",(IF(AND(MONTH(A171)&gt;=6,MONTH(A171)&lt;=8,OR($M$37="REGION 2",$M$37="REGION 2A",$M$37="REGION 2B",$M$37="REGION 3",$M$37="REGION 3A",$M$37="REGION 3B",$M$37="REGION 4",$M$37="REGION 4B",$M$37="REGION 4C",$M$37="REGION 5",$M$37="REGION 5A")),((0.059228/(B171/100))-(0.4980013/(SQRT(B171/100)))+2.137988),HLOOKUP(MONTH(A171),ScalarTable,28))))</f>
        <v> </v>
      </c>
      <c r="D171" s="423" t="str">
        <f aca="false">IF(A171="N/A"," ",C171*B171)</f>
        <v> </v>
      </c>
      <c r="E171" s="421" t="str">
        <f aca="false">IF(A171="N/A"," ",IF(ISERROR(O171),E159*Pwresc,O171)*VLOOKUP(MONTH(A171),Curveadj,3))</f>
        <v> </v>
      </c>
      <c r="F171" s="423" t="str">
        <f aca="false">IF(A171="N/A"," ",E171*C171)</f>
        <v> </v>
      </c>
      <c r="G171" s="421" t="str">
        <f aca="false">IF(A171="N/A"," ",IF(ISERROR(P171),G159*Pwresc,P171)*VLOOKUP(MONTH(A171),Curveadj,3))</f>
        <v> </v>
      </c>
      <c r="H171" s="423" t="str">
        <f aca="false">IF(A171="N/A"," ",G171*C171)</f>
        <v> </v>
      </c>
      <c r="I171" s="423" t="str">
        <f aca="false">IF(A171="N/A"," ",IF(ISERROR(Q171),I159*Pwresc,Q171))</f>
        <v> </v>
      </c>
      <c r="J171" s="424" t="str">
        <f aca="false">IF(A171="N/A"," ",K171+L171+T171)</f>
        <v> </v>
      </c>
      <c r="K171" s="425" t="str">
        <f aca="false">IF(A171="N/A"," ",IF(ISERROR(R171),K159*Gasesc,R171))</f>
        <v> </v>
      </c>
      <c r="L171" s="425" t="str">
        <f aca="false">IF(A171="N/A"," ",IF(ISERROR(S171),L159*Gasesc,IF(S171=0,L159*Gasesc,S171)))</f>
        <v> </v>
      </c>
      <c r="M171" s="431"/>
      <c r="N171" s="427" t="str">
        <f aca="false">IF(A171="N/A"," ",VLOOKUP(A171,PeakPowerCurves,(IF(BMO=2,3,IF(BMO=1,2,4))),FALSE()))</f>
        <v> </v>
      </c>
      <c r="O171" s="427" t="str">
        <f aca="false">IF(A171="N/A"," ",VLOOKUP(A171,SatSunPeakPwr,(IF(BMO=2,3,IF(BMO=1,2,4))),FALSE()))</f>
        <v> </v>
      </c>
      <c r="P171" s="427" t="str">
        <f aca="false">IF(A171="N/A"," ",VLOOKUP(A171,SatSunPeakPwr,(IF(BMO=2,7,IF(BMO=1,6,8))),FALSE()))</f>
        <v> </v>
      </c>
      <c r="Q171" s="428" t="str">
        <f aca="false">IF(A171="N/A"," ",(VLOOKUP(A171,OPPowerPrices,(IF(BMO=2,7,IF(BMO=1,6,8))),FALSE())))</f>
        <v> </v>
      </c>
      <c r="R171" s="429" t="str">
        <f aca="false">IF(A171="N/A"," ",(VLOOKUP(A171,GasCurves,9,FALSE()))+IF(BMO=1,Gasbmo,IF(BMO=3,-Gasbmo,0)))</f>
        <v> </v>
      </c>
      <c r="S171" s="429" t="str">
        <f aca="false">IF(A171="N/A"," ",IF(Basischeck=TRUE(),(VLOOKUP(A171,GasCurves,IF(MONTH(A171)&gt;=4,IF(MONTH(A171)&lt;=10,11,12),12),FALSE())),0))</f>
        <v> </v>
      </c>
      <c r="T171" s="429" t="str">
        <f aca="false">IF(A171="N/A"," ",(IF(MONTH(A171)&gt;=4,IF(MONTH(A171)&lt;=10,Inputs!$H$2,Inputs!$H$3),Inputs!$H$3)))</f>
        <v> </v>
      </c>
      <c r="U171" s="430" t="str">
        <f aca="false">IF(A171="N/A"," ",(VLOOKUP($A171,InterestRatesTable,2)))</f>
        <v> </v>
      </c>
      <c r="AF171" s="384" t="n">
        <v>41640</v>
      </c>
      <c r="AG171" s="36" t="n">
        <v>22</v>
      </c>
      <c r="AH171" s="36" t="n">
        <v>4</v>
      </c>
      <c r="AI171" s="36" t="n">
        <v>5</v>
      </c>
      <c r="AJ171" s="36" t="n">
        <v>1</v>
      </c>
      <c r="AK171" s="36" t="n">
        <v>31</v>
      </c>
    </row>
    <row r="172" customFormat="false" ht="12.75" hidden="false" customHeight="false" outlineLevel="0" collapsed="false">
      <c r="A172" s="420" t="str">
        <f aca="false">Calculations!A139</f>
        <v>N/A</v>
      </c>
      <c r="B172" s="421" t="str">
        <f aca="false">IF(A172="N/A"," ",IF(ISERROR(N172),B160*Pwresc,N172)*VLOOKUP(MONTH(A172),Curveadj,3))</f>
        <v> </v>
      </c>
      <c r="C172" s="422" t="str">
        <f aca="false">IF(A172="N/A"," ",(IF(AND(MONTH(A172)&gt;=6,MONTH(A172)&lt;=8,OR($M$37="REGION 2",$M$37="REGION 2A",$M$37="REGION 2B",$M$37="REGION 3",$M$37="REGION 3A",$M$37="REGION 3B",$M$37="REGION 4",$M$37="REGION 4B",$M$37="REGION 4C",$M$37="REGION 5",$M$37="REGION 5A")),((0.059228/(B172/100))-(0.4980013/(SQRT(B172/100)))+2.137988),HLOOKUP(MONTH(A172),ScalarTable,28))))</f>
        <v> </v>
      </c>
      <c r="D172" s="423" t="str">
        <f aca="false">IF(A172="N/A"," ",C172*B172)</f>
        <v> </v>
      </c>
      <c r="E172" s="421" t="str">
        <f aca="false">IF(A172="N/A"," ",IF(ISERROR(O172),E160*Pwresc,O172)*VLOOKUP(MONTH(A172),Curveadj,3))</f>
        <v> </v>
      </c>
      <c r="F172" s="423" t="str">
        <f aca="false">IF(A172="N/A"," ",E172*C172)</f>
        <v> </v>
      </c>
      <c r="G172" s="421" t="str">
        <f aca="false">IF(A172="N/A"," ",IF(ISERROR(P172),G160*Pwresc,P172)*VLOOKUP(MONTH(A172),Curveadj,3))</f>
        <v> </v>
      </c>
      <c r="H172" s="423" t="str">
        <f aca="false">IF(A172="N/A"," ",G172*C172)</f>
        <v> </v>
      </c>
      <c r="I172" s="423" t="str">
        <f aca="false">IF(A172="N/A"," ",IF(ISERROR(Q172),I160*Pwresc,Q172))</f>
        <v> </v>
      </c>
      <c r="J172" s="424" t="str">
        <f aca="false">IF(A172="N/A"," ",K172+L172+T172)</f>
        <v> </v>
      </c>
      <c r="K172" s="425" t="str">
        <f aca="false">IF(A172="N/A"," ",IF(ISERROR(R172),K160*Gasesc,R172))</f>
        <v> </v>
      </c>
      <c r="L172" s="425" t="str">
        <f aca="false">IF(A172="N/A"," ",IF(ISERROR(S172),L160*Gasesc,IF(S172=0,L160*Gasesc,S172)))</f>
        <v> </v>
      </c>
      <c r="M172" s="431"/>
      <c r="N172" s="427" t="str">
        <f aca="false">IF(A172="N/A"," ",VLOOKUP(A172,PeakPowerCurves,(IF(BMO=2,3,IF(BMO=1,2,4))),FALSE()))</f>
        <v> </v>
      </c>
      <c r="O172" s="427" t="str">
        <f aca="false">IF(A172="N/A"," ",VLOOKUP(A172,SatSunPeakPwr,(IF(BMO=2,3,IF(BMO=1,2,4))),FALSE()))</f>
        <v> </v>
      </c>
      <c r="P172" s="427" t="str">
        <f aca="false">IF(A172="N/A"," ",VLOOKUP(A172,SatSunPeakPwr,(IF(BMO=2,7,IF(BMO=1,6,8))),FALSE()))</f>
        <v> </v>
      </c>
      <c r="Q172" s="428" t="str">
        <f aca="false">IF(A172="N/A"," ",(VLOOKUP(A172,OPPowerPrices,(IF(BMO=2,7,IF(BMO=1,6,8))),FALSE())))</f>
        <v> </v>
      </c>
      <c r="R172" s="429" t="str">
        <f aca="false">IF(A172="N/A"," ",(VLOOKUP(A172,GasCurves,9,FALSE()))+IF(BMO=1,Gasbmo,IF(BMO=3,-Gasbmo,0)))</f>
        <v> </v>
      </c>
      <c r="S172" s="429" t="str">
        <f aca="false">IF(A172="N/A"," ",IF(Basischeck=TRUE(),(VLOOKUP(A172,GasCurves,IF(MONTH(A172)&gt;=4,IF(MONTH(A172)&lt;=10,11,12),12),FALSE())),0))</f>
        <v> </v>
      </c>
      <c r="T172" s="429" t="str">
        <f aca="false">IF(A172="N/A"," ",(IF(MONTH(A172)&gt;=4,IF(MONTH(A172)&lt;=10,Inputs!$H$2,Inputs!$H$3),Inputs!$H$3)))</f>
        <v> </v>
      </c>
      <c r="U172" s="430" t="str">
        <f aca="false">IF(A172="N/A"," ",(VLOOKUP($A172,InterestRatesTable,2)))</f>
        <v> </v>
      </c>
      <c r="AF172" s="384" t="n">
        <v>41671</v>
      </c>
      <c r="AG172" s="36" t="n">
        <v>20</v>
      </c>
      <c r="AH172" s="36" t="n">
        <v>4</v>
      </c>
      <c r="AI172" s="36" t="n">
        <v>4</v>
      </c>
      <c r="AJ172" s="36" t="n">
        <v>0</v>
      </c>
      <c r="AK172" s="36" t="n">
        <v>28</v>
      </c>
    </row>
    <row r="173" customFormat="false" ht="12.75" hidden="false" customHeight="false" outlineLevel="0" collapsed="false">
      <c r="A173" s="420" t="str">
        <f aca="false">Calculations!A140</f>
        <v>N/A</v>
      </c>
      <c r="B173" s="421" t="str">
        <f aca="false">IF(A173="N/A"," ",IF(ISERROR(N173),B161*Pwresc,N173)*VLOOKUP(MONTH(A173),Curveadj,3))</f>
        <v> </v>
      </c>
      <c r="C173" s="422" t="str">
        <f aca="false">IF(A173="N/A"," ",(IF(AND(MONTH(A173)&gt;=6,MONTH(A173)&lt;=8,OR($M$37="REGION 2",$M$37="REGION 2A",$M$37="REGION 2B",$M$37="REGION 3",$M$37="REGION 3A",$M$37="REGION 3B",$M$37="REGION 4",$M$37="REGION 4B",$M$37="REGION 4C",$M$37="REGION 5",$M$37="REGION 5A")),((0.059228/(B173/100))-(0.4980013/(SQRT(B173/100)))+2.137988),HLOOKUP(MONTH(A173),ScalarTable,28))))</f>
        <v> </v>
      </c>
      <c r="D173" s="423" t="str">
        <f aca="false">IF(A173="N/A"," ",C173*B173)</f>
        <v> </v>
      </c>
      <c r="E173" s="421" t="str">
        <f aca="false">IF(A173="N/A"," ",IF(ISERROR(O173),E161*Pwresc,O173)*VLOOKUP(MONTH(A173),Curveadj,3))</f>
        <v> </v>
      </c>
      <c r="F173" s="423" t="str">
        <f aca="false">IF(A173="N/A"," ",E173*C173)</f>
        <v> </v>
      </c>
      <c r="G173" s="421" t="str">
        <f aca="false">IF(A173="N/A"," ",IF(ISERROR(P173),G161*Pwresc,P173)*VLOOKUP(MONTH(A173),Curveadj,3))</f>
        <v> </v>
      </c>
      <c r="H173" s="423" t="str">
        <f aca="false">IF(A173="N/A"," ",G173*C173)</f>
        <v> </v>
      </c>
      <c r="I173" s="423" t="str">
        <f aca="false">IF(A173="N/A"," ",IF(ISERROR(Q173),I161*Pwresc,Q173))</f>
        <v> </v>
      </c>
      <c r="J173" s="424" t="str">
        <f aca="false">IF(A173="N/A"," ",K173+L173+T173)</f>
        <v> </v>
      </c>
      <c r="K173" s="425" t="str">
        <f aca="false">IF(A173="N/A"," ",IF(ISERROR(R173),K161*Gasesc,R173))</f>
        <v> </v>
      </c>
      <c r="L173" s="425" t="str">
        <f aca="false">IF(A173="N/A"," ",IF(ISERROR(S173),L161*Gasesc,IF(S173=0,L161*Gasesc,S173)))</f>
        <v> </v>
      </c>
      <c r="M173" s="431"/>
      <c r="N173" s="427" t="str">
        <f aca="false">IF(A173="N/A"," ",VLOOKUP(A173,PeakPowerCurves,(IF(BMO=2,3,IF(BMO=1,2,4))),FALSE()))</f>
        <v> </v>
      </c>
      <c r="O173" s="427" t="str">
        <f aca="false">IF(A173="N/A"," ",VLOOKUP(A173,SatSunPeakPwr,(IF(BMO=2,3,IF(BMO=1,2,4))),FALSE()))</f>
        <v> </v>
      </c>
      <c r="P173" s="427" t="str">
        <f aca="false">IF(A173="N/A"," ",VLOOKUP(A173,SatSunPeakPwr,(IF(BMO=2,7,IF(BMO=1,6,8))),FALSE()))</f>
        <v> </v>
      </c>
      <c r="Q173" s="428" t="str">
        <f aca="false">IF(A173="N/A"," ",(VLOOKUP(A173,OPPowerPrices,(IF(BMO=2,7,IF(BMO=1,6,8))),FALSE())))</f>
        <v> </v>
      </c>
      <c r="R173" s="429" t="str">
        <f aca="false">IF(A173="N/A"," ",(VLOOKUP(A173,GasCurves,9,FALSE()))+IF(BMO=1,Gasbmo,IF(BMO=3,-Gasbmo,0)))</f>
        <v> </v>
      </c>
      <c r="S173" s="429" t="str">
        <f aca="false">IF(A173="N/A"," ",IF(Basischeck=TRUE(),(VLOOKUP(A173,GasCurves,IF(MONTH(A173)&gt;=4,IF(MONTH(A173)&lt;=10,11,12),12),FALSE())),0))</f>
        <v> </v>
      </c>
      <c r="T173" s="429" t="str">
        <f aca="false">IF(A173="N/A"," ",(IF(MONTH(A173)&gt;=4,IF(MONTH(A173)&lt;=10,Inputs!$H$2,Inputs!$H$3),Inputs!$H$3)))</f>
        <v> </v>
      </c>
      <c r="U173" s="430" t="str">
        <f aca="false">IF(A173="N/A"," ",(VLOOKUP($A173,InterestRatesTable,2)))</f>
        <v> </v>
      </c>
      <c r="AF173" s="384" t="n">
        <v>41699</v>
      </c>
      <c r="AG173" s="36" t="n">
        <v>21</v>
      </c>
      <c r="AH173" s="36" t="n">
        <v>5</v>
      </c>
      <c r="AI173" s="36" t="n">
        <v>5</v>
      </c>
      <c r="AJ173" s="36" t="n">
        <v>0</v>
      </c>
      <c r="AK173" s="36" t="n">
        <v>31</v>
      </c>
    </row>
    <row r="174" customFormat="false" ht="12.75" hidden="false" customHeight="false" outlineLevel="0" collapsed="false">
      <c r="A174" s="420" t="str">
        <f aca="false">Calculations!A141</f>
        <v>N/A</v>
      </c>
      <c r="B174" s="421" t="str">
        <f aca="false">IF(A174="N/A"," ",IF(ISERROR(N174),B162*Pwresc,N174)*VLOOKUP(MONTH(A174),Curveadj,3))</f>
        <v> </v>
      </c>
      <c r="C174" s="422" t="str">
        <f aca="false">IF(A174="N/A"," ",(IF(AND(MONTH(A174)&gt;=6,MONTH(A174)&lt;=8,OR($M$37="REGION 2",$M$37="REGION 2A",$M$37="REGION 2B",$M$37="REGION 3",$M$37="REGION 3A",$M$37="REGION 3B",$M$37="REGION 4",$M$37="REGION 4B",$M$37="REGION 4C",$M$37="REGION 5",$M$37="REGION 5A")),((0.059228/(B174/100))-(0.4980013/(SQRT(B174/100)))+2.137988),HLOOKUP(MONTH(A174),ScalarTable,28))))</f>
        <v> </v>
      </c>
      <c r="D174" s="423" t="str">
        <f aca="false">IF(A174="N/A"," ",C174*B174)</f>
        <v> </v>
      </c>
      <c r="E174" s="421" t="str">
        <f aca="false">IF(A174="N/A"," ",IF(ISERROR(O174),E162*Pwresc,O174)*VLOOKUP(MONTH(A174),Curveadj,3))</f>
        <v> </v>
      </c>
      <c r="F174" s="423" t="str">
        <f aca="false">IF(A174="N/A"," ",E174*C174)</f>
        <v> </v>
      </c>
      <c r="G174" s="421" t="str">
        <f aca="false">IF(A174="N/A"," ",IF(ISERROR(P174),G162*Pwresc,P174)*VLOOKUP(MONTH(A174),Curveadj,3))</f>
        <v> </v>
      </c>
      <c r="H174" s="423" t="str">
        <f aca="false">IF(A174="N/A"," ",G174*C174)</f>
        <v> </v>
      </c>
      <c r="I174" s="423" t="str">
        <f aca="false">IF(A174="N/A"," ",IF(ISERROR(Q174),I162*Pwresc,Q174))</f>
        <v> </v>
      </c>
      <c r="J174" s="424" t="str">
        <f aca="false">IF(A174="N/A"," ",K174+L174+T174)</f>
        <v> </v>
      </c>
      <c r="K174" s="425" t="str">
        <f aca="false">IF(A174="N/A"," ",IF(ISERROR(R174),K162*Gasesc,R174))</f>
        <v> </v>
      </c>
      <c r="L174" s="425" t="str">
        <f aca="false">IF(A174="N/A"," ",IF(ISERROR(S174),L162*Gasesc,IF(S174=0,L162*Gasesc,S174)))</f>
        <v> </v>
      </c>
      <c r="M174" s="431"/>
      <c r="N174" s="427" t="str">
        <f aca="false">IF(A174="N/A"," ",VLOOKUP(A174,PeakPowerCurves,(IF(BMO=2,3,IF(BMO=1,2,4))),FALSE()))</f>
        <v> </v>
      </c>
      <c r="O174" s="427" t="str">
        <f aca="false">IF(A174="N/A"," ",VLOOKUP(A174,SatSunPeakPwr,(IF(BMO=2,3,IF(BMO=1,2,4))),FALSE()))</f>
        <v> </v>
      </c>
      <c r="P174" s="427" t="str">
        <f aca="false">IF(A174="N/A"," ",VLOOKUP(A174,SatSunPeakPwr,(IF(BMO=2,7,IF(BMO=1,6,8))),FALSE()))</f>
        <v> </v>
      </c>
      <c r="Q174" s="428" t="str">
        <f aca="false">IF(A174="N/A"," ",(VLOOKUP(A174,OPPowerPrices,(IF(BMO=2,7,IF(BMO=1,6,8))),FALSE())))</f>
        <v> </v>
      </c>
      <c r="R174" s="429" t="str">
        <f aca="false">IF(A174="N/A"," ",(VLOOKUP(A174,GasCurves,9,FALSE()))+IF(BMO=1,Gasbmo,IF(BMO=3,-Gasbmo,0)))</f>
        <v> </v>
      </c>
      <c r="S174" s="429" t="str">
        <f aca="false">IF(A174="N/A"," ",IF(Basischeck=TRUE(),(VLOOKUP(A174,GasCurves,IF(MONTH(A174)&gt;=4,IF(MONTH(A174)&lt;=10,11,12),12),FALSE())),0))</f>
        <v> </v>
      </c>
      <c r="T174" s="429" t="str">
        <f aca="false">IF(A174="N/A"," ",(IF(MONTH(A174)&gt;=4,IF(MONTH(A174)&lt;=10,Inputs!$H$2,Inputs!$H$3),Inputs!$H$3)))</f>
        <v> </v>
      </c>
      <c r="U174" s="430" t="str">
        <f aca="false">IF(A174="N/A"," ",(VLOOKUP($A174,InterestRatesTable,2)))</f>
        <v> </v>
      </c>
      <c r="AF174" s="384" t="n">
        <v>41730</v>
      </c>
      <c r="AG174" s="36" t="n">
        <v>22</v>
      </c>
      <c r="AH174" s="36" t="n">
        <v>4</v>
      </c>
      <c r="AI174" s="36" t="n">
        <v>4</v>
      </c>
      <c r="AJ174" s="36" t="n">
        <v>0</v>
      </c>
      <c r="AK174" s="36" t="n">
        <v>30</v>
      </c>
    </row>
    <row r="175" customFormat="false" ht="12.75" hidden="false" customHeight="false" outlineLevel="0" collapsed="false">
      <c r="A175" s="420" t="str">
        <f aca="false">Calculations!A142</f>
        <v>N/A</v>
      </c>
      <c r="B175" s="421" t="str">
        <f aca="false">IF(A175="N/A"," ",IF(ISERROR(N175),B163*Pwresc,N175)*VLOOKUP(MONTH(A175),Curveadj,3))</f>
        <v> </v>
      </c>
      <c r="C175" s="422" t="str">
        <f aca="false">IF(A175="N/A"," ",(IF(AND(MONTH(A175)&gt;=6,MONTH(A175)&lt;=8,OR($M$37="REGION 2",$M$37="REGION 2A",$M$37="REGION 2B",$M$37="REGION 3",$M$37="REGION 3A",$M$37="REGION 3B",$M$37="REGION 4",$M$37="REGION 4B",$M$37="REGION 4C",$M$37="REGION 5",$M$37="REGION 5A")),((0.059228/(B175/100))-(0.4980013/(SQRT(B175/100)))+2.137988),HLOOKUP(MONTH(A175),ScalarTable,28))))</f>
        <v> </v>
      </c>
      <c r="D175" s="423" t="str">
        <f aca="false">IF(A175="N/A"," ",C175*B175)</f>
        <v> </v>
      </c>
      <c r="E175" s="421" t="str">
        <f aca="false">IF(A175="N/A"," ",IF(ISERROR(O175),E163*Pwresc,O175)*VLOOKUP(MONTH(A175),Curveadj,3))</f>
        <v> </v>
      </c>
      <c r="F175" s="423" t="str">
        <f aca="false">IF(A175="N/A"," ",E175*C175)</f>
        <v> </v>
      </c>
      <c r="G175" s="421" t="str">
        <f aca="false">IF(A175="N/A"," ",IF(ISERROR(P175),G163*Pwresc,P175)*VLOOKUP(MONTH(A175),Curveadj,3))</f>
        <v> </v>
      </c>
      <c r="H175" s="423" t="str">
        <f aca="false">IF(A175="N/A"," ",G175*C175)</f>
        <v> </v>
      </c>
      <c r="I175" s="423" t="str">
        <f aca="false">IF(A175="N/A"," ",IF(ISERROR(Q175),I163*Pwresc,Q175))</f>
        <v> </v>
      </c>
      <c r="J175" s="424" t="str">
        <f aca="false">IF(A175="N/A"," ",K175+L175+T175)</f>
        <v> </v>
      </c>
      <c r="K175" s="425" t="str">
        <f aca="false">IF(A175="N/A"," ",IF(ISERROR(R175),K163*Gasesc,R175))</f>
        <v> </v>
      </c>
      <c r="L175" s="425" t="str">
        <f aca="false">IF(A175="N/A"," ",IF(ISERROR(S175),L163*Gasesc,IF(S175=0,L163*Gasesc,S175)))</f>
        <v> </v>
      </c>
      <c r="M175" s="431"/>
      <c r="N175" s="427" t="str">
        <f aca="false">IF(A175="N/A"," ",VLOOKUP(A175,PeakPowerCurves,(IF(BMO=2,3,IF(BMO=1,2,4))),FALSE()))</f>
        <v> </v>
      </c>
      <c r="O175" s="427" t="str">
        <f aca="false">IF(A175="N/A"," ",VLOOKUP(A175,SatSunPeakPwr,(IF(BMO=2,3,IF(BMO=1,2,4))),FALSE()))</f>
        <v> </v>
      </c>
      <c r="P175" s="427" t="str">
        <f aca="false">IF(A175="N/A"," ",VLOOKUP(A175,SatSunPeakPwr,(IF(BMO=2,7,IF(BMO=1,6,8))),FALSE()))</f>
        <v> </v>
      </c>
      <c r="Q175" s="428" t="str">
        <f aca="false">IF(A175="N/A"," ",(VLOOKUP(A175,OPPowerPrices,(IF(BMO=2,7,IF(BMO=1,6,8))),FALSE())))</f>
        <v> </v>
      </c>
      <c r="R175" s="429" t="str">
        <f aca="false">IF(A175="N/A"," ",(VLOOKUP(A175,GasCurves,9,FALSE()))+IF(BMO=1,Gasbmo,IF(BMO=3,-Gasbmo,0)))</f>
        <v> </v>
      </c>
      <c r="S175" s="429" t="str">
        <f aca="false">IF(A175="N/A"," ",IF(Basischeck=TRUE(),(VLOOKUP(A175,GasCurves,IF(MONTH(A175)&gt;=4,IF(MONTH(A175)&lt;=10,11,12),12),FALSE())),0))</f>
        <v> </v>
      </c>
      <c r="T175" s="429" t="str">
        <f aca="false">IF(A175="N/A"," ",(IF(MONTH(A175)&gt;=4,IF(MONTH(A175)&lt;=10,Inputs!$H$2,Inputs!$H$3),Inputs!$H$3)))</f>
        <v> </v>
      </c>
      <c r="U175" s="430" t="str">
        <f aca="false">IF(A175="N/A"," ",(VLOOKUP($A175,InterestRatesTable,2)))</f>
        <v> </v>
      </c>
      <c r="AF175" s="384" t="n">
        <v>41760</v>
      </c>
      <c r="AG175" s="36" t="n">
        <v>21</v>
      </c>
      <c r="AH175" s="36" t="n">
        <v>5</v>
      </c>
      <c r="AI175" s="36" t="n">
        <v>5</v>
      </c>
      <c r="AJ175" s="36" t="n">
        <v>1</v>
      </c>
      <c r="AK175" s="36" t="n">
        <v>31</v>
      </c>
    </row>
    <row r="176" customFormat="false" ht="12.75" hidden="false" customHeight="false" outlineLevel="0" collapsed="false">
      <c r="A176" s="420" t="str">
        <f aca="false">Calculations!A143</f>
        <v>N/A</v>
      </c>
      <c r="B176" s="421" t="str">
        <f aca="false">IF(A176="N/A"," ",IF(ISERROR(N176),B164*Pwresc,N176)*VLOOKUP(MONTH(A176),Curveadj,3))</f>
        <v> </v>
      </c>
      <c r="C176" s="422" t="str">
        <f aca="false">IF(A176="N/A"," ",(IF(AND(MONTH(A176)&gt;=6,MONTH(A176)&lt;=8,OR($M$37="REGION 2",$M$37="REGION 2A",$M$37="REGION 2B",$M$37="REGION 3",$M$37="REGION 3A",$M$37="REGION 3B",$M$37="REGION 4",$M$37="REGION 4B",$M$37="REGION 4C",$M$37="REGION 5",$M$37="REGION 5A")),((0.059228/(B176/100))-(0.4980013/(SQRT(B176/100)))+2.137988),HLOOKUP(MONTH(A176),ScalarTable,28))))</f>
        <v> </v>
      </c>
      <c r="D176" s="423" t="str">
        <f aca="false">IF(A176="N/A"," ",C176*B176)</f>
        <v> </v>
      </c>
      <c r="E176" s="421" t="str">
        <f aca="false">IF(A176="N/A"," ",IF(ISERROR(O176),E164*Pwresc,O176)*VLOOKUP(MONTH(A176),Curveadj,3))</f>
        <v> </v>
      </c>
      <c r="F176" s="423" t="str">
        <f aca="false">IF(A176="N/A"," ",E176*C176)</f>
        <v> </v>
      </c>
      <c r="G176" s="421" t="str">
        <f aca="false">IF(A176="N/A"," ",IF(ISERROR(P176),G164*Pwresc,P176)*VLOOKUP(MONTH(A176),Curveadj,3))</f>
        <v> </v>
      </c>
      <c r="H176" s="423" t="str">
        <f aca="false">IF(A176="N/A"," ",G176*C176)</f>
        <v> </v>
      </c>
      <c r="I176" s="423" t="str">
        <f aca="false">IF(A176="N/A"," ",IF(ISERROR(Q176),I164*Pwresc,Q176))</f>
        <v> </v>
      </c>
      <c r="J176" s="424" t="str">
        <f aca="false">IF(A176="N/A"," ",K176+L176+T176)</f>
        <v> </v>
      </c>
      <c r="K176" s="425" t="str">
        <f aca="false">IF(A176="N/A"," ",IF(ISERROR(R176),K164*Gasesc,R176))</f>
        <v> </v>
      </c>
      <c r="L176" s="425" t="str">
        <f aca="false">IF(A176="N/A"," ",IF(ISERROR(S176),L164*Gasesc,IF(S176=0,L164*Gasesc,S176)))</f>
        <v> </v>
      </c>
      <c r="M176" s="431"/>
      <c r="N176" s="427" t="str">
        <f aca="false">IF(A176="N/A"," ",VLOOKUP(A176,PeakPowerCurves,(IF(BMO=2,3,IF(BMO=1,2,4))),FALSE()))</f>
        <v> </v>
      </c>
      <c r="O176" s="427" t="str">
        <f aca="false">IF(A176="N/A"," ",VLOOKUP(A176,SatSunPeakPwr,(IF(BMO=2,3,IF(BMO=1,2,4))),FALSE()))</f>
        <v> </v>
      </c>
      <c r="P176" s="427" t="str">
        <f aca="false">IF(A176="N/A"," ",VLOOKUP(A176,SatSunPeakPwr,(IF(BMO=2,7,IF(BMO=1,6,8))),FALSE()))</f>
        <v> </v>
      </c>
      <c r="Q176" s="428" t="str">
        <f aca="false">IF(A176="N/A"," ",(VLOOKUP(A176,OPPowerPrices,(IF(BMO=2,7,IF(BMO=1,6,8))),FALSE())))</f>
        <v> </v>
      </c>
      <c r="R176" s="429" t="str">
        <f aca="false">IF(A176="N/A"," ",(VLOOKUP(A176,GasCurves,9,FALSE()))+IF(BMO=1,Gasbmo,IF(BMO=3,-Gasbmo,0)))</f>
        <v> </v>
      </c>
      <c r="S176" s="429" t="str">
        <f aca="false">IF(A176="N/A"," ",IF(Basischeck=TRUE(),(VLOOKUP(A176,GasCurves,IF(MONTH(A176)&gt;=4,IF(MONTH(A176)&lt;=10,11,12),12),FALSE())),0))</f>
        <v> </v>
      </c>
      <c r="T176" s="429" t="str">
        <f aca="false">IF(A176="N/A"," ",(IF(MONTH(A176)&gt;=4,IF(MONTH(A176)&lt;=10,Inputs!$H$2,Inputs!$H$3),Inputs!$H$3)))</f>
        <v> </v>
      </c>
      <c r="U176" s="430" t="str">
        <f aca="false">IF(A176="N/A"," ",(VLOOKUP($A176,InterestRatesTable,2)))</f>
        <v> </v>
      </c>
      <c r="AF176" s="384" t="n">
        <v>41791</v>
      </c>
      <c r="AG176" s="36" t="n">
        <v>21</v>
      </c>
      <c r="AH176" s="36" t="n">
        <v>4</v>
      </c>
      <c r="AI176" s="36" t="n">
        <v>5</v>
      </c>
      <c r="AJ176" s="36" t="n">
        <v>0</v>
      </c>
      <c r="AK176" s="36" t="n">
        <v>30</v>
      </c>
    </row>
    <row r="177" customFormat="false" ht="12.75" hidden="false" customHeight="false" outlineLevel="0" collapsed="false">
      <c r="A177" s="420" t="str">
        <f aca="false">Calculations!A144</f>
        <v>N/A</v>
      </c>
      <c r="B177" s="421" t="str">
        <f aca="false">IF(A177="N/A"," ",IF(ISERROR(N177),B165*Pwresc,N177)*VLOOKUP(MONTH(A177),Curveadj,3))</f>
        <v> </v>
      </c>
      <c r="C177" s="422" t="str">
        <f aca="false">IF(A177="N/A"," ",(IF(AND(MONTH(A177)&gt;=6,MONTH(A177)&lt;=8,OR($M$37="REGION 2",$M$37="REGION 2A",$M$37="REGION 2B",$M$37="REGION 3",$M$37="REGION 3A",$M$37="REGION 3B",$M$37="REGION 4",$M$37="REGION 4B",$M$37="REGION 4C",$M$37="REGION 5",$M$37="REGION 5A")),((0.059228/(B177/100))-(0.4980013/(SQRT(B177/100)))+2.137988),HLOOKUP(MONTH(A177),ScalarTable,28))))</f>
        <v> </v>
      </c>
      <c r="D177" s="423" t="str">
        <f aca="false">IF(A177="N/A"," ",C177*B177)</f>
        <v> </v>
      </c>
      <c r="E177" s="421" t="str">
        <f aca="false">IF(A177="N/A"," ",IF(ISERROR(O177),E165*Pwresc,O177)*VLOOKUP(MONTH(A177),Curveadj,3))</f>
        <v> </v>
      </c>
      <c r="F177" s="423" t="str">
        <f aca="false">IF(A177="N/A"," ",E177*C177)</f>
        <v> </v>
      </c>
      <c r="G177" s="421" t="str">
        <f aca="false">IF(A177="N/A"," ",IF(ISERROR(P177),G165*Pwresc,P177)*VLOOKUP(MONTH(A177),Curveadj,3))</f>
        <v> </v>
      </c>
      <c r="H177" s="423" t="str">
        <f aca="false">IF(A177="N/A"," ",G177*C177)</f>
        <v> </v>
      </c>
      <c r="I177" s="423" t="str">
        <f aca="false">IF(A177="N/A"," ",IF(ISERROR(Q177),I165*Pwresc,Q177))</f>
        <v> </v>
      </c>
      <c r="J177" s="424" t="str">
        <f aca="false">IF(A177="N/A"," ",K177+L177+T177)</f>
        <v> </v>
      </c>
      <c r="K177" s="425" t="str">
        <f aca="false">IF(A177="N/A"," ",IF(ISERROR(R177),K165*Gasesc,R177))</f>
        <v> </v>
      </c>
      <c r="L177" s="425" t="str">
        <f aca="false">IF(A177="N/A"," ",IF(ISERROR(S177),L165*Gasesc,IF(S177=0,L165*Gasesc,S177)))</f>
        <v> </v>
      </c>
      <c r="M177" s="431"/>
      <c r="N177" s="427" t="str">
        <f aca="false">IF(A177="N/A"," ",VLOOKUP(A177,PeakPowerCurves,(IF(BMO=2,3,IF(BMO=1,2,4))),FALSE()))</f>
        <v> </v>
      </c>
      <c r="O177" s="427" t="str">
        <f aca="false">IF(A177="N/A"," ",VLOOKUP(A177,SatSunPeakPwr,(IF(BMO=2,3,IF(BMO=1,2,4))),FALSE()))</f>
        <v> </v>
      </c>
      <c r="P177" s="427" t="str">
        <f aca="false">IF(A177="N/A"," ",VLOOKUP(A177,SatSunPeakPwr,(IF(BMO=2,7,IF(BMO=1,6,8))),FALSE()))</f>
        <v> </v>
      </c>
      <c r="Q177" s="428" t="str">
        <f aca="false">IF(A177="N/A"," ",(VLOOKUP(A177,OPPowerPrices,(IF(BMO=2,7,IF(BMO=1,6,8))),FALSE())))</f>
        <v> </v>
      </c>
      <c r="R177" s="429" t="str">
        <f aca="false">IF(A177="N/A"," ",(VLOOKUP(A177,GasCurves,9,FALSE()))+IF(BMO=1,Gasbmo,IF(BMO=3,-Gasbmo,0)))</f>
        <v> </v>
      </c>
      <c r="S177" s="429" t="str">
        <f aca="false">IF(A177="N/A"," ",IF(Basischeck=TRUE(),(VLOOKUP(A177,GasCurves,IF(MONTH(A177)&gt;=4,IF(MONTH(A177)&lt;=10,11,12),12),FALSE())),0))</f>
        <v> </v>
      </c>
      <c r="T177" s="429" t="str">
        <f aca="false">IF(A177="N/A"," ",(IF(MONTH(A177)&gt;=4,IF(MONTH(A177)&lt;=10,Inputs!$H$2,Inputs!$H$3),Inputs!$H$3)))</f>
        <v> </v>
      </c>
      <c r="U177" s="430" t="str">
        <f aca="false">IF(A177="N/A"," ",(VLOOKUP($A177,InterestRatesTable,2)))</f>
        <v> </v>
      </c>
      <c r="AF177" s="384" t="n">
        <v>41821</v>
      </c>
      <c r="AG177" s="36" t="n">
        <v>22</v>
      </c>
      <c r="AH177" s="36" t="n">
        <v>4</v>
      </c>
      <c r="AI177" s="36" t="n">
        <v>5</v>
      </c>
      <c r="AJ177" s="36" t="n">
        <v>1</v>
      </c>
      <c r="AK177" s="36" t="n">
        <v>31</v>
      </c>
    </row>
    <row r="178" customFormat="false" ht="12.75" hidden="false" customHeight="false" outlineLevel="0" collapsed="false">
      <c r="A178" s="420" t="str">
        <f aca="false">Calculations!A145</f>
        <v>N/A</v>
      </c>
      <c r="B178" s="421" t="str">
        <f aca="false">IF(A178="N/A"," ",IF(ISERROR(N178),B166*Pwresc,N178)*VLOOKUP(MONTH(A178),Curveadj,3))</f>
        <v> </v>
      </c>
      <c r="C178" s="422" t="str">
        <f aca="false">IF(A178="N/A"," ",(IF(AND(MONTH(A178)&gt;=6,MONTH(A178)&lt;=8,OR($M$37="REGION 2",$M$37="REGION 2A",$M$37="REGION 2B",$M$37="REGION 3",$M$37="REGION 3A",$M$37="REGION 3B",$M$37="REGION 4",$M$37="REGION 4B",$M$37="REGION 4C",$M$37="REGION 5",$M$37="REGION 5A")),((0.059228/(B178/100))-(0.4980013/(SQRT(B178/100)))+2.137988),HLOOKUP(MONTH(A178),ScalarTable,28))))</f>
        <v> </v>
      </c>
      <c r="D178" s="423" t="str">
        <f aca="false">IF(A178="N/A"," ",C178*B178)</f>
        <v> </v>
      </c>
      <c r="E178" s="421" t="str">
        <f aca="false">IF(A178="N/A"," ",IF(ISERROR(O178),E166*Pwresc,O178)*VLOOKUP(MONTH(A178),Curveadj,3))</f>
        <v> </v>
      </c>
      <c r="F178" s="423" t="str">
        <f aca="false">IF(A178="N/A"," ",E178*C178)</f>
        <v> </v>
      </c>
      <c r="G178" s="421" t="str">
        <f aca="false">IF(A178="N/A"," ",IF(ISERROR(P178),G166*Pwresc,P178)*VLOOKUP(MONTH(A178),Curveadj,3))</f>
        <v> </v>
      </c>
      <c r="H178" s="423" t="str">
        <f aca="false">IF(A178="N/A"," ",G178*C178)</f>
        <v> </v>
      </c>
      <c r="I178" s="423" t="str">
        <f aca="false">IF(A178="N/A"," ",IF(ISERROR(Q178),I166*Pwresc,Q178))</f>
        <v> </v>
      </c>
      <c r="J178" s="424" t="str">
        <f aca="false">IF(A178="N/A"," ",K178+L178+T178)</f>
        <v> </v>
      </c>
      <c r="K178" s="425" t="str">
        <f aca="false">IF(A178="N/A"," ",IF(ISERROR(R178),K166*Gasesc,R178))</f>
        <v> </v>
      </c>
      <c r="L178" s="425" t="str">
        <f aca="false">IF(A178="N/A"," ",IF(ISERROR(S178),L166*Gasesc,IF(S178=0,L166*Gasesc,S178)))</f>
        <v> </v>
      </c>
      <c r="M178" s="431"/>
      <c r="N178" s="427" t="str">
        <f aca="false">IF(A178="N/A"," ",VLOOKUP(A178,PeakPowerCurves,(IF(BMO=2,3,IF(BMO=1,2,4))),FALSE()))</f>
        <v> </v>
      </c>
      <c r="O178" s="427" t="str">
        <f aca="false">IF(A178="N/A"," ",VLOOKUP(A178,SatSunPeakPwr,(IF(BMO=2,3,IF(BMO=1,2,4))),FALSE()))</f>
        <v> </v>
      </c>
      <c r="P178" s="427" t="str">
        <f aca="false">IF(A178="N/A"," ",VLOOKUP(A178,SatSunPeakPwr,(IF(BMO=2,7,IF(BMO=1,6,8))),FALSE()))</f>
        <v> </v>
      </c>
      <c r="Q178" s="428" t="str">
        <f aca="false">IF(A178="N/A"," ",(VLOOKUP(A178,OPPowerPrices,(IF(BMO=2,7,IF(BMO=1,6,8))),FALSE())))</f>
        <v> </v>
      </c>
      <c r="R178" s="429" t="str">
        <f aca="false">IF(A178="N/A"," ",(VLOOKUP(A178,GasCurves,9,FALSE()))+IF(BMO=1,Gasbmo,IF(BMO=3,-Gasbmo,0)))</f>
        <v> </v>
      </c>
      <c r="S178" s="429" t="str">
        <f aca="false">IF(A178="N/A"," ",IF(Basischeck=TRUE(),(VLOOKUP(A178,GasCurves,IF(MONTH(A178)&gt;=4,IF(MONTH(A178)&lt;=10,11,12),12),FALSE())),0))</f>
        <v> </v>
      </c>
      <c r="T178" s="429" t="str">
        <f aca="false">IF(A178="N/A"," ",(IF(MONTH(A178)&gt;=4,IF(MONTH(A178)&lt;=10,Inputs!$H$2,Inputs!$H$3),Inputs!$H$3)))</f>
        <v> </v>
      </c>
      <c r="U178" s="430" t="str">
        <f aca="false">IF(A178="N/A"," ",(VLOOKUP($A178,InterestRatesTable,2)))</f>
        <v> </v>
      </c>
      <c r="AF178" s="384" t="n">
        <v>41852</v>
      </c>
      <c r="AG178" s="36" t="n">
        <v>21</v>
      </c>
      <c r="AH178" s="36" t="n">
        <v>5</v>
      </c>
      <c r="AI178" s="36" t="n">
        <v>5</v>
      </c>
      <c r="AJ178" s="36" t="n">
        <v>0</v>
      </c>
      <c r="AK178" s="36" t="n">
        <v>31</v>
      </c>
    </row>
    <row r="179" customFormat="false" ht="12.75" hidden="false" customHeight="false" outlineLevel="0" collapsed="false">
      <c r="A179" s="420" t="str">
        <f aca="false">Calculations!A146</f>
        <v>N/A</v>
      </c>
      <c r="B179" s="421" t="str">
        <f aca="false">IF(A179="N/A"," ",IF(ISERROR(N179),B167*Pwresc,N179)*VLOOKUP(MONTH(A179),Curveadj,3))</f>
        <v> </v>
      </c>
      <c r="C179" s="422" t="str">
        <f aca="false">IF(A179="N/A"," ",(IF(AND(MONTH(A179)&gt;=6,MONTH(A179)&lt;=8,OR($M$37="REGION 2",$M$37="REGION 2A",$M$37="REGION 2B",$M$37="REGION 3",$M$37="REGION 3A",$M$37="REGION 3B",$M$37="REGION 4",$M$37="REGION 4B",$M$37="REGION 4C",$M$37="REGION 5",$M$37="REGION 5A")),((0.059228/(B179/100))-(0.4980013/(SQRT(B179/100)))+2.137988),HLOOKUP(MONTH(A179),ScalarTable,28))))</f>
        <v> </v>
      </c>
      <c r="D179" s="423" t="str">
        <f aca="false">IF(A179="N/A"," ",C179*B179)</f>
        <v> </v>
      </c>
      <c r="E179" s="421" t="str">
        <f aca="false">IF(A179="N/A"," ",IF(ISERROR(O179),E167*Pwresc,O179)*VLOOKUP(MONTH(A179),Curveadj,3))</f>
        <v> </v>
      </c>
      <c r="F179" s="423" t="str">
        <f aca="false">IF(A179="N/A"," ",E179*C179)</f>
        <v> </v>
      </c>
      <c r="G179" s="421" t="str">
        <f aca="false">IF(A179="N/A"," ",IF(ISERROR(P179),G167*Pwresc,P179)*VLOOKUP(MONTH(A179),Curveadj,3))</f>
        <v> </v>
      </c>
      <c r="H179" s="423" t="str">
        <f aca="false">IF(A179="N/A"," ",G179*C179)</f>
        <v> </v>
      </c>
      <c r="I179" s="423" t="str">
        <f aca="false">IF(A179="N/A"," ",IF(ISERROR(Q179),I167*Pwresc,Q179))</f>
        <v> </v>
      </c>
      <c r="J179" s="424" t="str">
        <f aca="false">IF(A179="N/A"," ",K179+L179+T179)</f>
        <v> </v>
      </c>
      <c r="K179" s="425" t="str">
        <f aca="false">IF(A179="N/A"," ",IF(ISERROR(R179),K167*Gasesc,R179))</f>
        <v> </v>
      </c>
      <c r="L179" s="425" t="str">
        <f aca="false">IF(A179="N/A"," ",IF(ISERROR(S179),L167*Gasesc,IF(S179=0,L167*Gasesc,S179)))</f>
        <v> </v>
      </c>
      <c r="M179" s="431"/>
      <c r="N179" s="427" t="str">
        <f aca="false">IF(A179="N/A"," ",VLOOKUP(A179,PeakPowerCurves,(IF(BMO=2,3,IF(BMO=1,2,4))),FALSE()))</f>
        <v> </v>
      </c>
      <c r="O179" s="427" t="str">
        <f aca="false">IF(A179="N/A"," ",VLOOKUP(A179,SatSunPeakPwr,(IF(BMO=2,3,IF(BMO=1,2,4))),FALSE()))</f>
        <v> </v>
      </c>
      <c r="P179" s="427" t="str">
        <f aca="false">IF(A179="N/A"," ",VLOOKUP(A179,SatSunPeakPwr,(IF(BMO=2,7,IF(BMO=1,6,8))),FALSE()))</f>
        <v> </v>
      </c>
      <c r="Q179" s="428" t="str">
        <f aca="false">IF(A179="N/A"," ",(VLOOKUP(A179,OPPowerPrices,(IF(BMO=2,7,IF(BMO=1,6,8))),FALSE())))</f>
        <v> </v>
      </c>
      <c r="R179" s="429" t="str">
        <f aca="false">IF(A179="N/A"," ",(VLOOKUP(A179,GasCurves,9,FALSE()))+IF(BMO=1,Gasbmo,IF(BMO=3,-Gasbmo,0)))</f>
        <v> </v>
      </c>
      <c r="S179" s="429" t="str">
        <f aca="false">IF(A179="N/A"," ",IF(Basischeck=TRUE(),(VLOOKUP(A179,GasCurves,IF(MONTH(A179)&gt;=4,IF(MONTH(A179)&lt;=10,11,12),12),FALSE())),0))</f>
        <v> </v>
      </c>
      <c r="T179" s="429" t="str">
        <f aca="false">IF(A179="N/A"," ",(IF(MONTH(A179)&gt;=4,IF(MONTH(A179)&lt;=10,Inputs!$H$2,Inputs!$H$3),Inputs!$H$3)))</f>
        <v> </v>
      </c>
      <c r="U179" s="430" t="str">
        <f aca="false">IF(A179="N/A"," ",(VLOOKUP($A179,InterestRatesTable,2)))</f>
        <v> </v>
      </c>
      <c r="AF179" s="384" t="n">
        <v>41883</v>
      </c>
      <c r="AG179" s="36" t="n">
        <v>21</v>
      </c>
      <c r="AH179" s="36" t="n">
        <v>4</v>
      </c>
      <c r="AI179" s="36" t="n">
        <v>5</v>
      </c>
      <c r="AJ179" s="36" t="n">
        <v>1</v>
      </c>
      <c r="AK179" s="36" t="n">
        <v>30</v>
      </c>
    </row>
    <row r="180" customFormat="false" ht="12.75" hidden="false" customHeight="false" outlineLevel="0" collapsed="false">
      <c r="A180" s="420" t="str">
        <f aca="false">Calculations!A147</f>
        <v>N/A</v>
      </c>
      <c r="B180" s="421" t="str">
        <f aca="false">IF(A180="N/A"," ",IF(ISERROR(N180),B168*Pwresc,N180)*VLOOKUP(MONTH(A180),Curveadj,3))</f>
        <v> </v>
      </c>
      <c r="C180" s="422" t="str">
        <f aca="false">IF(A180="N/A"," ",(IF(AND(MONTH(A180)&gt;=6,MONTH(A180)&lt;=8,OR($M$37="REGION 2",$M$37="REGION 2A",$M$37="REGION 2B",$M$37="REGION 3",$M$37="REGION 3A",$M$37="REGION 3B",$M$37="REGION 4",$M$37="REGION 4B",$M$37="REGION 4C",$M$37="REGION 5",$M$37="REGION 5A")),((0.059228/(B180/100))-(0.4980013/(SQRT(B180/100)))+2.137988),HLOOKUP(MONTH(A180),ScalarTable,28))))</f>
        <v> </v>
      </c>
      <c r="D180" s="423" t="str">
        <f aca="false">IF(A180="N/A"," ",C180*B180)</f>
        <v> </v>
      </c>
      <c r="E180" s="421" t="str">
        <f aca="false">IF(A180="N/A"," ",IF(ISERROR(O180),E168*Pwresc,O180)*VLOOKUP(MONTH(A180),Curveadj,3))</f>
        <v> </v>
      </c>
      <c r="F180" s="423" t="str">
        <f aca="false">IF(A180="N/A"," ",E180*C180)</f>
        <v> </v>
      </c>
      <c r="G180" s="421" t="str">
        <f aca="false">IF(A180="N/A"," ",IF(ISERROR(P180),G168*Pwresc,P180)*VLOOKUP(MONTH(A180),Curveadj,3))</f>
        <v> </v>
      </c>
      <c r="H180" s="423" t="str">
        <f aca="false">IF(A180="N/A"," ",G180*C180)</f>
        <v> </v>
      </c>
      <c r="I180" s="423" t="str">
        <f aca="false">IF(A180="N/A"," ",IF(ISERROR(Q180),I168*Pwresc,Q180))</f>
        <v> </v>
      </c>
      <c r="J180" s="424" t="str">
        <f aca="false">IF(A180="N/A"," ",K180+L180+T180)</f>
        <v> </v>
      </c>
      <c r="K180" s="425" t="str">
        <f aca="false">IF(A180="N/A"," ",IF(ISERROR(R180),K168*Gasesc,R180))</f>
        <v> </v>
      </c>
      <c r="L180" s="425" t="str">
        <f aca="false">IF(A180="N/A"," ",IF(ISERROR(S180),L168*Gasesc,IF(S180=0,L168*Gasesc,S180)))</f>
        <v> </v>
      </c>
      <c r="M180" s="431"/>
      <c r="N180" s="427" t="str">
        <f aca="false">IF(A180="N/A"," ",VLOOKUP(A180,PeakPowerCurves,(IF(BMO=2,3,IF(BMO=1,2,4))),FALSE()))</f>
        <v> </v>
      </c>
      <c r="O180" s="427" t="str">
        <f aca="false">IF(A180="N/A"," ",VLOOKUP(A180,SatSunPeakPwr,(IF(BMO=2,3,IF(BMO=1,2,4))),FALSE()))</f>
        <v> </v>
      </c>
      <c r="P180" s="427" t="str">
        <f aca="false">IF(A180="N/A"," ",VLOOKUP(A180,SatSunPeakPwr,(IF(BMO=2,7,IF(BMO=1,6,8))),FALSE()))</f>
        <v> </v>
      </c>
      <c r="Q180" s="428" t="str">
        <f aca="false">IF(A180="N/A"," ",(VLOOKUP(A180,OPPowerPrices,(IF(BMO=2,7,IF(BMO=1,6,8))),FALSE())))</f>
        <v> </v>
      </c>
      <c r="R180" s="429" t="str">
        <f aca="false">IF(A180="N/A"," ",(VLOOKUP(A180,GasCurves,9,FALSE()))+IF(BMO=1,Gasbmo,IF(BMO=3,-Gasbmo,0)))</f>
        <v> </v>
      </c>
      <c r="S180" s="429" t="str">
        <f aca="false">IF(A180="N/A"," ",IF(Basischeck=TRUE(),(VLOOKUP(A180,GasCurves,IF(MONTH(A180)&gt;=4,IF(MONTH(A180)&lt;=10,11,12),12),FALSE())),0))</f>
        <v> </v>
      </c>
      <c r="T180" s="429" t="str">
        <f aca="false">IF(A180="N/A"," ",(IF(MONTH(A180)&gt;=4,IF(MONTH(A180)&lt;=10,Inputs!$H$2,Inputs!$H$3),Inputs!$H$3)))</f>
        <v> </v>
      </c>
      <c r="U180" s="430" t="str">
        <f aca="false">IF(A180="N/A"," ",(VLOOKUP($A180,InterestRatesTable,2)))</f>
        <v> </v>
      </c>
      <c r="AF180" s="384" t="n">
        <v>41913</v>
      </c>
      <c r="AG180" s="36" t="n">
        <v>23</v>
      </c>
      <c r="AH180" s="36" t="n">
        <v>4</v>
      </c>
      <c r="AI180" s="36" t="n">
        <v>4</v>
      </c>
      <c r="AJ180" s="36" t="n">
        <v>0</v>
      </c>
      <c r="AK180" s="36" t="n">
        <v>31</v>
      </c>
    </row>
    <row r="181" customFormat="false" ht="12.75" hidden="false" customHeight="false" outlineLevel="0" collapsed="false">
      <c r="A181" s="420" t="str">
        <f aca="false">Calculations!A148</f>
        <v>N/A</v>
      </c>
      <c r="B181" s="421" t="str">
        <f aca="false">IF(A181="N/A"," ",IF(ISERROR(N181),B169*Pwresc,N181)*VLOOKUP(MONTH(A181),Curveadj,3))</f>
        <v> </v>
      </c>
      <c r="C181" s="422" t="str">
        <f aca="false">IF(A181="N/A"," ",(IF(AND(MONTH(A181)&gt;=6,MONTH(A181)&lt;=8,OR($M$37="REGION 2",$M$37="REGION 2A",$M$37="REGION 2B",$M$37="REGION 3",$M$37="REGION 3A",$M$37="REGION 3B",$M$37="REGION 4",$M$37="REGION 4B",$M$37="REGION 4C",$M$37="REGION 5",$M$37="REGION 5A")),((0.059228/(B181/100))-(0.4980013/(SQRT(B181/100)))+2.137988),HLOOKUP(MONTH(A181),ScalarTable,28))))</f>
        <v> </v>
      </c>
      <c r="D181" s="423" t="str">
        <f aca="false">IF(A181="N/A"," ",C181*B181)</f>
        <v> </v>
      </c>
      <c r="E181" s="421" t="str">
        <f aca="false">IF(A181="N/A"," ",IF(ISERROR(O181),E169*Pwresc,O181)*VLOOKUP(MONTH(A181),Curveadj,3))</f>
        <v> </v>
      </c>
      <c r="F181" s="423" t="str">
        <f aca="false">IF(A181="N/A"," ",E181*C181)</f>
        <v> </v>
      </c>
      <c r="G181" s="421" t="str">
        <f aca="false">IF(A181="N/A"," ",IF(ISERROR(P181),G169*Pwresc,P181)*VLOOKUP(MONTH(A181),Curveadj,3))</f>
        <v> </v>
      </c>
      <c r="H181" s="423" t="str">
        <f aca="false">IF(A181="N/A"," ",G181*C181)</f>
        <v> </v>
      </c>
      <c r="I181" s="423" t="str">
        <f aca="false">IF(A181="N/A"," ",IF(ISERROR(Q181),I169*Pwresc,Q181))</f>
        <v> </v>
      </c>
      <c r="J181" s="424" t="str">
        <f aca="false">IF(A181="N/A"," ",K181+L181+T181)</f>
        <v> </v>
      </c>
      <c r="K181" s="425" t="str">
        <f aca="false">IF(A181="N/A"," ",IF(ISERROR(R181),K169*Gasesc,R181))</f>
        <v> </v>
      </c>
      <c r="L181" s="425" t="str">
        <f aca="false">IF(A181="N/A"," ",IF(ISERROR(S181),L169*Gasesc,IF(S181=0,L169*Gasesc,S181)))</f>
        <v> </v>
      </c>
      <c r="M181" s="431"/>
      <c r="N181" s="427" t="str">
        <f aca="false">IF(A181="N/A"," ",VLOOKUP(A181,PeakPowerCurves,(IF(BMO=2,3,IF(BMO=1,2,4))),FALSE()))</f>
        <v> </v>
      </c>
      <c r="O181" s="427" t="str">
        <f aca="false">IF(A181="N/A"," ",VLOOKUP(A181,SatSunPeakPwr,(IF(BMO=2,3,IF(BMO=1,2,4))),FALSE()))</f>
        <v> </v>
      </c>
      <c r="P181" s="427" t="str">
        <f aca="false">IF(A181="N/A"," ",VLOOKUP(A181,SatSunPeakPwr,(IF(BMO=2,7,IF(BMO=1,6,8))),FALSE()))</f>
        <v> </v>
      </c>
      <c r="Q181" s="428" t="str">
        <f aca="false">IF(A181="N/A"," ",(VLOOKUP(A181,OPPowerPrices,(IF(BMO=2,7,IF(BMO=1,6,8))),FALSE())))</f>
        <v> </v>
      </c>
      <c r="R181" s="429" t="str">
        <f aca="false">IF(A181="N/A"," ",(VLOOKUP(A181,GasCurves,9,FALSE()))+IF(BMO=1,Gasbmo,IF(BMO=3,-Gasbmo,0)))</f>
        <v> </v>
      </c>
      <c r="S181" s="429" t="str">
        <f aca="false">IF(A181="N/A"," ",IF(Basischeck=TRUE(),(VLOOKUP(A181,GasCurves,IF(MONTH(A181)&gt;=4,IF(MONTH(A181)&lt;=10,11,12),12),FALSE())),0))</f>
        <v> </v>
      </c>
      <c r="T181" s="429" t="str">
        <f aca="false">IF(A181="N/A"," ",(IF(MONTH(A181)&gt;=4,IF(MONTH(A181)&lt;=10,Inputs!$H$2,Inputs!$H$3),Inputs!$H$3)))</f>
        <v> </v>
      </c>
      <c r="U181" s="430" t="str">
        <f aca="false">IF(A181="N/A"," ",(VLOOKUP($A181,InterestRatesTable,2)))</f>
        <v> </v>
      </c>
      <c r="AF181" s="384" t="n">
        <v>41944</v>
      </c>
      <c r="AG181" s="36" t="n">
        <v>19</v>
      </c>
      <c r="AH181" s="36" t="n">
        <v>5</v>
      </c>
      <c r="AI181" s="36" t="n">
        <v>6</v>
      </c>
      <c r="AJ181" s="36" t="n">
        <v>1</v>
      </c>
      <c r="AK181" s="36" t="n">
        <v>30</v>
      </c>
    </row>
    <row r="182" customFormat="false" ht="12.75" hidden="false" customHeight="false" outlineLevel="0" collapsed="false">
      <c r="A182" s="420" t="str">
        <f aca="false">Calculations!A149</f>
        <v>N/A</v>
      </c>
      <c r="B182" s="421" t="str">
        <f aca="false">IF(A182="N/A"," ",IF(ISERROR(N182),B170*Pwresc,N182)*VLOOKUP(MONTH(A182),Curveadj,3))</f>
        <v> </v>
      </c>
      <c r="C182" s="422" t="str">
        <f aca="false">IF(A182="N/A"," ",(IF(AND(MONTH(A182)&gt;=6,MONTH(A182)&lt;=8,OR($M$37="REGION 2",$M$37="REGION 2A",$M$37="REGION 2B",$M$37="REGION 3",$M$37="REGION 3A",$M$37="REGION 3B",$M$37="REGION 4",$M$37="REGION 4B",$M$37="REGION 4C",$M$37="REGION 5",$M$37="REGION 5A")),((0.059228/(B182/100))-(0.4980013/(SQRT(B182/100)))+2.137988),HLOOKUP(MONTH(A182),ScalarTable,28))))</f>
        <v> </v>
      </c>
      <c r="D182" s="423" t="str">
        <f aca="false">IF(A182="N/A"," ",C182*B182)</f>
        <v> </v>
      </c>
      <c r="E182" s="421" t="str">
        <f aca="false">IF(A182="N/A"," ",IF(ISERROR(O182),E170*Pwresc,O182)*VLOOKUP(MONTH(A182),Curveadj,3))</f>
        <v> </v>
      </c>
      <c r="F182" s="423" t="str">
        <f aca="false">IF(A182="N/A"," ",E182*C182)</f>
        <v> </v>
      </c>
      <c r="G182" s="421" t="str">
        <f aca="false">IF(A182="N/A"," ",IF(ISERROR(P182),G170*Pwresc,P182)*VLOOKUP(MONTH(A182),Curveadj,3))</f>
        <v> </v>
      </c>
      <c r="H182" s="423" t="str">
        <f aca="false">IF(A182="N/A"," ",G182*C182)</f>
        <v> </v>
      </c>
      <c r="I182" s="423" t="str">
        <f aca="false">IF(A182="N/A"," ",IF(ISERROR(Q182),I170*Pwresc,Q182))</f>
        <v> </v>
      </c>
      <c r="J182" s="424" t="str">
        <f aca="false">IF(A182="N/A"," ",K182+L182+T182)</f>
        <v> </v>
      </c>
      <c r="K182" s="425" t="str">
        <f aca="false">IF(A182="N/A"," ",IF(ISERROR(R182),K170*Gasesc,R182))</f>
        <v> </v>
      </c>
      <c r="L182" s="425" t="str">
        <f aca="false">IF(A182="N/A"," ",IF(ISERROR(S182),L170*Gasesc,IF(S182=0,L170*Gasesc,S182)))</f>
        <v> </v>
      </c>
      <c r="M182" s="431"/>
      <c r="N182" s="427" t="str">
        <f aca="false">IF(A182="N/A"," ",VLOOKUP(A182,PeakPowerCurves,(IF(BMO=2,3,IF(BMO=1,2,4))),FALSE()))</f>
        <v> </v>
      </c>
      <c r="O182" s="427" t="str">
        <f aca="false">IF(A182="N/A"," ",VLOOKUP(A182,SatSunPeakPwr,(IF(BMO=2,3,IF(BMO=1,2,4))),FALSE()))</f>
        <v> </v>
      </c>
      <c r="P182" s="427" t="str">
        <f aca="false">IF(A182="N/A"," ",VLOOKUP(A182,SatSunPeakPwr,(IF(BMO=2,7,IF(BMO=1,6,8))),FALSE()))</f>
        <v> </v>
      </c>
      <c r="Q182" s="428" t="str">
        <f aca="false">IF(A182="N/A"," ",(VLOOKUP(A182,OPPowerPrices,(IF(BMO=2,7,IF(BMO=1,6,8))),FALSE())))</f>
        <v> </v>
      </c>
      <c r="R182" s="429" t="str">
        <f aca="false">IF(A182="N/A"," ",(VLOOKUP(A182,GasCurves,9,FALSE()))+IF(BMO=1,Gasbmo,IF(BMO=3,-Gasbmo,0)))</f>
        <v> </v>
      </c>
      <c r="S182" s="429" t="str">
        <f aca="false">IF(A182="N/A"," ",IF(Basischeck=TRUE(),(VLOOKUP(A182,GasCurves,IF(MONTH(A182)&gt;=4,IF(MONTH(A182)&lt;=10,11,12),12),FALSE())),0))</f>
        <v> </v>
      </c>
      <c r="T182" s="429" t="str">
        <f aca="false">IF(A182="N/A"," ",(IF(MONTH(A182)&gt;=4,IF(MONTH(A182)&lt;=10,Inputs!$H$2,Inputs!$H$3),Inputs!$H$3)))</f>
        <v> </v>
      </c>
      <c r="U182" s="430" t="str">
        <f aca="false">IF(A182="N/A"," ",(VLOOKUP($A182,InterestRatesTable,2)))</f>
        <v> </v>
      </c>
      <c r="AF182" s="384" t="n">
        <v>41974</v>
      </c>
      <c r="AG182" s="36" t="n">
        <v>22</v>
      </c>
      <c r="AH182" s="36" t="n">
        <v>4</v>
      </c>
      <c r="AI182" s="36" t="n">
        <v>5</v>
      </c>
      <c r="AJ182" s="36" t="n">
        <v>1</v>
      </c>
      <c r="AK182" s="36" t="n">
        <v>31</v>
      </c>
    </row>
    <row r="183" customFormat="false" ht="12.75" hidden="false" customHeight="false" outlineLevel="0" collapsed="false">
      <c r="A183" s="420" t="str">
        <f aca="false">Calculations!A150</f>
        <v>N/A</v>
      </c>
      <c r="B183" s="421" t="str">
        <f aca="false">IF(A183="N/A"," ",IF(ISERROR(N183),B171*Pwresc,N183)*VLOOKUP(MONTH(A183),Curveadj,3))</f>
        <v> </v>
      </c>
      <c r="C183" s="422" t="str">
        <f aca="false">IF(A183="N/A"," ",(IF(AND(MONTH(A183)&gt;=6,MONTH(A183)&lt;=8,OR($M$37="REGION 2",$M$37="REGION 2A",$M$37="REGION 2B",$M$37="REGION 3",$M$37="REGION 3A",$M$37="REGION 3B",$M$37="REGION 4",$M$37="REGION 4B",$M$37="REGION 4C",$M$37="REGION 5",$M$37="REGION 5A")),((0.059228/(B183/100))-(0.4980013/(SQRT(B183/100)))+2.137988),HLOOKUP(MONTH(A183),ScalarTable,28))))</f>
        <v> </v>
      </c>
      <c r="D183" s="423" t="str">
        <f aca="false">IF(A183="N/A"," ",C183*B183)</f>
        <v> </v>
      </c>
      <c r="E183" s="421" t="str">
        <f aca="false">IF(A183="N/A"," ",IF(ISERROR(O183),E171*Pwresc,O183)*VLOOKUP(MONTH(A183),Curveadj,3))</f>
        <v> </v>
      </c>
      <c r="F183" s="423" t="str">
        <f aca="false">IF(A183="N/A"," ",E183*C183)</f>
        <v> </v>
      </c>
      <c r="G183" s="421" t="str">
        <f aca="false">IF(A183="N/A"," ",IF(ISERROR(P183),G171*Pwresc,P183)*VLOOKUP(MONTH(A183),Curveadj,3))</f>
        <v> </v>
      </c>
      <c r="H183" s="423" t="str">
        <f aca="false">IF(A183="N/A"," ",G183*C183)</f>
        <v> </v>
      </c>
      <c r="I183" s="423" t="str">
        <f aca="false">IF(A183="N/A"," ",IF(ISERROR(Q183),I171*Pwresc,Q183))</f>
        <v> </v>
      </c>
      <c r="J183" s="424" t="str">
        <f aca="false">IF(A183="N/A"," ",K183+L183+T183)</f>
        <v> </v>
      </c>
      <c r="K183" s="425" t="str">
        <f aca="false">IF(A183="N/A"," ",IF(ISERROR(R183),K171*Gasesc,R183))</f>
        <v> </v>
      </c>
      <c r="L183" s="425" t="str">
        <f aca="false">IF(A183="N/A"," ",IF(ISERROR(S183),L171*Gasesc,IF(S183=0,L171*Gasesc,S183)))</f>
        <v> </v>
      </c>
      <c r="M183" s="431"/>
      <c r="N183" s="427" t="str">
        <f aca="false">IF(A183="N/A"," ",VLOOKUP(A183,PeakPowerCurves,(IF(BMO=2,3,IF(BMO=1,2,4))),FALSE()))</f>
        <v> </v>
      </c>
      <c r="O183" s="427" t="str">
        <f aca="false">IF(A183="N/A"," ",VLOOKUP(A183,SatSunPeakPwr,(IF(BMO=2,3,IF(BMO=1,2,4))),FALSE()))</f>
        <v> </v>
      </c>
      <c r="P183" s="427" t="str">
        <f aca="false">IF(A183="N/A"," ",VLOOKUP(A183,SatSunPeakPwr,(IF(BMO=2,7,IF(BMO=1,6,8))),FALSE()))</f>
        <v> </v>
      </c>
      <c r="Q183" s="428" t="str">
        <f aca="false">IF(A183="N/A"," ",(VLOOKUP(A183,OPPowerPrices,(IF(BMO=2,7,IF(BMO=1,6,8))),FALSE())))</f>
        <v> </v>
      </c>
      <c r="R183" s="429" t="str">
        <f aca="false">IF(A183="N/A"," ",(VLOOKUP(A183,GasCurves,9,FALSE()))+IF(BMO=1,Gasbmo,IF(BMO=3,-Gasbmo,0)))</f>
        <v> </v>
      </c>
      <c r="S183" s="429" t="str">
        <f aca="false">IF(A183="N/A"," ",IF(Basischeck=TRUE(),(VLOOKUP(A183,GasCurves,IF(MONTH(A183)&gt;=4,IF(MONTH(A183)&lt;=10,11,12),12),FALSE())),0))</f>
        <v> </v>
      </c>
      <c r="T183" s="429" t="str">
        <f aca="false">IF(A183="N/A"," ",(IF(MONTH(A183)&gt;=4,IF(MONTH(A183)&lt;=10,Inputs!$H$2,Inputs!$H$3),Inputs!$H$3)))</f>
        <v> </v>
      </c>
      <c r="U183" s="430" t="str">
        <f aca="false">IF(A183="N/A"," ",(VLOOKUP($A183,InterestRatesTable,2)))</f>
        <v> </v>
      </c>
      <c r="AF183" s="384" t="n">
        <v>42005</v>
      </c>
      <c r="AG183" s="36" t="n">
        <v>21</v>
      </c>
      <c r="AH183" s="36" t="n">
        <v>5</v>
      </c>
      <c r="AI183" s="36" t="n">
        <v>5</v>
      </c>
      <c r="AJ183" s="36" t="n">
        <v>1</v>
      </c>
      <c r="AK183" s="36" t="n">
        <v>31</v>
      </c>
    </row>
    <row r="184" customFormat="false" ht="12.75" hidden="false" customHeight="false" outlineLevel="0" collapsed="false">
      <c r="A184" s="420" t="str">
        <f aca="false">Calculations!A151</f>
        <v>N/A</v>
      </c>
      <c r="B184" s="421" t="str">
        <f aca="false">IF(A184="N/A"," ",IF(ISERROR(N184),B172*Pwresc,N184)*VLOOKUP(MONTH(A184),Curveadj,3))</f>
        <v> </v>
      </c>
      <c r="C184" s="422" t="str">
        <f aca="false">IF(A184="N/A"," ",(IF(AND(MONTH(A184)&gt;=6,MONTH(A184)&lt;=8,OR($M$37="REGION 2",$M$37="REGION 2A",$M$37="REGION 2B",$M$37="REGION 3",$M$37="REGION 3A",$M$37="REGION 3B",$M$37="REGION 4",$M$37="REGION 4B",$M$37="REGION 4C",$M$37="REGION 5",$M$37="REGION 5A")),((0.059228/(B184/100))-(0.4980013/(SQRT(B184/100)))+2.137988),HLOOKUP(MONTH(A184),ScalarTable,28))))</f>
        <v> </v>
      </c>
      <c r="D184" s="423" t="str">
        <f aca="false">IF(A184="N/A"," ",C184*B184)</f>
        <v> </v>
      </c>
      <c r="E184" s="421" t="str">
        <f aca="false">IF(A184="N/A"," ",IF(ISERROR(O184),E172*Pwresc,O184)*VLOOKUP(MONTH(A184),Curveadj,3))</f>
        <v> </v>
      </c>
      <c r="F184" s="423" t="str">
        <f aca="false">IF(A184="N/A"," ",E184*C184)</f>
        <v> </v>
      </c>
      <c r="G184" s="421" t="str">
        <f aca="false">IF(A184="N/A"," ",IF(ISERROR(P184),G172*Pwresc,P184)*VLOOKUP(MONTH(A184),Curveadj,3))</f>
        <v> </v>
      </c>
      <c r="H184" s="423" t="str">
        <f aca="false">IF(A184="N/A"," ",G184*C184)</f>
        <v> </v>
      </c>
      <c r="I184" s="423" t="str">
        <f aca="false">IF(A184="N/A"," ",IF(ISERROR(Q184),I172*Pwresc,Q184))</f>
        <v> </v>
      </c>
      <c r="J184" s="424" t="str">
        <f aca="false">IF(A184="N/A"," ",K184+L184+T184)</f>
        <v> </v>
      </c>
      <c r="K184" s="425" t="str">
        <f aca="false">IF(A184="N/A"," ",IF(ISERROR(R184),K172*Gasesc,R184))</f>
        <v> </v>
      </c>
      <c r="L184" s="425" t="str">
        <f aca="false">IF(A184="N/A"," ",IF(ISERROR(S184),L172*Gasesc,IF(S184=0,L172*Gasesc,S184)))</f>
        <v> </v>
      </c>
      <c r="M184" s="431"/>
      <c r="N184" s="427" t="str">
        <f aca="false">IF(A184="N/A"," ",VLOOKUP(A184,PeakPowerCurves,(IF(BMO=2,3,IF(BMO=1,2,4))),FALSE()))</f>
        <v> </v>
      </c>
      <c r="O184" s="427" t="str">
        <f aca="false">IF(A184="N/A"," ",VLOOKUP(A184,SatSunPeakPwr,(IF(BMO=2,3,IF(BMO=1,2,4))),FALSE()))</f>
        <v> </v>
      </c>
      <c r="P184" s="427" t="str">
        <f aca="false">IF(A184="N/A"," ",VLOOKUP(A184,SatSunPeakPwr,(IF(BMO=2,7,IF(BMO=1,6,8))),FALSE()))</f>
        <v> </v>
      </c>
      <c r="Q184" s="428" t="str">
        <f aca="false">IF(A184="N/A"," ",(VLOOKUP(A184,OPPowerPrices,(IF(BMO=2,7,IF(BMO=1,6,8))),FALSE())))</f>
        <v> </v>
      </c>
      <c r="R184" s="429" t="str">
        <f aca="false">IF(A184="N/A"," ",(VLOOKUP(A184,GasCurves,9,FALSE()))+IF(BMO=1,Gasbmo,IF(BMO=3,-Gasbmo,0)))</f>
        <v> </v>
      </c>
      <c r="S184" s="429" t="str">
        <f aca="false">IF(A184="N/A"," ",IF(Basischeck=TRUE(),(VLOOKUP(A184,GasCurves,IF(MONTH(A184)&gt;=4,IF(MONTH(A184)&lt;=10,11,12),12),FALSE())),0))</f>
        <v> </v>
      </c>
      <c r="T184" s="429" t="str">
        <f aca="false">IF(A184="N/A"," ",(IF(MONTH(A184)&gt;=4,IF(MONTH(A184)&lt;=10,Inputs!$H$2,Inputs!$H$3),Inputs!$H$3)))</f>
        <v> </v>
      </c>
      <c r="U184" s="430" t="str">
        <f aca="false">IF(A184="N/A"," ",(VLOOKUP($A184,InterestRatesTable,2)))</f>
        <v> </v>
      </c>
      <c r="AF184" s="384" t="n">
        <v>42036</v>
      </c>
      <c r="AG184" s="36" t="n">
        <v>20</v>
      </c>
      <c r="AH184" s="36" t="n">
        <v>4</v>
      </c>
      <c r="AI184" s="36" t="n">
        <v>4</v>
      </c>
      <c r="AJ184" s="36" t="n">
        <v>0</v>
      </c>
      <c r="AK184" s="36" t="n">
        <v>28</v>
      </c>
    </row>
    <row r="185" customFormat="false" ht="12.75" hidden="false" customHeight="false" outlineLevel="0" collapsed="false">
      <c r="A185" s="420" t="str">
        <f aca="false">Calculations!A152</f>
        <v>N/A</v>
      </c>
      <c r="B185" s="421" t="str">
        <f aca="false">IF(A185="N/A"," ",IF(ISERROR(N185),B173*Pwresc,N185)*VLOOKUP(MONTH(A185),Curveadj,3))</f>
        <v> </v>
      </c>
      <c r="C185" s="422" t="str">
        <f aca="false">IF(A185="N/A"," ",(IF(AND(MONTH(A185)&gt;=6,MONTH(A185)&lt;=8,OR($M$37="REGION 2",$M$37="REGION 2A",$M$37="REGION 2B",$M$37="REGION 3",$M$37="REGION 3A",$M$37="REGION 3B",$M$37="REGION 4",$M$37="REGION 4B",$M$37="REGION 4C",$M$37="REGION 5",$M$37="REGION 5A")),((0.059228/(B185/100))-(0.4980013/(SQRT(B185/100)))+2.137988),HLOOKUP(MONTH(A185),ScalarTable,28))))</f>
        <v> </v>
      </c>
      <c r="D185" s="423" t="str">
        <f aca="false">IF(A185="N/A"," ",C185*B185)</f>
        <v> </v>
      </c>
      <c r="E185" s="421" t="str">
        <f aca="false">IF(A185="N/A"," ",IF(ISERROR(O185),E173*Pwresc,O185)*VLOOKUP(MONTH(A185),Curveadj,3))</f>
        <v> </v>
      </c>
      <c r="F185" s="423" t="str">
        <f aca="false">IF(A185="N/A"," ",E185*C185)</f>
        <v> </v>
      </c>
      <c r="G185" s="421" t="str">
        <f aca="false">IF(A185="N/A"," ",IF(ISERROR(P185),G173*Pwresc,P185)*VLOOKUP(MONTH(A185),Curveadj,3))</f>
        <v> </v>
      </c>
      <c r="H185" s="423" t="str">
        <f aca="false">IF(A185="N/A"," ",G185*C185)</f>
        <v> </v>
      </c>
      <c r="I185" s="423" t="str">
        <f aca="false">IF(A185="N/A"," ",IF(ISERROR(Q185),I173*Pwresc,Q185))</f>
        <v> </v>
      </c>
      <c r="J185" s="424" t="str">
        <f aca="false">IF(A185="N/A"," ",K185+L185+T185)</f>
        <v> </v>
      </c>
      <c r="K185" s="425" t="str">
        <f aca="false">IF(A185="N/A"," ",IF(ISERROR(R185),K173*Gasesc,R185))</f>
        <v> </v>
      </c>
      <c r="L185" s="425" t="str">
        <f aca="false">IF(A185="N/A"," ",IF(ISERROR(S185),L173*Gasesc,IF(S185=0,L173*Gasesc,S185)))</f>
        <v> </v>
      </c>
      <c r="M185" s="431"/>
      <c r="N185" s="427" t="str">
        <f aca="false">IF(A185="N/A"," ",VLOOKUP(A185,PeakPowerCurves,(IF(BMO=2,3,IF(BMO=1,2,4))),FALSE()))</f>
        <v> </v>
      </c>
      <c r="O185" s="427" t="str">
        <f aca="false">IF(A185="N/A"," ",VLOOKUP(A185,SatSunPeakPwr,(IF(BMO=2,3,IF(BMO=1,2,4))),FALSE()))</f>
        <v> </v>
      </c>
      <c r="P185" s="427" t="str">
        <f aca="false">IF(A185="N/A"," ",VLOOKUP(A185,SatSunPeakPwr,(IF(BMO=2,7,IF(BMO=1,6,8))),FALSE()))</f>
        <v> </v>
      </c>
      <c r="Q185" s="428" t="str">
        <f aca="false">IF(A185="N/A"," ",(VLOOKUP(A185,OPPowerPrices,(IF(BMO=2,7,IF(BMO=1,6,8))),FALSE())))</f>
        <v> </v>
      </c>
      <c r="R185" s="429" t="str">
        <f aca="false">IF(A185="N/A"," ",(VLOOKUP(A185,GasCurves,9,FALSE()))+IF(BMO=1,Gasbmo,IF(BMO=3,-Gasbmo,0)))</f>
        <v> </v>
      </c>
      <c r="S185" s="429" t="str">
        <f aca="false">IF(A185="N/A"," ",IF(Basischeck=TRUE(),(VLOOKUP(A185,GasCurves,IF(MONTH(A185)&gt;=4,IF(MONTH(A185)&lt;=10,11,12),12),FALSE())),0))</f>
        <v> </v>
      </c>
      <c r="T185" s="429" t="str">
        <f aca="false">IF(A185="N/A"," ",(IF(MONTH(A185)&gt;=4,IF(MONTH(A185)&lt;=10,Inputs!$H$2,Inputs!$H$3),Inputs!$H$3)))</f>
        <v> </v>
      </c>
      <c r="U185" s="430" t="str">
        <f aca="false">IF(A185="N/A"," ",(VLOOKUP($A185,InterestRatesTable,2)))</f>
        <v> </v>
      </c>
      <c r="AF185" s="384" t="n">
        <v>42064</v>
      </c>
      <c r="AG185" s="36" t="n">
        <v>22</v>
      </c>
      <c r="AH185" s="36" t="n">
        <v>4</v>
      </c>
      <c r="AI185" s="36" t="n">
        <v>5</v>
      </c>
      <c r="AJ185" s="36" t="n">
        <v>0</v>
      </c>
      <c r="AK185" s="36" t="n">
        <v>31</v>
      </c>
    </row>
    <row r="186" customFormat="false" ht="12.75" hidden="false" customHeight="false" outlineLevel="0" collapsed="false">
      <c r="A186" s="420" t="str">
        <f aca="false">Calculations!A153</f>
        <v>N/A</v>
      </c>
      <c r="B186" s="421" t="str">
        <f aca="false">IF(A186="N/A"," ",IF(ISERROR(N186),B174*Pwresc,N186)*VLOOKUP(MONTH(A186),Curveadj,3))</f>
        <v> </v>
      </c>
      <c r="C186" s="422" t="str">
        <f aca="false">IF(A186="N/A"," ",(IF(AND(MONTH(A186)&gt;=6,MONTH(A186)&lt;=8,OR($M$37="REGION 2",$M$37="REGION 2A",$M$37="REGION 2B",$M$37="REGION 3",$M$37="REGION 3A",$M$37="REGION 3B",$M$37="REGION 4",$M$37="REGION 4B",$M$37="REGION 4C",$M$37="REGION 5",$M$37="REGION 5A")),((0.059228/(B186/100))-(0.4980013/(SQRT(B186/100)))+2.137988),HLOOKUP(MONTH(A186),ScalarTable,28))))</f>
        <v> </v>
      </c>
      <c r="D186" s="423" t="str">
        <f aca="false">IF(A186="N/A"," ",C186*B186)</f>
        <v> </v>
      </c>
      <c r="E186" s="421" t="str">
        <f aca="false">IF(A186="N/A"," ",IF(ISERROR(O186),E174*Pwresc,O186)*VLOOKUP(MONTH(A186),Curveadj,3))</f>
        <v> </v>
      </c>
      <c r="F186" s="423" t="str">
        <f aca="false">IF(A186="N/A"," ",E186*C186)</f>
        <v> </v>
      </c>
      <c r="G186" s="421" t="str">
        <f aca="false">IF(A186="N/A"," ",IF(ISERROR(P186),G174*Pwresc,P186)*VLOOKUP(MONTH(A186),Curveadj,3))</f>
        <v> </v>
      </c>
      <c r="H186" s="423" t="str">
        <f aca="false">IF(A186="N/A"," ",G186*C186)</f>
        <v> </v>
      </c>
      <c r="I186" s="423" t="str">
        <f aca="false">IF(A186="N/A"," ",IF(ISERROR(Q186),I174*Pwresc,Q186))</f>
        <v> </v>
      </c>
      <c r="J186" s="424" t="str">
        <f aca="false">IF(A186="N/A"," ",K186+L186+T186)</f>
        <v> </v>
      </c>
      <c r="K186" s="425" t="str">
        <f aca="false">IF(A186="N/A"," ",IF(ISERROR(R186),K174*Gasesc,R186))</f>
        <v> </v>
      </c>
      <c r="L186" s="425" t="str">
        <f aca="false">IF(A186="N/A"," ",IF(ISERROR(S186),L174*Gasesc,IF(S186=0,L174*Gasesc,S186)))</f>
        <v> </v>
      </c>
      <c r="M186" s="431"/>
      <c r="N186" s="427" t="str">
        <f aca="false">IF(A186="N/A"," ",VLOOKUP(A186,PeakPowerCurves,(IF(BMO=2,3,IF(BMO=1,2,4))),FALSE()))</f>
        <v> </v>
      </c>
      <c r="O186" s="427" t="str">
        <f aca="false">IF(A186="N/A"," ",VLOOKUP(A186,SatSunPeakPwr,(IF(BMO=2,3,IF(BMO=1,2,4))),FALSE()))</f>
        <v> </v>
      </c>
      <c r="P186" s="427" t="str">
        <f aca="false">IF(A186="N/A"," ",VLOOKUP(A186,SatSunPeakPwr,(IF(BMO=2,7,IF(BMO=1,6,8))),FALSE()))</f>
        <v> </v>
      </c>
      <c r="Q186" s="428" t="str">
        <f aca="false">IF(A186="N/A"," ",(VLOOKUP(A186,OPPowerPrices,(IF(BMO=2,7,IF(BMO=1,6,8))),FALSE())))</f>
        <v> </v>
      </c>
      <c r="R186" s="429" t="str">
        <f aca="false">IF(A186="N/A"," ",(VLOOKUP(A186,GasCurves,9,FALSE()))+IF(BMO=1,Gasbmo,IF(BMO=3,-Gasbmo,0)))</f>
        <v> </v>
      </c>
      <c r="S186" s="429" t="str">
        <f aca="false">IF(A186="N/A"," ",IF(Basischeck=TRUE(),(VLOOKUP(A186,GasCurves,IF(MONTH(A186)&gt;=4,IF(MONTH(A186)&lt;=10,11,12),12),FALSE())),0))</f>
        <v> </v>
      </c>
      <c r="T186" s="429" t="str">
        <f aca="false">IF(A186="N/A"," ",(IF(MONTH(A186)&gt;=4,IF(MONTH(A186)&lt;=10,Inputs!$H$2,Inputs!$H$3),Inputs!$H$3)))</f>
        <v> </v>
      </c>
      <c r="U186" s="430" t="str">
        <f aca="false">IF(A186="N/A"," ",(VLOOKUP($A186,InterestRatesTable,2)))</f>
        <v> </v>
      </c>
      <c r="AF186" s="384" t="n">
        <v>42095</v>
      </c>
      <c r="AG186" s="36" t="n">
        <v>22</v>
      </c>
      <c r="AH186" s="36" t="n">
        <v>4</v>
      </c>
      <c r="AI186" s="36" t="n">
        <v>4</v>
      </c>
      <c r="AJ186" s="36" t="n">
        <v>0</v>
      </c>
      <c r="AK186" s="36" t="n">
        <v>30</v>
      </c>
    </row>
    <row r="187" customFormat="false" ht="12.75" hidden="false" customHeight="false" outlineLevel="0" collapsed="false">
      <c r="A187" s="420" t="str">
        <f aca="false">Calculations!A154</f>
        <v>N/A</v>
      </c>
      <c r="B187" s="421" t="str">
        <f aca="false">IF(A187="N/A"," ",IF(ISERROR(N187),B175*Pwresc,N187)*VLOOKUP(MONTH(A187),Curveadj,3))</f>
        <v> </v>
      </c>
      <c r="C187" s="422" t="str">
        <f aca="false">IF(A187="N/A"," ",(IF(AND(MONTH(A187)&gt;=6,MONTH(A187)&lt;=8,OR($M$37="REGION 2",$M$37="REGION 2A",$M$37="REGION 2B",$M$37="REGION 3",$M$37="REGION 3A",$M$37="REGION 3B",$M$37="REGION 4",$M$37="REGION 4B",$M$37="REGION 4C",$M$37="REGION 5",$M$37="REGION 5A")),((0.059228/(B187/100))-(0.4980013/(SQRT(B187/100)))+2.137988),HLOOKUP(MONTH(A187),ScalarTable,28))))</f>
        <v> </v>
      </c>
      <c r="D187" s="423" t="str">
        <f aca="false">IF(A187="N/A"," ",C187*B187)</f>
        <v> </v>
      </c>
      <c r="E187" s="421" t="str">
        <f aca="false">IF(A187="N/A"," ",IF(ISERROR(O187),E175*Pwresc,O187)*VLOOKUP(MONTH(A187),Curveadj,3))</f>
        <v> </v>
      </c>
      <c r="F187" s="423" t="str">
        <f aca="false">IF(A187="N/A"," ",E187*C187)</f>
        <v> </v>
      </c>
      <c r="G187" s="421" t="str">
        <f aca="false">IF(A187="N/A"," ",IF(ISERROR(P187),G175*Pwresc,P187)*VLOOKUP(MONTH(A187),Curveadj,3))</f>
        <v> </v>
      </c>
      <c r="H187" s="423" t="str">
        <f aca="false">IF(A187="N/A"," ",G187*C187)</f>
        <v> </v>
      </c>
      <c r="I187" s="423" t="str">
        <f aca="false">IF(A187="N/A"," ",IF(ISERROR(Q187),I175*Pwresc,Q187))</f>
        <v> </v>
      </c>
      <c r="J187" s="424" t="str">
        <f aca="false">IF(A187="N/A"," ",K187+L187+T187)</f>
        <v> </v>
      </c>
      <c r="K187" s="425" t="str">
        <f aca="false">IF(A187="N/A"," ",IF(ISERROR(R187),K175*Gasesc,R187))</f>
        <v> </v>
      </c>
      <c r="L187" s="425" t="str">
        <f aca="false">IF(A187="N/A"," ",IF(ISERROR(S187),L175*Gasesc,IF(S187=0,L175*Gasesc,S187)))</f>
        <v> </v>
      </c>
      <c r="M187" s="431"/>
      <c r="N187" s="427" t="str">
        <f aca="false">IF(A187="N/A"," ",VLOOKUP(A187,PeakPowerCurves,(IF(BMO=2,3,IF(BMO=1,2,4))),FALSE()))</f>
        <v> </v>
      </c>
      <c r="O187" s="427" t="str">
        <f aca="false">IF(A187="N/A"," ",VLOOKUP(A187,SatSunPeakPwr,(IF(BMO=2,3,IF(BMO=1,2,4))),FALSE()))</f>
        <v> </v>
      </c>
      <c r="P187" s="427" t="str">
        <f aca="false">IF(A187="N/A"," ",VLOOKUP(A187,SatSunPeakPwr,(IF(BMO=2,7,IF(BMO=1,6,8))),FALSE()))</f>
        <v> </v>
      </c>
      <c r="Q187" s="428" t="str">
        <f aca="false">IF(A187="N/A"," ",(VLOOKUP(A187,OPPowerPrices,(IF(BMO=2,7,IF(BMO=1,6,8))),FALSE())))</f>
        <v> </v>
      </c>
      <c r="R187" s="429" t="str">
        <f aca="false">IF(A187="N/A"," ",(VLOOKUP(A187,GasCurves,9,FALSE()))+IF(BMO=1,Gasbmo,IF(BMO=3,-Gasbmo,0)))</f>
        <v> </v>
      </c>
      <c r="S187" s="429" t="str">
        <f aca="false">IF(A187="N/A"," ",IF(Basischeck=TRUE(),(VLOOKUP(A187,GasCurves,IF(MONTH(A187)&gt;=4,IF(MONTH(A187)&lt;=10,11,12),12),FALSE())),0))</f>
        <v> </v>
      </c>
      <c r="T187" s="429" t="str">
        <f aca="false">IF(A187="N/A"," ",(IF(MONTH(A187)&gt;=4,IF(MONTH(A187)&lt;=10,Inputs!$H$2,Inputs!$H$3),Inputs!$H$3)))</f>
        <v> </v>
      </c>
      <c r="U187" s="430" t="str">
        <f aca="false">IF(A187="N/A"," ",(VLOOKUP($A187,InterestRatesTable,2)))</f>
        <v> </v>
      </c>
      <c r="AF187" s="384" t="n">
        <v>42125</v>
      </c>
      <c r="AG187" s="36" t="n">
        <v>20</v>
      </c>
      <c r="AH187" s="36" t="n">
        <v>5</v>
      </c>
      <c r="AI187" s="36" t="n">
        <v>6</v>
      </c>
      <c r="AJ187" s="36" t="n">
        <v>1</v>
      </c>
      <c r="AK187" s="36" t="n">
        <v>31</v>
      </c>
    </row>
    <row r="188" customFormat="false" ht="12.75" hidden="false" customHeight="false" outlineLevel="0" collapsed="false">
      <c r="A188" s="420" t="str">
        <f aca="false">Calculations!A155</f>
        <v>N/A</v>
      </c>
      <c r="B188" s="421" t="str">
        <f aca="false">IF(A188="N/A"," ",IF(ISERROR(N188),B176*Pwresc,N188)*VLOOKUP(MONTH(A188),Curveadj,3))</f>
        <v> </v>
      </c>
      <c r="C188" s="422" t="str">
        <f aca="false">IF(A188="N/A"," ",(IF(AND(MONTH(A188)&gt;=6,MONTH(A188)&lt;=8,OR($M$37="REGION 2",$M$37="REGION 2A",$M$37="REGION 2B",$M$37="REGION 3",$M$37="REGION 3A",$M$37="REGION 3B",$M$37="REGION 4",$M$37="REGION 4B",$M$37="REGION 4C",$M$37="REGION 5",$M$37="REGION 5A")),((0.059228/(B188/100))-(0.4980013/(SQRT(B188/100)))+2.137988),HLOOKUP(MONTH(A188),ScalarTable,28))))</f>
        <v> </v>
      </c>
      <c r="D188" s="423" t="str">
        <f aca="false">IF(A188="N/A"," ",C188*B188)</f>
        <v> </v>
      </c>
      <c r="E188" s="421" t="str">
        <f aca="false">IF(A188="N/A"," ",IF(ISERROR(O188),E176*Pwresc,O188)*VLOOKUP(MONTH(A188),Curveadj,3))</f>
        <v> </v>
      </c>
      <c r="F188" s="423" t="str">
        <f aca="false">IF(A188="N/A"," ",E188*C188)</f>
        <v> </v>
      </c>
      <c r="G188" s="421" t="str">
        <f aca="false">IF(A188="N/A"," ",IF(ISERROR(P188),G176*Pwresc,P188)*VLOOKUP(MONTH(A188),Curveadj,3))</f>
        <v> </v>
      </c>
      <c r="H188" s="423" t="str">
        <f aca="false">IF(A188="N/A"," ",G188*C188)</f>
        <v> </v>
      </c>
      <c r="I188" s="423" t="str">
        <f aca="false">IF(A188="N/A"," ",IF(ISERROR(Q188),I176*Pwresc,Q188))</f>
        <v> </v>
      </c>
      <c r="J188" s="424" t="str">
        <f aca="false">IF(A188="N/A"," ",K188+L188+T188)</f>
        <v> </v>
      </c>
      <c r="K188" s="425" t="str">
        <f aca="false">IF(A188="N/A"," ",IF(ISERROR(R188),K176*Gasesc,R188))</f>
        <v> </v>
      </c>
      <c r="L188" s="425" t="str">
        <f aca="false">IF(A188="N/A"," ",IF(ISERROR(S188),L176*Gasesc,IF(S188=0,L176*Gasesc,S188)))</f>
        <v> </v>
      </c>
      <c r="M188" s="431"/>
      <c r="N188" s="427" t="str">
        <f aca="false">IF(A188="N/A"," ",VLOOKUP(A188,PeakPowerCurves,(IF(BMO=2,3,IF(BMO=1,2,4))),FALSE()))</f>
        <v> </v>
      </c>
      <c r="O188" s="427" t="str">
        <f aca="false">IF(A188="N/A"," ",VLOOKUP(A188,SatSunPeakPwr,(IF(BMO=2,3,IF(BMO=1,2,4))),FALSE()))</f>
        <v> </v>
      </c>
      <c r="P188" s="427" t="str">
        <f aca="false">IF(A188="N/A"," ",VLOOKUP(A188,SatSunPeakPwr,(IF(BMO=2,7,IF(BMO=1,6,8))),FALSE()))</f>
        <v> </v>
      </c>
      <c r="Q188" s="428" t="str">
        <f aca="false">IF(A188="N/A"," ",(VLOOKUP(A188,OPPowerPrices,(IF(BMO=2,7,IF(BMO=1,6,8))),FALSE())))</f>
        <v> </v>
      </c>
      <c r="R188" s="429" t="str">
        <f aca="false">IF(A188="N/A"," ",(VLOOKUP(A188,GasCurves,9,FALSE()))+IF(BMO=1,Gasbmo,IF(BMO=3,-Gasbmo,0)))</f>
        <v> </v>
      </c>
      <c r="S188" s="429" t="str">
        <f aca="false">IF(A188="N/A"," ",IF(Basischeck=TRUE(),(VLOOKUP(A188,GasCurves,IF(MONTH(A188)&gt;=4,IF(MONTH(A188)&lt;=10,11,12),12),FALSE())),0))</f>
        <v> </v>
      </c>
      <c r="T188" s="429" t="str">
        <f aca="false">IF(A188="N/A"," ",(IF(MONTH(A188)&gt;=4,IF(MONTH(A188)&lt;=10,Inputs!$H$2,Inputs!$H$3),Inputs!$H$3)))</f>
        <v> </v>
      </c>
      <c r="U188" s="430" t="str">
        <f aca="false">IF(A188="N/A"," ",(VLOOKUP($A188,InterestRatesTable,2)))</f>
        <v> </v>
      </c>
      <c r="AF188" s="384" t="n">
        <v>42156</v>
      </c>
      <c r="AG188" s="36" t="n">
        <v>22</v>
      </c>
      <c r="AH188" s="36" t="n">
        <v>4</v>
      </c>
      <c r="AI188" s="36" t="n">
        <v>4</v>
      </c>
      <c r="AJ188" s="36" t="n">
        <v>0</v>
      </c>
      <c r="AK188" s="36" t="n">
        <v>30</v>
      </c>
    </row>
    <row r="189" customFormat="false" ht="12.75" hidden="false" customHeight="false" outlineLevel="0" collapsed="false">
      <c r="A189" s="420" t="str">
        <f aca="false">Calculations!A156</f>
        <v>N/A</v>
      </c>
      <c r="B189" s="421" t="str">
        <f aca="false">IF(A189="N/A"," ",IF(ISERROR(N189),B177*Pwresc,N189)*VLOOKUP(MONTH(A189),Curveadj,3))</f>
        <v> </v>
      </c>
      <c r="C189" s="422" t="str">
        <f aca="false">IF(A189="N/A"," ",(IF(AND(MONTH(A189)&gt;=6,MONTH(A189)&lt;=8,OR($M$37="REGION 2",$M$37="REGION 2A",$M$37="REGION 2B",$M$37="REGION 3",$M$37="REGION 3A",$M$37="REGION 3B",$M$37="REGION 4",$M$37="REGION 4B",$M$37="REGION 4C",$M$37="REGION 5",$M$37="REGION 5A")),((0.059228/(B189/100))-(0.4980013/(SQRT(B189/100)))+2.137988),HLOOKUP(MONTH(A189),ScalarTable,28))))</f>
        <v> </v>
      </c>
      <c r="D189" s="423" t="str">
        <f aca="false">IF(A189="N/A"," ",C189*B189)</f>
        <v> </v>
      </c>
      <c r="E189" s="421" t="str">
        <f aca="false">IF(A189="N/A"," ",IF(ISERROR(O189),E177*Pwresc,O189)*VLOOKUP(MONTH(A189),Curveadj,3))</f>
        <v> </v>
      </c>
      <c r="F189" s="423" t="str">
        <f aca="false">IF(A189="N/A"," ",E189*C189)</f>
        <v> </v>
      </c>
      <c r="G189" s="421" t="str">
        <f aca="false">IF(A189="N/A"," ",IF(ISERROR(P189),G177*Pwresc,P189)*VLOOKUP(MONTH(A189),Curveadj,3))</f>
        <v> </v>
      </c>
      <c r="H189" s="423" t="str">
        <f aca="false">IF(A189="N/A"," ",G189*C189)</f>
        <v> </v>
      </c>
      <c r="I189" s="423" t="str">
        <f aca="false">IF(A189="N/A"," ",IF(ISERROR(Q189),I177*Pwresc,Q189))</f>
        <v> </v>
      </c>
      <c r="J189" s="424" t="str">
        <f aca="false">IF(A189="N/A"," ",K189+L189+T189)</f>
        <v> </v>
      </c>
      <c r="K189" s="425" t="str">
        <f aca="false">IF(A189="N/A"," ",IF(ISERROR(R189),K177*Gasesc,R189))</f>
        <v> </v>
      </c>
      <c r="L189" s="425" t="str">
        <f aca="false">IF(A189="N/A"," ",IF(ISERROR(S189),L177*Gasesc,IF(S189=0,L177*Gasesc,S189)))</f>
        <v> </v>
      </c>
      <c r="M189" s="431"/>
      <c r="N189" s="427" t="str">
        <f aca="false">IF(A189="N/A"," ",VLOOKUP(A189,PeakPowerCurves,(IF(BMO=2,3,IF(BMO=1,2,4))),FALSE()))</f>
        <v> </v>
      </c>
      <c r="O189" s="427" t="str">
        <f aca="false">IF(A189="N/A"," ",VLOOKUP(A189,SatSunPeakPwr,(IF(BMO=2,3,IF(BMO=1,2,4))),FALSE()))</f>
        <v> </v>
      </c>
      <c r="P189" s="427" t="str">
        <f aca="false">IF(A189="N/A"," ",VLOOKUP(A189,SatSunPeakPwr,(IF(BMO=2,7,IF(BMO=1,6,8))),FALSE()))</f>
        <v> </v>
      </c>
      <c r="Q189" s="428" t="str">
        <f aca="false">IF(A189="N/A"," ",(VLOOKUP(A189,OPPowerPrices,(IF(BMO=2,7,IF(BMO=1,6,8))),FALSE())))</f>
        <v> </v>
      </c>
      <c r="R189" s="429" t="str">
        <f aca="false">IF(A189="N/A"," ",(VLOOKUP(A189,GasCurves,9,FALSE()))+IF(BMO=1,Gasbmo,IF(BMO=3,-Gasbmo,0)))</f>
        <v> </v>
      </c>
      <c r="S189" s="429" t="str">
        <f aca="false">IF(A189="N/A"," ",IF(Basischeck=TRUE(),(VLOOKUP(A189,GasCurves,IF(MONTH(A189)&gt;=4,IF(MONTH(A189)&lt;=10,11,12),12),FALSE())),0))</f>
        <v> </v>
      </c>
      <c r="T189" s="429" t="str">
        <f aca="false">IF(A189="N/A"," ",(IF(MONTH(A189)&gt;=4,IF(MONTH(A189)&lt;=10,Inputs!$H$2,Inputs!$H$3),Inputs!$H$3)))</f>
        <v> </v>
      </c>
      <c r="U189" s="430" t="str">
        <f aca="false">IF(A189="N/A"," ",(VLOOKUP($A189,InterestRatesTable,2)))</f>
        <v> </v>
      </c>
      <c r="AF189" s="384" t="n">
        <v>42186</v>
      </c>
      <c r="AG189" s="36" t="n">
        <v>23</v>
      </c>
      <c r="AH189" s="36" t="n">
        <v>3</v>
      </c>
      <c r="AI189" s="36" t="n">
        <v>5</v>
      </c>
      <c r="AJ189" s="36" t="n">
        <v>1</v>
      </c>
      <c r="AK189" s="36" t="n">
        <v>31</v>
      </c>
    </row>
    <row r="190" customFormat="false" ht="12.75" hidden="false" customHeight="false" outlineLevel="0" collapsed="false">
      <c r="A190" s="420" t="str">
        <f aca="false">Calculations!A157</f>
        <v>N/A</v>
      </c>
      <c r="B190" s="421" t="str">
        <f aca="false">IF(A190="N/A"," ",IF(ISERROR(N190),B178*Pwresc,N190)*VLOOKUP(MONTH(A190),Curveadj,3))</f>
        <v> </v>
      </c>
      <c r="C190" s="422" t="str">
        <f aca="false">IF(A190="N/A"," ",(IF(AND(MONTH(A190)&gt;=6,MONTH(A190)&lt;=8,OR($M$37="REGION 2",$M$37="REGION 2A",$M$37="REGION 2B",$M$37="REGION 3",$M$37="REGION 3A",$M$37="REGION 3B",$M$37="REGION 4",$M$37="REGION 4B",$M$37="REGION 4C",$M$37="REGION 5",$M$37="REGION 5A")),((0.059228/(B190/100))-(0.4980013/(SQRT(B190/100)))+2.137988),HLOOKUP(MONTH(A190),ScalarTable,28))))</f>
        <v> </v>
      </c>
      <c r="D190" s="423" t="str">
        <f aca="false">IF(A190="N/A"," ",C190*B190)</f>
        <v> </v>
      </c>
      <c r="E190" s="421" t="str">
        <f aca="false">IF(A190="N/A"," ",IF(ISERROR(O190),E178*Pwresc,O190)*VLOOKUP(MONTH(A190),Curveadj,3))</f>
        <v> </v>
      </c>
      <c r="F190" s="423" t="str">
        <f aca="false">IF(A190="N/A"," ",E190*C190)</f>
        <v> </v>
      </c>
      <c r="G190" s="421" t="str">
        <f aca="false">IF(A190="N/A"," ",IF(ISERROR(P190),G178*Pwresc,P190)*VLOOKUP(MONTH(A190),Curveadj,3))</f>
        <v> </v>
      </c>
      <c r="H190" s="423" t="str">
        <f aca="false">IF(A190="N/A"," ",G190*C190)</f>
        <v> </v>
      </c>
      <c r="I190" s="423" t="str">
        <f aca="false">IF(A190="N/A"," ",IF(ISERROR(Q190),I178*Pwresc,Q190))</f>
        <v> </v>
      </c>
      <c r="J190" s="424" t="str">
        <f aca="false">IF(A190="N/A"," ",K190+L190+T190)</f>
        <v> </v>
      </c>
      <c r="K190" s="425" t="str">
        <f aca="false">IF(A190="N/A"," ",IF(ISERROR(R190),K178*Gasesc,R190))</f>
        <v> </v>
      </c>
      <c r="L190" s="425" t="str">
        <f aca="false">IF(A190="N/A"," ",IF(ISERROR(S190),L178*Gasesc,IF(S190=0,L178*Gasesc,S190)))</f>
        <v> </v>
      </c>
      <c r="M190" s="431"/>
      <c r="N190" s="427" t="str">
        <f aca="false">IF(A190="N/A"," ",VLOOKUP(A190,PeakPowerCurves,(IF(BMO=2,3,IF(BMO=1,2,4))),FALSE()))</f>
        <v> </v>
      </c>
      <c r="O190" s="427" t="str">
        <f aca="false">IF(A190="N/A"," ",VLOOKUP(A190,SatSunPeakPwr,(IF(BMO=2,3,IF(BMO=1,2,4))),FALSE()))</f>
        <v> </v>
      </c>
      <c r="P190" s="427" t="str">
        <f aca="false">IF(A190="N/A"," ",VLOOKUP(A190,SatSunPeakPwr,(IF(BMO=2,7,IF(BMO=1,6,8))),FALSE()))</f>
        <v> </v>
      </c>
      <c r="Q190" s="428" t="str">
        <f aca="false">IF(A190="N/A"," ",(VLOOKUP(A190,OPPowerPrices,(IF(BMO=2,7,IF(BMO=1,6,8))),FALSE())))</f>
        <v> </v>
      </c>
      <c r="R190" s="429" t="str">
        <f aca="false">IF(A190="N/A"," ",(VLOOKUP(A190,GasCurves,9,FALSE()))+IF(BMO=1,Gasbmo,IF(BMO=3,-Gasbmo,0)))</f>
        <v> </v>
      </c>
      <c r="S190" s="429" t="str">
        <f aca="false">IF(A190="N/A"," ",IF(Basischeck=TRUE(),(VLOOKUP(A190,GasCurves,IF(MONTH(A190)&gt;=4,IF(MONTH(A190)&lt;=10,11,12),12),FALSE())),0))</f>
        <v> </v>
      </c>
      <c r="T190" s="429" t="str">
        <f aca="false">IF(A190="N/A"," ",(IF(MONTH(A190)&gt;=4,IF(MONTH(A190)&lt;=10,Inputs!$H$2,Inputs!$H$3),Inputs!$H$3)))</f>
        <v> </v>
      </c>
      <c r="U190" s="430" t="str">
        <f aca="false">IF(A190="N/A"," ",(VLOOKUP($A190,InterestRatesTable,2)))</f>
        <v> </v>
      </c>
      <c r="AF190" s="384" t="n">
        <v>42217</v>
      </c>
      <c r="AG190" s="36" t="n">
        <v>21</v>
      </c>
      <c r="AH190" s="36" t="n">
        <v>5</v>
      </c>
      <c r="AI190" s="36" t="n">
        <v>5</v>
      </c>
      <c r="AJ190" s="36" t="n">
        <v>0</v>
      </c>
      <c r="AK190" s="36" t="n">
        <v>31</v>
      </c>
    </row>
    <row r="191" customFormat="false" ht="12.75" hidden="false" customHeight="false" outlineLevel="0" collapsed="false">
      <c r="A191" s="420" t="str">
        <f aca="false">Calculations!A158</f>
        <v>N/A</v>
      </c>
      <c r="B191" s="421" t="str">
        <f aca="false">IF(A191="N/A"," ",IF(ISERROR(N191),B179*Pwresc,N191)*VLOOKUP(MONTH(A191),Curveadj,3))</f>
        <v> </v>
      </c>
      <c r="C191" s="422" t="str">
        <f aca="false">IF(A191="N/A"," ",(IF(AND(MONTH(A191)&gt;=6,MONTH(A191)&lt;=8,OR($M$37="REGION 2",$M$37="REGION 2A",$M$37="REGION 2B",$M$37="REGION 3",$M$37="REGION 3A",$M$37="REGION 3B",$M$37="REGION 4",$M$37="REGION 4B",$M$37="REGION 4C",$M$37="REGION 5",$M$37="REGION 5A")),((0.059228/(B191/100))-(0.4980013/(SQRT(B191/100)))+2.137988),HLOOKUP(MONTH(A191),ScalarTable,28))))</f>
        <v> </v>
      </c>
      <c r="D191" s="423" t="str">
        <f aca="false">IF(A191="N/A"," ",C191*B191)</f>
        <v> </v>
      </c>
      <c r="E191" s="421" t="str">
        <f aca="false">IF(A191="N/A"," ",IF(ISERROR(O191),E179*Pwresc,O191)*VLOOKUP(MONTH(A191),Curveadj,3))</f>
        <v> </v>
      </c>
      <c r="F191" s="423" t="str">
        <f aca="false">IF(A191="N/A"," ",E191*C191)</f>
        <v> </v>
      </c>
      <c r="G191" s="421" t="str">
        <f aca="false">IF(A191="N/A"," ",IF(ISERROR(P191),G179*Pwresc,P191)*VLOOKUP(MONTH(A191),Curveadj,3))</f>
        <v> </v>
      </c>
      <c r="H191" s="423" t="str">
        <f aca="false">IF(A191="N/A"," ",G191*C191)</f>
        <v> </v>
      </c>
      <c r="I191" s="423" t="str">
        <f aca="false">IF(A191="N/A"," ",IF(ISERROR(Q191),I179*Pwresc,Q191))</f>
        <v> </v>
      </c>
      <c r="J191" s="424" t="str">
        <f aca="false">IF(A191="N/A"," ",K191+L191+T191)</f>
        <v> </v>
      </c>
      <c r="K191" s="425" t="str">
        <f aca="false">IF(A191="N/A"," ",IF(ISERROR(R191),K179*Gasesc,R191))</f>
        <v> </v>
      </c>
      <c r="L191" s="425" t="str">
        <f aca="false">IF(A191="N/A"," ",IF(ISERROR(S191),L179*Gasesc,IF(S191=0,L179*Gasesc,S191)))</f>
        <v> </v>
      </c>
      <c r="M191" s="431"/>
      <c r="N191" s="427" t="str">
        <f aca="false">IF(A191="N/A"," ",VLOOKUP(A191,PeakPowerCurves,(IF(BMO=2,3,IF(BMO=1,2,4))),FALSE()))</f>
        <v> </v>
      </c>
      <c r="O191" s="427" t="str">
        <f aca="false">IF(A191="N/A"," ",VLOOKUP(A191,SatSunPeakPwr,(IF(BMO=2,3,IF(BMO=1,2,4))),FALSE()))</f>
        <v> </v>
      </c>
      <c r="P191" s="427" t="str">
        <f aca="false">IF(A191="N/A"," ",VLOOKUP(A191,SatSunPeakPwr,(IF(BMO=2,7,IF(BMO=1,6,8))),FALSE()))</f>
        <v> </v>
      </c>
      <c r="Q191" s="428" t="str">
        <f aca="false">IF(A191="N/A"," ",(VLOOKUP(A191,OPPowerPrices,(IF(BMO=2,7,IF(BMO=1,6,8))),FALSE())))</f>
        <v> </v>
      </c>
      <c r="R191" s="429" t="str">
        <f aca="false">IF(A191="N/A"," ",(VLOOKUP(A191,GasCurves,9,FALSE()))+IF(BMO=1,Gasbmo,IF(BMO=3,-Gasbmo,0)))</f>
        <v> </v>
      </c>
      <c r="S191" s="429" t="str">
        <f aca="false">IF(A191="N/A"," ",IF(Basischeck=TRUE(),(VLOOKUP(A191,GasCurves,IF(MONTH(A191)&gt;=4,IF(MONTH(A191)&lt;=10,11,12),12),FALSE())),0))</f>
        <v> </v>
      </c>
      <c r="T191" s="429" t="str">
        <f aca="false">IF(A191="N/A"," ",(IF(MONTH(A191)&gt;=4,IF(MONTH(A191)&lt;=10,Inputs!$H$2,Inputs!$H$3),Inputs!$H$3)))</f>
        <v> </v>
      </c>
      <c r="U191" s="430" t="str">
        <f aca="false">IF(A191="N/A"," ",(VLOOKUP($A191,InterestRatesTable,2)))</f>
        <v> </v>
      </c>
      <c r="AF191" s="384" t="n">
        <v>42248</v>
      </c>
      <c r="AG191" s="36" t="n">
        <v>21</v>
      </c>
      <c r="AH191" s="36" t="n">
        <v>4</v>
      </c>
      <c r="AI191" s="36" t="n">
        <v>5</v>
      </c>
      <c r="AJ191" s="36" t="n">
        <v>1</v>
      </c>
      <c r="AK191" s="36" t="n">
        <v>30</v>
      </c>
    </row>
    <row r="192" customFormat="false" ht="12.75" hidden="false" customHeight="false" outlineLevel="0" collapsed="false">
      <c r="A192" s="420" t="str">
        <f aca="false">Calculations!A159</f>
        <v>N/A</v>
      </c>
      <c r="B192" s="421" t="str">
        <f aca="false">IF(A192="N/A"," ",IF(ISERROR(N192),B180*Pwresc,N192)*VLOOKUP(MONTH(A192),Curveadj,3))</f>
        <v> </v>
      </c>
      <c r="C192" s="422" t="str">
        <f aca="false">IF(A192="N/A"," ",(IF(AND(MONTH(A192)&gt;=6,MONTH(A192)&lt;=8,OR($M$37="REGION 2",$M$37="REGION 2A",$M$37="REGION 2B",$M$37="REGION 3",$M$37="REGION 3A",$M$37="REGION 3B",$M$37="REGION 4",$M$37="REGION 4B",$M$37="REGION 4C",$M$37="REGION 5",$M$37="REGION 5A")),((0.059228/(B192/100))-(0.4980013/(SQRT(B192/100)))+2.137988),HLOOKUP(MONTH(A192),ScalarTable,28))))</f>
        <v> </v>
      </c>
      <c r="D192" s="423" t="str">
        <f aca="false">IF(A192="N/A"," ",C192*B192)</f>
        <v> </v>
      </c>
      <c r="E192" s="421" t="str">
        <f aca="false">IF(A192="N/A"," ",IF(ISERROR(O192),E180*Pwresc,O192)*VLOOKUP(MONTH(A192),Curveadj,3))</f>
        <v> </v>
      </c>
      <c r="F192" s="423" t="str">
        <f aca="false">IF(A192="N/A"," ",E192*C192)</f>
        <v> </v>
      </c>
      <c r="G192" s="421" t="str">
        <f aca="false">IF(A192="N/A"," ",IF(ISERROR(P192),G180*Pwresc,P192)*VLOOKUP(MONTH(A192),Curveadj,3))</f>
        <v> </v>
      </c>
      <c r="H192" s="423" t="str">
        <f aca="false">IF(A192="N/A"," ",G192*C192)</f>
        <v> </v>
      </c>
      <c r="I192" s="423" t="str">
        <f aca="false">IF(A192="N/A"," ",IF(ISERROR(Q192),I180*Pwresc,Q192))</f>
        <v> </v>
      </c>
      <c r="J192" s="424" t="str">
        <f aca="false">IF(A192="N/A"," ",K192+L192+T192)</f>
        <v> </v>
      </c>
      <c r="K192" s="425" t="str">
        <f aca="false">IF(A192="N/A"," ",IF(ISERROR(R192),K180*Gasesc,R192))</f>
        <v> </v>
      </c>
      <c r="L192" s="425" t="str">
        <f aca="false">IF(A192="N/A"," ",IF(ISERROR(S192),L180*Gasesc,IF(S192=0,L180*Gasesc,S192)))</f>
        <v> </v>
      </c>
      <c r="M192" s="431"/>
      <c r="N192" s="427" t="str">
        <f aca="false">IF(A192="N/A"," ",VLOOKUP(A192,PeakPowerCurves,(IF(BMO=2,3,IF(BMO=1,2,4))),FALSE()))</f>
        <v> </v>
      </c>
      <c r="O192" s="427" t="str">
        <f aca="false">IF(A192="N/A"," ",VLOOKUP(A192,SatSunPeakPwr,(IF(BMO=2,3,IF(BMO=1,2,4))),FALSE()))</f>
        <v> </v>
      </c>
      <c r="P192" s="427" t="str">
        <f aca="false">IF(A192="N/A"," ",VLOOKUP(A192,SatSunPeakPwr,(IF(BMO=2,7,IF(BMO=1,6,8))),FALSE()))</f>
        <v> </v>
      </c>
      <c r="Q192" s="428" t="str">
        <f aca="false">IF(A192="N/A"," ",(VLOOKUP(A192,OPPowerPrices,(IF(BMO=2,7,IF(BMO=1,6,8))),FALSE())))</f>
        <v> </v>
      </c>
      <c r="R192" s="429" t="str">
        <f aca="false">IF(A192="N/A"," ",(VLOOKUP(A192,GasCurves,9,FALSE()))+IF(BMO=1,Gasbmo,IF(BMO=3,-Gasbmo,0)))</f>
        <v> </v>
      </c>
      <c r="S192" s="429" t="str">
        <f aca="false">IF(A192="N/A"," ",IF(Basischeck=TRUE(),(VLOOKUP(A192,GasCurves,IF(MONTH(A192)&gt;=4,IF(MONTH(A192)&lt;=10,11,12),12),FALSE())),0))</f>
        <v> </v>
      </c>
      <c r="T192" s="429" t="str">
        <f aca="false">IF(A192="N/A"," ",(IF(MONTH(A192)&gt;=4,IF(MONTH(A192)&lt;=10,Inputs!$H$2,Inputs!$H$3),Inputs!$H$3)))</f>
        <v> </v>
      </c>
      <c r="U192" s="430" t="str">
        <f aca="false">IF(A192="N/A"," ",(VLOOKUP($A192,InterestRatesTable,2)))</f>
        <v> </v>
      </c>
      <c r="AF192" s="384" t="n">
        <v>42278</v>
      </c>
      <c r="AG192" s="36" t="n">
        <v>22</v>
      </c>
      <c r="AH192" s="36" t="n">
        <v>5</v>
      </c>
      <c r="AI192" s="36" t="n">
        <v>4</v>
      </c>
      <c r="AJ192" s="36" t="n">
        <v>0</v>
      </c>
      <c r="AK192" s="36" t="n">
        <v>31</v>
      </c>
    </row>
    <row r="193" customFormat="false" ht="12.75" hidden="false" customHeight="false" outlineLevel="0" collapsed="false">
      <c r="A193" s="420" t="str">
        <f aca="false">Calculations!A160</f>
        <v>N/A</v>
      </c>
      <c r="B193" s="421" t="str">
        <f aca="false">IF(A193="N/A"," ",IF(ISERROR(N193),B181*Pwresc,N193)*VLOOKUP(MONTH(A193),Curveadj,3))</f>
        <v> </v>
      </c>
      <c r="C193" s="422" t="str">
        <f aca="false">IF(A193="N/A"," ",(IF(AND(MONTH(A193)&gt;=6,MONTH(A193)&lt;=8,OR($M$37="REGION 2",$M$37="REGION 2A",$M$37="REGION 2B",$M$37="REGION 3",$M$37="REGION 3A",$M$37="REGION 3B",$M$37="REGION 4",$M$37="REGION 4B",$M$37="REGION 4C",$M$37="REGION 5",$M$37="REGION 5A")),((0.059228/(B193/100))-(0.4980013/(SQRT(B193/100)))+2.137988),HLOOKUP(MONTH(A193),ScalarTable,28))))</f>
        <v> </v>
      </c>
      <c r="D193" s="423" t="str">
        <f aca="false">IF(A193="N/A"," ",C193*B193)</f>
        <v> </v>
      </c>
      <c r="E193" s="421" t="str">
        <f aca="false">IF(A193="N/A"," ",IF(ISERROR(O193),E181*Pwresc,O193)*VLOOKUP(MONTH(A193),Curveadj,3))</f>
        <v> </v>
      </c>
      <c r="F193" s="423" t="str">
        <f aca="false">IF(A193="N/A"," ",E193*C193)</f>
        <v> </v>
      </c>
      <c r="G193" s="421" t="str">
        <f aca="false">IF(A193="N/A"," ",IF(ISERROR(P193),G181*Pwresc,P193)*VLOOKUP(MONTH(A193),Curveadj,3))</f>
        <v> </v>
      </c>
      <c r="H193" s="423" t="str">
        <f aca="false">IF(A193="N/A"," ",G193*C193)</f>
        <v> </v>
      </c>
      <c r="I193" s="423" t="str">
        <f aca="false">IF(A193="N/A"," ",IF(ISERROR(Q193),I181*Pwresc,Q193))</f>
        <v> </v>
      </c>
      <c r="J193" s="424" t="str">
        <f aca="false">IF(A193="N/A"," ",K193+L193+T193)</f>
        <v> </v>
      </c>
      <c r="K193" s="425" t="str">
        <f aca="false">IF(A193="N/A"," ",IF(ISERROR(R193),K181*Gasesc,R193))</f>
        <v> </v>
      </c>
      <c r="L193" s="425" t="str">
        <f aca="false">IF(A193="N/A"," ",IF(ISERROR(S193),L181*Gasesc,IF(S193=0,L181*Gasesc,S193)))</f>
        <v> </v>
      </c>
      <c r="M193" s="431"/>
      <c r="N193" s="427" t="str">
        <f aca="false">IF(A193="N/A"," ",VLOOKUP(A193,PeakPowerCurves,(IF(BMO=2,3,IF(BMO=1,2,4))),FALSE()))</f>
        <v> </v>
      </c>
      <c r="O193" s="427" t="str">
        <f aca="false">IF(A193="N/A"," ",VLOOKUP(A193,SatSunPeakPwr,(IF(BMO=2,3,IF(BMO=1,2,4))),FALSE()))</f>
        <v> </v>
      </c>
      <c r="P193" s="427" t="str">
        <f aca="false">IF(A193="N/A"," ",VLOOKUP(A193,SatSunPeakPwr,(IF(BMO=2,7,IF(BMO=1,6,8))),FALSE()))</f>
        <v> </v>
      </c>
      <c r="Q193" s="428" t="str">
        <f aca="false">IF(A193="N/A"," ",(VLOOKUP(A193,OPPowerPrices,(IF(BMO=2,7,IF(BMO=1,6,8))),FALSE())))</f>
        <v> </v>
      </c>
      <c r="R193" s="429" t="str">
        <f aca="false">IF(A193="N/A"," ",(VLOOKUP(A193,GasCurves,9,FALSE()))+IF(BMO=1,Gasbmo,IF(BMO=3,-Gasbmo,0)))</f>
        <v> </v>
      </c>
      <c r="S193" s="429" t="str">
        <f aca="false">IF(A193="N/A"," ",IF(Basischeck=TRUE(),(VLOOKUP(A193,GasCurves,IF(MONTH(A193)&gt;=4,IF(MONTH(A193)&lt;=10,11,12),12),FALSE())),0))</f>
        <v> </v>
      </c>
      <c r="T193" s="429" t="str">
        <f aca="false">IF(A193="N/A"," ",(IF(MONTH(A193)&gt;=4,IF(MONTH(A193)&lt;=10,Inputs!$H$2,Inputs!$H$3),Inputs!$H$3)))</f>
        <v> </v>
      </c>
      <c r="U193" s="430" t="str">
        <f aca="false">IF(A193="N/A"," ",(VLOOKUP($A193,InterestRatesTable,2)))</f>
        <v> </v>
      </c>
      <c r="AF193" s="384" t="n">
        <v>42309</v>
      </c>
      <c r="AG193" s="36" t="n">
        <v>20</v>
      </c>
      <c r="AH193" s="36" t="n">
        <v>4</v>
      </c>
      <c r="AI193" s="36" t="n">
        <v>6</v>
      </c>
      <c r="AJ193" s="36" t="n">
        <v>1</v>
      </c>
      <c r="AK193" s="36" t="n">
        <v>30</v>
      </c>
    </row>
    <row r="194" customFormat="false" ht="12.75" hidden="false" customHeight="false" outlineLevel="0" collapsed="false">
      <c r="A194" s="420" t="str">
        <f aca="false">Calculations!A161</f>
        <v>N/A</v>
      </c>
      <c r="B194" s="421" t="str">
        <f aca="false">IF(A194="N/A"," ",IF(ISERROR(N194),B182*Pwresc,N194)*VLOOKUP(MONTH(A194),Curveadj,3))</f>
        <v> </v>
      </c>
      <c r="C194" s="422" t="str">
        <f aca="false">IF(A194="N/A"," ",(IF(AND(MONTH(A194)&gt;=6,MONTH(A194)&lt;=8,OR($M$37="REGION 2",$M$37="REGION 2A",$M$37="REGION 2B",$M$37="REGION 3",$M$37="REGION 3A",$M$37="REGION 3B",$M$37="REGION 4",$M$37="REGION 4B",$M$37="REGION 4C",$M$37="REGION 5",$M$37="REGION 5A")),((0.059228/(B194/100))-(0.4980013/(SQRT(B194/100)))+2.137988),HLOOKUP(MONTH(A194),ScalarTable,28))))</f>
        <v> </v>
      </c>
      <c r="D194" s="423" t="str">
        <f aca="false">IF(A194="N/A"," ",C194*B194)</f>
        <v> </v>
      </c>
      <c r="E194" s="421" t="str">
        <f aca="false">IF(A194="N/A"," ",IF(ISERROR(O194),E182*Pwresc,O194)*VLOOKUP(MONTH(A194),Curveadj,3))</f>
        <v> </v>
      </c>
      <c r="F194" s="423" t="str">
        <f aca="false">IF(A194="N/A"," ",E194*C194)</f>
        <v> </v>
      </c>
      <c r="G194" s="421" t="str">
        <f aca="false">IF(A194="N/A"," ",IF(ISERROR(P194),G182*Pwresc,P194)*VLOOKUP(MONTH(A194),Curveadj,3))</f>
        <v> </v>
      </c>
      <c r="H194" s="423" t="str">
        <f aca="false">IF(A194="N/A"," ",G194*C194)</f>
        <v> </v>
      </c>
      <c r="I194" s="423" t="str">
        <f aca="false">IF(A194="N/A"," ",IF(ISERROR(Q194),I182*Pwresc,Q194))</f>
        <v> </v>
      </c>
      <c r="J194" s="424" t="str">
        <f aca="false">IF(A194="N/A"," ",K194+L194+T194)</f>
        <v> </v>
      </c>
      <c r="K194" s="425" t="str">
        <f aca="false">IF(A194="N/A"," ",IF(ISERROR(R194),K182*Gasesc,R194))</f>
        <v> </v>
      </c>
      <c r="L194" s="425" t="str">
        <f aca="false">IF(A194="N/A"," ",IF(ISERROR(S194),L182*Gasesc,IF(S194=0,L182*Gasesc,S194)))</f>
        <v> </v>
      </c>
      <c r="M194" s="431"/>
      <c r="N194" s="427" t="str">
        <f aca="false">IF(A194="N/A"," ",VLOOKUP(A194,PeakPowerCurves,(IF(BMO=2,3,IF(BMO=1,2,4))),FALSE()))</f>
        <v> </v>
      </c>
      <c r="O194" s="427" t="str">
        <f aca="false">IF(A194="N/A"," ",VLOOKUP(A194,SatSunPeakPwr,(IF(BMO=2,3,IF(BMO=1,2,4))),FALSE()))</f>
        <v> </v>
      </c>
      <c r="P194" s="427" t="str">
        <f aca="false">IF(A194="N/A"," ",VLOOKUP(A194,SatSunPeakPwr,(IF(BMO=2,7,IF(BMO=1,6,8))),FALSE()))</f>
        <v> </v>
      </c>
      <c r="Q194" s="428" t="str">
        <f aca="false">IF(A194="N/A"," ",(VLOOKUP(A194,OPPowerPrices,(IF(BMO=2,7,IF(BMO=1,6,8))),FALSE())))</f>
        <v> </v>
      </c>
      <c r="R194" s="429" t="str">
        <f aca="false">IF(A194="N/A"," ",(VLOOKUP(A194,GasCurves,9,FALSE()))+IF(BMO=1,Gasbmo,IF(BMO=3,-Gasbmo,0)))</f>
        <v> </v>
      </c>
      <c r="S194" s="429" t="str">
        <f aca="false">IF(A194="N/A"," ",IF(Basischeck=TRUE(),(VLOOKUP(A194,GasCurves,IF(MONTH(A194)&gt;=4,IF(MONTH(A194)&lt;=10,11,12),12),FALSE())),0))</f>
        <v> </v>
      </c>
      <c r="T194" s="429" t="str">
        <f aca="false">IF(A194="N/A"," ",(IF(MONTH(A194)&gt;=4,IF(MONTH(A194)&lt;=10,Inputs!$H$2,Inputs!$H$3),Inputs!$H$3)))</f>
        <v> </v>
      </c>
      <c r="U194" s="430" t="str">
        <f aca="false">IF(A194="N/A"," ",(VLOOKUP($A194,InterestRatesTable,2)))</f>
        <v> </v>
      </c>
      <c r="AF194" s="384" t="n">
        <v>42339</v>
      </c>
      <c r="AG194" s="36" t="n">
        <v>22</v>
      </c>
      <c r="AH194" s="36" t="n">
        <v>4</v>
      </c>
      <c r="AI194" s="36" t="n">
        <v>5</v>
      </c>
      <c r="AJ194" s="36" t="n">
        <v>1</v>
      </c>
      <c r="AK194" s="36" t="n">
        <v>31</v>
      </c>
    </row>
    <row r="195" customFormat="false" ht="12.75" hidden="false" customHeight="false" outlineLevel="0" collapsed="false">
      <c r="A195" s="420" t="str">
        <f aca="false">Calculations!A162</f>
        <v>N/A</v>
      </c>
      <c r="B195" s="421" t="str">
        <f aca="false">IF(A195="N/A"," ",IF(ISERROR(N195),B183*Pwresc,N195)*VLOOKUP(MONTH(A195),Curveadj,3))</f>
        <v> </v>
      </c>
      <c r="C195" s="422" t="str">
        <f aca="false">IF(A195="N/A"," ",(IF(AND(MONTH(A195)&gt;=6,MONTH(A195)&lt;=8,OR($M$37="REGION 2",$M$37="REGION 2A",$M$37="REGION 2B",$M$37="REGION 3",$M$37="REGION 3A",$M$37="REGION 3B",$M$37="REGION 4",$M$37="REGION 4B",$M$37="REGION 4C",$M$37="REGION 5",$M$37="REGION 5A")),((0.059228/(B195/100))-(0.4980013/(SQRT(B195/100)))+2.137988),HLOOKUP(MONTH(A195),ScalarTable,28))))</f>
        <v> </v>
      </c>
      <c r="D195" s="423" t="str">
        <f aca="false">IF(A195="N/A"," ",C195*B195)</f>
        <v> </v>
      </c>
      <c r="E195" s="421" t="str">
        <f aca="false">IF(A195="N/A"," ",IF(ISERROR(O195),E183*Pwresc,O195)*VLOOKUP(MONTH(A195),Curveadj,3))</f>
        <v> </v>
      </c>
      <c r="F195" s="423" t="str">
        <f aca="false">IF(A195="N/A"," ",E195*C195)</f>
        <v> </v>
      </c>
      <c r="G195" s="421" t="str">
        <f aca="false">IF(A195="N/A"," ",IF(ISERROR(P195),G183*Pwresc,P195)*VLOOKUP(MONTH(A195),Curveadj,3))</f>
        <v> </v>
      </c>
      <c r="H195" s="423" t="str">
        <f aca="false">IF(A195="N/A"," ",G195*C195)</f>
        <v> </v>
      </c>
      <c r="I195" s="423" t="str">
        <f aca="false">IF(A195="N/A"," ",IF(ISERROR(Q195),I183*Pwresc,Q195))</f>
        <v> </v>
      </c>
      <c r="J195" s="424" t="str">
        <f aca="false">IF(A195="N/A"," ",K195+L195+T195)</f>
        <v> </v>
      </c>
      <c r="K195" s="425" t="str">
        <f aca="false">IF(A195="N/A"," ",IF(ISERROR(R195),K183*Gasesc,R195))</f>
        <v> </v>
      </c>
      <c r="L195" s="425" t="str">
        <f aca="false">IF(A195="N/A"," ",IF(ISERROR(S195),L183*Gasesc,IF(S195=0,L183*Gasesc,S195)))</f>
        <v> </v>
      </c>
      <c r="M195" s="431"/>
      <c r="N195" s="427" t="str">
        <f aca="false">IF(A195="N/A"," ",VLOOKUP(A195,PeakPowerCurves,(IF(BMO=2,3,IF(BMO=1,2,4))),FALSE()))</f>
        <v> </v>
      </c>
      <c r="O195" s="427" t="str">
        <f aca="false">IF(A195="N/A"," ",VLOOKUP(A195,SatSunPeakPwr,(IF(BMO=2,3,IF(BMO=1,2,4))),FALSE()))</f>
        <v> </v>
      </c>
      <c r="P195" s="427" t="str">
        <f aca="false">IF(A195="N/A"," ",VLOOKUP(A195,SatSunPeakPwr,(IF(BMO=2,7,IF(BMO=1,6,8))),FALSE()))</f>
        <v> </v>
      </c>
      <c r="Q195" s="428" t="str">
        <f aca="false">IF(A195="N/A"," ",(VLOOKUP(A195,OPPowerPrices,(IF(BMO=2,7,IF(BMO=1,6,8))),FALSE())))</f>
        <v> </v>
      </c>
      <c r="R195" s="429" t="str">
        <f aca="false">IF(A195="N/A"," ",(VLOOKUP(A195,GasCurves,9,FALSE()))+IF(BMO=1,Gasbmo,IF(BMO=3,-Gasbmo,0)))</f>
        <v> </v>
      </c>
      <c r="S195" s="429" t="str">
        <f aca="false">IF(A195="N/A"," ",IF(Basischeck=TRUE(),(VLOOKUP(A195,GasCurves,IF(MONTH(A195)&gt;=4,IF(MONTH(A195)&lt;=10,11,12),12),FALSE())),0))</f>
        <v> </v>
      </c>
      <c r="T195" s="429" t="str">
        <f aca="false">IF(A195="N/A"," ",(IF(MONTH(A195)&gt;=4,IF(MONTH(A195)&lt;=10,Inputs!$H$2,Inputs!$H$3),Inputs!$H$3)))</f>
        <v> </v>
      </c>
      <c r="U195" s="430" t="str">
        <f aca="false">IF(A195="N/A"," ",(VLOOKUP($A195,InterestRatesTable,2)))</f>
        <v> </v>
      </c>
      <c r="AF195" s="384" t="n">
        <v>42370</v>
      </c>
      <c r="AG195" s="36" t="n">
        <v>20</v>
      </c>
      <c r="AH195" s="36" t="n">
        <v>5</v>
      </c>
      <c r="AI195" s="36" t="n">
        <v>6</v>
      </c>
      <c r="AJ195" s="36" t="n">
        <v>1</v>
      </c>
      <c r="AK195" s="36" t="n">
        <v>31</v>
      </c>
    </row>
    <row r="196" customFormat="false" ht="12.75" hidden="false" customHeight="false" outlineLevel="0" collapsed="false">
      <c r="A196" s="420" t="str">
        <f aca="false">Calculations!A163</f>
        <v>N/A</v>
      </c>
      <c r="B196" s="421" t="str">
        <f aca="false">IF(A196="N/A"," ",IF(ISERROR(N196),B184*Pwresc,N196)*VLOOKUP(MONTH(A196),Curveadj,3))</f>
        <v> </v>
      </c>
      <c r="C196" s="422" t="str">
        <f aca="false">IF(A196="N/A"," ",(IF(AND(MONTH(A196)&gt;=6,MONTH(A196)&lt;=8,OR($M$37="REGION 2",$M$37="REGION 2A",$M$37="REGION 2B",$M$37="REGION 3",$M$37="REGION 3A",$M$37="REGION 3B",$M$37="REGION 4",$M$37="REGION 4B",$M$37="REGION 4C",$M$37="REGION 5",$M$37="REGION 5A")),((0.059228/(B196/100))-(0.4980013/(SQRT(B196/100)))+2.137988),HLOOKUP(MONTH(A196),ScalarTable,28))))</f>
        <v> </v>
      </c>
      <c r="D196" s="423" t="str">
        <f aca="false">IF(A196="N/A"," ",C196*B196)</f>
        <v> </v>
      </c>
      <c r="E196" s="421" t="str">
        <f aca="false">IF(A196="N/A"," ",IF(ISERROR(O196),E184*Pwresc,O196)*VLOOKUP(MONTH(A196),Curveadj,3))</f>
        <v> </v>
      </c>
      <c r="F196" s="423" t="str">
        <f aca="false">IF(A196="N/A"," ",E196*C196)</f>
        <v> </v>
      </c>
      <c r="G196" s="421" t="str">
        <f aca="false">IF(A196="N/A"," ",IF(ISERROR(P196),G184*Pwresc,P196)*VLOOKUP(MONTH(A196),Curveadj,3))</f>
        <v> </v>
      </c>
      <c r="H196" s="423" t="str">
        <f aca="false">IF(A196="N/A"," ",G196*C196)</f>
        <v> </v>
      </c>
      <c r="I196" s="423" t="str">
        <f aca="false">IF(A196="N/A"," ",IF(ISERROR(Q196),I184*Pwresc,Q196))</f>
        <v> </v>
      </c>
      <c r="J196" s="424" t="str">
        <f aca="false">IF(A196="N/A"," ",K196+L196+T196)</f>
        <v> </v>
      </c>
      <c r="K196" s="425" t="str">
        <f aca="false">IF(A196="N/A"," ",IF(ISERROR(R196),K184*Gasesc,R196))</f>
        <v> </v>
      </c>
      <c r="L196" s="425" t="str">
        <f aca="false">IF(A196="N/A"," ",IF(ISERROR(S196),L184*Gasesc,IF(S196=0,L184*Gasesc,S196)))</f>
        <v> </v>
      </c>
      <c r="M196" s="431"/>
      <c r="N196" s="427" t="str">
        <f aca="false">IF(A196="N/A"," ",VLOOKUP(A196,PeakPowerCurves,(IF(BMO=2,3,IF(BMO=1,2,4))),FALSE()))</f>
        <v> </v>
      </c>
      <c r="O196" s="427" t="str">
        <f aca="false">IF(A196="N/A"," ",VLOOKUP(A196,SatSunPeakPwr,(IF(BMO=2,3,IF(BMO=1,2,4))),FALSE()))</f>
        <v> </v>
      </c>
      <c r="P196" s="427" t="str">
        <f aca="false">IF(A196="N/A"," ",VLOOKUP(A196,SatSunPeakPwr,(IF(BMO=2,7,IF(BMO=1,6,8))),FALSE()))</f>
        <v> </v>
      </c>
      <c r="Q196" s="428" t="str">
        <f aca="false">IF(A196="N/A"," ",(VLOOKUP(A196,OPPowerPrices,(IF(BMO=2,7,IF(BMO=1,6,8))),FALSE())))</f>
        <v> </v>
      </c>
      <c r="R196" s="429" t="str">
        <f aca="false">IF(A196="N/A"," ",(VLOOKUP(A196,GasCurves,9,FALSE()))+IF(BMO=1,Gasbmo,IF(BMO=3,-Gasbmo,0)))</f>
        <v> </v>
      </c>
      <c r="S196" s="429" t="str">
        <f aca="false">IF(A196="N/A"," ",IF(Basischeck=TRUE(),(VLOOKUP(A196,GasCurves,IF(MONTH(A196)&gt;=4,IF(MONTH(A196)&lt;=10,11,12),12),FALSE())),0))</f>
        <v> </v>
      </c>
      <c r="T196" s="429" t="str">
        <f aca="false">IF(A196="N/A"," ",(IF(MONTH(A196)&gt;=4,IF(MONTH(A196)&lt;=10,Inputs!$H$2,Inputs!$H$3),Inputs!$H$3)))</f>
        <v> </v>
      </c>
      <c r="U196" s="430" t="str">
        <f aca="false">IF(A196="N/A"," ",(VLOOKUP($A196,InterestRatesTable,2)))</f>
        <v> </v>
      </c>
      <c r="AF196" s="384" t="n">
        <v>42401</v>
      </c>
      <c r="AG196" s="36" t="n">
        <v>21</v>
      </c>
      <c r="AH196" s="36" t="n">
        <v>4</v>
      </c>
      <c r="AI196" s="36" t="n">
        <v>4</v>
      </c>
      <c r="AJ196" s="36" t="n">
        <v>0</v>
      </c>
      <c r="AK196" s="36" t="n">
        <v>29</v>
      </c>
    </row>
    <row r="197" customFormat="false" ht="12.75" hidden="false" customHeight="false" outlineLevel="0" collapsed="false">
      <c r="A197" s="420" t="str">
        <f aca="false">Calculations!A164</f>
        <v>N/A</v>
      </c>
      <c r="B197" s="421" t="str">
        <f aca="false">IF(A197="N/A"," ",IF(ISERROR(N197),B185*Pwresc,N197)*VLOOKUP(MONTH(A197),Curveadj,3))</f>
        <v> </v>
      </c>
      <c r="C197" s="422" t="str">
        <f aca="false">IF(A197="N/A"," ",(IF(AND(MONTH(A197)&gt;=6,MONTH(A197)&lt;=8,OR($M$37="REGION 2",$M$37="REGION 2A",$M$37="REGION 2B",$M$37="REGION 3",$M$37="REGION 3A",$M$37="REGION 3B",$M$37="REGION 4",$M$37="REGION 4B",$M$37="REGION 4C",$M$37="REGION 5",$M$37="REGION 5A")),((0.059228/(B197/100))-(0.4980013/(SQRT(B197/100)))+2.137988),HLOOKUP(MONTH(A197),ScalarTable,28))))</f>
        <v> </v>
      </c>
      <c r="D197" s="423" t="str">
        <f aca="false">IF(A197="N/A"," ",C197*B197)</f>
        <v> </v>
      </c>
      <c r="E197" s="421" t="str">
        <f aca="false">IF(A197="N/A"," ",IF(ISERROR(O197),E185*Pwresc,O197)*VLOOKUP(MONTH(A197),Curveadj,3))</f>
        <v> </v>
      </c>
      <c r="F197" s="423" t="str">
        <f aca="false">IF(A197="N/A"," ",E197*C197)</f>
        <v> </v>
      </c>
      <c r="G197" s="421" t="str">
        <f aca="false">IF(A197="N/A"," ",IF(ISERROR(P197),G185*Pwresc,P197)*VLOOKUP(MONTH(A197),Curveadj,3))</f>
        <v> </v>
      </c>
      <c r="H197" s="423" t="str">
        <f aca="false">IF(A197="N/A"," ",G197*C197)</f>
        <v> </v>
      </c>
      <c r="I197" s="423" t="str">
        <f aca="false">IF(A197="N/A"," ",IF(ISERROR(Q197),I185*Pwresc,Q197))</f>
        <v> </v>
      </c>
      <c r="J197" s="424" t="str">
        <f aca="false">IF(A197="N/A"," ",K197+L197+T197)</f>
        <v> </v>
      </c>
      <c r="K197" s="425" t="str">
        <f aca="false">IF(A197="N/A"," ",IF(ISERROR(R197),K185*Gasesc,R197))</f>
        <v> </v>
      </c>
      <c r="L197" s="425" t="str">
        <f aca="false">IF(A197="N/A"," ",IF(ISERROR(S197),L185*Gasesc,IF(S197=0,L185*Gasesc,S197)))</f>
        <v> </v>
      </c>
      <c r="M197" s="431"/>
      <c r="N197" s="427" t="str">
        <f aca="false">IF(A197="N/A"," ",VLOOKUP(A197,PeakPowerCurves,(IF(BMO=2,3,IF(BMO=1,2,4))),FALSE()))</f>
        <v> </v>
      </c>
      <c r="O197" s="427" t="str">
        <f aca="false">IF(A197="N/A"," ",VLOOKUP(A197,SatSunPeakPwr,(IF(BMO=2,3,IF(BMO=1,2,4))),FALSE()))</f>
        <v> </v>
      </c>
      <c r="P197" s="427" t="str">
        <f aca="false">IF(A197="N/A"," ",VLOOKUP(A197,SatSunPeakPwr,(IF(BMO=2,7,IF(BMO=1,6,8))),FALSE()))</f>
        <v> </v>
      </c>
      <c r="Q197" s="428" t="str">
        <f aca="false">IF(A197="N/A"," ",(VLOOKUP(A197,OPPowerPrices,(IF(BMO=2,7,IF(BMO=1,6,8))),FALSE())))</f>
        <v> </v>
      </c>
      <c r="R197" s="429" t="str">
        <f aca="false">IF(A197="N/A"," ",(VLOOKUP(A197,GasCurves,9,FALSE()))+IF(BMO=1,Gasbmo,IF(BMO=3,-Gasbmo,0)))</f>
        <v> </v>
      </c>
      <c r="S197" s="429" t="str">
        <f aca="false">IF(A197="N/A"," ",IF(Basischeck=TRUE(),(VLOOKUP(A197,GasCurves,IF(MONTH(A197)&gt;=4,IF(MONTH(A197)&lt;=10,11,12),12),FALSE())),0))</f>
        <v> </v>
      </c>
      <c r="T197" s="429" t="str">
        <f aca="false">IF(A197="N/A"," ",(IF(MONTH(A197)&gt;=4,IF(MONTH(A197)&lt;=10,Inputs!$H$2,Inputs!$H$3),Inputs!$H$3)))</f>
        <v> </v>
      </c>
      <c r="U197" s="430" t="str">
        <f aca="false">IF(A197="N/A"," ",(VLOOKUP($A197,InterestRatesTable,2)))</f>
        <v> </v>
      </c>
      <c r="AF197" s="384" t="n">
        <v>42430</v>
      </c>
      <c r="AG197" s="36" t="n">
        <v>23</v>
      </c>
      <c r="AH197" s="36" t="n">
        <v>4</v>
      </c>
      <c r="AI197" s="36" t="n">
        <v>4</v>
      </c>
      <c r="AJ197" s="36" t="n">
        <v>0</v>
      </c>
      <c r="AK197" s="36" t="n">
        <v>31</v>
      </c>
    </row>
    <row r="198" customFormat="false" ht="12.75" hidden="false" customHeight="false" outlineLevel="0" collapsed="false">
      <c r="A198" s="420" t="str">
        <f aca="false">Calculations!A165</f>
        <v>N/A</v>
      </c>
      <c r="B198" s="421" t="str">
        <f aca="false">IF(A198="N/A"," ",IF(ISERROR(N198),B186*Pwresc,N198)*VLOOKUP(MONTH(A198),Curveadj,3))</f>
        <v> </v>
      </c>
      <c r="C198" s="422" t="str">
        <f aca="false">IF(A198="N/A"," ",(IF(AND(MONTH(A198)&gt;=6,MONTH(A198)&lt;=8,OR($M$37="REGION 2",$M$37="REGION 2A",$M$37="REGION 2B",$M$37="REGION 3",$M$37="REGION 3A",$M$37="REGION 3B",$M$37="REGION 4",$M$37="REGION 4B",$M$37="REGION 4C",$M$37="REGION 5",$M$37="REGION 5A")),((0.059228/(B198/100))-(0.4980013/(SQRT(B198/100)))+2.137988),HLOOKUP(MONTH(A198),ScalarTable,28))))</f>
        <v> </v>
      </c>
      <c r="D198" s="423" t="str">
        <f aca="false">IF(A198="N/A"," ",C198*B198)</f>
        <v> </v>
      </c>
      <c r="E198" s="421" t="str">
        <f aca="false">IF(A198="N/A"," ",IF(ISERROR(O198),E186*Pwresc,O198)*VLOOKUP(MONTH(A198),Curveadj,3))</f>
        <v> </v>
      </c>
      <c r="F198" s="423" t="str">
        <f aca="false">IF(A198="N/A"," ",E198*C198)</f>
        <v> </v>
      </c>
      <c r="G198" s="421" t="str">
        <f aca="false">IF(A198="N/A"," ",IF(ISERROR(P198),G186*Pwresc,P198)*VLOOKUP(MONTH(A198),Curveadj,3))</f>
        <v> </v>
      </c>
      <c r="H198" s="423" t="str">
        <f aca="false">IF(A198="N/A"," ",G198*C198)</f>
        <v> </v>
      </c>
      <c r="I198" s="423" t="str">
        <f aca="false">IF(A198="N/A"," ",IF(ISERROR(Q198),I186*Pwresc,Q198))</f>
        <v> </v>
      </c>
      <c r="J198" s="424" t="str">
        <f aca="false">IF(A198="N/A"," ",K198+L198+T198)</f>
        <v> </v>
      </c>
      <c r="K198" s="425" t="str">
        <f aca="false">IF(A198="N/A"," ",IF(ISERROR(R198),K186*Gasesc,R198))</f>
        <v> </v>
      </c>
      <c r="L198" s="425" t="str">
        <f aca="false">IF(A198="N/A"," ",IF(ISERROR(S198),L186*Gasesc,IF(S198=0,L186*Gasesc,S198)))</f>
        <v> </v>
      </c>
      <c r="M198" s="431"/>
      <c r="N198" s="427" t="str">
        <f aca="false">IF(A198="N/A"," ",VLOOKUP(A198,PeakPowerCurves,(IF(BMO=2,3,IF(BMO=1,2,4))),FALSE()))</f>
        <v> </v>
      </c>
      <c r="O198" s="427" t="str">
        <f aca="false">IF(A198="N/A"," ",VLOOKUP(A198,SatSunPeakPwr,(IF(BMO=2,3,IF(BMO=1,2,4))),FALSE()))</f>
        <v> </v>
      </c>
      <c r="P198" s="427" t="str">
        <f aca="false">IF(A198="N/A"," ",VLOOKUP(A198,SatSunPeakPwr,(IF(BMO=2,7,IF(BMO=1,6,8))),FALSE()))</f>
        <v> </v>
      </c>
      <c r="Q198" s="428" t="str">
        <f aca="false">IF(A198="N/A"," ",(VLOOKUP(A198,OPPowerPrices,(IF(BMO=2,7,IF(BMO=1,6,8))),FALSE())))</f>
        <v> </v>
      </c>
      <c r="R198" s="429" t="str">
        <f aca="false">IF(A198="N/A"," ",(VLOOKUP(A198,GasCurves,9,FALSE()))+IF(BMO=1,Gasbmo,IF(BMO=3,-Gasbmo,0)))</f>
        <v> </v>
      </c>
      <c r="S198" s="429" t="str">
        <f aca="false">IF(A198="N/A"," ",IF(Basischeck=TRUE(),(VLOOKUP(A198,GasCurves,IF(MONTH(A198)&gt;=4,IF(MONTH(A198)&lt;=10,11,12),12),FALSE())),0))</f>
        <v> </v>
      </c>
      <c r="T198" s="429" t="str">
        <f aca="false">IF(A198="N/A"," ",(IF(MONTH(A198)&gt;=4,IF(MONTH(A198)&lt;=10,Inputs!$H$2,Inputs!$H$3),Inputs!$H$3)))</f>
        <v> </v>
      </c>
      <c r="U198" s="430" t="str">
        <f aca="false">IF(A198="N/A"," ",(VLOOKUP($A198,InterestRatesTable,2)))</f>
        <v> </v>
      </c>
      <c r="AF198" s="384" t="n">
        <v>42461</v>
      </c>
      <c r="AG198" s="36" t="n">
        <v>21</v>
      </c>
      <c r="AH198" s="36" t="n">
        <v>5</v>
      </c>
      <c r="AI198" s="36" t="n">
        <v>4</v>
      </c>
      <c r="AJ198" s="36" t="n">
        <v>0</v>
      </c>
      <c r="AK198" s="36" t="n">
        <v>30</v>
      </c>
    </row>
    <row r="199" customFormat="false" ht="12.75" hidden="false" customHeight="false" outlineLevel="0" collapsed="false">
      <c r="A199" s="420" t="str">
        <f aca="false">Calculations!A166</f>
        <v>N/A</v>
      </c>
      <c r="B199" s="421" t="str">
        <f aca="false">IF(A199="N/A"," ",IF(ISERROR(N199),B187*Pwresc,N199)*VLOOKUP(MONTH(A199),Curveadj,3))</f>
        <v> </v>
      </c>
      <c r="C199" s="422" t="str">
        <f aca="false">IF(A199="N/A"," ",(IF(AND(MONTH(A199)&gt;=6,MONTH(A199)&lt;=8,OR($M$37="REGION 2",$M$37="REGION 2A",$M$37="REGION 2B",$M$37="REGION 3",$M$37="REGION 3A",$M$37="REGION 3B",$M$37="REGION 4",$M$37="REGION 4B",$M$37="REGION 4C",$M$37="REGION 5",$M$37="REGION 5A")),((0.059228/(B199/100))-(0.4980013/(SQRT(B199/100)))+2.137988),HLOOKUP(MONTH(A199),ScalarTable,28))))</f>
        <v> </v>
      </c>
      <c r="D199" s="423" t="str">
        <f aca="false">IF(A199="N/A"," ",C199*B199)</f>
        <v> </v>
      </c>
      <c r="E199" s="421" t="str">
        <f aca="false">IF(A199="N/A"," ",IF(ISERROR(O199),E187*Pwresc,O199)*VLOOKUP(MONTH(A199),Curveadj,3))</f>
        <v> </v>
      </c>
      <c r="F199" s="423" t="str">
        <f aca="false">IF(A199="N/A"," ",E199*C199)</f>
        <v> </v>
      </c>
      <c r="G199" s="421" t="str">
        <f aca="false">IF(A199="N/A"," ",IF(ISERROR(P199),G187*Pwresc,P199)*VLOOKUP(MONTH(A199),Curveadj,3))</f>
        <v> </v>
      </c>
      <c r="H199" s="423" t="str">
        <f aca="false">IF(A199="N/A"," ",G199*C199)</f>
        <v> </v>
      </c>
      <c r="I199" s="423" t="str">
        <f aca="false">IF(A199="N/A"," ",IF(ISERROR(Q199),I187*Pwresc,Q199))</f>
        <v> </v>
      </c>
      <c r="J199" s="424" t="str">
        <f aca="false">IF(A199="N/A"," ",K199+L199+T199)</f>
        <v> </v>
      </c>
      <c r="K199" s="425" t="str">
        <f aca="false">IF(A199="N/A"," ",IF(ISERROR(R199),K187*Gasesc,R199))</f>
        <v> </v>
      </c>
      <c r="L199" s="425" t="str">
        <f aca="false">IF(A199="N/A"," ",IF(ISERROR(S199),L187*Gasesc,IF(S199=0,L187*Gasesc,S199)))</f>
        <v> </v>
      </c>
      <c r="M199" s="431"/>
      <c r="N199" s="427" t="str">
        <f aca="false">IF(A199="N/A"," ",VLOOKUP(A199,PeakPowerCurves,(IF(BMO=2,3,IF(BMO=1,2,4))),FALSE()))</f>
        <v> </v>
      </c>
      <c r="O199" s="427" t="str">
        <f aca="false">IF(A199="N/A"," ",VLOOKUP(A199,SatSunPeakPwr,(IF(BMO=2,3,IF(BMO=1,2,4))),FALSE()))</f>
        <v> </v>
      </c>
      <c r="P199" s="427" t="str">
        <f aca="false">IF(A199="N/A"," ",VLOOKUP(A199,SatSunPeakPwr,(IF(BMO=2,7,IF(BMO=1,6,8))),FALSE()))</f>
        <v> </v>
      </c>
      <c r="Q199" s="428" t="str">
        <f aca="false">IF(A199="N/A"," ",(VLOOKUP(A199,OPPowerPrices,(IF(BMO=2,7,IF(BMO=1,6,8))),FALSE())))</f>
        <v> </v>
      </c>
      <c r="R199" s="429" t="str">
        <f aca="false">IF(A199="N/A"," ",(VLOOKUP(A199,GasCurves,9,FALSE()))+IF(BMO=1,Gasbmo,IF(BMO=3,-Gasbmo,0)))</f>
        <v> </v>
      </c>
      <c r="S199" s="429" t="str">
        <f aca="false">IF(A199="N/A"," ",IF(Basischeck=TRUE(),(VLOOKUP(A199,GasCurves,IF(MONTH(A199)&gt;=4,IF(MONTH(A199)&lt;=10,11,12),12),FALSE())),0))</f>
        <v> </v>
      </c>
      <c r="T199" s="429" t="str">
        <f aca="false">IF(A199="N/A"," ",(IF(MONTH(A199)&gt;=4,IF(MONTH(A199)&lt;=10,Inputs!$H$2,Inputs!$H$3),Inputs!$H$3)))</f>
        <v> </v>
      </c>
      <c r="U199" s="430" t="str">
        <f aca="false">IF(A199="N/A"," ",(VLOOKUP($A199,InterestRatesTable,2)))</f>
        <v> </v>
      </c>
      <c r="AF199" s="384" t="n">
        <v>42491</v>
      </c>
      <c r="AG199" s="36" t="n">
        <v>21</v>
      </c>
      <c r="AH199" s="36" t="n">
        <v>4</v>
      </c>
      <c r="AI199" s="36" t="n">
        <v>6</v>
      </c>
      <c r="AJ199" s="36" t="n">
        <v>1</v>
      </c>
      <c r="AK199" s="36" t="n">
        <v>31</v>
      </c>
    </row>
    <row r="200" customFormat="false" ht="12.75" hidden="false" customHeight="false" outlineLevel="0" collapsed="false">
      <c r="A200" s="420" t="str">
        <f aca="false">Calculations!A167</f>
        <v>N/A</v>
      </c>
      <c r="B200" s="421" t="str">
        <f aca="false">IF(A200="N/A"," ",IF(ISERROR(N200),B188*Pwresc,N200)*VLOOKUP(MONTH(A200),Curveadj,3))</f>
        <v> </v>
      </c>
      <c r="C200" s="422" t="str">
        <f aca="false">IF(A200="N/A"," ",(IF(AND(MONTH(A200)&gt;=6,MONTH(A200)&lt;=8,OR($M$37="REGION 2",$M$37="REGION 2A",$M$37="REGION 2B",$M$37="REGION 3",$M$37="REGION 3A",$M$37="REGION 3B",$M$37="REGION 4",$M$37="REGION 4B",$M$37="REGION 4C",$M$37="REGION 5",$M$37="REGION 5A")),((0.059228/(B200/100))-(0.4980013/(SQRT(B200/100)))+2.137988),HLOOKUP(MONTH(A200),ScalarTable,28))))</f>
        <v> </v>
      </c>
      <c r="D200" s="423" t="str">
        <f aca="false">IF(A200="N/A"," ",C200*B200)</f>
        <v> </v>
      </c>
      <c r="E200" s="421" t="str">
        <f aca="false">IF(A200="N/A"," ",IF(ISERROR(O200),E188*Pwresc,O200)*VLOOKUP(MONTH(A200),Curveadj,3))</f>
        <v> </v>
      </c>
      <c r="F200" s="423" t="str">
        <f aca="false">IF(A200="N/A"," ",E200*C200)</f>
        <v> </v>
      </c>
      <c r="G200" s="421" t="str">
        <f aca="false">IF(A200="N/A"," ",IF(ISERROR(P200),G188*Pwresc,P200)*VLOOKUP(MONTH(A200),Curveadj,3))</f>
        <v> </v>
      </c>
      <c r="H200" s="423" t="str">
        <f aca="false">IF(A200="N/A"," ",G200*C200)</f>
        <v> </v>
      </c>
      <c r="I200" s="423" t="str">
        <f aca="false">IF(A200="N/A"," ",IF(ISERROR(Q200),I188*Pwresc,Q200))</f>
        <v> </v>
      </c>
      <c r="J200" s="424" t="str">
        <f aca="false">IF(A200="N/A"," ",K200+L200+T200)</f>
        <v> </v>
      </c>
      <c r="K200" s="425" t="str">
        <f aca="false">IF(A200="N/A"," ",IF(ISERROR(R200),K188*Gasesc,R200))</f>
        <v> </v>
      </c>
      <c r="L200" s="425" t="str">
        <f aca="false">IF(A200="N/A"," ",IF(ISERROR(S200),L188*Gasesc,IF(S200=0,L188*Gasesc,S200)))</f>
        <v> </v>
      </c>
      <c r="M200" s="431"/>
      <c r="N200" s="427" t="str">
        <f aca="false">IF(A200="N/A"," ",VLOOKUP(A200,PeakPowerCurves,(IF(BMO=2,3,IF(BMO=1,2,4))),FALSE()))</f>
        <v> </v>
      </c>
      <c r="O200" s="427" t="str">
        <f aca="false">IF(A200="N/A"," ",VLOOKUP(A200,SatSunPeakPwr,(IF(BMO=2,3,IF(BMO=1,2,4))),FALSE()))</f>
        <v> </v>
      </c>
      <c r="P200" s="427" t="str">
        <f aca="false">IF(A200="N/A"," ",VLOOKUP(A200,SatSunPeakPwr,(IF(BMO=2,7,IF(BMO=1,6,8))),FALSE()))</f>
        <v> </v>
      </c>
      <c r="Q200" s="428" t="str">
        <f aca="false">IF(A200="N/A"," ",(VLOOKUP(A200,OPPowerPrices,(IF(BMO=2,7,IF(BMO=1,6,8))),FALSE())))</f>
        <v> </v>
      </c>
      <c r="R200" s="429" t="str">
        <f aca="false">IF(A200="N/A"," ",(VLOOKUP(A200,GasCurves,9,FALSE()))+IF(BMO=1,Gasbmo,IF(BMO=3,-Gasbmo,0)))</f>
        <v> </v>
      </c>
      <c r="S200" s="429" t="str">
        <f aca="false">IF(A200="N/A"," ",IF(Basischeck=TRUE(),(VLOOKUP(A200,GasCurves,IF(MONTH(A200)&gt;=4,IF(MONTH(A200)&lt;=10,11,12),12),FALSE())),0))</f>
        <v> </v>
      </c>
      <c r="T200" s="429" t="str">
        <f aca="false">IF(A200="N/A"," ",(IF(MONTH(A200)&gt;=4,IF(MONTH(A200)&lt;=10,Inputs!$H$2,Inputs!$H$3),Inputs!$H$3)))</f>
        <v> </v>
      </c>
      <c r="U200" s="430" t="str">
        <f aca="false">IF(A200="N/A"," ",(VLOOKUP($A200,InterestRatesTable,2)))</f>
        <v> </v>
      </c>
      <c r="AF200" s="384" t="n">
        <v>42522</v>
      </c>
      <c r="AG200" s="36" t="n">
        <v>22</v>
      </c>
      <c r="AH200" s="36" t="n">
        <v>4</v>
      </c>
      <c r="AI200" s="36" t="n">
        <v>4</v>
      </c>
      <c r="AJ200" s="36" t="n">
        <v>0</v>
      </c>
      <c r="AK200" s="36" t="n">
        <v>30</v>
      </c>
    </row>
    <row r="201" customFormat="false" ht="12.75" hidden="false" customHeight="false" outlineLevel="0" collapsed="false">
      <c r="A201" s="420" t="str">
        <f aca="false">Calculations!A168</f>
        <v>N/A</v>
      </c>
      <c r="B201" s="421" t="str">
        <f aca="false">IF(A201="N/A"," ",IF(ISERROR(N201),B189*Pwresc,N201)*VLOOKUP(MONTH(A201),Curveadj,3))</f>
        <v> </v>
      </c>
      <c r="C201" s="422" t="str">
        <f aca="false">IF(A201="N/A"," ",(IF(AND(MONTH(A201)&gt;=6,MONTH(A201)&lt;=8,OR($M$37="REGION 2",$M$37="REGION 2A",$M$37="REGION 2B",$M$37="REGION 3",$M$37="REGION 3A",$M$37="REGION 3B",$M$37="REGION 4",$M$37="REGION 4B",$M$37="REGION 4C",$M$37="REGION 5",$M$37="REGION 5A")),((0.059228/(B201/100))-(0.4980013/(SQRT(B201/100)))+2.137988),HLOOKUP(MONTH(A201),ScalarTable,28))))</f>
        <v> </v>
      </c>
      <c r="D201" s="423" t="str">
        <f aca="false">IF(A201="N/A"," ",C201*B201)</f>
        <v> </v>
      </c>
      <c r="E201" s="421" t="str">
        <f aca="false">IF(A201="N/A"," ",IF(ISERROR(O201),E189*Pwresc,O201)*VLOOKUP(MONTH(A201),Curveadj,3))</f>
        <v> </v>
      </c>
      <c r="F201" s="423" t="str">
        <f aca="false">IF(A201="N/A"," ",E201*C201)</f>
        <v> </v>
      </c>
      <c r="G201" s="421" t="str">
        <f aca="false">IF(A201="N/A"," ",IF(ISERROR(P201),G189*Pwresc,P201)*VLOOKUP(MONTH(A201),Curveadj,3))</f>
        <v> </v>
      </c>
      <c r="H201" s="423" t="str">
        <f aca="false">IF(A201="N/A"," ",G201*C201)</f>
        <v> </v>
      </c>
      <c r="I201" s="423" t="str">
        <f aca="false">IF(A201="N/A"," ",IF(ISERROR(Q201),I189*Pwresc,Q201))</f>
        <v> </v>
      </c>
      <c r="J201" s="424" t="str">
        <f aca="false">IF(A201="N/A"," ",K201+L201+T201)</f>
        <v> </v>
      </c>
      <c r="K201" s="425" t="str">
        <f aca="false">IF(A201="N/A"," ",IF(ISERROR(R201),K189*Gasesc,R201))</f>
        <v> </v>
      </c>
      <c r="L201" s="425" t="str">
        <f aca="false">IF(A201="N/A"," ",IF(ISERROR(S201),L189*Gasesc,IF(S201=0,L189*Gasesc,S201)))</f>
        <v> </v>
      </c>
      <c r="M201" s="431"/>
      <c r="N201" s="427" t="str">
        <f aca="false">IF(A201="N/A"," ",VLOOKUP(A201,PeakPowerCurves,(IF(BMO=2,3,IF(BMO=1,2,4))),FALSE()))</f>
        <v> </v>
      </c>
      <c r="O201" s="427" t="str">
        <f aca="false">IF(A201="N/A"," ",VLOOKUP(A201,SatSunPeakPwr,(IF(BMO=2,3,IF(BMO=1,2,4))),FALSE()))</f>
        <v> </v>
      </c>
      <c r="P201" s="427" t="str">
        <f aca="false">IF(A201="N/A"," ",VLOOKUP(A201,SatSunPeakPwr,(IF(BMO=2,7,IF(BMO=1,6,8))),FALSE()))</f>
        <v> </v>
      </c>
      <c r="Q201" s="428" t="str">
        <f aca="false">IF(A201="N/A"," ",(VLOOKUP(A201,OPPowerPrices,(IF(BMO=2,7,IF(BMO=1,6,8))),FALSE())))</f>
        <v> </v>
      </c>
      <c r="R201" s="429" t="str">
        <f aca="false">IF(A201="N/A"," ",(VLOOKUP(A201,GasCurves,9,FALSE()))+IF(BMO=1,Gasbmo,IF(BMO=3,-Gasbmo,0)))</f>
        <v> </v>
      </c>
      <c r="S201" s="429" t="str">
        <f aca="false">IF(A201="N/A"," ",IF(Basischeck=TRUE(),(VLOOKUP(A201,GasCurves,IF(MONTH(A201)&gt;=4,IF(MONTH(A201)&lt;=10,11,12),12),FALSE())),0))</f>
        <v> </v>
      </c>
      <c r="T201" s="429" t="str">
        <f aca="false">IF(A201="N/A"," ",(IF(MONTH(A201)&gt;=4,IF(MONTH(A201)&lt;=10,Inputs!$H$2,Inputs!$H$3),Inputs!$H$3)))</f>
        <v> </v>
      </c>
      <c r="U201" s="430" t="str">
        <f aca="false">IF(A201="N/A"," ",(VLOOKUP($A201,InterestRatesTable,2)))</f>
        <v> </v>
      </c>
      <c r="AF201" s="384" t="n">
        <v>42552</v>
      </c>
      <c r="AG201" s="36" t="n">
        <v>20</v>
      </c>
      <c r="AH201" s="36" t="n">
        <v>5</v>
      </c>
      <c r="AI201" s="36" t="n">
        <v>6</v>
      </c>
      <c r="AJ201" s="36" t="n">
        <v>1</v>
      </c>
      <c r="AK201" s="36" t="n">
        <v>31</v>
      </c>
    </row>
    <row r="202" customFormat="false" ht="12.75" hidden="false" customHeight="false" outlineLevel="0" collapsed="false">
      <c r="A202" s="420" t="str">
        <f aca="false">Calculations!A169</f>
        <v>N/A</v>
      </c>
      <c r="B202" s="421" t="str">
        <f aca="false">IF(A202="N/A"," ",IF(ISERROR(N202),B190*Pwresc,N202)*VLOOKUP(MONTH(A202),Curveadj,3))</f>
        <v> </v>
      </c>
      <c r="C202" s="422" t="str">
        <f aca="false">IF(A202="N/A"," ",(IF(AND(MONTH(A202)&gt;=6,MONTH(A202)&lt;=8,OR($M$37="REGION 2",$M$37="REGION 2A",$M$37="REGION 2B",$M$37="REGION 3",$M$37="REGION 3A",$M$37="REGION 3B",$M$37="REGION 4",$M$37="REGION 4B",$M$37="REGION 4C",$M$37="REGION 5",$M$37="REGION 5A")),((0.059228/(B202/100))-(0.4980013/(SQRT(B202/100)))+2.137988),HLOOKUP(MONTH(A202),ScalarTable,28))))</f>
        <v> </v>
      </c>
      <c r="D202" s="423" t="str">
        <f aca="false">IF(A202="N/A"," ",C202*B202)</f>
        <v> </v>
      </c>
      <c r="E202" s="421" t="str">
        <f aca="false">IF(A202="N/A"," ",IF(ISERROR(O202),E190*Pwresc,O202)*VLOOKUP(MONTH(A202),Curveadj,3))</f>
        <v> </v>
      </c>
      <c r="F202" s="423" t="str">
        <f aca="false">IF(A202="N/A"," ",E202*C202)</f>
        <v> </v>
      </c>
      <c r="G202" s="421" t="str">
        <f aca="false">IF(A202="N/A"," ",IF(ISERROR(P202),G190*Pwresc,P202)*VLOOKUP(MONTH(A202),Curveadj,3))</f>
        <v> </v>
      </c>
      <c r="H202" s="423" t="str">
        <f aca="false">IF(A202="N/A"," ",G202*C202)</f>
        <v> </v>
      </c>
      <c r="I202" s="423" t="str">
        <f aca="false">IF(A202="N/A"," ",IF(ISERROR(Q202),I190*Pwresc,Q202))</f>
        <v> </v>
      </c>
      <c r="J202" s="424" t="str">
        <f aca="false">IF(A202="N/A"," ",K202+L202+T202)</f>
        <v> </v>
      </c>
      <c r="K202" s="425" t="str">
        <f aca="false">IF(A202="N/A"," ",IF(ISERROR(R202),K190*Gasesc,R202))</f>
        <v> </v>
      </c>
      <c r="L202" s="425" t="str">
        <f aca="false">IF(A202="N/A"," ",IF(ISERROR(S202),L190*Gasesc,IF(S202=0,L190*Gasesc,S202)))</f>
        <v> </v>
      </c>
      <c r="M202" s="431"/>
      <c r="N202" s="427" t="str">
        <f aca="false">IF(A202="N/A"," ",VLOOKUP(A202,PeakPowerCurves,(IF(BMO=2,3,IF(BMO=1,2,4))),FALSE()))</f>
        <v> </v>
      </c>
      <c r="O202" s="427" t="str">
        <f aca="false">IF(A202="N/A"," ",VLOOKUP(A202,SatSunPeakPwr,(IF(BMO=2,3,IF(BMO=1,2,4))),FALSE()))</f>
        <v> </v>
      </c>
      <c r="P202" s="427" t="str">
        <f aca="false">IF(A202="N/A"," ",VLOOKUP(A202,SatSunPeakPwr,(IF(BMO=2,7,IF(BMO=1,6,8))),FALSE()))</f>
        <v> </v>
      </c>
      <c r="Q202" s="428" t="str">
        <f aca="false">IF(A202="N/A"," ",(VLOOKUP(A202,OPPowerPrices,(IF(BMO=2,7,IF(BMO=1,6,8))),FALSE())))</f>
        <v> </v>
      </c>
      <c r="R202" s="429" t="str">
        <f aca="false">IF(A202="N/A"," ",(VLOOKUP(A202,GasCurves,9,FALSE()))+IF(BMO=1,Gasbmo,IF(BMO=3,-Gasbmo,0)))</f>
        <v> </v>
      </c>
      <c r="S202" s="429" t="str">
        <f aca="false">IF(A202="N/A"," ",IF(Basischeck=TRUE(),(VLOOKUP(A202,GasCurves,IF(MONTH(A202)&gt;=4,IF(MONTH(A202)&lt;=10,11,12),12),FALSE())),0))</f>
        <v> </v>
      </c>
      <c r="T202" s="429" t="str">
        <f aca="false">IF(A202="N/A"," ",(IF(MONTH(A202)&gt;=4,IF(MONTH(A202)&lt;=10,Inputs!$H$2,Inputs!$H$3),Inputs!$H$3)))</f>
        <v> </v>
      </c>
      <c r="U202" s="430" t="str">
        <f aca="false">IF(A202="N/A"," ",(VLOOKUP($A202,InterestRatesTable,2)))</f>
        <v> </v>
      </c>
      <c r="AF202" s="384" t="n">
        <v>42583</v>
      </c>
      <c r="AG202" s="36" t="n">
        <v>23</v>
      </c>
      <c r="AH202" s="36" t="n">
        <v>4</v>
      </c>
      <c r="AI202" s="36" t="n">
        <v>4</v>
      </c>
      <c r="AJ202" s="36" t="n">
        <v>0</v>
      </c>
      <c r="AK202" s="36" t="n">
        <v>31</v>
      </c>
    </row>
    <row r="203" customFormat="false" ht="12.75" hidden="false" customHeight="false" outlineLevel="0" collapsed="false">
      <c r="A203" s="420" t="str">
        <f aca="false">Calculations!A170</f>
        <v>N/A</v>
      </c>
      <c r="B203" s="421" t="str">
        <f aca="false">IF(A203="N/A"," ",IF(ISERROR(N203),B191*Pwresc,N203)*VLOOKUP(MONTH(A203),Curveadj,3))</f>
        <v> </v>
      </c>
      <c r="C203" s="422" t="str">
        <f aca="false">IF(A203="N/A"," ",(IF(AND(MONTH(A203)&gt;=6,MONTH(A203)&lt;=8,OR($M$37="REGION 2",$M$37="REGION 2A",$M$37="REGION 2B",$M$37="REGION 3",$M$37="REGION 3A",$M$37="REGION 3B",$M$37="REGION 4",$M$37="REGION 4B",$M$37="REGION 4C",$M$37="REGION 5",$M$37="REGION 5A")),((0.059228/(B203/100))-(0.4980013/(SQRT(B203/100)))+2.137988),HLOOKUP(MONTH(A203),ScalarTable,28))))</f>
        <v> </v>
      </c>
      <c r="D203" s="423" t="str">
        <f aca="false">IF(A203="N/A"," ",C203*B203)</f>
        <v> </v>
      </c>
      <c r="E203" s="421" t="str">
        <f aca="false">IF(A203="N/A"," ",IF(ISERROR(O203),E191*Pwresc,O203)*VLOOKUP(MONTH(A203),Curveadj,3))</f>
        <v> </v>
      </c>
      <c r="F203" s="423" t="str">
        <f aca="false">IF(A203="N/A"," ",E203*C203)</f>
        <v> </v>
      </c>
      <c r="G203" s="421" t="str">
        <f aca="false">IF(A203="N/A"," ",IF(ISERROR(P203),G191*Pwresc,P203)*VLOOKUP(MONTH(A203),Curveadj,3))</f>
        <v> </v>
      </c>
      <c r="H203" s="423" t="str">
        <f aca="false">IF(A203="N/A"," ",G203*C203)</f>
        <v> </v>
      </c>
      <c r="I203" s="423" t="str">
        <f aca="false">IF(A203="N/A"," ",IF(ISERROR(Q203),I191*Pwresc,Q203))</f>
        <v> </v>
      </c>
      <c r="J203" s="424" t="str">
        <f aca="false">IF(A203="N/A"," ",K203+L203+T203)</f>
        <v> </v>
      </c>
      <c r="K203" s="425" t="str">
        <f aca="false">IF(A203="N/A"," ",IF(ISERROR(R203),K191*Gasesc,R203))</f>
        <v> </v>
      </c>
      <c r="L203" s="425" t="str">
        <f aca="false">IF(A203="N/A"," ",IF(ISERROR(S203),L191*Gasesc,IF(S203=0,L191*Gasesc,S203)))</f>
        <v> </v>
      </c>
      <c r="M203" s="431"/>
      <c r="N203" s="427" t="str">
        <f aca="false">IF(A203="N/A"," ",VLOOKUP(A203,PeakPowerCurves,(IF(BMO=2,3,IF(BMO=1,2,4))),FALSE()))</f>
        <v> </v>
      </c>
      <c r="O203" s="427" t="str">
        <f aca="false">IF(A203="N/A"," ",VLOOKUP(A203,SatSunPeakPwr,(IF(BMO=2,3,IF(BMO=1,2,4))),FALSE()))</f>
        <v> </v>
      </c>
      <c r="P203" s="427" t="str">
        <f aca="false">IF(A203="N/A"," ",VLOOKUP(A203,SatSunPeakPwr,(IF(BMO=2,7,IF(BMO=1,6,8))),FALSE()))</f>
        <v> </v>
      </c>
      <c r="Q203" s="428" t="str">
        <f aca="false">IF(A203="N/A"," ",(VLOOKUP(A203,OPPowerPrices,(IF(BMO=2,7,IF(BMO=1,6,8))),FALSE())))</f>
        <v> </v>
      </c>
      <c r="R203" s="429" t="str">
        <f aca="false">IF(A203="N/A"," ",(VLOOKUP(A203,GasCurves,9,FALSE()))+IF(BMO=1,Gasbmo,IF(BMO=3,-Gasbmo,0)))</f>
        <v> </v>
      </c>
      <c r="S203" s="429" t="str">
        <f aca="false">IF(A203="N/A"," ",IF(Basischeck=TRUE(),(VLOOKUP(A203,GasCurves,IF(MONTH(A203)&gt;=4,IF(MONTH(A203)&lt;=10,11,12),12),FALSE())),0))</f>
        <v> </v>
      </c>
      <c r="T203" s="429" t="str">
        <f aca="false">IF(A203="N/A"," ",(IF(MONTH(A203)&gt;=4,IF(MONTH(A203)&lt;=10,Inputs!$H$2,Inputs!$H$3),Inputs!$H$3)))</f>
        <v> </v>
      </c>
      <c r="U203" s="430" t="str">
        <f aca="false">IF(A203="N/A"," ",(VLOOKUP($A203,InterestRatesTable,2)))</f>
        <v> </v>
      </c>
      <c r="AF203" s="384" t="n">
        <v>42614</v>
      </c>
      <c r="AG203" s="36" t="n">
        <v>21</v>
      </c>
      <c r="AH203" s="36" t="n">
        <v>4</v>
      </c>
      <c r="AI203" s="36" t="n">
        <v>5</v>
      </c>
      <c r="AJ203" s="36" t="n">
        <v>1</v>
      </c>
      <c r="AK203" s="36" t="n">
        <v>30</v>
      </c>
    </row>
    <row r="204" customFormat="false" ht="12.75" hidden="false" customHeight="false" outlineLevel="0" collapsed="false">
      <c r="A204" s="420" t="str">
        <f aca="false">Calculations!A171</f>
        <v>N/A</v>
      </c>
      <c r="B204" s="421" t="str">
        <f aca="false">IF(A204="N/A"," ",IF(ISERROR(N204),B192*Pwresc,N204)*VLOOKUP(MONTH(A204),Curveadj,3))</f>
        <v> </v>
      </c>
      <c r="C204" s="422" t="str">
        <f aca="false">IF(A204="N/A"," ",(IF(AND(MONTH(A204)&gt;=6,MONTH(A204)&lt;=8,OR($M$37="REGION 2",$M$37="REGION 2A",$M$37="REGION 2B",$M$37="REGION 3",$M$37="REGION 3A",$M$37="REGION 3B",$M$37="REGION 4",$M$37="REGION 4B",$M$37="REGION 4C",$M$37="REGION 5",$M$37="REGION 5A")),((0.059228/(B204/100))-(0.4980013/(SQRT(B204/100)))+2.137988),HLOOKUP(MONTH(A204),ScalarTable,28))))</f>
        <v> </v>
      </c>
      <c r="D204" s="423" t="str">
        <f aca="false">IF(A204="N/A"," ",C204*B204)</f>
        <v> </v>
      </c>
      <c r="E204" s="421" t="str">
        <f aca="false">IF(A204="N/A"," ",IF(ISERROR(O204),E192*Pwresc,O204)*VLOOKUP(MONTH(A204),Curveadj,3))</f>
        <v> </v>
      </c>
      <c r="F204" s="423" t="str">
        <f aca="false">IF(A204="N/A"," ",E204*C204)</f>
        <v> </v>
      </c>
      <c r="G204" s="421" t="str">
        <f aca="false">IF(A204="N/A"," ",IF(ISERROR(P204),G192*Pwresc,P204)*VLOOKUP(MONTH(A204),Curveadj,3))</f>
        <v> </v>
      </c>
      <c r="H204" s="423" t="str">
        <f aca="false">IF(A204="N/A"," ",G204*C204)</f>
        <v> </v>
      </c>
      <c r="I204" s="423" t="str">
        <f aca="false">IF(A204="N/A"," ",IF(ISERROR(Q204),I192*Pwresc,Q204))</f>
        <v> </v>
      </c>
      <c r="J204" s="424" t="str">
        <f aca="false">IF(A204="N/A"," ",K204+L204+T204)</f>
        <v> </v>
      </c>
      <c r="K204" s="425" t="str">
        <f aca="false">IF(A204="N/A"," ",IF(ISERROR(R204),K192*Gasesc,R204))</f>
        <v> </v>
      </c>
      <c r="L204" s="425" t="str">
        <f aca="false">IF(A204="N/A"," ",IF(ISERROR(S204),L192*Gasesc,IF(S204=0,L192*Gasesc,S204)))</f>
        <v> </v>
      </c>
      <c r="M204" s="431"/>
      <c r="N204" s="427" t="str">
        <f aca="false">IF(A204="N/A"," ",VLOOKUP(A204,PeakPowerCurves,(IF(BMO=2,3,IF(BMO=1,2,4))),FALSE()))</f>
        <v> </v>
      </c>
      <c r="O204" s="427" t="str">
        <f aca="false">IF(A204="N/A"," ",VLOOKUP(A204,SatSunPeakPwr,(IF(BMO=2,3,IF(BMO=1,2,4))),FALSE()))</f>
        <v> </v>
      </c>
      <c r="P204" s="427" t="str">
        <f aca="false">IF(A204="N/A"," ",VLOOKUP(A204,SatSunPeakPwr,(IF(BMO=2,7,IF(BMO=1,6,8))),FALSE()))</f>
        <v> </v>
      </c>
      <c r="Q204" s="428" t="str">
        <f aca="false">IF(A204="N/A"," ",(VLOOKUP(A204,OPPowerPrices,(IF(BMO=2,7,IF(BMO=1,6,8))),FALSE())))</f>
        <v> </v>
      </c>
      <c r="R204" s="429" t="str">
        <f aca="false">IF(A204="N/A"," ",(VLOOKUP(A204,GasCurves,9,FALSE()))+IF(BMO=1,Gasbmo,IF(BMO=3,-Gasbmo,0)))</f>
        <v> </v>
      </c>
      <c r="S204" s="429" t="str">
        <f aca="false">IF(A204="N/A"," ",IF(Basischeck=TRUE(),(VLOOKUP(A204,GasCurves,IF(MONTH(A204)&gt;=4,IF(MONTH(A204)&lt;=10,11,12),12),FALSE())),0))</f>
        <v> </v>
      </c>
      <c r="T204" s="429" t="str">
        <f aca="false">IF(A204="N/A"," ",(IF(MONTH(A204)&gt;=4,IF(MONTH(A204)&lt;=10,Inputs!$H$2,Inputs!$H$3),Inputs!$H$3)))</f>
        <v> </v>
      </c>
      <c r="U204" s="430" t="str">
        <f aca="false">IF(A204="N/A"," ",(VLOOKUP($A204,InterestRatesTable,2)))</f>
        <v> </v>
      </c>
      <c r="AF204" s="384" t="n">
        <v>42644</v>
      </c>
      <c r="AG204" s="36" t="n">
        <v>21</v>
      </c>
      <c r="AH204" s="36" t="n">
        <v>5</v>
      </c>
      <c r="AI204" s="36" t="n">
        <v>5</v>
      </c>
      <c r="AJ204" s="36" t="n">
        <v>0</v>
      </c>
      <c r="AK204" s="36" t="n">
        <v>31</v>
      </c>
    </row>
    <row r="205" customFormat="false" ht="12.75" hidden="false" customHeight="false" outlineLevel="0" collapsed="false">
      <c r="A205" s="420" t="str">
        <f aca="false">Calculations!A172</f>
        <v>N/A</v>
      </c>
      <c r="B205" s="421" t="str">
        <f aca="false">IF(A205="N/A"," ",IF(ISERROR(N205),B193*Pwresc,N205)*VLOOKUP(MONTH(A205),Curveadj,3))</f>
        <v> </v>
      </c>
      <c r="C205" s="422" t="str">
        <f aca="false">IF(A205="N/A"," ",(IF(AND(MONTH(A205)&gt;=6,MONTH(A205)&lt;=8,OR($M$37="REGION 2",$M$37="REGION 2A",$M$37="REGION 2B",$M$37="REGION 3",$M$37="REGION 3A",$M$37="REGION 3B",$M$37="REGION 4",$M$37="REGION 4B",$M$37="REGION 4C",$M$37="REGION 5",$M$37="REGION 5A")),((0.059228/(B205/100))-(0.4980013/(SQRT(B205/100)))+2.137988),HLOOKUP(MONTH(A205),ScalarTable,28))))</f>
        <v> </v>
      </c>
      <c r="D205" s="423" t="str">
        <f aca="false">IF(A205="N/A"," ",C205*B205)</f>
        <v> </v>
      </c>
      <c r="E205" s="421" t="str">
        <f aca="false">IF(A205="N/A"," ",IF(ISERROR(O205),E193*Pwresc,O205)*VLOOKUP(MONTH(A205),Curveadj,3))</f>
        <v> </v>
      </c>
      <c r="F205" s="423" t="str">
        <f aca="false">IF(A205="N/A"," ",E205*C205)</f>
        <v> </v>
      </c>
      <c r="G205" s="421" t="str">
        <f aca="false">IF(A205="N/A"," ",IF(ISERROR(P205),G193*Pwresc,P205)*VLOOKUP(MONTH(A205),Curveadj,3))</f>
        <v> </v>
      </c>
      <c r="H205" s="423" t="str">
        <f aca="false">IF(A205="N/A"," ",G205*C205)</f>
        <v> </v>
      </c>
      <c r="I205" s="423" t="str">
        <f aca="false">IF(A205="N/A"," ",IF(ISERROR(Q205),I193*Pwresc,Q205))</f>
        <v> </v>
      </c>
      <c r="J205" s="424" t="str">
        <f aca="false">IF(A205="N/A"," ",K205+L205+T205)</f>
        <v> </v>
      </c>
      <c r="K205" s="425" t="str">
        <f aca="false">IF(A205="N/A"," ",IF(ISERROR(R205),K193*Gasesc,R205))</f>
        <v> </v>
      </c>
      <c r="L205" s="425" t="str">
        <f aca="false">IF(A205="N/A"," ",IF(ISERROR(S205),L193*Gasesc,IF(S205=0,L193*Gasesc,S205)))</f>
        <v> </v>
      </c>
      <c r="M205" s="431"/>
      <c r="N205" s="427" t="str">
        <f aca="false">IF(A205="N/A"," ",VLOOKUP(A205,PeakPowerCurves,(IF(BMO=2,3,IF(BMO=1,2,4))),FALSE()))</f>
        <v> </v>
      </c>
      <c r="O205" s="427" t="str">
        <f aca="false">IF(A205="N/A"," ",VLOOKUP(A205,SatSunPeakPwr,(IF(BMO=2,3,IF(BMO=1,2,4))),FALSE()))</f>
        <v> </v>
      </c>
      <c r="P205" s="427" t="str">
        <f aca="false">IF(A205="N/A"," ",VLOOKUP(A205,SatSunPeakPwr,(IF(BMO=2,7,IF(BMO=1,6,8))),FALSE()))</f>
        <v> </v>
      </c>
      <c r="Q205" s="428" t="str">
        <f aca="false">IF(A205="N/A"," ",(VLOOKUP(A205,OPPowerPrices,(IF(BMO=2,7,IF(BMO=1,6,8))),FALSE())))</f>
        <v> </v>
      </c>
      <c r="R205" s="429" t="str">
        <f aca="false">IF(A205="N/A"," ",(VLOOKUP(A205,GasCurves,9,FALSE()))+IF(BMO=1,Gasbmo,IF(BMO=3,-Gasbmo,0)))</f>
        <v> </v>
      </c>
      <c r="S205" s="429" t="str">
        <f aca="false">IF(A205="N/A"," ",IF(Basischeck=TRUE(),(VLOOKUP(A205,GasCurves,IF(MONTH(A205)&gt;=4,IF(MONTH(A205)&lt;=10,11,12),12),FALSE())),0))</f>
        <v> </v>
      </c>
      <c r="T205" s="429" t="str">
        <f aca="false">IF(A205="N/A"," ",(IF(MONTH(A205)&gt;=4,IF(MONTH(A205)&lt;=10,Inputs!$H$2,Inputs!$H$3),Inputs!$H$3)))</f>
        <v> </v>
      </c>
      <c r="U205" s="430" t="str">
        <f aca="false">IF(A205="N/A"," ",(VLOOKUP($A205,InterestRatesTable,2)))</f>
        <v> </v>
      </c>
      <c r="AF205" s="384" t="n">
        <v>42675</v>
      </c>
      <c r="AG205" s="36" t="n">
        <v>21</v>
      </c>
      <c r="AH205" s="36" t="n">
        <v>4</v>
      </c>
      <c r="AI205" s="36" t="n">
        <v>5</v>
      </c>
      <c r="AJ205" s="36" t="n">
        <v>1</v>
      </c>
      <c r="AK205" s="36" t="n">
        <v>30</v>
      </c>
    </row>
    <row r="206" customFormat="false" ht="12.75" hidden="false" customHeight="false" outlineLevel="0" collapsed="false">
      <c r="A206" s="420" t="str">
        <f aca="false">Calculations!A173</f>
        <v>N/A</v>
      </c>
      <c r="B206" s="421" t="str">
        <f aca="false">IF(A206="N/A"," ",IF(ISERROR(N206),B194*Pwresc,N206)*VLOOKUP(MONTH(A206),Curveadj,3))</f>
        <v> </v>
      </c>
      <c r="C206" s="422" t="str">
        <f aca="false">IF(A206="N/A"," ",(IF(AND(MONTH(A206)&gt;=6,MONTH(A206)&lt;=8,OR($M$37="REGION 2",$M$37="REGION 2A",$M$37="REGION 2B",$M$37="REGION 3",$M$37="REGION 3A",$M$37="REGION 3B",$M$37="REGION 4",$M$37="REGION 4B",$M$37="REGION 4C",$M$37="REGION 5",$M$37="REGION 5A")),((0.059228/(B206/100))-(0.4980013/(SQRT(B206/100)))+2.137988),HLOOKUP(MONTH(A206),ScalarTable,28))))</f>
        <v> </v>
      </c>
      <c r="D206" s="423" t="str">
        <f aca="false">IF(A206="N/A"," ",C206*B206)</f>
        <v> </v>
      </c>
      <c r="E206" s="421" t="str">
        <f aca="false">IF(A206="N/A"," ",IF(ISERROR(O206),E194*Pwresc,O206)*VLOOKUP(MONTH(A206),Curveadj,3))</f>
        <v> </v>
      </c>
      <c r="F206" s="423" t="str">
        <f aca="false">IF(A206="N/A"," ",E206*C206)</f>
        <v> </v>
      </c>
      <c r="G206" s="421" t="str">
        <f aca="false">IF(A206="N/A"," ",IF(ISERROR(P206),G194*Pwresc,P206)*VLOOKUP(MONTH(A206),Curveadj,3))</f>
        <v> </v>
      </c>
      <c r="H206" s="423" t="str">
        <f aca="false">IF(A206="N/A"," ",G206*C206)</f>
        <v> </v>
      </c>
      <c r="I206" s="423" t="str">
        <f aca="false">IF(A206="N/A"," ",IF(ISERROR(Q206),I194*Pwresc,Q206))</f>
        <v> </v>
      </c>
      <c r="J206" s="424" t="str">
        <f aca="false">IF(A206="N/A"," ",K206+L206+T206)</f>
        <v> </v>
      </c>
      <c r="K206" s="425" t="str">
        <f aca="false">IF(A206="N/A"," ",IF(ISERROR(R206),K194*Gasesc,R206))</f>
        <v> </v>
      </c>
      <c r="L206" s="425" t="str">
        <f aca="false">IF(A206="N/A"," ",IF(ISERROR(S206),L194*Gasesc,IF(S206=0,L194*Gasesc,S206)))</f>
        <v> </v>
      </c>
      <c r="M206" s="431"/>
      <c r="N206" s="427" t="str">
        <f aca="false">IF(A206="N/A"," ",VLOOKUP(A206,PeakPowerCurves,(IF(BMO=2,3,IF(BMO=1,2,4))),FALSE()))</f>
        <v> </v>
      </c>
      <c r="O206" s="427" t="str">
        <f aca="false">IF(A206="N/A"," ",VLOOKUP(A206,SatSunPeakPwr,(IF(BMO=2,3,IF(BMO=1,2,4))),FALSE()))</f>
        <v> </v>
      </c>
      <c r="P206" s="427" t="str">
        <f aca="false">IF(A206="N/A"," ",VLOOKUP(A206,SatSunPeakPwr,(IF(BMO=2,7,IF(BMO=1,6,8))),FALSE()))</f>
        <v> </v>
      </c>
      <c r="Q206" s="428" t="str">
        <f aca="false">IF(A206="N/A"," ",(VLOOKUP(A206,OPPowerPrices,(IF(BMO=2,7,IF(BMO=1,6,8))),FALSE())))</f>
        <v> </v>
      </c>
      <c r="R206" s="429" t="str">
        <f aca="false">IF(A206="N/A"," ",(VLOOKUP(A206,GasCurves,9,FALSE()))+IF(BMO=1,Gasbmo,IF(BMO=3,-Gasbmo,0)))</f>
        <v> </v>
      </c>
      <c r="S206" s="429" t="str">
        <f aca="false">IF(A206="N/A"," ",IF(Basischeck=TRUE(),(VLOOKUP(A206,GasCurves,IF(MONTH(A206)&gt;=4,IF(MONTH(A206)&lt;=10,11,12),12),FALSE())),0))</f>
        <v> </v>
      </c>
      <c r="T206" s="429" t="str">
        <f aca="false">IF(A206="N/A"," ",(IF(MONTH(A206)&gt;=4,IF(MONTH(A206)&lt;=10,Inputs!$H$2,Inputs!$H$3),Inputs!$H$3)))</f>
        <v> </v>
      </c>
      <c r="U206" s="430" t="str">
        <f aca="false">IF(A206="N/A"," ",(VLOOKUP($A206,InterestRatesTable,2)))</f>
        <v> </v>
      </c>
      <c r="AF206" s="384" t="n">
        <v>42705</v>
      </c>
      <c r="AG206" s="36" t="n">
        <v>21</v>
      </c>
      <c r="AH206" s="36" t="n">
        <v>5</v>
      </c>
      <c r="AI206" s="36" t="n">
        <v>5</v>
      </c>
      <c r="AJ206" s="36" t="n">
        <v>1</v>
      </c>
      <c r="AK206" s="36" t="n">
        <v>31</v>
      </c>
    </row>
    <row r="207" customFormat="false" ht="12.75" hidden="false" customHeight="false" outlineLevel="0" collapsed="false">
      <c r="A207" s="420" t="str">
        <f aca="false">Calculations!A174</f>
        <v>N/A</v>
      </c>
      <c r="B207" s="421" t="str">
        <f aca="false">IF(A207="N/A"," ",IF(ISERROR(N207),B195*Pwresc,N207)*VLOOKUP(MONTH(A207),Curveadj,3))</f>
        <v> </v>
      </c>
      <c r="C207" s="422" t="str">
        <f aca="false">IF(A207="N/A"," ",(IF(AND(MONTH(A207)&gt;=6,MONTH(A207)&lt;=8,OR($M$37="REGION 2",$M$37="REGION 2A",$M$37="REGION 2B",$M$37="REGION 3",$M$37="REGION 3A",$M$37="REGION 3B",$M$37="REGION 4",$M$37="REGION 4B",$M$37="REGION 4C",$M$37="REGION 5",$M$37="REGION 5A")),((0.059228/(B207/100))-(0.4980013/(SQRT(B207/100)))+2.137988),HLOOKUP(MONTH(A207),ScalarTable,28))))</f>
        <v> </v>
      </c>
      <c r="D207" s="423" t="str">
        <f aca="false">IF(A207="N/A"," ",C207*B207)</f>
        <v> </v>
      </c>
      <c r="E207" s="421" t="str">
        <f aca="false">IF(A207="N/A"," ",IF(ISERROR(O207),E195*Pwresc,O207)*VLOOKUP(MONTH(A207),Curveadj,3))</f>
        <v> </v>
      </c>
      <c r="F207" s="423" t="str">
        <f aca="false">IF(A207="N/A"," ",E207*C207)</f>
        <v> </v>
      </c>
      <c r="G207" s="421" t="str">
        <f aca="false">IF(A207="N/A"," ",IF(ISERROR(P207),G195*Pwresc,P207)*VLOOKUP(MONTH(A207),Curveadj,3))</f>
        <v> </v>
      </c>
      <c r="H207" s="423" t="str">
        <f aca="false">IF(A207="N/A"," ",G207*C207)</f>
        <v> </v>
      </c>
      <c r="I207" s="423" t="str">
        <f aca="false">IF(A207="N/A"," ",IF(ISERROR(Q207),I195*Pwresc,Q207))</f>
        <v> </v>
      </c>
      <c r="J207" s="424" t="str">
        <f aca="false">IF(A207="N/A"," ",K207+L207+T207)</f>
        <v> </v>
      </c>
      <c r="K207" s="425" t="str">
        <f aca="false">IF(A207="N/A"," ",IF(ISERROR(R207),K195*Gasesc,R207))</f>
        <v> </v>
      </c>
      <c r="L207" s="425" t="str">
        <f aca="false">IF(A207="N/A"," ",IF(ISERROR(S207),L195*Gasesc,IF(S207=0,L195*Gasesc,S207)))</f>
        <v> </v>
      </c>
      <c r="M207" s="431"/>
      <c r="N207" s="427" t="str">
        <f aca="false">IF(A207="N/A"," ",VLOOKUP(A207,PeakPowerCurves,(IF(BMO=2,3,IF(BMO=1,2,4))),FALSE()))</f>
        <v> </v>
      </c>
      <c r="O207" s="427" t="str">
        <f aca="false">IF(A207="N/A"," ",VLOOKUP(A207,SatSunPeakPwr,(IF(BMO=2,3,IF(BMO=1,2,4))),FALSE()))</f>
        <v> </v>
      </c>
      <c r="P207" s="427" t="str">
        <f aca="false">IF(A207="N/A"," ",VLOOKUP(A207,SatSunPeakPwr,(IF(BMO=2,7,IF(BMO=1,6,8))),FALSE()))</f>
        <v> </v>
      </c>
      <c r="Q207" s="428" t="str">
        <f aca="false">IF(A207="N/A"," ",(VLOOKUP(A207,OPPowerPrices,(IF(BMO=2,7,IF(BMO=1,6,8))),FALSE())))</f>
        <v> </v>
      </c>
      <c r="R207" s="429" t="str">
        <f aca="false">IF(A207="N/A"," ",(VLOOKUP(A207,GasCurves,9,FALSE()))+IF(BMO=1,Gasbmo,IF(BMO=3,-Gasbmo,0)))</f>
        <v> </v>
      </c>
      <c r="S207" s="429" t="str">
        <f aca="false">IF(A207="N/A"," ",IF(Basischeck=TRUE(),(VLOOKUP(A207,GasCurves,IF(MONTH(A207)&gt;=4,IF(MONTH(A207)&lt;=10,11,12),12),FALSE())),0))</f>
        <v> </v>
      </c>
      <c r="T207" s="429" t="str">
        <f aca="false">IF(A207="N/A"," ",(IF(MONTH(A207)&gt;=4,IF(MONTH(A207)&lt;=10,Inputs!$H$2,Inputs!$H$3),Inputs!$H$3)))</f>
        <v> </v>
      </c>
      <c r="U207" s="430" t="str">
        <f aca="false">IF(A207="N/A"," ",(VLOOKUP($A207,InterestRatesTable,2)))</f>
        <v> </v>
      </c>
      <c r="AF207" s="384" t="n">
        <v>42736</v>
      </c>
      <c r="AG207" s="36" t="n">
        <v>21</v>
      </c>
      <c r="AH207" s="36" t="n">
        <v>4</v>
      </c>
      <c r="AI207" s="36" t="n">
        <v>6</v>
      </c>
      <c r="AJ207" s="36" t="n">
        <v>1</v>
      </c>
      <c r="AK207" s="36" t="n">
        <v>31</v>
      </c>
    </row>
    <row r="208" customFormat="false" ht="12.75" hidden="false" customHeight="false" outlineLevel="0" collapsed="false">
      <c r="A208" s="420" t="str">
        <f aca="false">Calculations!A175</f>
        <v>N/A</v>
      </c>
      <c r="B208" s="421" t="str">
        <f aca="false">IF(A208="N/A"," ",IF(ISERROR(N208),B196*Pwresc,N208)*VLOOKUP(MONTH(A208),Curveadj,3))</f>
        <v> </v>
      </c>
      <c r="C208" s="422" t="str">
        <f aca="false">IF(A208="N/A"," ",(IF(AND(MONTH(A208)&gt;=6,MONTH(A208)&lt;=8,OR($M$37="REGION 2",$M$37="REGION 2A",$M$37="REGION 2B",$M$37="REGION 3",$M$37="REGION 3A",$M$37="REGION 3B",$M$37="REGION 4",$M$37="REGION 4B",$M$37="REGION 4C",$M$37="REGION 5",$M$37="REGION 5A")),((0.059228/(B208/100))-(0.4980013/(SQRT(B208/100)))+2.137988),HLOOKUP(MONTH(A208),ScalarTable,28))))</f>
        <v> </v>
      </c>
      <c r="D208" s="423" t="str">
        <f aca="false">IF(A208="N/A"," ",C208*B208)</f>
        <v> </v>
      </c>
      <c r="E208" s="421" t="str">
        <f aca="false">IF(A208="N/A"," ",IF(ISERROR(O208),E196*Pwresc,O208)*VLOOKUP(MONTH(A208),Curveadj,3))</f>
        <v> </v>
      </c>
      <c r="F208" s="423" t="str">
        <f aca="false">IF(A208="N/A"," ",E208*C208)</f>
        <v> </v>
      </c>
      <c r="G208" s="421" t="str">
        <f aca="false">IF(A208="N/A"," ",IF(ISERROR(P208),G196*Pwresc,P208)*VLOOKUP(MONTH(A208),Curveadj,3))</f>
        <v> </v>
      </c>
      <c r="H208" s="423" t="str">
        <f aca="false">IF(A208="N/A"," ",G208*C208)</f>
        <v> </v>
      </c>
      <c r="I208" s="423" t="str">
        <f aca="false">IF(A208="N/A"," ",IF(ISERROR(Q208),I196*Pwresc,Q208))</f>
        <v> </v>
      </c>
      <c r="J208" s="424" t="str">
        <f aca="false">IF(A208="N/A"," ",K208+L208+T208)</f>
        <v> </v>
      </c>
      <c r="K208" s="425" t="str">
        <f aca="false">IF(A208="N/A"," ",IF(ISERROR(R208),K196*Gasesc,R208))</f>
        <v> </v>
      </c>
      <c r="L208" s="425" t="str">
        <f aca="false">IF(A208="N/A"," ",IF(ISERROR(S208),L196*Gasesc,IF(S208=0,L196*Gasesc,S208)))</f>
        <v> </v>
      </c>
      <c r="M208" s="431"/>
      <c r="N208" s="427" t="str">
        <f aca="false">IF(A208="N/A"," ",VLOOKUP(A208,PeakPowerCurves,(IF(BMO=2,3,IF(BMO=1,2,4))),FALSE()))</f>
        <v> </v>
      </c>
      <c r="O208" s="427" t="str">
        <f aca="false">IF(A208="N/A"," ",VLOOKUP(A208,SatSunPeakPwr,(IF(BMO=2,3,IF(BMO=1,2,4))),FALSE()))</f>
        <v> </v>
      </c>
      <c r="P208" s="427" t="str">
        <f aca="false">IF(A208="N/A"," ",VLOOKUP(A208,SatSunPeakPwr,(IF(BMO=2,7,IF(BMO=1,6,8))),FALSE()))</f>
        <v> </v>
      </c>
      <c r="Q208" s="428" t="str">
        <f aca="false">IF(A208="N/A"," ",(VLOOKUP(A208,OPPowerPrices,(IF(BMO=2,7,IF(BMO=1,6,8))),FALSE())))</f>
        <v> </v>
      </c>
      <c r="R208" s="429" t="str">
        <f aca="false">IF(A208="N/A"," ",(VLOOKUP(A208,GasCurves,9,FALSE()))+IF(BMO=1,Gasbmo,IF(BMO=3,-Gasbmo,0)))</f>
        <v> </v>
      </c>
      <c r="S208" s="429" t="str">
        <f aca="false">IF(A208="N/A"," ",IF(Basischeck=TRUE(),(VLOOKUP(A208,GasCurves,IF(MONTH(A208)&gt;=4,IF(MONTH(A208)&lt;=10,11,12),12),FALSE())),0))</f>
        <v> </v>
      </c>
      <c r="T208" s="429" t="str">
        <f aca="false">IF(A208="N/A"," ",(IF(MONTH(A208)&gt;=4,IF(MONTH(A208)&lt;=10,Inputs!$H$2,Inputs!$H$3),Inputs!$H$3)))</f>
        <v> </v>
      </c>
      <c r="U208" s="430" t="str">
        <f aca="false">IF(A208="N/A"," ",(VLOOKUP($A208,InterestRatesTable,2)))</f>
        <v> </v>
      </c>
      <c r="AF208" s="384" t="n">
        <v>42767</v>
      </c>
      <c r="AG208" s="36" t="n">
        <v>20</v>
      </c>
      <c r="AH208" s="36" t="n">
        <v>4</v>
      </c>
      <c r="AI208" s="36" t="n">
        <v>4</v>
      </c>
      <c r="AJ208" s="36" t="n">
        <v>0</v>
      </c>
      <c r="AK208" s="36" t="n">
        <v>28</v>
      </c>
    </row>
    <row r="209" customFormat="false" ht="12.75" hidden="false" customHeight="false" outlineLevel="0" collapsed="false">
      <c r="A209" s="420" t="str">
        <f aca="false">Calculations!A176</f>
        <v>N/A</v>
      </c>
      <c r="B209" s="421" t="str">
        <f aca="false">IF(A209="N/A"," ",IF(ISERROR(N209),B197*Pwresc,N209)*VLOOKUP(MONTH(A209),Curveadj,3))</f>
        <v> </v>
      </c>
      <c r="C209" s="422" t="str">
        <f aca="false">IF(A209="N/A"," ",(IF(AND(MONTH(A209)&gt;=6,MONTH(A209)&lt;=8,OR($M$37="REGION 2",$M$37="REGION 2A",$M$37="REGION 2B",$M$37="REGION 3",$M$37="REGION 3A",$M$37="REGION 3B",$M$37="REGION 4",$M$37="REGION 4B",$M$37="REGION 4C",$M$37="REGION 5",$M$37="REGION 5A")),((0.059228/(B209/100))-(0.4980013/(SQRT(B209/100)))+2.137988),HLOOKUP(MONTH(A209),ScalarTable,28))))</f>
        <v> </v>
      </c>
      <c r="D209" s="423" t="str">
        <f aca="false">IF(A209="N/A"," ",C209*B209)</f>
        <v> </v>
      </c>
      <c r="E209" s="421" t="str">
        <f aca="false">IF(A209="N/A"," ",IF(ISERROR(O209),E197*Pwresc,O209)*VLOOKUP(MONTH(A209),Curveadj,3))</f>
        <v> </v>
      </c>
      <c r="F209" s="423" t="str">
        <f aca="false">IF(A209="N/A"," ",E209*C209)</f>
        <v> </v>
      </c>
      <c r="G209" s="421" t="str">
        <f aca="false">IF(A209="N/A"," ",IF(ISERROR(P209),G197*Pwresc,P209)*VLOOKUP(MONTH(A209),Curveadj,3))</f>
        <v> </v>
      </c>
      <c r="H209" s="423" t="str">
        <f aca="false">IF(A209="N/A"," ",G209*C209)</f>
        <v> </v>
      </c>
      <c r="I209" s="423" t="str">
        <f aca="false">IF(A209="N/A"," ",IF(ISERROR(Q209),I197*Pwresc,Q209))</f>
        <v> </v>
      </c>
      <c r="J209" s="424" t="str">
        <f aca="false">IF(A209="N/A"," ",K209+L209+T209)</f>
        <v> </v>
      </c>
      <c r="K209" s="425" t="str">
        <f aca="false">IF(A209="N/A"," ",IF(ISERROR(R209),K197*Gasesc,R209))</f>
        <v> </v>
      </c>
      <c r="L209" s="425" t="str">
        <f aca="false">IF(A209="N/A"," ",IF(ISERROR(S209),L197*Gasesc,IF(S209=0,L197*Gasesc,S209)))</f>
        <v> </v>
      </c>
      <c r="M209" s="431"/>
      <c r="N209" s="427" t="str">
        <f aca="false">IF(A209="N/A"," ",VLOOKUP(A209,PeakPowerCurves,(IF(BMO=2,3,IF(BMO=1,2,4))),FALSE()))</f>
        <v> </v>
      </c>
      <c r="O209" s="427" t="str">
        <f aca="false">IF(A209="N/A"," ",VLOOKUP(A209,SatSunPeakPwr,(IF(BMO=2,3,IF(BMO=1,2,4))),FALSE()))</f>
        <v> </v>
      </c>
      <c r="P209" s="427" t="str">
        <f aca="false">IF(A209="N/A"," ",VLOOKUP(A209,SatSunPeakPwr,(IF(BMO=2,7,IF(BMO=1,6,8))),FALSE()))</f>
        <v> </v>
      </c>
      <c r="Q209" s="428" t="str">
        <f aca="false">IF(A209="N/A"," ",(VLOOKUP(A209,OPPowerPrices,(IF(BMO=2,7,IF(BMO=1,6,8))),FALSE())))</f>
        <v> </v>
      </c>
      <c r="R209" s="429" t="str">
        <f aca="false">IF(A209="N/A"," ",(VLOOKUP(A209,GasCurves,9,FALSE()))+IF(BMO=1,Gasbmo,IF(BMO=3,-Gasbmo,0)))</f>
        <v> </v>
      </c>
      <c r="S209" s="429" t="str">
        <f aca="false">IF(A209="N/A"," ",IF(Basischeck=TRUE(),(VLOOKUP(A209,GasCurves,IF(MONTH(A209)&gt;=4,IF(MONTH(A209)&lt;=10,11,12),12),FALSE())),0))</f>
        <v> </v>
      </c>
      <c r="T209" s="429" t="str">
        <f aca="false">IF(A209="N/A"," ",(IF(MONTH(A209)&gt;=4,IF(MONTH(A209)&lt;=10,Inputs!$H$2,Inputs!$H$3),Inputs!$H$3)))</f>
        <v> </v>
      </c>
      <c r="U209" s="430" t="str">
        <f aca="false">IF(A209="N/A"," ",(VLOOKUP($A209,InterestRatesTable,2)))</f>
        <v> </v>
      </c>
      <c r="AF209" s="384" t="n">
        <v>42795</v>
      </c>
      <c r="AG209" s="36" t="n">
        <v>23</v>
      </c>
      <c r="AH209" s="36" t="n">
        <v>4</v>
      </c>
      <c r="AI209" s="36" t="n">
        <v>4</v>
      </c>
      <c r="AJ209" s="36" t="n">
        <v>0</v>
      </c>
      <c r="AK209" s="36" t="n">
        <v>31</v>
      </c>
    </row>
    <row r="210" customFormat="false" ht="12.75" hidden="false" customHeight="false" outlineLevel="0" collapsed="false">
      <c r="A210" s="420" t="str">
        <f aca="false">Calculations!A177</f>
        <v>N/A</v>
      </c>
      <c r="B210" s="421" t="str">
        <f aca="false">IF(A210="N/A"," ",IF(ISERROR(N210),B198*Pwresc,N210)*VLOOKUP(MONTH(A210),Curveadj,3))</f>
        <v> </v>
      </c>
      <c r="C210" s="422" t="str">
        <f aca="false">IF(A210="N/A"," ",(IF(AND(MONTH(A210)&gt;=6,MONTH(A210)&lt;=8,OR($M$37="REGION 2",$M$37="REGION 2A",$M$37="REGION 2B",$M$37="REGION 3",$M$37="REGION 3A",$M$37="REGION 3B",$M$37="REGION 4",$M$37="REGION 4B",$M$37="REGION 4C",$M$37="REGION 5",$M$37="REGION 5A")),((0.059228/(B210/100))-(0.4980013/(SQRT(B210/100)))+2.137988),HLOOKUP(MONTH(A210),ScalarTable,28))))</f>
        <v> </v>
      </c>
      <c r="D210" s="423" t="str">
        <f aca="false">IF(A210="N/A"," ",C210*B210)</f>
        <v> </v>
      </c>
      <c r="E210" s="421" t="str">
        <f aca="false">IF(A210="N/A"," ",IF(ISERROR(O210),E198*Pwresc,O210)*VLOOKUP(MONTH(A210),Curveadj,3))</f>
        <v> </v>
      </c>
      <c r="F210" s="423" t="str">
        <f aca="false">IF(A210="N/A"," ",E210*C210)</f>
        <v> </v>
      </c>
      <c r="G210" s="421" t="str">
        <f aca="false">IF(A210="N/A"," ",IF(ISERROR(P210),G198*Pwresc,P210)*VLOOKUP(MONTH(A210),Curveadj,3))</f>
        <v> </v>
      </c>
      <c r="H210" s="423" t="str">
        <f aca="false">IF(A210="N/A"," ",G210*C210)</f>
        <v> </v>
      </c>
      <c r="I210" s="423" t="str">
        <f aca="false">IF(A210="N/A"," ",IF(ISERROR(Q210),I198*Pwresc,Q210))</f>
        <v> </v>
      </c>
      <c r="J210" s="424" t="str">
        <f aca="false">IF(A210="N/A"," ",K210+L210+T210)</f>
        <v> </v>
      </c>
      <c r="K210" s="425" t="str">
        <f aca="false">IF(A210="N/A"," ",IF(ISERROR(R210),K198*Gasesc,R210))</f>
        <v> </v>
      </c>
      <c r="L210" s="425" t="str">
        <f aca="false">IF(A210="N/A"," ",IF(ISERROR(S210),L198*Gasesc,IF(S210=0,L198*Gasesc,S210)))</f>
        <v> </v>
      </c>
      <c r="M210" s="431"/>
      <c r="N210" s="427" t="str">
        <f aca="false">IF(A210="N/A"," ",VLOOKUP(A210,PeakPowerCurves,(IF(BMO=2,3,IF(BMO=1,2,4))),FALSE()))</f>
        <v> </v>
      </c>
      <c r="O210" s="427" t="str">
        <f aca="false">IF(A210="N/A"," ",VLOOKUP(A210,SatSunPeakPwr,(IF(BMO=2,3,IF(BMO=1,2,4))),FALSE()))</f>
        <v> </v>
      </c>
      <c r="P210" s="427" t="str">
        <f aca="false">IF(A210="N/A"," ",VLOOKUP(A210,SatSunPeakPwr,(IF(BMO=2,7,IF(BMO=1,6,8))),FALSE()))</f>
        <v> </v>
      </c>
      <c r="Q210" s="428" t="str">
        <f aca="false">IF(A210="N/A"," ",(VLOOKUP(A210,OPPowerPrices,(IF(BMO=2,7,IF(BMO=1,6,8))),FALSE())))</f>
        <v> </v>
      </c>
      <c r="R210" s="429" t="str">
        <f aca="false">IF(A210="N/A"," ",(VLOOKUP(A210,GasCurves,9,FALSE()))+IF(BMO=1,Gasbmo,IF(BMO=3,-Gasbmo,0)))</f>
        <v> </v>
      </c>
      <c r="S210" s="429" t="str">
        <f aca="false">IF(A210="N/A"," ",IF(Basischeck=TRUE(),(VLOOKUP(A210,GasCurves,IF(MONTH(A210)&gt;=4,IF(MONTH(A210)&lt;=10,11,12),12),FALSE())),0))</f>
        <v> </v>
      </c>
      <c r="T210" s="429" t="str">
        <f aca="false">IF(A210="N/A"," ",(IF(MONTH(A210)&gt;=4,IF(MONTH(A210)&lt;=10,Inputs!$H$2,Inputs!$H$3),Inputs!$H$3)))</f>
        <v> </v>
      </c>
      <c r="U210" s="430" t="str">
        <f aca="false">IF(A210="N/A"," ",(VLOOKUP($A210,InterestRatesTable,2)))</f>
        <v> </v>
      </c>
      <c r="AF210" s="384" t="n">
        <v>42826</v>
      </c>
      <c r="AG210" s="36" t="n">
        <v>20</v>
      </c>
      <c r="AH210" s="36" t="n">
        <v>5</v>
      </c>
      <c r="AI210" s="36" t="n">
        <v>5</v>
      </c>
      <c r="AJ210" s="36" t="n">
        <v>0</v>
      </c>
      <c r="AK210" s="36" t="n">
        <v>30</v>
      </c>
    </row>
    <row r="211" customFormat="false" ht="12.75" hidden="false" customHeight="false" outlineLevel="0" collapsed="false">
      <c r="A211" s="420" t="str">
        <f aca="false">Calculations!A178</f>
        <v>N/A</v>
      </c>
      <c r="B211" s="421" t="str">
        <f aca="false">IF(A211="N/A"," ",IF(ISERROR(N211),B199*Pwresc,N211)*VLOOKUP(MONTH(A211),Curveadj,3))</f>
        <v> </v>
      </c>
      <c r="C211" s="422" t="str">
        <f aca="false">IF(A211="N/A"," ",(IF(AND(MONTH(A211)&gt;=6,MONTH(A211)&lt;=8,OR($M$37="REGION 2",$M$37="REGION 2A",$M$37="REGION 2B",$M$37="REGION 3",$M$37="REGION 3A",$M$37="REGION 3B",$M$37="REGION 4",$M$37="REGION 4B",$M$37="REGION 4C",$M$37="REGION 5",$M$37="REGION 5A")),((0.059228/(B211/100))-(0.4980013/(SQRT(B211/100)))+2.137988),HLOOKUP(MONTH(A211),ScalarTable,28))))</f>
        <v> </v>
      </c>
      <c r="D211" s="423" t="str">
        <f aca="false">IF(A211="N/A"," ",C211*B211)</f>
        <v> </v>
      </c>
      <c r="E211" s="421" t="str">
        <f aca="false">IF(A211="N/A"," ",IF(ISERROR(O211),E199*Pwresc,O211)*VLOOKUP(MONTH(A211),Curveadj,3))</f>
        <v> </v>
      </c>
      <c r="F211" s="423" t="str">
        <f aca="false">IF(A211="N/A"," ",E211*C211)</f>
        <v> </v>
      </c>
      <c r="G211" s="421" t="str">
        <f aca="false">IF(A211="N/A"," ",IF(ISERROR(P211),G199*Pwresc,P211)*VLOOKUP(MONTH(A211),Curveadj,3))</f>
        <v> </v>
      </c>
      <c r="H211" s="423" t="str">
        <f aca="false">IF(A211="N/A"," ",G211*C211)</f>
        <v> </v>
      </c>
      <c r="I211" s="423" t="str">
        <f aca="false">IF(A211="N/A"," ",IF(ISERROR(Q211),I199*Pwresc,Q211))</f>
        <v> </v>
      </c>
      <c r="J211" s="424" t="str">
        <f aca="false">IF(A211="N/A"," ",K211+L211+T211)</f>
        <v> </v>
      </c>
      <c r="K211" s="425" t="str">
        <f aca="false">IF(A211="N/A"," ",IF(ISERROR(R211),K199*Gasesc,R211))</f>
        <v> </v>
      </c>
      <c r="L211" s="425" t="str">
        <f aca="false">IF(A211="N/A"," ",IF(ISERROR(S211),L199*Gasesc,IF(S211=0,L199*Gasesc,S211)))</f>
        <v> </v>
      </c>
      <c r="M211" s="431"/>
      <c r="N211" s="427" t="str">
        <f aca="false">IF(A211="N/A"," ",VLOOKUP(A211,PeakPowerCurves,(IF(BMO=2,3,IF(BMO=1,2,4))),FALSE()))</f>
        <v> </v>
      </c>
      <c r="O211" s="427" t="str">
        <f aca="false">IF(A211="N/A"," ",VLOOKUP(A211,SatSunPeakPwr,(IF(BMO=2,3,IF(BMO=1,2,4))),FALSE()))</f>
        <v> </v>
      </c>
      <c r="P211" s="427" t="str">
        <f aca="false">IF(A211="N/A"," ",VLOOKUP(A211,SatSunPeakPwr,(IF(BMO=2,7,IF(BMO=1,6,8))),FALSE()))</f>
        <v> </v>
      </c>
      <c r="Q211" s="428" t="str">
        <f aca="false">IF(A211="N/A"," ",(VLOOKUP(A211,OPPowerPrices,(IF(BMO=2,7,IF(BMO=1,6,8))),FALSE())))</f>
        <v> </v>
      </c>
      <c r="R211" s="429" t="str">
        <f aca="false">IF(A211="N/A"," ",(VLOOKUP(A211,GasCurves,9,FALSE()))+IF(BMO=1,Gasbmo,IF(BMO=3,-Gasbmo,0)))</f>
        <v> </v>
      </c>
      <c r="S211" s="429" t="str">
        <f aca="false">IF(A211="N/A"," ",IF(Basischeck=TRUE(),(VLOOKUP(A211,GasCurves,IF(MONTH(A211)&gt;=4,IF(MONTH(A211)&lt;=10,11,12),12),FALSE())),0))</f>
        <v> </v>
      </c>
      <c r="T211" s="429" t="str">
        <f aca="false">IF(A211="N/A"," ",(IF(MONTH(A211)&gt;=4,IF(MONTH(A211)&lt;=10,Inputs!$H$2,Inputs!$H$3),Inputs!$H$3)))</f>
        <v> </v>
      </c>
      <c r="U211" s="430" t="str">
        <f aca="false">IF(A211="N/A"," ",(VLOOKUP($A211,InterestRatesTable,2)))</f>
        <v> </v>
      </c>
      <c r="AF211" s="384" t="n">
        <v>42856</v>
      </c>
      <c r="AG211" s="36" t="n">
        <v>22</v>
      </c>
      <c r="AH211" s="36" t="n">
        <v>4</v>
      </c>
      <c r="AI211" s="36" t="n">
        <v>5</v>
      </c>
      <c r="AJ211" s="36" t="n">
        <v>1</v>
      </c>
      <c r="AK211" s="36" t="n">
        <v>31</v>
      </c>
    </row>
    <row r="212" customFormat="false" ht="12.75" hidden="false" customHeight="false" outlineLevel="0" collapsed="false">
      <c r="A212" s="420" t="str">
        <f aca="false">Calculations!A179</f>
        <v>N/A</v>
      </c>
      <c r="B212" s="421" t="str">
        <f aca="false">IF(A212="N/A"," ",IF(ISERROR(N212),B200*Pwresc,N212)*VLOOKUP(MONTH(A212),Curveadj,3))</f>
        <v> </v>
      </c>
      <c r="C212" s="422" t="str">
        <f aca="false">IF(A212="N/A"," ",(IF(AND(MONTH(A212)&gt;=6,MONTH(A212)&lt;=8,OR($M$37="REGION 2",$M$37="REGION 2A",$M$37="REGION 2B",$M$37="REGION 3",$M$37="REGION 3A",$M$37="REGION 3B",$M$37="REGION 4",$M$37="REGION 4B",$M$37="REGION 4C",$M$37="REGION 5",$M$37="REGION 5A")),((0.059228/(B212/100))-(0.4980013/(SQRT(B212/100)))+2.137988),HLOOKUP(MONTH(A212),ScalarTable,28))))</f>
        <v> </v>
      </c>
      <c r="D212" s="423" t="str">
        <f aca="false">IF(A212="N/A"," ",C212*B212)</f>
        <v> </v>
      </c>
      <c r="E212" s="421" t="str">
        <f aca="false">IF(A212="N/A"," ",IF(ISERROR(O212),E200*Pwresc,O212)*VLOOKUP(MONTH(A212),Curveadj,3))</f>
        <v> </v>
      </c>
      <c r="F212" s="423" t="str">
        <f aca="false">IF(A212="N/A"," ",E212*C212)</f>
        <v> </v>
      </c>
      <c r="G212" s="421" t="str">
        <f aca="false">IF(A212="N/A"," ",IF(ISERROR(P212),G200*Pwresc,P212)*VLOOKUP(MONTH(A212),Curveadj,3))</f>
        <v> </v>
      </c>
      <c r="H212" s="423" t="str">
        <f aca="false">IF(A212="N/A"," ",G212*C212)</f>
        <v> </v>
      </c>
      <c r="I212" s="423" t="str">
        <f aca="false">IF(A212="N/A"," ",IF(ISERROR(Q212),I200*Pwresc,Q212))</f>
        <v> </v>
      </c>
      <c r="J212" s="424" t="str">
        <f aca="false">IF(A212="N/A"," ",K212+L212+T212)</f>
        <v> </v>
      </c>
      <c r="K212" s="425" t="str">
        <f aca="false">IF(A212="N/A"," ",IF(ISERROR(R212),K200*Gasesc,R212))</f>
        <v> </v>
      </c>
      <c r="L212" s="425" t="str">
        <f aca="false">IF(A212="N/A"," ",IF(ISERROR(S212),L200*Gasesc,IF(S212=0,L200*Gasesc,S212)))</f>
        <v> </v>
      </c>
      <c r="M212" s="431"/>
      <c r="N212" s="427" t="str">
        <f aca="false">IF(A212="N/A"," ",VLOOKUP(A212,PeakPowerCurves,(IF(BMO=2,3,IF(BMO=1,2,4))),FALSE()))</f>
        <v> </v>
      </c>
      <c r="O212" s="427" t="str">
        <f aca="false">IF(A212="N/A"," ",VLOOKUP(A212,SatSunPeakPwr,(IF(BMO=2,3,IF(BMO=1,2,4))),FALSE()))</f>
        <v> </v>
      </c>
      <c r="P212" s="427" t="str">
        <f aca="false">IF(A212="N/A"," ",VLOOKUP(A212,SatSunPeakPwr,(IF(BMO=2,7,IF(BMO=1,6,8))),FALSE()))</f>
        <v> </v>
      </c>
      <c r="Q212" s="428" t="str">
        <f aca="false">IF(A212="N/A"," ",(VLOOKUP(A212,OPPowerPrices,(IF(BMO=2,7,IF(BMO=1,6,8))),FALSE())))</f>
        <v> </v>
      </c>
      <c r="R212" s="429" t="str">
        <f aca="false">IF(A212="N/A"," ",(VLOOKUP(A212,GasCurves,9,FALSE()))+IF(BMO=1,Gasbmo,IF(BMO=3,-Gasbmo,0)))</f>
        <v> </v>
      </c>
      <c r="S212" s="429" t="str">
        <f aca="false">IF(A212="N/A"," ",IF(Basischeck=TRUE(),(VLOOKUP(A212,GasCurves,IF(MONTH(A212)&gt;=4,IF(MONTH(A212)&lt;=10,11,12),12),FALSE())),0))</f>
        <v> </v>
      </c>
      <c r="T212" s="429" t="str">
        <f aca="false">IF(A212="N/A"," ",(IF(MONTH(A212)&gt;=4,IF(MONTH(A212)&lt;=10,Inputs!$H$2,Inputs!$H$3),Inputs!$H$3)))</f>
        <v> </v>
      </c>
      <c r="U212" s="430" t="str">
        <f aca="false">IF(A212="N/A"," ",(VLOOKUP($A212,InterestRatesTable,2)))</f>
        <v> </v>
      </c>
      <c r="AF212" s="384" t="n">
        <v>42887</v>
      </c>
      <c r="AG212" s="36" t="n">
        <v>22</v>
      </c>
      <c r="AH212" s="36" t="n">
        <v>4</v>
      </c>
      <c r="AI212" s="36" t="n">
        <v>4</v>
      </c>
      <c r="AJ212" s="36" t="n">
        <v>0</v>
      </c>
      <c r="AK212" s="36" t="n">
        <v>30</v>
      </c>
    </row>
    <row r="213" customFormat="false" ht="12.75" hidden="false" customHeight="false" outlineLevel="0" collapsed="false">
      <c r="A213" s="420" t="str">
        <f aca="false">Calculations!A180</f>
        <v>N/A</v>
      </c>
      <c r="B213" s="421" t="str">
        <f aca="false">IF(A213="N/A"," ",IF(ISERROR(N213),B201*Pwresc,N213)*VLOOKUP(MONTH(A213),Curveadj,3))</f>
        <v> </v>
      </c>
      <c r="C213" s="422" t="str">
        <f aca="false">IF(A213="N/A"," ",(IF(AND(MONTH(A213)&gt;=6,MONTH(A213)&lt;=8,OR($M$37="REGION 2",$M$37="REGION 2A",$M$37="REGION 2B",$M$37="REGION 3",$M$37="REGION 3A",$M$37="REGION 3B",$M$37="REGION 4",$M$37="REGION 4B",$M$37="REGION 4C",$M$37="REGION 5",$M$37="REGION 5A")),((0.059228/(B213/100))-(0.4980013/(SQRT(B213/100)))+2.137988),HLOOKUP(MONTH(A213),ScalarTable,28))))</f>
        <v> </v>
      </c>
      <c r="D213" s="423" t="str">
        <f aca="false">IF(A213="N/A"," ",C213*B213)</f>
        <v> </v>
      </c>
      <c r="E213" s="421" t="str">
        <f aca="false">IF(A213="N/A"," ",IF(ISERROR(O213),E201*Pwresc,O213)*VLOOKUP(MONTH(A213),Curveadj,3))</f>
        <v> </v>
      </c>
      <c r="F213" s="423" t="str">
        <f aca="false">IF(A213="N/A"," ",E213*C213)</f>
        <v> </v>
      </c>
      <c r="G213" s="421" t="str">
        <f aca="false">IF(A213="N/A"," ",IF(ISERROR(P213),G201*Pwresc,P213)*VLOOKUP(MONTH(A213),Curveadj,3))</f>
        <v> </v>
      </c>
      <c r="H213" s="423" t="str">
        <f aca="false">IF(A213="N/A"," ",G213*C213)</f>
        <v> </v>
      </c>
      <c r="I213" s="423" t="str">
        <f aca="false">IF(A213="N/A"," ",IF(ISERROR(Q213),I201*Pwresc,Q213))</f>
        <v> </v>
      </c>
      <c r="J213" s="424" t="str">
        <f aca="false">IF(A213="N/A"," ",K213+L213+T213)</f>
        <v> </v>
      </c>
      <c r="K213" s="425" t="str">
        <f aca="false">IF(A213="N/A"," ",IF(ISERROR(R213),K201*Gasesc,R213))</f>
        <v> </v>
      </c>
      <c r="L213" s="425" t="str">
        <f aca="false">IF(A213="N/A"," ",IF(ISERROR(S213),L201*Gasesc,IF(S213=0,L201*Gasesc,S213)))</f>
        <v> </v>
      </c>
      <c r="M213" s="431"/>
      <c r="N213" s="427" t="str">
        <f aca="false">IF(A213="N/A"," ",VLOOKUP(A213,PeakPowerCurves,(IF(BMO=2,3,IF(BMO=1,2,4))),FALSE()))</f>
        <v> </v>
      </c>
      <c r="O213" s="427" t="str">
        <f aca="false">IF(A213="N/A"," ",VLOOKUP(A213,SatSunPeakPwr,(IF(BMO=2,3,IF(BMO=1,2,4))),FALSE()))</f>
        <v> </v>
      </c>
      <c r="P213" s="427" t="str">
        <f aca="false">IF(A213="N/A"," ",VLOOKUP(A213,SatSunPeakPwr,(IF(BMO=2,7,IF(BMO=1,6,8))),FALSE()))</f>
        <v> </v>
      </c>
      <c r="Q213" s="428" t="str">
        <f aca="false">IF(A213="N/A"," ",(VLOOKUP(A213,OPPowerPrices,(IF(BMO=2,7,IF(BMO=1,6,8))),FALSE())))</f>
        <v> </v>
      </c>
      <c r="R213" s="429" t="str">
        <f aca="false">IF(A213="N/A"," ",(VLOOKUP(A213,GasCurves,9,FALSE()))+IF(BMO=1,Gasbmo,IF(BMO=3,-Gasbmo,0)))</f>
        <v> </v>
      </c>
      <c r="S213" s="429" t="str">
        <f aca="false">IF(A213="N/A"," ",IF(Basischeck=TRUE(),(VLOOKUP(A213,GasCurves,IF(MONTH(A213)&gt;=4,IF(MONTH(A213)&lt;=10,11,12),12),FALSE())),0))</f>
        <v> </v>
      </c>
      <c r="T213" s="429" t="str">
        <f aca="false">IF(A213="N/A"," ",(IF(MONTH(A213)&gt;=4,IF(MONTH(A213)&lt;=10,Inputs!$H$2,Inputs!$H$3),Inputs!$H$3)))</f>
        <v> </v>
      </c>
      <c r="U213" s="430" t="str">
        <f aca="false">IF(A213="N/A"," ",(VLOOKUP($A213,InterestRatesTable,2)))</f>
        <v> </v>
      </c>
      <c r="AF213" s="384" t="n">
        <v>42917</v>
      </c>
      <c r="AG213" s="36" t="n">
        <v>20</v>
      </c>
      <c r="AH213" s="36" t="n">
        <v>5</v>
      </c>
      <c r="AI213" s="36" t="n">
        <v>6</v>
      </c>
      <c r="AJ213" s="36" t="n">
        <v>1</v>
      </c>
      <c r="AK213" s="36" t="n">
        <v>31</v>
      </c>
    </row>
    <row r="214" customFormat="false" ht="12.75" hidden="false" customHeight="false" outlineLevel="0" collapsed="false">
      <c r="A214" s="420" t="str">
        <f aca="false">Calculations!A181</f>
        <v>N/A</v>
      </c>
      <c r="B214" s="421" t="str">
        <f aca="false">IF(A214="N/A"," ",IF(ISERROR(N214),B202*Pwresc,N214)*VLOOKUP(MONTH(A214),Curveadj,3))</f>
        <v> </v>
      </c>
      <c r="C214" s="422" t="str">
        <f aca="false">IF(A214="N/A"," ",(IF(AND(MONTH(A214)&gt;=6,MONTH(A214)&lt;=8,OR($M$37="REGION 2",$M$37="REGION 2A",$M$37="REGION 2B",$M$37="REGION 3",$M$37="REGION 3A",$M$37="REGION 3B",$M$37="REGION 4",$M$37="REGION 4B",$M$37="REGION 4C",$M$37="REGION 5",$M$37="REGION 5A")),((0.059228/(B214/100))-(0.4980013/(SQRT(B214/100)))+2.137988),HLOOKUP(MONTH(A214),ScalarTable,28))))</f>
        <v> </v>
      </c>
      <c r="D214" s="423" t="str">
        <f aca="false">IF(A214="N/A"," ",C214*B214)</f>
        <v> </v>
      </c>
      <c r="E214" s="421" t="str">
        <f aca="false">IF(A214="N/A"," ",IF(ISERROR(O214),E202*Pwresc,O214)*VLOOKUP(MONTH(A214),Curveadj,3))</f>
        <v> </v>
      </c>
      <c r="F214" s="423" t="str">
        <f aca="false">IF(A214="N/A"," ",E214*C214)</f>
        <v> </v>
      </c>
      <c r="G214" s="421" t="str">
        <f aca="false">IF(A214="N/A"," ",IF(ISERROR(P214),G202*Pwresc,P214)*VLOOKUP(MONTH(A214),Curveadj,3))</f>
        <v> </v>
      </c>
      <c r="H214" s="423" t="str">
        <f aca="false">IF(A214="N/A"," ",G214*C214)</f>
        <v> </v>
      </c>
      <c r="I214" s="423" t="str">
        <f aca="false">IF(A214="N/A"," ",IF(ISERROR(Q214),I202*Pwresc,Q214))</f>
        <v> </v>
      </c>
      <c r="J214" s="424" t="str">
        <f aca="false">IF(A214="N/A"," ",K214+L214+T214)</f>
        <v> </v>
      </c>
      <c r="K214" s="425" t="str">
        <f aca="false">IF(A214="N/A"," ",IF(ISERROR(R214),K202*Gasesc,R214))</f>
        <v> </v>
      </c>
      <c r="L214" s="425" t="str">
        <f aca="false">IF(A214="N/A"," ",IF(ISERROR(S214),L202*Gasesc,IF(S214=0,L202*Gasesc,S214)))</f>
        <v> </v>
      </c>
      <c r="M214" s="431"/>
      <c r="N214" s="427" t="str">
        <f aca="false">IF(A214="N/A"," ",VLOOKUP(A214,PeakPowerCurves,(IF(BMO=2,3,IF(BMO=1,2,4))),FALSE()))</f>
        <v> </v>
      </c>
      <c r="O214" s="427" t="str">
        <f aca="false">IF(A214="N/A"," ",VLOOKUP(A214,SatSunPeakPwr,(IF(BMO=2,3,IF(BMO=1,2,4))),FALSE()))</f>
        <v> </v>
      </c>
      <c r="P214" s="427" t="str">
        <f aca="false">IF(A214="N/A"," ",VLOOKUP(A214,SatSunPeakPwr,(IF(BMO=2,7,IF(BMO=1,6,8))),FALSE()))</f>
        <v> </v>
      </c>
      <c r="Q214" s="428" t="str">
        <f aca="false">IF(A214="N/A"," ",(VLOOKUP(A214,OPPowerPrices,(IF(BMO=2,7,IF(BMO=1,6,8))),FALSE())))</f>
        <v> </v>
      </c>
      <c r="R214" s="429" t="str">
        <f aca="false">IF(A214="N/A"," ",(VLOOKUP(A214,GasCurves,9,FALSE()))+IF(BMO=1,Gasbmo,IF(BMO=3,-Gasbmo,0)))</f>
        <v> </v>
      </c>
      <c r="S214" s="429" t="str">
        <f aca="false">IF(A214="N/A"," ",IF(Basischeck=TRUE(),(VLOOKUP(A214,GasCurves,IF(MONTH(A214)&gt;=4,IF(MONTH(A214)&lt;=10,11,12),12),FALSE())),0))</f>
        <v> </v>
      </c>
      <c r="T214" s="429" t="str">
        <f aca="false">IF(A214="N/A"," ",(IF(MONTH(A214)&gt;=4,IF(MONTH(A214)&lt;=10,Inputs!$H$2,Inputs!$H$3),Inputs!$H$3)))</f>
        <v> </v>
      </c>
      <c r="U214" s="430" t="str">
        <f aca="false">IF(A214="N/A"," ",(VLOOKUP($A214,InterestRatesTable,2)))</f>
        <v> </v>
      </c>
      <c r="AF214" s="384" t="n">
        <v>42948</v>
      </c>
      <c r="AG214" s="36" t="n">
        <v>23</v>
      </c>
      <c r="AH214" s="36" t="n">
        <v>4</v>
      </c>
      <c r="AI214" s="36" t="n">
        <v>4</v>
      </c>
      <c r="AJ214" s="36" t="n">
        <v>0</v>
      </c>
      <c r="AK214" s="36" t="n">
        <v>31</v>
      </c>
    </row>
    <row r="215" customFormat="false" ht="12.75" hidden="false" customHeight="false" outlineLevel="0" collapsed="false">
      <c r="A215" s="420" t="str">
        <f aca="false">Calculations!A182</f>
        <v>N/A</v>
      </c>
      <c r="B215" s="421" t="str">
        <f aca="false">IF(A215="N/A"," ",IF(ISERROR(N215),B203*Pwresc,N215)*VLOOKUP(MONTH(A215),Curveadj,3))</f>
        <v> </v>
      </c>
      <c r="C215" s="422" t="str">
        <f aca="false">IF(A215="N/A"," ",(IF(AND(MONTH(A215)&gt;=6,MONTH(A215)&lt;=8,OR($M$37="REGION 2",$M$37="REGION 2A",$M$37="REGION 2B",$M$37="REGION 3",$M$37="REGION 3A",$M$37="REGION 3B",$M$37="REGION 4",$M$37="REGION 4B",$M$37="REGION 4C",$M$37="REGION 5",$M$37="REGION 5A")),((0.059228/(B215/100))-(0.4980013/(SQRT(B215/100)))+2.137988),HLOOKUP(MONTH(A215),ScalarTable,28))))</f>
        <v> </v>
      </c>
      <c r="D215" s="423" t="str">
        <f aca="false">IF(A215="N/A"," ",C215*B215)</f>
        <v> </v>
      </c>
      <c r="E215" s="421" t="str">
        <f aca="false">IF(A215="N/A"," ",IF(ISERROR(O215),E203*Pwresc,O215)*VLOOKUP(MONTH(A215),Curveadj,3))</f>
        <v> </v>
      </c>
      <c r="F215" s="423" t="str">
        <f aca="false">IF(A215="N/A"," ",E215*C215)</f>
        <v> </v>
      </c>
      <c r="G215" s="421" t="str">
        <f aca="false">IF(A215="N/A"," ",IF(ISERROR(P215),G203*Pwresc,P215)*VLOOKUP(MONTH(A215),Curveadj,3))</f>
        <v> </v>
      </c>
      <c r="H215" s="423" t="str">
        <f aca="false">IF(A215="N/A"," ",G215*C215)</f>
        <v> </v>
      </c>
      <c r="I215" s="423" t="str">
        <f aca="false">IF(A215="N/A"," ",IF(ISERROR(Q215),I203*Pwresc,Q215))</f>
        <v> </v>
      </c>
      <c r="J215" s="424" t="str">
        <f aca="false">IF(A215="N/A"," ",K215+L215+T215)</f>
        <v> </v>
      </c>
      <c r="K215" s="425" t="str">
        <f aca="false">IF(A215="N/A"," ",IF(ISERROR(R215),K203*Gasesc,R215))</f>
        <v> </v>
      </c>
      <c r="L215" s="425" t="str">
        <f aca="false">IF(A215="N/A"," ",IF(ISERROR(S215),L203*Gasesc,IF(S215=0,L203*Gasesc,S215)))</f>
        <v> </v>
      </c>
      <c r="M215" s="431"/>
      <c r="N215" s="427" t="str">
        <f aca="false">IF(A215="N/A"," ",VLOOKUP(A215,PeakPowerCurves,(IF(BMO=2,3,IF(BMO=1,2,4))),FALSE()))</f>
        <v> </v>
      </c>
      <c r="O215" s="427" t="str">
        <f aca="false">IF(A215="N/A"," ",VLOOKUP(A215,SatSunPeakPwr,(IF(BMO=2,3,IF(BMO=1,2,4))),FALSE()))</f>
        <v> </v>
      </c>
      <c r="P215" s="427" t="str">
        <f aca="false">IF(A215="N/A"," ",VLOOKUP(A215,SatSunPeakPwr,(IF(BMO=2,7,IF(BMO=1,6,8))),FALSE()))</f>
        <v> </v>
      </c>
      <c r="Q215" s="428" t="str">
        <f aca="false">IF(A215="N/A"," ",(VLOOKUP(A215,OPPowerPrices,(IF(BMO=2,7,IF(BMO=1,6,8))),FALSE())))</f>
        <v> </v>
      </c>
      <c r="R215" s="429" t="str">
        <f aca="false">IF(A215="N/A"," ",(VLOOKUP(A215,GasCurves,9,FALSE()))+IF(BMO=1,Gasbmo,IF(BMO=3,-Gasbmo,0)))</f>
        <v> </v>
      </c>
      <c r="S215" s="429" t="str">
        <f aca="false">IF(A215="N/A"," ",IF(Basischeck=TRUE(),(VLOOKUP(A215,GasCurves,IF(MONTH(A215)&gt;=4,IF(MONTH(A215)&lt;=10,11,12),12),FALSE())),0))</f>
        <v> </v>
      </c>
      <c r="T215" s="429" t="str">
        <f aca="false">IF(A215="N/A"," ",(IF(MONTH(A215)&gt;=4,IF(MONTH(A215)&lt;=10,Inputs!$H$2,Inputs!$H$3),Inputs!$H$3)))</f>
        <v> </v>
      </c>
      <c r="U215" s="430" t="str">
        <f aca="false">IF(A215="N/A"," ",(VLOOKUP($A215,InterestRatesTable,2)))</f>
        <v> </v>
      </c>
      <c r="AF215" s="384" t="n">
        <v>42979</v>
      </c>
      <c r="AG215" s="36" t="n">
        <v>20</v>
      </c>
      <c r="AH215" s="36" t="n">
        <v>5</v>
      </c>
      <c r="AI215" s="36" t="n">
        <v>5</v>
      </c>
      <c r="AJ215" s="36" t="n">
        <v>1</v>
      </c>
      <c r="AK215" s="36" t="n">
        <v>30</v>
      </c>
    </row>
    <row r="216" customFormat="false" ht="12.75" hidden="false" customHeight="false" outlineLevel="0" collapsed="false">
      <c r="A216" s="420" t="str">
        <f aca="false">Calculations!A183</f>
        <v>N/A</v>
      </c>
      <c r="B216" s="421" t="str">
        <f aca="false">IF(A216="N/A"," ",IF(ISERROR(N216),B204*Pwresc,N216)*VLOOKUP(MONTH(A216),Curveadj,3))</f>
        <v> </v>
      </c>
      <c r="C216" s="422" t="str">
        <f aca="false">IF(A216="N/A"," ",(IF(AND(MONTH(A216)&gt;=6,MONTH(A216)&lt;=8,OR($M$37="REGION 2",$M$37="REGION 2A",$M$37="REGION 2B",$M$37="REGION 3",$M$37="REGION 3A",$M$37="REGION 3B",$M$37="REGION 4",$M$37="REGION 4B",$M$37="REGION 4C",$M$37="REGION 5",$M$37="REGION 5A")),((0.059228/(B216/100))-(0.4980013/(SQRT(B216/100)))+2.137988),HLOOKUP(MONTH(A216),ScalarTable,28))))</f>
        <v> </v>
      </c>
      <c r="D216" s="423" t="str">
        <f aca="false">IF(A216="N/A"," ",C216*B216)</f>
        <v> </v>
      </c>
      <c r="E216" s="421" t="str">
        <f aca="false">IF(A216="N/A"," ",IF(ISERROR(O216),E204*Pwresc,O216)*VLOOKUP(MONTH(A216),Curveadj,3))</f>
        <v> </v>
      </c>
      <c r="F216" s="423" t="str">
        <f aca="false">IF(A216="N/A"," ",E216*C216)</f>
        <v> </v>
      </c>
      <c r="G216" s="421" t="str">
        <f aca="false">IF(A216="N/A"," ",IF(ISERROR(P216),G204*Pwresc,P216)*VLOOKUP(MONTH(A216),Curveadj,3))</f>
        <v> </v>
      </c>
      <c r="H216" s="423" t="str">
        <f aca="false">IF(A216="N/A"," ",G216*C216)</f>
        <v> </v>
      </c>
      <c r="I216" s="423" t="str">
        <f aca="false">IF(A216="N/A"," ",IF(ISERROR(Q216),I204*Pwresc,Q216))</f>
        <v> </v>
      </c>
      <c r="J216" s="424" t="str">
        <f aca="false">IF(A216="N/A"," ",K216+L216+T216)</f>
        <v> </v>
      </c>
      <c r="K216" s="425" t="str">
        <f aca="false">IF(A216="N/A"," ",IF(ISERROR(R216),K204*Gasesc,R216))</f>
        <v> </v>
      </c>
      <c r="L216" s="425" t="str">
        <f aca="false">IF(A216="N/A"," ",IF(ISERROR(S216),L204*Gasesc,IF(S216=0,L204*Gasesc,S216)))</f>
        <v> </v>
      </c>
      <c r="M216" s="431"/>
      <c r="N216" s="427" t="str">
        <f aca="false">IF(A216="N/A"," ",VLOOKUP(A216,PeakPowerCurves,(IF(BMO=2,3,IF(BMO=1,2,4))),FALSE()))</f>
        <v> </v>
      </c>
      <c r="O216" s="427" t="str">
        <f aca="false">IF(A216="N/A"," ",VLOOKUP(A216,SatSunPeakPwr,(IF(BMO=2,3,IF(BMO=1,2,4))),FALSE()))</f>
        <v> </v>
      </c>
      <c r="P216" s="427" t="str">
        <f aca="false">IF(A216="N/A"," ",VLOOKUP(A216,SatSunPeakPwr,(IF(BMO=2,7,IF(BMO=1,6,8))),FALSE()))</f>
        <v> </v>
      </c>
      <c r="Q216" s="428" t="str">
        <f aca="false">IF(A216="N/A"," ",(VLOOKUP(A216,OPPowerPrices,(IF(BMO=2,7,IF(BMO=1,6,8))),FALSE())))</f>
        <v> </v>
      </c>
      <c r="R216" s="429" t="str">
        <f aca="false">IF(A216="N/A"," ",(VLOOKUP(A216,GasCurves,9,FALSE()))+IF(BMO=1,Gasbmo,IF(BMO=3,-Gasbmo,0)))</f>
        <v> </v>
      </c>
      <c r="S216" s="429" t="str">
        <f aca="false">IF(A216="N/A"," ",IF(Basischeck=TRUE(),(VLOOKUP(A216,GasCurves,IF(MONTH(A216)&gt;=4,IF(MONTH(A216)&lt;=10,11,12),12),FALSE())),0))</f>
        <v> </v>
      </c>
      <c r="T216" s="429" t="str">
        <f aca="false">IF(A216="N/A"," ",(IF(MONTH(A216)&gt;=4,IF(MONTH(A216)&lt;=10,Inputs!$H$2,Inputs!$H$3),Inputs!$H$3)))</f>
        <v> </v>
      </c>
      <c r="U216" s="430" t="str">
        <f aca="false">IF(A216="N/A"," ",(VLOOKUP($A216,InterestRatesTable,2)))</f>
        <v> </v>
      </c>
      <c r="AF216" s="384" t="n">
        <v>43009</v>
      </c>
      <c r="AG216" s="36" t="n">
        <v>22</v>
      </c>
      <c r="AH216" s="36" t="n">
        <v>4</v>
      </c>
      <c r="AI216" s="36" t="n">
        <v>5</v>
      </c>
      <c r="AJ216" s="36" t="n">
        <v>0</v>
      </c>
      <c r="AK216" s="36" t="n">
        <v>31</v>
      </c>
    </row>
    <row r="217" customFormat="false" ht="12.75" hidden="false" customHeight="false" outlineLevel="0" collapsed="false">
      <c r="A217" s="420" t="str">
        <f aca="false">Calculations!A184</f>
        <v>N/A</v>
      </c>
      <c r="B217" s="421" t="str">
        <f aca="false">IF(A217="N/A"," ",IF(ISERROR(N217),B205*Pwresc,N217)*VLOOKUP(MONTH(A217),Curveadj,3))</f>
        <v> </v>
      </c>
      <c r="C217" s="422" t="str">
        <f aca="false">IF(A217="N/A"," ",(IF(AND(MONTH(A217)&gt;=6,MONTH(A217)&lt;=8,OR($M$37="REGION 2",$M$37="REGION 2A",$M$37="REGION 2B",$M$37="REGION 3",$M$37="REGION 3A",$M$37="REGION 3B",$M$37="REGION 4",$M$37="REGION 4B",$M$37="REGION 4C",$M$37="REGION 5",$M$37="REGION 5A")),((0.059228/(B217/100))-(0.4980013/(SQRT(B217/100)))+2.137988),HLOOKUP(MONTH(A217),ScalarTable,28))))</f>
        <v> </v>
      </c>
      <c r="D217" s="423" t="str">
        <f aca="false">IF(A217="N/A"," ",C217*B217)</f>
        <v> </v>
      </c>
      <c r="E217" s="421" t="str">
        <f aca="false">IF(A217="N/A"," ",IF(ISERROR(O217),E205*Pwresc,O217)*VLOOKUP(MONTH(A217),Curveadj,3))</f>
        <v> </v>
      </c>
      <c r="F217" s="423" t="str">
        <f aca="false">IF(A217="N/A"," ",E217*C217)</f>
        <v> </v>
      </c>
      <c r="G217" s="421" t="str">
        <f aca="false">IF(A217="N/A"," ",IF(ISERROR(P217),G205*Pwresc,P217)*VLOOKUP(MONTH(A217),Curveadj,3))</f>
        <v> </v>
      </c>
      <c r="H217" s="423" t="str">
        <f aca="false">IF(A217="N/A"," ",G217*C217)</f>
        <v> </v>
      </c>
      <c r="I217" s="423" t="str">
        <f aca="false">IF(A217="N/A"," ",IF(ISERROR(Q217),I205*Pwresc,Q217))</f>
        <v> </v>
      </c>
      <c r="J217" s="424" t="str">
        <f aca="false">IF(A217="N/A"," ",K217+L217+T217)</f>
        <v> </v>
      </c>
      <c r="K217" s="425" t="str">
        <f aca="false">IF(A217="N/A"," ",IF(ISERROR(R217),K205*Gasesc,R217))</f>
        <v> </v>
      </c>
      <c r="L217" s="425" t="str">
        <f aca="false">IF(A217="N/A"," ",IF(ISERROR(S217),L205*Gasesc,IF(S217=0,L205*Gasesc,S217)))</f>
        <v> </v>
      </c>
      <c r="M217" s="431"/>
      <c r="N217" s="427" t="str">
        <f aca="false">IF(A217="N/A"," ",VLOOKUP(A217,PeakPowerCurves,(IF(BMO=2,3,IF(BMO=1,2,4))),FALSE()))</f>
        <v> </v>
      </c>
      <c r="O217" s="427" t="str">
        <f aca="false">IF(A217="N/A"," ",VLOOKUP(A217,SatSunPeakPwr,(IF(BMO=2,3,IF(BMO=1,2,4))),FALSE()))</f>
        <v> </v>
      </c>
      <c r="P217" s="427" t="str">
        <f aca="false">IF(A217="N/A"," ",VLOOKUP(A217,SatSunPeakPwr,(IF(BMO=2,7,IF(BMO=1,6,8))),FALSE()))</f>
        <v> </v>
      </c>
      <c r="Q217" s="428" t="str">
        <f aca="false">IF(A217="N/A"," ",(VLOOKUP(A217,OPPowerPrices,(IF(BMO=2,7,IF(BMO=1,6,8))),FALSE())))</f>
        <v> </v>
      </c>
      <c r="R217" s="429" t="str">
        <f aca="false">IF(A217="N/A"," ",(VLOOKUP(A217,GasCurves,9,FALSE()))+IF(BMO=1,Gasbmo,IF(BMO=3,-Gasbmo,0)))</f>
        <v> </v>
      </c>
      <c r="S217" s="429" t="str">
        <f aca="false">IF(A217="N/A"," ",IF(Basischeck=TRUE(),(VLOOKUP(A217,GasCurves,IF(MONTH(A217)&gt;=4,IF(MONTH(A217)&lt;=10,11,12),12),FALSE())),0))</f>
        <v> </v>
      </c>
      <c r="T217" s="429" t="str">
        <f aca="false">IF(A217="N/A"," ",(IF(MONTH(A217)&gt;=4,IF(MONTH(A217)&lt;=10,Inputs!$H$2,Inputs!$H$3),Inputs!$H$3)))</f>
        <v> </v>
      </c>
      <c r="U217" s="430" t="str">
        <f aca="false">IF(A217="N/A"," ",(VLOOKUP($A217,InterestRatesTable,2)))</f>
        <v> </v>
      </c>
      <c r="AF217" s="384" t="n">
        <v>43040</v>
      </c>
      <c r="AG217" s="36" t="n">
        <v>21</v>
      </c>
      <c r="AH217" s="36" t="n">
        <v>4</v>
      </c>
      <c r="AI217" s="36" t="n">
        <v>5</v>
      </c>
      <c r="AJ217" s="36" t="n">
        <v>1</v>
      </c>
      <c r="AK217" s="36" t="n">
        <v>30</v>
      </c>
    </row>
    <row r="218" customFormat="false" ht="12.75" hidden="false" customHeight="false" outlineLevel="0" collapsed="false">
      <c r="A218" s="420" t="str">
        <f aca="false">Calculations!A185</f>
        <v>N/A</v>
      </c>
      <c r="B218" s="421" t="str">
        <f aca="false">IF(A218="N/A"," ",IF(ISERROR(N218),B206*Pwresc,N218)*VLOOKUP(MONTH(A218),Curveadj,3))</f>
        <v> </v>
      </c>
      <c r="C218" s="422" t="str">
        <f aca="false">IF(A218="N/A"," ",(IF(AND(MONTH(A218)&gt;=6,MONTH(A218)&lt;=8,OR($M$37="REGION 2",$M$37="REGION 2A",$M$37="REGION 2B",$M$37="REGION 3",$M$37="REGION 3A",$M$37="REGION 3B",$M$37="REGION 4",$M$37="REGION 4B",$M$37="REGION 4C",$M$37="REGION 5",$M$37="REGION 5A")),((0.059228/(B218/100))-(0.4980013/(SQRT(B218/100)))+2.137988),HLOOKUP(MONTH(A218),ScalarTable,28))))</f>
        <v> </v>
      </c>
      <c r="D218" s="423" t="str">
        <f aca="false">IF(A218="N/A"," ",C218*B218)</f>
        <v> </v>
      </c>
      <c r="E218" s="421" t="str">
        <f aca="false">IF(A218="N/A"," ",IF(ISERROR(O218),E206*Pwresc,O218)*VLOOKUP(MONTH(A218),Curveadj,3))</f>
        <v> </v>
      </c>
      <c r="F218" s="423" t="str">
        <f aca="false">IF(A218="N/A"," ",E218*C218)</f>
        <v> </v>
      </c>
      <c r="G218" s="421" t="str">
        <f aca="false">IF(A218="N/A"," ",IF(ISERROR(P218),G206*Pwresc,P218)*VLOOKUP(MONTH(A218),Curveadj,3))</f>
        <v> </v>
      </c>
      <c r="H218" s="423" t="str">
        <f aca="false">IF(A218="N/A"," ",G218*C218)</f>
        <v> </v>
      </c>
      <c r="I218" s="423" t="str">
        <f aca="false">IF(A218="N/A"," ",IF(ISERROR(Q218),I206*Pwresc,Q218))</f>
        <v> </v>
      </c>
      <c r="J218" s="424" t="str">
        <f aca="false">IF(A218="N/A"," ",K218+L218+T218)</f>
        <v> </v>
      </c>
      <c r="K218" s="425" t="str">
        <f aca="false">IF(A218="N/A"," ",IF(ISERROR(R218),K206*Gasesc,R218))</f>
        <v> </v>
      </c>
      <c r="L218" s="425" t="str">
        <f aca="false">IF(A218="N/A"," ",IF(ISERROR(S218),L206*Gasesc,IF(S218=0,L206*Gasesc,S218)))</f>
        <v> </v>
      </c>
      <c r="M218" s="431"/>
      <c r="N218" s="427" t="str">
        <f aca="false">IF(A218="N/A"," ",VLOOKUP(A218,PeakPowerCurves,(IF(BMO=2,3,IF(BMO=1,2,4))),FALSE()))</f>
        <v> </v>
      </c>
      <c r="O218" s="427" t="str">
        <f aca="false">IF(A218="N/A"," ",VLOOKUP(A218,SatSunPeakPwr,(IF(BMO=2,3,IF(BMO=1,2,4))),FALSE()))</f>
        <v> </v>
      </c>
      <c r="P218" s="427" t="str">
        <f aca="false">IF(A218="N/A"," ",VLOOKUP(A218,SatSunPeakPwr,(IF(BMO=2,7,IF(BMO=1,6,8))),FALSE()))</f>
        <v> </v>
      </c>
      <c r="Q218" s="428" t="str">
        <f aca="false">IF(A218="N/A"," ",(VLOOKUP(A218,OPPowerPrices,(IF(BMO=2,7,IF(BMO=1,6,8))),FALSE())))</f>
        <v> </v>
      </c>
      <c r="R218" s="429" t="str">
        <f aca="false">IF(A218="N/A"," ",(VLOOKUP(A218,GasCurves,9,FALSE()))+IF(BMO=1,Gasbmo,IF(BMO=3,-Gasbmo,0)))</f>
        <v> </v>
      </c>
      <c r="S218" s="429" t="str">
        <f aca="false">IF(A218="N/A"," ",IF(Basischeck=TRUE(),(VLOOKUP(A218,GasCurves,IF(MONTH(A218)&gt;=4,IF(MONTH(A218)&lt;=10,11,12),12),FALSE())),0))</f>
        <v> </v>
      </c>
      <c r="T218" s="429" t="str">
        <f aca="false">IF(A218="N/A"," ",(IF(MONTH(A218)&gt;=4,IF(MONTH(A218)&lt;=10,Inputs!$H$2,Inputs!$H$3),Inputs!$H$3)))</f>
        <v> </v>
      </c>
      <c r="U218" s="430" t="str">
        <f aca="false">IF(A218="N/A"," ",(VLOOKUP($A218,InterestRatesTable,2)))</f>
        <v> </v>
      </c>
      <c r="AF218" s="384" t="n">
        <v>43070</v>
      </c>
      <c r="AG218" s="36" t="n">
        <v>20</v>
      </c>
      <c r="AH218" s="36" t="n">
        <v>5</v>
      </c>
      <c r="AI218" s="36" t="n">
        <v>6</v>
      </c>
      <c r="AJ218" s="36" t="n">
        <v>1</v>
      </c>
      <c r="AK218" s="36" t="n">
        <v>31</v>
      </c>
    </row>
    <row r="219" customFormat="false" ht="12.75" hidden="false" customHeight="false" outlineLevel="0" collapsed="false">
      <c r="A219" s="420" t="str">
        <f aca="false">Calculations!A186</f>
        <v>N/A</v>
      </c>
      <c r="B219" s="421" t="str">
        <f aca="false">IF(A219="N/A"," ",IF(ISERROR(N219),B207*Pwresc,N219)*VLOOKUP(MONTH(A219),Curveadj,3))</f>
        <v> </v>
      </c>
      <c r="C219" s="422" t="str">
        <f aca="false">IF(A219="N/A"," ",(IF(AND(MONTH(A219)&gt;=6,MONTH(A219)&lt;=8,OR($M$37="REGION 2",$M$37="REGION 2A",$M$37="REGION 2B",$M$37="REGION 3",$M$37="REGION 3A",$M$37="REGION 3B",$M$37="REGION 4",$M$37="REGION 4B",$M$37="REGION 4C",$M$37="REGION 5",$M$37="REGION 5A")),((0.059228/(B219/100))-(0.4980013/(SQRT(B219/100)))+2.137988),HLOOKUP(MONTH(A219),ScalarTable,28))))</f>
        <v> </v>
      </c>
      <c r="D219" s="423" t="str">
        <f aca="false">IF(A219="N/A"," ",C219*B219)</f>
        <v> </v>
      </c>
      <c r="E219" s="421" t="str">
        <f aca="false">IF(A219="N/A"," ",IF(ISERROR(O219),E207*Pwresc,O219)*VLOOKUP(MONTH(A219),Curveadj,3))</f>
        <v> </v>
      </c>
      <c r="F219" s="423" t="str">
        <f aca="false">IF(A219="N/A"," ",E219*C219)</f>
        <v> </v>
      </c>
      <c r="G219" s="421" t="str">
        <f aca="false">IF(A219="N/A"," ",IF(ISERROR(P219),G207*Pwresc,P219)*VLOOKUP(MONTH(A219),Curveadj,3))</f>
        <v> </v>
      </c>
      <c r="H219" s="423" t="str">
        <f aca="false">IF(A219="N/A"," ",G219*C219)</f>
        <v> </v>
      </c>
      <c r="I219" s="423" t="str">
        <f aca="false">IF(A219="N/A"," ",IF(ISERROR(Q219),I207*Pwresc,Q219))</f>
        <v> </v>
      </c>
      <c r="J219" s="424" t="str">
        <f aca="false">IF(A219="N/A"," ",K219+L219+T219)</f>
        <v> </v>
      </c>
      <c r="K219" s="425" t="str">
        <f aca="false">IF(A219="N/A"," ",IF(ISERROR(R219),K207*Gasesc,R219))</f>
        <v> </v>
      </c>
      <c r="L219" s="425" t="str">
        <f aca="false">IF(A219="N/A"," ",IF(ISERROR(S219),L207*Gasesc,IF(S219=0,L207*Gasesc,S219)))</f>
        <v> </v>
      </c>
      <c r="M219" s="431"/>
      <c r="N219" s="427" t="str">
        <f aca="false">IF(A219="N/A"," ",VLOOKUP(A219,PeakPowerCurves,(IF(BMO=2,3,IF(BMO=1,2,4))),FALSE()))</f>
        <v> </v>
      </c>
      <c r="O219" s="427" t="str">
        <f aca="false">IF(A219="N/A"," ",VLOOKUP(A219,SatSunPeakPwr,(IF(BMO=2,3,IF(BMO=1,2,4))),FALSE()))</f>
        <v> </v>
      </c>
      <c r="P219" s="427" t="str">
        <f aca="false">IF(A219="N/A"," ",VLOOKUP(A219,SatSunPeakPwr,(IF(BMO=2,7,IF(BMO=1,6,8))),FALSE()))</f>
        <v> </v>
      </c>
      <c r="Q219" s="428" t="str">
        <f aca="false">IF(A219="N/A"," ",(VLOOKUP(A219,OPPowerPrices,(IF(BMO=2,7,IF(BMO=1,6,8))),FALSE())))</f>
        <v> </v>
      </c>
      <c r="R219" s="429" t="str">
        <f aca="false">IF(A219="N/A"," ",(VLOOKUP(A219,GasCurves,9,FALSE()))+IF(BMO=1,Gasbmo,IF(BMO=3,-Gasbmo,0)))</f>
        <v> </v>
      </c>
      <c r="S219" s="429" t="str">
        <f aca="false">IF(A219="N/A"," ",IF(Basischeck=TRUE(),(VLOOKUP(A219,GasCurves,IF(MONTH(A219)&gt;=4,IF(MONTH(A219)&lt;=10,11,12),12),FALSE())),0))</f>
        <v> </v>
      </c>
      <c r="T219" s="429" t="str">
        <f aca="false">IF(A219="N/A"," ",(IF(MONTH(A219)&gt;=4,IF(MONTH(A219)&lt;=10,Inputs!$H$2,Inputs!$H$3),Inputs!$H$3)))</f>
        <v> </v>
      </c>
      <c r="U219" s="430" t="str">
        <f aca="false">IF(A219="N/A"," ",(VLOOKUP($A219,InterestRatesTable,2)))</f>
        <v> </v>
      </c>
      <c r="AF219" s="384" t="n">
        <v>43101</v>
      </c>
      <c r="AG219" s="36" t="n">
        <v>22</v>
      </c>
      <c r="AH219" s="36" t="n">
        <v>4</v>
      </c>
      <c r="AI219" s="36" t="n">
        <v>5</v>
      </c>
      <c r="AJ219" s="36" t="n">
        <v>1</v>
      </c>
      <c r="AK219" s="36" t="n">
        <v>31</v>
      </c>
    </row>
    <row r="220" customFormat="false" ht="12.75" hidden="false" customHeight="false" outlineLevel="0" collapsed="false">
      <c r="A220" s="420" t="str">
        <f aca="false">Calculations!A187</f>
        <v>N/A</v>
      </c>
      <c r="B220" s="421" t="str">
        <f aca="false">IF(A220="N/A"," ",IF(ISERROR(N220),B208*Pwresc,N220)*VLOOKUP(MONTH(A220),Curveadj,3))</f>
        <v> </v>
      </c>
      <c r="C220" s="422" t="str">
        <f aca="false">IF(A220="N/A"," ",(IF(AND(MONTH(A220)&gt;=6,MONTH(A220)&lt;=8,OR($M$37="REGION 2",$M$37="REGION 2A",$M$37="REGION 2B",$M$37="REGION 3",$M$37="REGION 3A",$M$37="REGION 3B",$M$37="REGION 4",$M$37="REGION 4B",$M$37="REGION 4C",$M$37="REGION 5",$M$37="REGION 5A")),((0.059228/(B220/100))-(0.4980013/(SQRT(B220/100)))+2.137988),HLOOKUP(MONTH(A220),ScalarTable,28))))</f>
        <v> </v>
      </c>
      <c r="D220" s="423" t="str">
        <f aca="false">IF(A220="N/A"," ",C220*B220)</f>
        <v> </v>
      </c>
      <c r="E220" s="421" t="str">
        <f aca="false">IF(A220="N/A"," ",IF(ISERROR(O220),E208*Pwresc,O220)*VLOOKUP(MONTH(A220),Curveadj,3))</f>
        <v> </v>
      </c>
      <c r="F220" s="423" t="str">
        <f aca="false">IF(A220="N/A"," ",E220*C220)</f>
        <v> </v>
      </c>
      <c r="G220" s="421" t="str">
        <f aca="false">IF(A220="N/A"," ",IF(ISERROR(P220),G208*Pwresc,P220)*VLOOKUP(MONTH(A220),Curveadj,3))</f>
        <v> </v>
      </c>
      <c r="H220" s="423" t="str">
        <f aca="false">IF(A220="N/A"," ",G220*C220)</f>
        <v> </v>
      </c>
      <c r="I220" s="423" t="str">
        <f aca="false">IF(A220="N/A"," ",IF(ISERROR(Q220),I208*Pwresc,Q220))</f>
        <v> </v>
      </c>
      <c r="J220" s="424" t="str">
        <f aca="false">IF(A220="N/A"," ",K220+L220+T220)</f>
        <v> </v>
      </c>
      <c r="K220" s="425" t="str">
        <f aca="false">IF(A220="N/A"," ",IF(ISERROR(R220),K208*Gasesc,R220))</f>
        <v> </v>
      </c>
      <c r="L220" s="425" t="str">
        <f aca="false">IF(A220="N/A"," ",IF(ISERROR(S220),L208*Gasesc,IF(S220=0,L208*Gasesc,S220)))</f>
        <v> </v>
      </c>
      <c r="M220" s="431"/>
      <c r="N220" s="427" t="str">
        <f aca="false">IF(A220="N/A"," ",VLOOKUP(A220,PeakPowerCurves,(IF(BMO=2,3,IF(BMO=1,2,4))),FALSE()))</f>
        <v> </v>
      </c>
      <c r="O220" s="427" t="str">
        <f aca="false">IF(A220="N/A"," ",VLOOKUP(A220,SatSunPeakPwr,(IF(BMO=2,3,IF(BMO=1,2,4))),FALSE()))</f>
        <v> </v>
      </c>
      <c r="P220" s="427" t="str">
        <f aca="false">IF(A220="N/A"," ",VLOOKUP(A220,SatSunPeakPwr,(IF(BMO=2,7,IF(BMO=1,6,8))),FALSE()))</f>
        <v> </v>
      </c>
      <c r="Q220" s="428" t="str">
        <f aca="false">IF(A220="N/A"," ",(VLOOKUP(A220,OPPowerPrices,(IF(BMO=2,7,IF(BMO=1,6,8))),FALSE())))</f>
        <v> </v>
      </c>
      <c r="R220" s="429" t="str">
        <f aca="false">IF(A220="N/A"," ",(VLOOKUP(A220,GasCurves,9,FALSE()))+IF(BMO=1,Gasbmo,IF(BMO=3,-Gasbmo,0)))</f>
        <v> </v>
      </c>
      <c r="S220" s="429" t="str">
        <f aca="false">IF(A220="N/A"," ",IF(Basischeck=TRUE(),(VLOOKUP(A220,GasCurves,IF(MONTH(A220)&gt;=4,IF(MONTH(A220)&lt;=10,11,12),12),FALSE())),0))</f>
        <v> </v>
      </c>
      <c r="T220" s="429" t="str">
        <f aca="false">IF(A220="N/A"," ",(IF(MONTH(A220)&gt;=4,IF(MONTH(A220)&lt;=10,Inputs!$H$2,Inputs!$H$3),Inputs!$H$3)))</f>
        <v> </v>
      </c>
      <c r="U220" s="430" t="str">
        <f aca="false">IF(A220="N/A"," ",(VLOOKUP($A220,InterestRatesTable,2)))</f>
        <v> </v>
      </c>
      <c r="AF220" s="384" t="n">
        <v>43132</v>
      </c>
      <c r="AG220" s="36" t="n">
        <v>20</v>
      </c>
      <c r="AH220" s="36" t="n">
        <v>4</v>
      </c>
      <c r="AI220" s="36" t="n">
        <v>4</v>
      </c>
      <c r="AJ220" s="36" t="n">
        <v>0</v>
      </c>
      <c r="AK220" s="36" t="n">
        <v>28</v>
      </c>
    </row>
    <row r="221" customFormat="false" ht="12.75" hidden="false" customHeight="false" outlineLevel="0" collapsed="false">
      <c r="A221" s="420" t="str">
        <f aca="false">Calculations!A188</f>
        <v>N/A</v>
      </c>
      <c r="B221" s="421" t="str">
        <f aca="false">IF(A221="N/A"," ",IF(ISERROR(N221),B209*Pwresc,N221)*VLOOKUP(MONTH(A221),Curveadj,3))</f>
        <v> </v>
      </c>
      <c r="C221" s="422" t="str">
        <f aca="false">IF(A221="N/A"," ",(IF(AND(MONTH(A221)&gt;=6,MONTH(A221)&lt;=8,OR($M$37="REGION 2",$M$37="REGION 2A",$M$37="REGION 2B",$M$37="REGION 3",$M$37="REGION 3A",$M$37="REGION 3B",$M$37="REGION 4",$M$37="REGION 4B",$M$37="REGION 4C",$M$37="REGION 5",$M$37="REGION 5A")),((0.059228/(B221/100))-(0.4980013/(SQRT(B221/100)))+2.137988),HLOOKUP(MONTH(A221),ScalarTable,28))))</f>
        <v> </v>
      </c>
      <c r="D221" s="423" t="str">
        <f aca="false">IF(A221="N/A"," ",C221*B221)</f>
        <v> </v>
      </c>
      <c r="E221" s="421" t="str">
        <f aca="false">IF(A221="N/A"," ",IF(ISERROR(O221),E209*Pwresc,O221)*VLOOKUP(MONTH(A221),Curveadj,3))</f>
        <v> </v>
      </c>
      <c r="F221" s="423" t="str">
        <f aca="false">IF(A221="N/A"," ",E221*C221)</f>
        <v> </v>
      </c>
      <c r="G221" s="421" t="str">
        <f aca="false">IF(A221="N/A"," ",IF(ISERROR(P221),G209*Pwresc,P221)*VLOOKUP(MONTH(A221),Curveadj,3))</f>
        <v> </v>
      </c>
      <c r="H221" s="423" t="str">
        <f aca="false">IF(A221="N/A"," ",G221*C221)</f>
        <v> </v>
      </c>
      <c r="I221" s="423" t="str">
        <f aca="false">IF(A221="N/A"," ",IF(ISERROR(Q221),I209*Pwresc,Q221))</f>
        <v> </v>
      </c>
      <c r="J221" s="424" t="str">
        <f aca="false">IF(A221="N/A"," ",K221+L221+T221)</f>
        <v> </v>
      </c>
      <c r="K221" s="425" t="str">
        <f aca="false">IF(A221="N/A"," ",IF(ISERROR(R221),K209*Gasesc,R221))</f>
        <v> </v>
      </c>
      <c r="L221" s="425" t="str">
        <f aca="false">IF(A221="N/A"," ",IF(ISERROR(S221),L209*Gasesc,IF(S221=0,L209*Gasesc,S221)))</f>
        <v> </v>
      </c>
      <c r="M221" s="431"/>
      <c r="N221" s="427" t="str">
        <f aca="false">IF(A221="N/A"," ",VLOOKUP(A221,PeakPowerCurves,(IF(BMO=2,3,IF(BMO=1,2,4))),FALSE()))</f>
        <v> </v>
      </c>
      <c r="O221" s="427" t="str">
        <f aca="false">IF(A221="N/A"," ",VLOOKUP(A221,SatSunPeakPwr,(IF(BMO=2,3,IF(BMO=1,2,4))),FALSE()))</f>
        <v> </v>
      </c>
      <c r="P221" s="427" t="str">
        <f aca="false">IF(A221="N/A"," ",VLOOKUP(A221,SatSunPeakPwr,(IF(BMO=2,7,IF(BMO=1,6,8))),FALSE()))</f>
        <v> </v>
      </c>
      <c r="Q221" s="428" t="str">
        <f aca="false">IF(A221="N/A"," ",(VLOOKUP(A221,OPPowerPrices,(IF(BMO=2,7,IF(BMO=1,6,8))),FALSE())))</f>
        <v> </v>
      </c>
      <c r="R221" s="429" t="str">
        <f aca="false">IF(A221="N/A"," ",(VLOOKUP(A221,GasCurves,9,FALSE()))+IF(BMO=1,Gasbmo,IF(BMO=3,-Gasbmo,0)))</f>
        <v> </v>
      </c>
      <c r="S221" s="429" t="str">
        <f aca="false">IF(A221="N/A"," ",IF(Basischeck=TRUE(),(VLOOKUP(A221,GasCurves,IF(MONTH(A221)&gt;=4,IF(MONTH(A221)&lt;=10,11,12),12),FALSE())),0))</f>
        <v> </v>
      </c>
      <c r="T221" s="429" t="str">
        <f aca="false">IF(A221="N/A"," ",(IF(MONTH(A221)&gt;=4,IF(MONTH(A221)&lt;=10,Inputs!$H$2,Inputs!$H$3),Inputs!$H$3)))</f>
        <v> </v>
      </c>
      <c r="U221" s="430" t="str">
        <f aca="false">IF(A221="N/A"," ",(VLOOKUP($A221,InterestRatesTable,2)))</f>
        <v> </v>
      </c>
      <c r="AF221" s="384" t="n">
        <v>43160</v>
      </c>
      <c r="AG221" s="36" t="n">
        <v>22</v>
      </c>
      <c r="AH221" s="36" t="n">
        <v>5</v>
      </c>
      <c r="AI221" s="36" t="n">
        <v>4</v>
      </c>
      <c r="AJ221" s="36" t="n">
        <v>0</v>
      </c>
      <c r="AK221" s="36" t="n">
        <v>31</v>
      </c>
    </row>
    <row r="222" customFormat="false" ht="12.75" hidden="false" customHeight="false" outlineLevel="0" collapsed="false">
      <c r="A222" s="420" t="str">
        <f aca="false">Calculations!A189</f>
        <v>N/A</v>
      </c>
      <c r="B222" s="421" t="str">
        <f aca="false">IF(A222="N/A"," ",IF(ISERROR(N222),B210*Pwresc,N222)*VLOOKUP(MONTH(A222),Curveadj,3))</f>
        <v> </v>
      </c>
      <c r="C222" s="422" t="str">
        <f aca="false">IF(A222="N/A"," ",(IF(AND(MONTH(A222)&gt;=6,MONTH(A222)&lt;=8,OR($M$37="REGION 2",$M$37="REGION 2A",$M$37="REGION 2B",$M$37="REGION 3",$M$37="REGION 3A",$M$37="REGION 3B",$M$37="REGION 4",$M$37="REGION 4B",$M$37="REGION 4C",$M$37="REGION 5",$M$37="REGION 5A")),((0.059228/(B222/100))-(0.4980013/(SQRT(B222/100)))+2.137988),HLOOKUP(MONTH(A222),ScalarTable,28))))</f>
        <v> </v>
      </c>
      <c r="D222" s="423" t="str">
        <f aca="false">IF(A222="N/A"," ",C222*B222)</f>
        <v> </v>
      </c>
      <c r="E222" s="421" t="str">
        <f aca="false">IF(A222="N/A"," ",IF(ISERROR(O222),E210*Pwresc,O222)*VLOOKUP(MONTH(A222),Curveadj,3))</f>
        <v> </v>
      </c>
      <c r="F222" s="423" t="str">
        <f aca="false">IF(A222="N/A"," ",E222*C222)</f>
        <v> </v>
      </c>
      <c r="G222" s="421" t="str">
        <f aca="false">IF(A222="N/A"," ",IF(ISERROR(P222),G210*Pwresc,P222)*VLOOKUP(MONTH(A222),Curveadj,3))</f>
        <v> </v>
      </c>
      <c r="H222" s="423" t="str">
        <f aca="false">IF(A222="N/A"," ",G222*C222)</f>
        <v> </v>
      </c>
      <c r="I222" s="423" t="str">
        <f aca="false">IF(A222="N/A"," ",IF(ISERROR(Q222),I210*Pwresc,Q222))</f>
        <v> </v>
      </c>
      <c r="J222" s="424" t="str">
        <f aca="false">IF(A222="N/A"," ",K222+L222+T222)</f>
        <v> </v>
      </c>
      <c r="K222" s="425" t="str">
        <f aca="false">IF(A222="N/A"," ",IF(ISERROR(R222),K210*Gasesc,R222))</f>
        <v> </v>
      </c>
      <c r="L222" s="425" t="str">
        <f aca="false">IF(A222="N/A"," ",IF(ISERROR(S222),L210*Gasesc,IF(S222=0,L210*Gasesc,S222)))</f>
        <v> </v>
      </c>
      <c r="M222" s="431"/>
      <c r="N222" s="427" t="str">
        <f aca="false">IF(A222="N/A"," ",VLOOKUP(A222,PeakPowerCurves,(IF(BMO=2,3,IF(BMO=1,2,4))),FALSE()))</f>
        <v> </v>
      </c>
      <c r="O222" s="427" t="str">
        <f aca="false">IF(A222="N/A"," ",VLOOKUP(A222,SatSunPeakPwr,(IF(BMO=2,3,IF(BMO=1,2,4))),FALSE()))</f>
        <v> </v>
      </c>
      <c r="P222" s="427" t="str">
        <f aca="false">IF(A222="N/A"," ",VLOOKUP(A222,SatSunPeakPwr,(IF(BMO=2,7,IF(BMO=1,6,8))),FALSE()))</f>
        <v> </v>
      </c>
      <c r="Q222" s="428" t="str">
        <f aca="false">IF(A222="N/A"," ",(VLOOKUP(A222,OPPowerPrices,(IF(BMO=2,7,IF(BMO=1,6,8))),FALSE())))</f>
        <v> </v>
      </c>
      <c r="R222" s="429" t="str">
        <f aca="false">IF(A222="N/A"," ",(VLOOKUP(A222,GasCurves,9,FALSE()))+IF(BMO=1,Gasbmo,IF(BMO=3,-Gasbmo,0)))</f>
        <v> </v>
      </c>
      <c r="S222" s="429" t="str">
        <f aca="false">IF(A222="N/A"," ",IF(Basischeck=TRUE(),(VLOOKUP(A222,GasCurves,IF(MONTH(A222)&gt;=4,IF(MONTH(A222)&lt;=10,11,12),12),FALSE())),0))</f>
        <v> </v>
      </c>
      <c r="T222" s="429" t="str">
        <f aca="false">IF(A222="N/A"," ",(IF(MONTH(A222)&gt;=4,IF(MONTH(A222)&lt;=10,Inputs!$H$2,Inputs!$H$3),Inputs!$H$3)))</f>
        <v> </v>
      </c>
      <c r="U222" s="430" t="str">
        <f aca="false">IF(A222="N/A"," ",(VLOOKUP($A222,InterestRatesTable,2)))</f>
        <v> </v>
      </c>
      <c r="AF222" s="384" t="n">
        <v>43191</v>
      </c>
      <c r="AG222" s="36" t="n">
        <v>21</v>
      </c>
      <c r="AH222" s="36" t="n">
        <v>4</v>
      </c>
      <c r="AI222" s="36" t="n">
        <v>5</v>
      </c>
      <c r="AJ222" s="36" t="n">
        <v>0</v>
      </c>
      <c r="AK222" s="36" t="n">
        <v>30</v>
      </c>
    </row>
    <row r="223" customFormat="false" ht="12.75" hidden="false" customHeight="false" outlineLevel="0" collapsed="false">
      <c r="A223" s="420" t="str">
        <f aca="false">Calculations!A190</f>
        <v>N/A</v>
      </c>
      <c r="B223" s="421" t="str">
        <f aca="false">IF(A223="N/A"," ",IF(ISERROR(N223),B211*Pwresc,N223)*VLOOKUP(MONTH(A223),Curveadj,3))</f>
        <v> </v>
      </c>
      <c r="C223" s="422" t="str">
        <f aca="false">IF(A223="N/A"," ",(IF(AND(MONTH(A223)&gt;=6,MONTH(A223)&lt;=8,OR($M$37="REGION 2",$M$37="REGION 2A",$M$37="REGION 2B",$M$37="REGION 3",$M$37="REGION 3A",$M$37="REGION 3B",$M$37="REGION 4",$M$37="REGION 4B",$M$37="REGION 4C",$M$37="REGION 5",$M$37="REGION 5A")),((0.059228/(B223/100))-(0.4980013/(SQRT(B223/100)))+2.137988),HLOOKUP(MONTH(A223),ScalarTable,28))))</f>
        <v> </v>
      </c>
      <c r="D223" s="423" t="str">
        <f aca="false">IF(A223="N/A"," ",C223*B223)</f>
        <v> </v>
      </c>
      <c r="E223" s="421" t="str">
        <f aca="false">IF(A223="N/A"," ",IF(ISERROR(O223),E211*Pwresc,O223)*VLOOKUP(MONTH(A223),Curveadj,3))</f>
        <v> </v>
      </c>
      <c r="F223" s="423" t="str">
        <f aca="false">IF(A223="N/A"," ",E223*C223)</f>
        <v> </v>
      </c>
      <c r="G223" s="421" t="str">
        <f aca="false">IF(A223="N/A"," ",IF(ISERROR(P223),G211*Pwresc,P223)*VLOOKUP(MONTH(A223),Curveadj,3))</f>
        <v> </v>
      </c>
      <c r="H223" s="423" t="str">
        <f aca="false">IF(A223="N/A"," ",G223*C223)</f>
        <v> </v>
      </c>
      <c r="I223" s="423" t="str">
        <f aca="false">IF(A223="N/A"," ",IF(ISERROR(Q223),I211*Pwresc,Q223))</f>
        <v> </v>
      </c>
      <c r="J223" s="424" t="str">
        <f aca="false">IF(A223="N/A"," ",K223+L223+T223)</f>
        <v> </v>
      </c>
      <c r="K223" s="425" t="str">
        <f aca="false">IF(A223="N/A"," ",IF(ISERROR(R223),K211*Gasesc,R223))</f>
        <v> </v>
      </c>
      <c r="L223" s="425" t="str">
        <f aca="false">IF(A223="N/A"," ",IF(ISERROR(S223),L211*Gasesc,IF(S223=0,L211*Gasesc,S223)))</f>
        <v> </v>
      </c>
      <c r="M223" s="431"/>
      <c r="N223" s="427" t="str">
        <f aca="false">IF(A223="N/A"," ",VLOOKUP(A223,PeakPowerCurves,(IF(BMO=2,3,IF(BMO=1,2,4))),FALSE()))</f>
        <v> </v>
      </c>
      <c r="O223" s="427" t="str">
        <f aca="false">IF(A223="N/A"," ",VLOOKUP(A223,SatSunPeakPwr,(IF(BMO=2,3,IF(BMO=1,2,4))),FALSE()))</f>
        <v> </v>
      </c>
      <c r="P223" s="427" t="str">
        <f aca="false">IF(A223="N/A"," ",VLOOKUP(A223,SatSunPeakPwr,(IF(BMO=2,7,IF(BMO=1,6,8))),FALSE()))</f>
        <v> </v>
      </c>
      <c r="Q223" s="428" t="str">
        <f aca="false">IF(A223="N/A"," ",(VLOOKUP(A223,OPPowerPrices,(IF(BMO=2,7,IF(BMO=1,6,8))),FALSE())))</f>
        <v> </v>
      </c>
      <c r="R223" s="429" t="str">
        <f aca="false">IF(A223="N/A"," ",(VLOOKUP(A223,GasCurves,9,FALSE()))+IF(BMO=1,Gasbmo,IF(BMO=3,-Gasbmo,0)))</f>
        <v> </v>
      </c>
      <c r="S223" s="429" t="str">
        <f aca="false">IF(A223="N/A"," ",IF(Basischeck=TRUE(),(VLOOKUP(A223,GasCurves,IF(MONTH(A223)&gt;=4,IF(MONTH(A223)&lt;=10,11,12),12),FALSE())),0))</f>
        <v> </v>
      </c>
      <c r="T223" s="429" t="str">
        <f aca="false">IF(A223="N/A"," ",(IF(MONTH(A223)&gt;=4,IF(MONTH(A223)&lt;=10,Inputs!$H$2,Inputs!$H$3),Inputs!$H$3)))</f>
        <v> </v>
      </c>
      <c r="U223" s="430" t="str">
        <f aca="false">IF(A223="N/A"," ",(VLOOKUP($A223,InterestRatesTable,2)))</f>
        <v> </v>
      </c>
      <c r="AF223" s="384" t="n">
        <v>43221</v>
      </c>
      <c r="AG223" s="36" t="n">
        <v>22</v>
      </c>
      <c r="AH223" s="36" t="n">
        <v>4</v>
      </c>
      <c r="AI223" s="36" t="n">
        <v>5</v>
      </c>
      <c r="AJ223" s="36" t="n">
        <v>1</v>
      </c>
      <c r="AK223" s="36" t="n">
        <v>31</v>
      </c>
    </row>
    <row r="224" customFormat="false" ht="12.75" hidden="false" customHeight="false" outlineLevel="0" collapsed="false">
      <c r="A224" s="420" t="str">
        <f aca="false">Calculations!A191</f>
        <v>N/A</v>
      </c>
      <c r="B224" s="421" t="str">
        <f aca="false">IF(A224="N/A"," ",IF(ISERROR(N224),B212*Pwresc,N224)*VLOOKUP(MONTH(A224),Curveadj,3))</f>
        <v> </v>
      </c>
      <c r="C224" s="422" t="str">
        <f aca="false">IF(A224="N/A"," ",(IF(AND(MONTH(A224)&gt;=6,MONTH(A224)&lt;=8,OR($M$37="REGION 2",$M$37="REGION 2A",$M$37="REGION 2B",$M$37="REGION 3",$M$37="REGION 3A",$M$37="REGION 3B",$M$37="REGION 4",$M$37="REGION 4B",$M$37="REGION 4C",$M$37="REGION 5",$M$37="REGION 5A")),((0.059228/(B224/100))-(0.4980013/(SQRT(B224/100)))+2.137988),HLOOKUP(MONTH(A224),ScalarTable,28))))</f>
        <v> </v>
      </c>
      <c r="D224" s="423" t="str">
        <f aca="false">IF(A224="N/A"," ",C224*B224)</f>
        <v> </v>
      </c>
      <c r="E224" s="421" t="str">
        <f aca="false">IF(A224="N/A"," ",IF(ISERROR(O224),E212*Pwresc,O224)*VLOOKUP(MONTH(A224),Curveadj,3))</f>
        <v> </v>
      </c>
      <c r="F224" s="423" t="str">
        <f aca="false">IF(A224="N/A"," ",E224*C224)</f>
        <v> </v>
      </c>
      <c r="G224" s="421" t="str">
        <f aca="false">IF(A224="N/A"," ",IF(ISERROR(P224),G212*Pwresc,P224)*VLOOKUP(MONTH(A224),Curveadj,3))</f>
        <v> </v>
      </c>
      <c r="H224" s="423" t="str">
        <f aca="false">IF(A224="N/A"," ",G224*C224)</f>
        <v> </v>
      </c>
      <c r="I224" s="423" t="str">
        <f aca="false">IF(A224="N/A"," ",IF(ISERROR(Q224),I212*Pwresc,Q224))</f>
        <v> </v>
      </c>
      <c r="J224" s="424" t="str">
        <f aca="false">IF(A224="N/A"," ",K224+L224+T224)</f>
        <v> </v>
      </c>
      <c r="K224" s="425" t="str">
        <f aca="false">IF(A224="N/A"," ",IF(ISERROR(R224),K212*Gasesc,R224))</f>
        <v> </v>
      </c>
      <c r="L224" s="425" t="str">
        <f aca="false">IF(A224="N/A"," ",IF(ISERROR(S224),L212*Gasesc,IF(S224=0,L212*Gasesc,S224)))</f>
        <v> </v>
      </c>
      <c r="M224" s="431"/>
      <c r="N224" s="427" t="str">
        <f aca="false">IF(A224="N/A"," ",VLOOKUP(A224,PeakPowerCurves,(IF(BMO=2,3,IF(BMO=1,2,4))),FALSE()))</f>
        <v> </v>
      </c>
      <c r="O224" s="427" t="str">
        <f aca="false">IF(A224="N/A"," ",VLOOKUP(A224,SatSunPeakPwr,(IF(BMO=2,3,IF(BMO=1,2,4))),FALSE()))</f>
        <v> </v>
      </c>
      <c r="P224" s="427" t="str">
        <f aca="false">IF(A224="N/A"," ",VLOOKUP(A224,SatSunPeakPwr,(IF(BMO=2,7,IF(BMO=1,6,8))),FALSE()))</f>
        <v> </v>
      </c>
      <c r="Q224" s="428" t="str">
        <f aca="false">IF(A224="N/A"," ",(VLOOKUP(A224,OPPowerPrices,(IF(BMO=2,7,IF(BMO=1,6,8))),FALSE())))</f>
        <v> </v>
      </c>
      <c r="R224" s="429" t="str">
        <f aca="false">IF(A224="N/A"," ",(VLOOKUP(A224,GasCurves,9,FALSE()))+IF(BMO=1,Gasbmo,IF(BMO=3,-Gasbmo,0)))</f>
        <v> </v>
      </c>
      <c r="S224" s="429" t="str">
        <f aca="false">IF(A224="N/A"," ",IF(Basischeck=TRUE(),(VLOOKUP(A224,GasCurves,IF(MONTH(A224)&gt;=4,IF(MONTH(A224)&lt;=10,11,12),12),FALSE())),0))</f>
        <v> </v>
      </c>
      <c r="T224" s="429" t="str">
        <f aca="false">IF(A224="N/A"," ",(IF(MONTH(A224)&gt;=4,IF(MONTH(A224)&lt;=10,Inputs!$H$2,Inputs!$H$3),Inputs!$H$3)))</f>
        <v> </v>
      </c>
      <c r="U224" s="430" t="str">
        <f aca="false">IF(A224="N/A"," ",(VLOOKUP($A224,InterestRatesTable,2)))</f>
        <v> </v>
      </c>
      <c r="AF224" s="384" t="n">
        <v>43252</v>
      </c>
      <c r="AG224" s="36" t="n">
        <v>21</v>
      </c>
      <c r="AH224" s="36" t="n">
        <v>5</v>
      </c>
      <c r="AI224" s="36" t="n">
        <v>4</v>
      </c>
      <c r="AJ224" s="36" t="n">
        <v>0</v>
      </c>
      <c r="AK224" s="36" t="n">
        <v>30</v>
      </c>
    </row>
    <row r="225" customFormat="false" ht="12.75" hidden="false" customHeight="false" outlineLevel="0" collapsed="false">
      <c r="A225" s="420" t="str">
        <f aca="false">Calculations!A192</f>
        <v>N/A</v>
      </c>
      <c r="B225" s="421" t="str">
        <f aca="false">IF(A225="N/A"," ",IF(ISERROR(N225),B213*Pwresc,N225)*VLOOKUP(MONTH(A225),Curveadj,3))</f>
        <v> </v>
      </c>
      <c r="C225" s="422" t="str">
        <f aca="false">IF(A225="N/A"," ",(IF(AND(MONTH(A225)&gt;=6,MONTH(A225)&lt;=8,OR($M$37="REGION 2",$M$37="REGION 2A",$M$37="REGION 2B",$M$37="REGION 3",$M$37="REGION 3A",$M$37="REGION 3B",$M$37="REGION 4",$M$37="REGION 4B",$M$37="REGION 4C",$M$37="REGION 5",$M$37="REGION 5A")),((0.059228/(B225/100))-(0.4980013/(SQRT(B225/100)))+2.137988),HLOOKUP(MONTH(A225),ScalarTable,28))))</f>
        <v> </v>
      </c>
      <c r="D225" s="423" t="str">
        <f aca="false">IF(A225="N/A"," ",C225*B225)</f>
        <v> </v>
      </c>
      <c r="E225" s="421" t="str">
        <f aca="false">IF(A225="N/A"," ",IF(ISERROR(O225),E213*Pwresc,O225)*VLOOKUP(MONTH(A225),Curveadj,3))</f>
        <v> </v>
      </c>
      <c r="F225" s="423" t="str">
        <f aca="false">IF(A225="N/A"," ",E225*C225)</f>
        <v> </v>
      </c>
      <c r="G225" s="421" t="str">
        <f aca="false">IF(A225="N/A"," ",IF(ISERROR(P225),G213*Pwresc,P225)*VLOOKUP(MONTH(A225),Curveadj,3))</f>
        <v> </v>
      </c>
      <c r="H225" s="423" t="str">
        <f aca="false">IF(A225="N/A"," ",G225*C225)</f>
        <v> </v>
      </c>
      <c r="I225" s="423" t="str">
        <f aca="false">IF(A225="N/A"," ",IF(ISERROR(Q225),I213*Pwresc,Q225))</f>
        <v> </v>
      </c>
      <c r="J225" s="424" t="str">
        <f aca="false">IF(A225="N/A"," ",K225+L225+T225)</f>
        <v> </v>
      </c>
      <c r="K225" s="425" t="str">
        <f aca="false">IF(A225="N/A"," ",IF(ISERROR(R225),K213*Gasesc,R225))</f>
        <v> </v>
      </c>
      <c r="L225" s="425" t="str">
        <f aca="false">IF(A225="N/A"," ",IF(ISERROR(S225),L213*Gasesc,IF(S225=0,L213*Gasesc,S225)))</f>
        <v> </v>
      </c>
      <c r="M225" s="431"/>
      <c r="N225" s="427" t="str">
        <f aca="false">IF(A225="N/A"," ",VLOOKUP(A225,PeakPowerCurves,(IF(BMO=2,3,IF(BMO=1,2,4))),FALSE()))</f>
        <v> </v>
      </c>
      <c r="O225" s="427" t="str">
        <f aca="false">IF(A225="N/A"," ",VLOOKUP(A225,SatSunPeakPwr,(IF(BMO=2,3,IF(BMO=1,2,4))),FALSE()))</f>
        <v> </v>
      </c>
      <c r="P225" s="427" t="str">
        <f aca="false">IF(A225="N/A"," ",VLOOKUP(A225,SatSunPeakPwr,(IF(BMO=2,7,IF(BMO=1,6,8))),FALSE()))</f>
        <v> </v>
      </c>
      <c r="Q225" s="428" t="str">
        <f aca="false">IF(A225="N/A"," ",(VLOOKUP(A225,OPPowerPrices,(IF(BMO=2,7,IF(BMO=1,6,8))),FALSE())))</f>
        <v> </v>
      </c>
      <c r="R225" s="429" t="str">
        <f aca="false">IF(A225="N/A"," ",(VLOOKUP(A225,GasCurves,9,FALSE()))+IF(BMO=1,Gasbmo,IF(BMO=3,-Gasbmo,0)))</f>
        <v> </v>
      </c>
      <c r="S225" s="429" t="str">
        <f aca="false">IF(A225="N/A"," ",IF(Basischeck=TRUE(),(VLOOKUP(A225,GasCurves,IF(MONTH(A225)&gt;=4,IF(MONTH(A225)&lt;=10,11,12),12),FALSE())),0))</f>
        <v> </v>
      </c>
      <c r="T225" s="429" t="str">
        <f aca="false">IF(A225="N/A"," ",(IF(MONTH(A225)&gt;=4,IF(MONTH(A225)&lt;=10,Inputs!$H$2,Inputs!$H$3),Inputs!$H$3)))</f>
        <v> </v>
      </c>
      <c r="U225" s="430" t="str">
        <f aca="false">IF(A225="N/A"," ",(VLOOKUP($A225,InterestRatesTable,2)))</f>
        <v> </v>
      </c>
      <c r="AF225" s="384" t="n">
        <v>43282</v>
      </c>
      <c r="AG225" s="36" t="n">
        <v>21</v>
      </c>
      <c r="AH225" s="36" t="n">
        <v>4</v>
      </c>
      <c r="AI225" s="36" t="n">
        <v>6</v>
      </c>
      <c r="AJ225" s="36" t="n">
        <v>1</v>
      </c>
      <c r="AK225" s="36" t="n">
        <v>31</v>
      </c>
    </row>
    <row r="226" customFormat="false" ht="12.75" hidden="false" customHeight="false" outlineLevel="0" collapsed="false">
      <c r="A226" s="420" t="str">
        <f aca="false">Calculations!A193</f>
        <v>N/A</v>
      </c>
      <c r="B226" s="421" t="str">
        <f aca="false">IF(A226="N/A"," ",IF(ISERROR(N226),B214*Pwresc,N226)*VLOOKUP(MONTH(A226),Curveadj,3))</f>
        <v> </v>
      </c>
      <c r="C226" s="422" t="str">
        <f aca="false">IF(A226="N/A"," ",(IF(AND(MONTH(A226)&gt;=6,MONTH(A226)&lt;=8,OR($M$37="REGION 2",$M$37="REGION 2A",$M$37="REGION 2B",$M$37="REGION 3",$M$37="REGION 3A",$M$37="REGION 3B",$M$37="REGION 4",$M$37="REGION 4B",$M$37="REGION 4C",$M$37="REGION 5",$M$37="REGION 5A")),((0.059228/(B226/100))-(0.4980013/(SQRT(B226/100)))+2.137988),HLOOKUP(MONTH(A226),ScalarTable,28))))</f>
        <v> </v>
      </c>
      <c r="D226" s="423" t="str">
        <f aca="false">IF(A226="N/A"," ",C226*B226)</f>
        <v> </v>
      </c>
      <c r="E226" s="421" t="str">
        <f aca="false">IF(A226="N/A"," ",IF(ISERROR(O226),E214*Pwresc,O226)*VLOOKUP(MONTH(A226),Curveadj,3))</f>
        <v> </v>
      </c>
      <c r="F226" s="423" t="str">
        <f aca="false">IF(A226="N/A"," ",E226*C226)</f>
        <v> </v>
      </c>
      <c r="G226" s="421" t="str">
        <f aca="false">IF(A226="N/A"," ",IF(ISERROR(P226),G214*Pwresc,P226)*VLOOKUP(MONTH(A226),Curveadj,3))</f>
        <v> </v>
      </c>
      <c r="H226" s="423" t="str">
        <f aca="false">IF(A226="N/A"," ",G226*C226)</f>
        <v> </v>
      </c>
      <c r="I226" s="423" t="str">
        <f aca="false">IF(A226="N/A"," ",IF(ISERROR(Q226),I214*Pwresc,Q226))</f>
        <v> </v>
      </c>
      <c r="J226" s="424" t="str">
        <f aca="false">IF(A226="N/A"," ",K226+L226+T226)</f>
        <v> </v>
      </c>
      <c r="K226" s="425" t="str">
        <f aca="false">IF(A226="N/A"," ",IF(ISERROR(R226),K214*Gasesc,R226))</f>
        <v> </v>
      </c>
      <c r="L226" s="425" t="str">
        <f aca="false">IF(A226="N/A"," ",IF(ISERROR(S226),L214*Gasesc,IF(S226=0,L214*Gasesc,S226)))</f>
        <v> </v>
      </c>
      <c r="M226" s="431"/>
      <c r="N226" s="427" t="str">
        <f aca="false">IF(A226="N/A"," ",VLOOKUP(A226,PeakPowerCurves,(IF(BMO=2,3,IF(BMO=1,2,4))),FALSE()))</f>
        <v> </v>
      </c>
      <c r="O226" s="427" t="str">
        <f aca="false">IF(A226="N/A"," ",VLOOKUP(A226,SatSunPeakPwr,(IF(BMO=2,3,IF(BMO=1,2,4))),FALSE()))</f>
        <v> </v>
      </c>
      <c r="P226" s="427" t="str">
        <f aca="false">IF(A226="N/A"," ",VLOOKUP(A226,SatSunPeakPwr,(IF(BMO=2,7,IF(BMO=1,6,8))),FALSE()))</f>
        <v> </v>
      </c>
      <c r="Q226" s="428" t="str">
        <f aca="false">IF(A226="N/A"," ",(VLOOKUP(A226,OPPowerPrices,(IF(BMO=2,7,IF(BMO=1,6,8))),FALSE())))</f>
        <v> </v>
      </c>
      <c r="R226" s="429" t="str">
        <f aca="false">IF(A226="N/A"," ",(VLOOKUP(A226,GasCurves,9,FALSE()))+IF(BMO=1,Gasbmo,IF(BMO=3,-Gasbmo,0)))</f>
        <v> </v>
      </c>
      <c r="S226" s="429" t="str">
        <f aca="false">IF(A226="N/A"," ",IF(Basischeck=TRUE(),(VLOOKUP(A226,GasCurves,IF(MONTH(A226)&gt;=4,IF(MONTH(A226)&lt;=10,11,12),12),FALSE())),0))</f>
        <v> </v>
      </c>
      <c r="T226" s="429" t="str">
        <f aca="false">IF(A226="N/A"," ",(IF(MONTH(A226)&gt;=4,IF(MONTH(A226)&lt;=10,Inputs!$H$2,Inputs!$H$3),Inputs!$H$3)))</f>
        <v> </v>
      </c>
      <c r="U226" s="430" t="str">
        <f aca="false">IF(A226="N/A"," ",(VLOOKUP($A226,InterestRatesTable,2)))</f>
        <v> </v>
      </c>
      <c r="AF226" s="384" t="n">
        <v>43313</v>
      </c>
      <c r="AG226" s="36" t="n">
        <v>23</v>
      </c>
      <c r="AH226" s="36" t="n">
        <v>4</v>
      </c>
      <c r="AI226" s="36" t="n">
        <v>4</v>
      </c>
      <c r="AJ226" s="36" t="n">
        <v>0</v>
      </c>
      <c r="AK226" s="36" t="n">
        <v>31</v>
      </c>
    </row>
    <row r="227" customFormat="false" ht="12.75" hidden="false" customHeight="false" outlineLevel="0" collapsed="false">
      <c r="A227" s="420" t="str">
        <f aca="false">Calculations!A194</f>
        <v>N/A</v>
      </c>
      <c r="B227" s="421" t="str">
        <f aca="false">IF(A227="N/A"," ",IF(ISERROR(N227),B215*Pwresc,N227)*VLOOKUP(MONTH(A227),Curveadj,3))</f>
        <v> </v>
      </c>
      <c r="C227" s="422" t="str">
        <f aca="false">IF(A227="N/A"," ",(IF(AND(MONTH(A227)&gt;=6,MONTH(A227)&lt;=8,OR($M$37="REGION 2",$M$37="REGION 2A",$M$37="REGION 2B",$M$37="REGION 3",$M$37="REGION 3A",$M$37="REGION 3B",$M$37="REGION 4",$M$37="REGION 4B",$M$37="REGION 4C",$M$37="REGION 5",$M$37="REGION 5A")),((0.059228/(B227/100))-(0.4980013/(SQRT(B227/100)))+2.137988),HLOOKUP(MONTH(A227),ScalarTable,28))))</f>
        <v> </v>
      </c>
      <c r="D227" s="423" t="str">
        <f aca="false">IF(A227="N/A"," ",C227*B227)</f>
        <v> </v>
      </c>
      <c r="E227" s="421" t="str">
        <f aca="false">IF(A227="N/A"," ",IF(ISERROR(O227),E215*Pwresc,O227)*VLOOKUP(MONTH(A227),Curveadj,3))</f>
        <v> </v>
      </c>
      <c r="F227" s="423" t="str">
        <f aca="false">IF(A227="N/A"," ",E227*C227)</f>
        <v> </v>
      </c>
      <c r="G227" s="421" t="str">
        <f aca="false">IF(A227="N/A"," ",IF(ISERROR(P227),G215*Pwresc,P227)*VLOOKUP(MONTH(A227),Curveadj,3))</f>
        <v> </v>
      </c>
      <c r="H227" s="423" t="str">
        <f aca="false">IF(A227="N/A"," ",G227*C227)</f>
        <v> </v>
      </c>
      <c r="I227" s="423" t="str">
        <f aca="false">IF(A227="N/A"," ",IF(ISERROR(Q227),I215*Pwresc,Q227))</f>
        <v> </v>
      </c>
      <c r="J227" s="424" t="str">
        <f aca="false">IF(A227="N/A"," ",K227+L227+T227)</f>
        <v> </v>
      </c>
      <c r="K227" s="425" t="str">
        <f aca="false">IF(A227="N/A"," ",IF(ISERROR(R227),K215*Gasesc,R227))</f>
        <v> </v>
      </c>
      <c r="L227" s="425" t="str">
        <f aca="false">IF(A227="N/A"," ",IF(ISERROR(S227),L215*Gasesc,IF(S227=0,L215*Gasesc,S227)))</f>
        <v> </v>
      </c>
      <c r="M227" s="431"/>
      <c r="N227" s="427" t="str">
        <f aca="false">IF(A227="N/A"," ",VLOOKUP(A227,PeakPowerCurves,(IF(BMO=2,3,IF(BMO=1,2,4))),FALSE()))</f>
        <v> </v>
      </c>
      <c r="O227" s="427" t="str">
        <f aca="false">IF(A227="N/A"," ",VLOOKUP(A227,SatSunPeakPwr,(IF(BMO=2,3,IF(BMO=1,2,4))),FALSE()))</f>
        <v> </v>
      </c>
      <c r="P227" s="427" t="str">
        <f aca="false">IF(A227="N/A"," ",VLOOKUP(A227,SatSunPeakPwr,(IF(BMO=2,7,IF(BMO=1,6,8))),FALSE()))</f>
        <v> </v>
      </c>
      <c r="Q227" s="428" t="str">
        <f aca="false">IF(A227="N/A"," ",(VLOOKUP(A227,OPPowerPrices,(IF(BMO=2,7,IF(BMO=1,6,8))),FALSE())))</f>
        <v> </v>
      </c>
      <c r="R227" s="429" t="str">
        <f aca="false">IF(A227="N/A"," ",(VLOOKUP(A227,GasCurves,9,FALSE()))+IF(BMO=1,Gasbmo,IF(BMO=3,-Gasbmo,0)))</f>
        <v> </v>
      </c>
      <c r="S227" s="429" t="str">
        <f aca="false">IF(A227="N/A"," ",IF(Basischeck=TRUE(),(VLOOKUP(A227,GasCurves,IF(MONTH(A227)&gt;=4,IF(MONTH(A227)&lt;=10,11,12),12),FALSE())),0))</f>
        <v> </v>
      </c>
      <c r="T227" s="429" t="str">
        <f aca="false">IF(A227="N/A"," ",(IF(MONTH(A227)&gt;=4,IF(MONTH(A227)&lt;=10,Inputs!$H$2,Inputs!$H$3),Inputs!$H$3)))</f>
        <v> </v>
      </c>
      <c r="U227" s="430" t="str">
        <f aca="false">IF(A227="N/A"," ",(VLOOKUP($A227,InterestRatesTable,2)))</f>
        <v> </v>
      </c>
      <c r="AF227" s="384" t="n">
        <v>43344</v>
      </c>
      <c r="AG227" s="36" t="n">
        <v>19</v>
      </c>
      <c r="AH227" s="36" t="n">
        <v>5</v>
      </c>
      <c r="AI227" s="36" t="n">
        <v>6</v>
      </c>
      <c r="AJ227" s="36" t="n">
        <v>1</v>
      </c>
      <c r="AK227" s="36" t="n">
        <v>30</v>
      </c>
    </row>
    <row r="228" customFormat="false" ht="12.75" hidden="false" customHeight="false" outlineLevel="0" collapsed="false">
      <c r="A228" s="420" t="str">
        <f aca="false">Calculations!A195</f>
        <v>N/A</v>
      </c>
      <c r="B228" s="421" t="str">
        <f aca="false">IF(A228="N/A"," ",IF(ISERROR(N228),B216*Pwresc,N228)*VLOOKUP(MONTH(A228),Curveadj,3))</f>
        <v> </v>
      </c>
      <c r="C228" s="422" t="str">
        <f aca="false">IF(A228="N/A"," ",(IF(AND(MONTH(A228)&gt;=6,MONTH(A228)&lt;=8,OR($M$37="REGION 2",$M$37="REGION 2A",$M$37="REGION 2B",$M$37="REGION 3",$M$37="REGION 3A",$M$37="REGION 3B",$M$37="REGION 4",$M$37="REGION 4B",$M$37="REGION 4C",$M$37="REGION 5",$M$37="REGION 5A")),((0.059228/(B228/100))-(0.4980013/(SQRT(B228/100)))+2.137988),HLOOKUP(MONTH(A228),ScalarTable,28))))</f>
        <v> </v>
      </c>
      <c r="D228" s="423" t="str">
        <f aca="false">IF(A228="N/A"," ",C228*B228)</f>
        <v> </v>
      </c>
      <c r="E228" s="421" t="str">
        <f aca="false">IF(A228="N/A"," ",IF(ISERROR(O228),E216*Pwresc,O228)*VLOOKUP(MONTH(A228),Curveadj,3))</f>
        <v> </v>
      </c>
      <c r="F228" s="423" t="str">
        <f aca="false">IF(A228="N/A"," ",E228*C228)</f>
        <v> </v>
      </c>
      <c r="G228" s="421" t="str">
        <f aca="false">IF(A228="N/A"," ",IF(ISERROR(P228),G216*Pwresc,P228)*VLOOKUP(MONTH(A228),Curveadj,3))</f>
        <v> </v>
      </c>
      <c r="H228" s="423" t="str">
        <f aca="false">IF(A228="N/A"," ",G228*C228)</f>
        <v> </v>
      </c>
      <c r="I228" s="423" t="str">
        <f aca="false">IF(A228="N/A"," ",IF(ISERROR(Q228),I216*Pwresc,Q228))</f>
        <v> </v>
      </c>
      <c r="J228" s="424" t="str">
        <f aca="false">IF(A228="N/A"," ",K228+L228+T228)</f>
        <v> </v>
      </c>
      <c r="K228" s="425" t="str">
        <f aca="false">IF(A228="N/A"," ",IF(ISERROR(R228),K216*Gasesc,R228))</f>
        <v> </v>
      </c>
      <c r="L228" s="425" t="str">
        <f aca="false">IF(A228="N/A"," ",IF(ISERROR(S228),L216*Gasesc,IF(S228=0,L216*Gasesc,S228)))</f>
        <v> </v>
      </c>
      <c r="M228" s="431"/>
      <c r="N228" s="427" t="str">
        <f aca="false">IF(A228="N/A"," ",VLOOKUP(A228,PeakPowerCurves,(IF(BMO=2,3,IF(BMO=1,2,4))),FALSE()))</f>
        <v> </v>
      </c>
      <c r="O228" s="427" t="str">
        <f aca="false">IF(A228="N/A"," ",VLOOKUP(A228,SatSunPeakPwr,(IF(BMO=2,3,IF(BMO=1,2,4))),FALSE()))</f>
        <v> </v>
      </c>
      <c r="P228" s="427" t="str">
        <f aca="false">IF(A228="N/A"," ",VLOOKUP(A228,SatSunPeakPwr,(IF(BMO=2,7,IF(BMO=1,6,8))),FALSE()))</f>
        <v> </v>
      </c>
      <c r="Q228" s="428" t="str">
        <f aca="false">IF(A228="N/A"," ",(VLOOKUP(A228,OPPowerPrices,(IF(BMO=2,7,IF(BMO=1,6,8))),FALSE())))</f>
        <v> </v>
      </c>
      <c r="R228" s="429" t="str">
        <f aca="false">IF(A228="N/A"," ",(VLOOKUP(A228,GasCurves,9,FALSE()))+IF(BMO=1,Gasbmo,IF(BMO=3,-Gasbmo,0)))</f>
        <v> </v>
      </c>
      <c r="S228" s="429" t="str">
        <f aca="false">IF(A228="N/A"," ",IF(Basischeck=TRUE(),(VLOOKUP(A228,GasCurves,IF(MONTH(A228)&gt;=4,IF(MONTH(A228)&lt;=10,11,12),12),FALSE())),0))</f>
        <v> </v>
      </c>
      <c r="T228" s="429" t="str">
        <f aca="false">IF(A228="N/A"," ",(IF(MONTH(A228)&gt;=4,IF(MONTH(A228)&lt;=10,Inputs!$H$2,Inputs!$H$3),Inputs!$H$3)))</f>
        <v> </v>
      </c>
      <c r="U228" s="430" t="str">
        <f aca="false">IF(A228="N/A"," ",(VLOOKUP($A228,InterestRatesTable,2)))</f>
        <v> </v>
      </c>
      <c r="AF228" s="384" t="n">
        <v>43374</v>
      </c>
      <c r="AG228" s="36" t="n">
        <v>23</v>
      </c>
      <c r="AH228" s="36" t="n">
        <v>4</v>
      </c>
      <c r="AI228" s="36" t="n">
        <v>4</v>
      </c>
      <c r="AJ228" s="36" t="n">
        <v>0</v>
      </c>
      <c r="AK228" s="36" t="n">
        <v>31</v>
      </c>
    </row>
    <row r="229" customFormat="false" ht="12.75" hidden="false" customHeight="false" outlineLevel="0" collapsed="false">
      <c r="A229" s="420" t="str">
        <f aca="false">Calculations!A196</f>
        <v>N/A</v>
      </c>
      <c r="B229" s="421" t="str">
        <f aca="false">IF(A229="N/A"," ",IF(ISERROR(N229),B217*Pwresc,N229)*VLOOKUP(MONTH(A229),Curveadj,3))</f>
        <v> </v>
      </c>
      <c r="C229" s="422" t="str">
        <f aca="false">IF(A229="N/A"," ",(IF(AND(MONTH(A229)&gt;=6,MONTH(A229)&lt;=8,OR($M$37="REGION 2",$M$37="REGION 2A",$M$37="REGION 2B",$M$37="REGION 3",$M$37="REGION 3A",$M$37="REGION 3B",$M$37="REGION 4",$M$37="REGION 4B",$M$37="REGION 4C",$M$37="REGION 5",$M$37="REGION 5A")),((0.059228/(B229/100))-(0.4980013/(SQRT(B229/100)))+2.137988),HLOOKUP(MONTH(A229),ScalarTable,28))))</f>
        <v> </v>
      </c>
      <c r="D229" s="423" t="str">
        <f aca="false">IF(A229="N/A"," ",C229*B229)</f>
        <v> </v>
      </c>
      <c r="E229" s="421" t="str">
        <f aca="false">IF(A229="N/A"," ",IF(ISERROR(O229),E217*Pwresc,O229)*VLOOKUP(MONTH(A229),Curveadj,3))</f>
        <v> </v>
      </c>
      <c r="F229" s="423" t="str">
        <f aca="false">IF(A229="N/A"," ",E229*C229)</f>
        <v> </v>
      </c>
      <c r="G229" s="421" t="str">
        <f aca="false">IF(A229="N/A"," ",IF(ISERROR(P229),G217*Pwresc,P229)*VLOOKUP(MONTH(A229),Curveadj,3))</f>
        <v> </v>
      </c>
      <c r="H229" s="423" t="str">
        <f aca="false">IF(A229="N/A"," ",G229*C229)</f>
        <v> </v>
      </c>
      <c r="I229" s="423" t="str">
        <f aca="false">IF(A229="N/A"," ",IF(ISERROR(Q229),I217*Pwresc,Q229))</f>
        <v> </v>
      </c>
      <c r="J229" s="424" t="str">
        <f aca="false">IF(A229="N/A"," ",K229+L229+T229)</f>
        <v> </v>
      </c>
      <c r="K229" s="425" t="str">
        <f aca="false">IF(A229="N/A"," ",IF(ISERROR(R229),K217*Gasesc,R229))</f>
        <v> </v>
      </c>
      <c r="L229" s="425" t="str">
        <f aca="false">IF(A229="N/A"," ",IF(ISERROR(S229),L217*Gasesc,IF(S229=0,L217*Gasesc,S229)))</f>
        <v> </v>
      </c>
      <c r="M229" s="431"/>
      <c r="N229" s="427" t="str">
        <f aca="false">IF(A229="N/A"," ",VLOOKUP(A229,PeakPowerCurves,(IF(BMO=2,3,IF(BMO=1,2,4))),FALSE()))</f>
        <v> </v>
      </c>
      <c r="O229" s="427" t="str">
        <f aca="false">IF(A229="N/A"," ",VLOOKUP(A229,SatSunPeakPwr,(IF(BMO=2,3,IF(BMO=1,2,4))),FALSE()))</f>
        <v> </v>
      </c>
      <c r="P229" s="427" t="str">
        <f aca="false">IF(A229="N/A"," ",VLOOKUP(A229,SatSunPeakPwr,(IF(BMO=2,7,IF(BMO=1,6,8))),FALSE()))</f>
        <v> </v>
      </c>
      <c r="Q229" s="428" t="str">
        <f aca="false">IF(A229="N/A"," ",(VLOOKUP(A229,OPPowerPrices,(IF(BMO=2,7,IF(BMO=1,6,8))),FALSE())))</f>
        <v> </v>
      </c>
      <c r="R229" s="429" t="str">
        <f aca="false">IF(A229="N/A"," ",(VLOOKUP(A229,GasCurves,9,FALSE()))+IF(BMO=1,Gasbmo,IF(BMO=3,-Gasbmo,0)))</f>
        <v> </v>
      </c>
      <c r="S229" s="429" t="str">
        <f aca="false">IF(A229="N/A"," ",IF(Basischeck=TRUE(),(VLOOKUP(A229,GasCurves,IF(MONTH(A229)&gt;=4,IF(MONTH(A229)&lt;=10,11,12),12),FALSE())),0))</f>
        <v> </v>
      </c>
      <c r="T229" s="429" t="str">
        <f aca="false">IF(A229="N/A"," ",(IF(MONTH(A229)&gt;=4,IF(MONTH(A229)&lt;=10,Inputs!$H$2,Inputs!$H$3),Inputs!$H$3)))</f>
        <v> </v>
      </c>
      <c r="U229" s="430" t="str">
        <f aca="false">IF(A229="N/A"," ",(VLOOKUP($A229,InterestRatesTable,2)))</f>
        <v> </v>
      </c>
      <c r="AF229" s="384" t="n">
        <v>43405</v>
      </c>
      <c r="AG229" s="36" t="n">
        <v>21</v>
      </c>
      <c r="AH229" s="36" t="n">
        <v>4</v>
      </c>
      <c r="AI229" s="36" t="n">
        <v>5</v>
      </c>
      <c r="AJ229" s="36" t="n">
        <v>1</v>
      </c>
      <c r="AK229" s="36" t="n">
        <v>30</v>
      </c>
    </row>
    <row r="230" customFormat="false" ht="12.75" hidden="false" customHeight="false" outlineLevel="0" collapsed="false">
      <c r="A230" s="420" t="str">
        <f aca="false">Calculations!A197</f>
        <v>N/A</v>
      </c>
      <c r="B230" s="421" t="str">
        <f aca="false">IF(A230="N/A"," ",IF(ISERROR(N230),B218*Pwresc,N230)*VLOOKUP(MONTH(A230),Curveadj,3))</f>
        <v> </v>
      </c>
      <c r="C230" s="422" t="str">
        <f aca="false">IF(A230="N/A"," ",(IF(AND(MONTH(A230)&gt;=6,MONTH(A230)&lt;=8,OR($M$37="REGION 2",$M$37="REGION 2A",$M$37="REGION 2B",$M$37="REGION 3",$M$37="REGION 3A",$M$37="REGION 3B",$M$37="REGION 4",$M$37="REGION 4B",$M$37="REGION 4C",$M$37="REGION 5",$M$37="REGION 5A")),((0.059228/(B230/100))-(0.4980013/(SQRT(B230/100)))+2.137988),HLOOKUP(MONTH(A230),ScalarTable,28))))</f>
        <v> </v>
      </c>
      <c r="D230" s="423" t="str">
        <f aca="false">IF(A230="N/A"," ",C230*B230)</f>
        <v> </v>
      </c>
      <c r="E230" s="421" t="str">
        <f aca="false">IF(A230="N/A"," ",IF(ISERROR(O230),E218*Pwresc,O230)*VLOOKUP(MONTH(A230),Curveadj,3))</f>
        <v> </v>
      </c>
      <c r="F230" s="423" t="str">
        <f aca="false">IF(A230="N/A"," ",E230*C230)</f>
        <v> </v>
      </c>
      <c r="G230" s="421" t="str">
        <f aca="false">IF(A230="N/A"," ",IF(ISERROR(P230),G218*Pwresc,P230)*VLOOKUP(MONTH(A230),Curveadj,3))</f>
        <v> </v>
      </c>
      <c r="H230" s="423" t="str">
        <f aca="false">IF(A230="N/A"," ",G230*C230)</f>
        <v> </v>
      </c>
      <c r="I230" s="423" t="str">
        <f aca="false">IF(A230="N/A"," ",IF(ISERROR(Q230),I218*Pwresc,Q230))</f>
        <v> </v>
      </c>
      <c r="J230" s="424" t="str">
        <f aca="false">IF(A230="N/A"," ",K230+L230+T230)</f>
        <v> </v>
      </c>
      <c r="K230" s="425" t="str">
        <f aca="false">IF(A230="N/A"," ",IF(ISERROR(R230),K218*Gasesc,R230))</f>
        <v> </v>
      </c>
      <c r="L230" s="425" t="str">
        <f aca="false">IF(A230="N/A"," ",IF(ISERROR(S230),L218*Gasesc,IF(S230=0,L218*Gasesc,S230)))</f>
        <v> </v>
      </c>
      <c r="M230" s="431"/>
      <c r="N230" s="427" t="str">
        <f aca="false">IF(A230="N/A"," ",VLOOKUP(A230,PeakPowerCurves,(IF(BMO=2,3,IF(BMO=1,2,4))),FALSE()))</f>
        <v> </v>
      </c>
      <c r="O230" s="427" t="str">
        <f aca="false">IF(A230="N/A"," ",VLOOKUP(A230,SatSunPeakPwr,(IF(BMO=2,3,IF(BMO=1,2,4))),FALSE()))</f>
        <v> </v>
      </c>
      <c r="P230" s="427" t="str">
        <f aca="false">IF(A230="N/A"," ",VLOOKUP(A230,SatSunPeakPwr,(IF(BMO=2,7,IF(BMO=1,6,8))),FALSE()))</f>
        <v> </v>
      </c>
      <c r="Q230" s="428" t="str">
        <f aca="false">IF(A230="N/A"," ",(VLOOKUP(A230,OPPowerPrices,(IF(BMO=2,7,IF(BMO=1,6,8))),FALSE())))</f>
        <v> </v>
      </c>
      <c r="R230" s="429" t="str">
        <f aca="false">IF(A230="N/A"," ",(VLOOKUP(A230,GasCurves,9,FALSE()))+IF(BMO=1,Gasbmo,IF(BMO=3,-Gasbmo,0)))</f>
        <v> </v>
      </c>
      <c r="S230" s="429" t="str">
        <f aca="false">IF(A230="N/A"," ",IF(Basischeck=TRUE(),(VLOOKUP(A230,GasCurves,IF(MONTH(A230)&gt;=4,IF(MONTH(A230)&lt;=10,11,12),12),FALSE())),0))</f>
        <v> </v>
      </c>
      <c r="T230" s="429" t="str">
        <f aca="false">IF(A230="N/A"," ",(IF(MONTH(A230)&gt;=4,IF(MONTH(A230)&lt;=10,Inputs!$H$2,Inputs!$H$3),Inputs!$H$3)))</f>
        <v> </v>
      </c>
      <c r="U230" s="430" t="str">
        <f aca="false">IF(A230="N/A"," ",(VLOOKUP($A230,InterestRatesTable,2)))</f>
        <v> </v>
      </c>
      <c r="AF230" s="384" t="n">
        <v>43435</v>
      </c>
      <c r="AG230" s="36" t="n">
        <v>20</v>
      </c>
      <c r="AH230" s="36" t="n">
        <v>5</v>
      </c>
      <c r="AI230" s="36" t="n">
        <v>6</v>
      </c>
      <c r="AJ230" s="36" t="n">
        <v>1</v>
      </c>
      <c r="AK230" s="36" t="n">
        <v>31</v>
      </c>
    </row>
    <row r="231" customFormat="false" ht="12.75" hidden="false" customHeight="false" outlineLevel="0" collapsed="false">
      <c r="A231" s="420" t="str">
        <f aca="false">Calculations!A198</f>
        <v>N/A</v>
      </c>
      <c r="B231" s="421" t="str">
        <f aca="false">IF(A231="N/A"," ",IF(ISERROR(N231),B219*Pwresc,N231)*VLOOKUP(MONTH(A231),Curveadj,3))</f>
        <v> </v>
      </c>
      <c r="C231" s="422" t="str">
        <f aca="false">IF(A231="N/A"," ",(IF(AND(MONTH(A231)&gt;=6,MONTH(A231)&lt;=8,OR($M$37="REGION 2",$M$37="REGION 2A",$M$37="REGION 2B",$M$37="REGION 3",$M$37="REGION 3A",$M$37="REGION 3B",$M$37="REGION 4",$M$37="REGION 4B",$M$37="REGION 4C",$M$37="REGION 5",$M$37="REGION 5A")),((0.059228/(B231/100))-(0.4980013/(SQRT(B231/100)))+2.137988),HLOOKUP(MONTH(A231),ScalarTable,28))))</f>
        <v> </v>
      </c>
      <c r="D231" s="423" t="str">
        <f aca="false">IF(A231="N/A"," ",C231*B231)</f>
        <v> </v>
      </c>
      <c r="E231" s="421" t="str">
        <f aca="false">IF(A231="N/A"," ",IF(ISERROR(O231),E219*Pwresc,O231)*VLOOKUP(MONTH(A231),Curveadj,3))</f>
        <v> </v>
      </c>
      <c r="F231" s="423" t="str">
        <f aca="false">IF(A231="N/A"," ",E231*C231)</f>
        <v> </v>
      </c>
      <c r="G231" s="421" t="str">
        <f aca="false">IF(A231="N/A"," ",IF(ISERROR(P231),G219*Pwresc,P231)*VLOOKUP(MONTH(A231),Curveadj,3))</f>
        <v> </v>
      </c>
      <c r="H231" s="423" t="str">
        <f aca="false">IF(A231="N/A"," ",G231*C231)</f>
        <v> </v>
      </c>
      <c r="I231" s="423" t="str">
        <f aca="false">IF(A231="N/A"," ",IF(ISERROR(Q231),I219*Pwresc,Q231))</f>
        <v> </v>
      </c>
      <c r="J231" s="424" t="str">
        <f aca="false">IF(A231="N/A"," ",K231+L231+T231)</f>
        <v> </v>
      </c>
      <c r="K231" s="425" t="str">
        <f aca="false">IF(A231="N/A"," ",IF(ISERROR(R231),K219*Gasesc,R231))</f>
        <v> </v>
      </c>
      <c r="L231" s="425" t="str">
        <f aca="false">IF(A231="N/A"," ",IF(ISERROR(S231),L219*Gasesc,IF(S231=0,L219*Gasesc,S231)))</f>
        <v> </v>
      </c>
      <c r="M231" s="431"/>
      <c r="N231" s="427" t="str">
        <f aca="false">IF(A231="N/A"," ",VLOOKUP(A231,PeakPowerCurves,(IF(BMO=2,3,IF(BMO=1,2,4))),FALSE()))</f>
        <v> </v>
      </c>
      <c r="O231" s="427" t="str">
        <f aca="false">IF(A231="N/A"," ",VLOOKUP(A231,SatSunPeakPwr,(IF(BMO=2,3,IF(BMO=1,2,4))),FALSE()))</f>
        <v> </v>
      </c>
      <c r="P231" s="427" t="str">
        <f aca="false">IF(A231="N/A"," ",VLOOKUP(A231,SatSunPeakPwr,(IF(BMO=2,7,IF(BMO=1,6,8))),FALSE()))</f>
        <v> </v>
      </c>
      <c r="Q231" s="428" t="str">
        <f aca="false">IF(A231="N/A"," ",(VLOOKUP(A231,OPPowerPrices,(IF(BMO=2,7,IF(BMO=1,6,8))),FALSE())))</f>
        <v> </v>
      </c>
      <c r="R231" s="429" t="str">
        <f aca="false">IF(A231="N/A"," ",(VLOOKUP(A231,GasCurves,9,FALSE()))+IF(BMO=1,Gasbmo,IF(BMO=3,-Gasbmo,0)))</f>
        <v> </v>
      </c>
      <c r="S231" s="429" t="str">
        <f aca="false">IF(A231="N/A"," ",IF(Basischeck=TRUE(),(VLOOKUP(A231,GasCurves,IF(MONTH(A231)&gt;=4,IF(MONTH(A231)&lt;=10,11,12),12),FALSE())),0))</f>
        <v> </v>
      </c>
      <c r="T231" s="429" t="str">
        <f aca="false">IF(A231="N/A"," ",(IF(MONTH(A231)&gt;=4,IF(MONTH(A231)&lt;=10,Inputs!$H$2,Inputs!$H$3),Inputs!$H$3)))</f>
        <v> </v>
      </c>
      <c r="U231" s="430" t="str">
        <f aca="false">IF(A231="N/A"," ",(VLOOKUP($A231,InterestRatesTable,2)))</f>
        <v> </v>
      </c>
      <c r="AF231" s="384" t="n">
        <v>43466</v>
      </c>
      <c r="AG231" s="36" t="n">
        <v>22</v>
      </c>
      <c r="AH231" s="36" t="n">
        <v>4</v>
      </c>
      <c r="AI231" s="36" t="n">
        <v>5</v>
      </c>
      <c r="AJ231" s="36" t="n">
        <v>1</v>
      </c>
      <c r="AK231" s="36" t="n">
        <v>31</v>
      </c>
    </row>
    <row r="232" customFormat="false" ht="12.75" hidden="false" customHeight="false" outlineLevel="0" collapsed="false">
      <c r="A232" s="420" t="str">
        <f aca="false">Calculations!A199</f>
        <v>N/A</v>
      </c>
      <c r="B232" s="421" t="str">
        <f aca="false">IF(A232="N/A"," ",IF(ISERROR(N232),B220*Pwresc,N232)*VLOOKUP(MONTH(A232),Curveadj,3))</f>
        <v> </v>
      </c>
      <c r="C232" s="422" t="str">
        <f aca="false">IF(A232="N/A"," ",(IF(AND(MONTH(A232)&gt;=6,MONTH(A232)&lt;=8,OR($M$37="REGION 2",$M$37="REGION 2A",$M$37="REGION 2B",$M$37="REGION 3",$M$37="REGION 3A",$M$37="REGION 3B",$M$37="REGION 4",$M$37="REGION 4B",$M$37="REGION 4C",$M$37="REGION 5",$M$37="REGION 5A")),((0.059228/(B232/100))-(0.4980013/(SQRT(B232/100)))+2.137988),HLOOKUP(MONTH(A232),ScalarTable,28))))</f>
        <v> </v>
      </c>
      <c r="D232" s="423" t="str">
        <f aca="false">IF(A232="N/A"," ",C232*B232)</f>
        <v> </v>
      </c>
      <c r="E232" s="421" t="str">
        <f aca="false">IF(A232="N/A"," ",IF(ISERROR(O232),E220*Pwresc,O232)*VLOOKUP(MONTH(A232),Curveadj,3))</f>
        <v> </v>
      </c>
      <c r="F232" s="423" t="str">
        <f aca="false">IF(A232="N/A"," ",E232*C232)</f>
        <v> </v>
      </c>
      <c r="G232" s="421" t="str">
        <f aca="false">IF(A232="N/A"," ",IF(ISERROR(P232),G220*Pwresc,P232)*VLOOKUP(MONTH(A232),Curveadj,3))</f>
        <v> </v>
      </c>
      <c r="H232" s="423" t="str">
        <f aca="false">IF(A232="N/A"," ",G232*C232)</f>
        <v> </v>
      </c>
      <c r="I232" s="423" t="str">
        <f aca="false">IF(A232="N/A"," ",IF(ISERROR(Q232),I220*Pwresc,Q232))</f>
        <v> </v>
      </c>
      <c r="J232" s="424" t="str">
        <f aca="false">IF(A232="N/A"," ",K232+L232+T232)</f>
        <v> </v>
      </c>
      <c r="K232" s="425" t="str">
        <f aca="false">IF(A232="N/A"," ",IF(ISERROR(R232),K220*Gasesc,R232))</f>
        <v> </v>
      </c>
      <c r="L232" s="425" t="str">
        <f aca="false">IF(A232="N/A"," ",IF(ISERROR(S232),L220*Gasesc,IF(S232=0,L220*Gasesc,S232)))</f>
        <v> </v>
      </c>
      <c r="M232" s="431"/>
      <c r="N232" s="427" t="str">
        <f aca="false">IF(A232="N/A"," ",VLOOKUP(A232,PeakPowerCurves,(IF(BMO=2,3,IF(BMO=1,2,4))),FALSE()))</f>
        <v> </v>
      </c>
      <c r="O232" s="427" t="str">
        <f aca="false">IF(A232="N/A"," ",VLOOKUP(A232,SatSunPeakPwr,(IF(BMO=2,3,IF(BMO=1,2,4))),FALSE()))</f>
        <v> </v>
      </c>
      <c r="P232" s="427" t="str">
        <f aca="false">IF(A232="N/A"," ",VLOOKUP(A232,SatSunPeakPwr,(IF(BMO=2,7,IF(BMO=1,6,8))),FALSE()))</f>
        <v> </v>
      </c>
      <c r="Q232" s="428" t="str">
        <f aca="false">IF(A232="N/A"," ",(VLOOKUP(A232,OPPowerPrices,(IF(BMO=2,7,IF(BMO=1,6,8))),FALSE())))</f>
        <v> </v>
      </c>
      <c r="R232" s="429" t="str">
        <f aca="false">IF(A232="N/A"," ",(VLOOKUP(A232,GasCurves,9,FALSE()))+IF(BMO=1,Gasbmo,IF(BMO=3,-Gasbmo,0)))</f>
        <v> </v>
      </c>
      <c r="S232" s="429" t="str">
        <f aca="false">IF(A232="N/A"," ",IF(Basischeck=TRUE(),(VLOOKUP(A232,GasCurves,IF(MONTH(A232)&gt;=4,IF(MONTH(A232)&lt;=10,11,12),12),FALSE())),0))</f>
        <v> </v>
      </c>
      <c r="T232" s="429" t="str">
        <f aca="false">IF(A232="N/A"," ",(IF(MONTH(A232)&gt;=4,IF(MONTH(A232)&lt;=10,Inputs!$H$2,Inputs!$H$3),Inputs!$H$3)))</f>
        <v> </v>
      </c>
      <c r="U232" s="430" t="str">
        <f aca="false">IF(A232="N/A"," ",(VLOOKUP($A232,InterestRatesTable,2)))</f>
        <v> </v>
      </c>
      <c r="AF232" s="384" t="n">
        <v>43497</v>
      </c>
      <c r="AG232" s="36" t="n">
        <v>20</v>
      </c>
      <c r="AH232" s="36" t="n">
        <v>4</v>
      </c>
      <c r="AI232" s="36" t="n">
        <v>4</v>
      </c>
      <c r="AJ232" s="36" t="n">
        <v>0</v>
      </c>
      <c r="AK232" s="36" t="n">
        <v>28</v>
      </c>
    </row>
    <row r="233" customFormat="false" ht="12.75" hidden="false" customHeight="false" outlineLevel="0" collapsed="false">
      <c r="A233" s="420" t="str">
        <f aca="false">Calculations!A200</f>
        <v>N/A</v>
      </c>
      <c r="B233" s="421" t="str">
        <f aca="false">IF(A233="N/A"," ",IF(ISERROR(N233),B221*Pwresc,N233)*VLOOKUP(MONTH(A233),Curveadj,3))</f>
        <v> </v>
      </c>
      <c r="C233" s="422" t="str">
        <f aca="false">IF(A233="N/A"," ",(IF(AND(MONTH(A233)&gt;=6,MONTH(A233)&lt;=8,OR($M$37="REGION 2",$M$37="REGION 2A",$M$37="REGION 2B",$M$37="REGION 3",$M$37="REGION 3A",$M$37="REGION 3B",$M$37="REGION 4",$M$37="REGION 4B",$M$37="REGION 4C",$M$37="REGION 5",$M$37="REGION 5A")),((0.059228/(B233/100))-(0.4980013/(SQRT(B233/100)))+2.137988),HLOOKUP(MONTH(A233),ScalarTable,28))))</f>
        <v> </v>
      </c>
      <c r="D233" s="423" t="str">
        <f aca="false">IF(A233="N/A"," ",C233*B233)</f>
        <v> </v>
      </c>
      <c r="E233" s="421" t="str">
        <f aca="false">IF(A233="N/A"," ",IF(ISERROR(O233),E221*Pwresc,O233)*VLOOKUP(MONTH(A233),Curveadj,3))</f>
        <v> </v>
      </c>
      <c r="F233" s="423" t="str">
        <f aca="false">IF(A233="N/A"," ",E233*C233)</f>
        <v> </v>
      </c>
      <c r="G233" s="421" t="str">
        <f aca="false">IF(A233="N/A"," ",IF(ISERROR(P233),G221*Pwresc,P233)*VLOOKUP(MONTH(A233),Curveadj,3))</f>
        <v> </v>
      </c>
      <c r="H233" s="423" t="str">
        <f aca="false">IF(A233="N/A"," ",G233*C233)</f>
        <v> </v>
      </c>
      <c r="I233" s="423" t="str">
        <f aca="false">IF(A233="N/A"," ",IF(ISERROR(Q233),I221*Pwresc,Q233))</f>
        <v> </v>
      </c>
      <c r="J233" s="424" t="str">
        <f aca="false">IF(A233="N/A"," ",K233+L233+T233)</f>
        <v> </v>
      </c>
      <c r="K233" s="425" t="str">
        <f aca="false">IF(A233="N/A"," ",IF(ISERROR(R233),K221*Gasesc,R233))</f>
        <v> </v>
      </c>
      <c r="L233" s="425" t="str">
        <f aca="false">IF(A233="N/A"," ",IF(ISERROR(S233),L221*Gasesc,IF(S233=0,L221*Gasesc,S233)))</f>
        <v> </v>
      </c>
      <c r="M233" s="431"/>
      <c r="N233" s="427" t="str">
        <f aca="false">IF(A233="N/A"," ",VLOOKUP(A233,PeakPowerCurves,(IF(BMO=2,3,IF(BMO=1,2,4))),FALSE()))</f>
        <v> </v>
      </c>
      <c r="O233" s="427" t="str">
        <f aca="false">IF(A233="N/A"," ",VLOOKUP(A233,SatSunPeakPwr,(IF(BMO=2,3,IF(BMO=1,2,4))),FALSE()))</f>
        <v> </v>
      </c>
      <c r="P233" s="427" t="str">
        <f aca="false">IF(A233="N/A"," ",VLOOKUP(A233,SatSunPeakPwr,(IF(BMO=2,7,IF(BMO=1,6,8))),FALSE()))</f>
        <v> </v>
      </c>
      <c r="Q233" s="428" t="str">
        <f aca="false">IF(A233="N/A"," ",(VLOOKUP(A233,OPPowerPrices,(IF(BMO=2,7,IF(BMO=1,6,8))),FALSE())))</f>
        <v> </v>
      </c>
      <c r="R233" s="429" t="str">
        <f aca="false">IF(A233="N/A"," ",(VLOOKUP(A233,GasCurves,9,FALSE()))+IF(BMO=1,Gasbmo,IF(BMO=3,-Gasbmo,0)))</f>
        <v> </v>
      </c>
      <c r="S233" s="429" t="str">
        <f aca="false">IF(A233="N/A"," ",IF(Basischeck=TRUE(),(VLOOKUP(A233,GasCurves,IF(MONTH(A233)&gt;=4,IF(MONTH(A233)&lt;=10,11,12),12),FALSE())),0))</f>
        <v> </v>
      </c>
      <c r="T233" s="429" t="str">
        <f aca="false">IF(A233="N/A"," ",(IF(MONTH(A233)&gt;=4,IF(MONTH(A233)&lt;=10,Inputs!$H$2,Inputs!$H$3),Inputs!$H$3)))</f>
        <v> </v>
      </c>
      <c r="U233" s="430" t="str">
        <f aca="false">IF(A233="N/A"," ",(VLOOKUP($A233,InterestRatesTable,2)))</f>
        <v> </v>
      </c>
      <c r="AF233" s="384" t="n">
        <v>43525</v>
      </c>
      <c r="AG233" s="36" t="n">
        <v>21</v>
      </c>
      <c r="AH233" s="36" t="n">
        <v>5</v>
      </c>
      <c r="AI233" s="36" t="n">
        <v>5</v>
      </c>
      <c r="AJ233" s="36" t="n">
        <v>0</v>
      </c>
      <c r="AK233" s="36" t="n">
        <v>31</v>
      </c>
    </row>
    <row r="234" customFormat="false" ht="12.75" hidden="false" customHeight="false" outlineLevel="0" collapsed="false">
      <c r="A234" s="420" t="str">
        <f aca="false">Calculations!A201</f>
        <v>N/A</v>
      </c>
      <c r="B234" s="421" t="str">
        <f aca="false">IF(A234="N/A"," ",IF(ISERROR(N234),B222*Pwresc,N234)*VLOOKUP(MONTH(A234),Curveadj,3))</f>
        <v> </v>
      </c>
      <c r="C234" s="422" t="str">
        <f aca="false">IF(A234="N/A"," ",(IF(AND(MONTH(A234)&gt;=6,MONTH(A234)&lt;=8,OR($M$37="REGION 2",$M$37="REGION 2A",$M$37="REGION 2B",$M$37="REGION 3",$M$37="REGION 3A",$M$37="REGION 3B",$M$37="REGION 4",$M$37="REGION 4B",$M$37="REGION 4C",$M$37="REGION 5",$M$37="REGION 5A")),((0.059228/(B234/100))-(0.4980013/(SQRT(B234/100)))+2.137988),HLOOKUP(MONTH(A234),ScalarTable,28))))</f>
        <v> </v>
      </c>
      <c r="D234" s="423" t="str">
        <f aca="false">IF(A234="N/A"," ",C234*B234)</f>
        <v> </v>
      </c>
      <c r="E234" s="421" t="str">
        <f aca="false">IF(A234="N/A"," ",IF(ISERROR(O234),E222*Pwresc,O234)*VLOOKUP(MONTH(A234),Curveadj,3))</f>
        <v> </v>
      </c>
      <c r="F234" s="423" t="str">
        <f aca="false">IF(A234="N/A"," ",E234*C234)</f>
        <v> </v>
      </c>
      <c r="G234" s="421" t="str">
        <f aca="false">IF(A234="N/A"," ",IF(ISERROR(P234),G222*Pwresc,P234)*VLOOKUP(MONTH(A234),Curveadj,3))</f>
        <v> </v>
      </c>
      <c r="H234" s="423" t="str">
        <f aca="false">IF(A234="N/A"," ",G234*C234)</f>
        <v> </v>
      </c>
      <c r="I234" s="423" t="str">
        <f aca="false">IF(A234="N/A"," ",IF(ISERROR(Q234),I222*Pwresc,Q234))</f>
        <v> </v>
      </c>
      <c r="J234" s="424" t="str">
        <f aca="false">IF(A234="N/A"," ",K234+L234+T234)</f>
        <v> </v>
      </c>
      <c r="K234" s="425" t="str">
        <f aca="false">IF(A234="N/A"," ",IF(ISERROR(R234),K222*Gasesc,R234))</f>
        <v> </v>
      </c>
      <c r="L234" s="425" t="str">
        <f aca="false">IF(A234="N/A"," ",IF(ISERROR(S234),L222*Gasesc,IF(S234=0,L222*Gasesc,S234)))</f>
        <v> </v>
      </c>
      <c r="M234" s="431"/>
      <c r="N234" s="427" t="str">
        <f aca="false">IF(A234="N/A"," ",VLOOKUP(A234,PeakPowerCurves,(IF(BMO=2,3,IF(BMO=1,2,4))),FALSE()))</f>
        <v> </v>
      </c>
      <c r="O234" s="427" t="str">
        <f aca="false">IF(A234="N/A"," ",VLOOKUP(A234,SatSunPeakPwr,(IF(BMO=2,3,IF(BMO=1,2,4))),FALSE()))</f>
        <v> </v>
      </c>
      <c r="P234" s="427" t="str">
        <f aca="false">IF(A234="N/A"," ",VLOOKUP(A234,SatSunPeakPwr,(IF(BMO=2,7,IF(BMO=1,6,8))),FALSE()))</f>
        <v> </v>
      </c>
      <c r="Q234" s="428" t="str">
        <f aca="false">IF(A234="N/A"," ",(VLOOKUP(A234,OPPowerPrices,(IF(BMO=2,7,IF(BMO=1,6,8))),FALSE())))</f>
        <v> </v>
      </c>
      <c r="R234" s="429" t="str">
        <f aca="false">IF(A234="N/A"," ",(VLOOKUP(A234,GasCurves,9,FALSE()))+IF(BMO=1,Gasbmo,IF(BMO=3,-Gasbmo,0)))</f>
        <v> </v>
      </c>
      <c r="S234" s="429" t="str">
        <f aca="false">IF(A234="N/A"," ",IF(Basischeck=TRUE(),(VLOOKUP(A234,GasCurves,IF(MONTH(A234)&gt;=4,IF(MONTH(A234)&lt;=10,11,12),12),FALSE())),0))</f>
        <v> </v>
      </c>
      <c r="T234" s="429" t="str">
        <f aca="false">IF(A234="N/A"," ",(IF(MONTH(A234)&gt;=4,IF(MONTH(A234)&lt;=10,Inputs!$H$2,Inputs!$H$3),Inputs!$H$3)))</f>
        <v> </v>
      </c>
      <c r="U234" s="430" t="str">
        <f aca="false">IF(A234="N/A"," ",(VLOOKUP($A234,InterestRatesTable,2)))</f>
        <v> </v>
      </c>
      <c r="AF234" s="384" t="n">
        <v>43556</v>
      </c>
      <c r="AG234" s="36" t="n">
        <v>22</v>
      </c>
      <c r="AH234" s="36" t="n">
        <v>4</v>
      </c>
      <c r="AI234" s="36" t="n">
        <v>4</v>
      </c>
      <c r="AJ234" s="36" t="n">
        <v>0</v>
      </c>
      <c r="AK234" s="36" t="n">
        <v>30</v>
      </c>
    </row>
    <row r="235" customFormat="false" ht="12.75" hidden="false" customHeight="false" outlineLevel="0" collapsed="false">
      <c r="A235" s="420" t="str">
        <f aca="false">Calculations!A202</f>
        <v>N/A</v>
      </c>
      <c r="B235" s="421" t="str">
        <f aca="false">IF(A235="N/A"," ",IF(ISERROR(N235),B223*Pwresc,N235)*VLOOKUP(MONTH(A235),Curveadj,3))</f>
        <v> </v>
      </c>
      <c r="C235" s="422" t="str">
        <f aca="false">IF(A235="N/A"," ",(IF(AND(MONTH(A235)&gt;=6,MONTH(A235)&lt;=8,OR($M$37="REGION 2",$M$37="REGION 2A",$M$37="REGION 2B",$M$37="REGION 3",$M$37="REGION 3A",$M$37="REGION 3B",$M$37="REGION 4",$M$37="REGION 4B",$M$37="REGION 4C",$M$37="REGION 5",$M$37="REGION 5A")),((0.059228/(B235/100))-(0.4980013/(SQRT(B235/100)))+2.137988),HLOOKUP(MONTH(A235),ScalarTable,28))))</f>
        <v> </v>
      </c>
      <c r="D235" s="423" t="str">
        <f aca="false">IF(A235="N/A"," ",C235*B235)</f>
        <v> </v>
      </c>
      <c r="E235" s="421" t="str">
        <f aca="false">IF(A235="N/A"," ",IF(ISERROR(O235),E223*Pwresc,O235)*VLOOKUP(MONTH(A235),Curveadj,3))</f>
        <v> </v>
      </c>
      <c r="F235" s="423" t="str">
        <f aca="false">IF(A235="N/A"," ",E235*C235)</f>
        <v> </v>
      </c>
      <c r="G235" s="421" t="str">
        <f aca="false">IF(A235="N/A"," ",IF(ISERROR(P235),G223*Pwresc,P235)*VLOOKUP(MONTH(A235),Curveadj,3))</f>
        <v> </v>
      </c>
      <c r="H235" s="423" t="str">
        <f aca="false">IF(A235="N/A"," ",G235*C235)</f>
        <v> </v>
      </c>
      <c r="I235" s="423" t="str">
        <f aca="false">IF(A235="N/A"," ",IF(ISERROR(Q235),I223*Pwresc,Q235))</f>
        <v> </v>
      </c>
      <c r="J235" s="424" t="str">
        <f aca="false">IF(A235="N/A"," ",K235+L235+T235)</f>
        <v> </v>
      </c>
      <c r="K235" s="425" t="str">
        <f aca="false">IF(A235="N/A"," ",IF(ISERROR(R235),K223*Gasesc,R235))</f>
        <v> </v>
      </c>
      <c r="L235" s="425" t="str">
        <f aca="false">IF(A235="N/A"," ",IF(ISERROR(S235),L223*Gasesc,IF(S235=0,L223*Gasesc,S235)))</f>
        <v> </v>
      </c>
      <c r="M235" s="431"/>
      <c r="N235" s="427" t="str">
        <f aca="false">IF(A235="N/A"," ",VLOOKUP(A235,PeakPowerCurves,(IF(BMO=2,3,IF(BMO=1,2,4))),FALSE()))</f>
        <v> </v>
      </c>
      <c r="O235" s="427" t="str">
        <f aca="false">IF(A235="N/A"," ",VLOOKUP(A235,SatSunPeakPwr,(IF(BMO=2,3,IF(BMO=1,2,4))),FALSE()))</f>
        <v> </v>
      </c>
      <c r="P235" s="427" t="str">
        <f aca="false">IF(A235="N/A"," ",VLOOKUP(A235,SatSunPeakPwr,(IF(BMO=2,7,IF(BMO=1,6,8))),FALSE()))</f>
        <v> </v>
      </c>
      <c r="Q235" s="428" t="str">
        <f aca="false">IF(A235="N/A"," ",(VLOOKUP(A235,OPPowerPrices,(IF(BMO=2,7,IF(BMO=1,6,8))),FALSE())))</f>
        <v> </v>
      </c>
      <c r="R235" s="429" t="str">
        <f aca="false">IF(A235="N/A"," ",(VLOOKUP(A235,GasCurves,9,FALSE()))+IF(BMO=1,Gasbmo,IF(BMO=3,-Gasbmo,0)))</f>
        <v> </v>
      </c>
      <c r="S235" s="429" t="str">
        <f aca="false">IF(A235="N/A"," ",IF(Basischeck=TRUE(),(VLOOKUP(A235,GasCurves,IF(MONTH(A235)&gt;=4,IF(MONTH(A235)&lt;=10,11,12),12),FALSE())),0))</f>
        <v> </v>
      </c>
      <c r="T235" s="429" t="str">
        <f aca="false">IF(A235="N/A"," ",(IF(MONTH(A235)&gt;=4,IF(MONTH(A235)&lt;=10,Inputs!$H$2,Inputs!$H$3),Inputs!$H$3)))</f>
        <v> </v>
      </c>
      <c r="U235" s="430" t="str">
        <f aca="false">IF(A235="N/A"," ",(VLOOKUP($A235,InterestRatesTable,2)))</f>
        <v> </v>
      </c>
      <c r="AF235" s="384" t="n">
        <v>43586</v>
      </c>
      <c r="AG235" s="36" t="n">
        <v>22</v>
      </c>
      <c r="AH235" s="36" t="n">
        <v>4</v>
      </c>
      <c r="AI235" s="36" t="n">
        <v>5</v>
      </c>
      <c r="AJ235" s="36" t="n">
        <v>1</v>
      </c>
      <c r="AK235" s="36" t="n">
        <v>31</v>
      </c>
    </row>
    <row r="236" customFormat="false" ht="12.75" hidden="false" customHeight="false" outlineLevel="0" collapsed="false">
      <c r="A236" s="420" t="str">
        <f aca="false">Calculations!A203</f>
        <v>N/A</v>
      </c>
      <c r="B236" s="421" t="str">
        <f aca="false">IF(A236="N/A"," ",IF(ISERROR(N236),B224*Pwresc,N236)*VLOOKUP(MONTH(A236),Curveadj,3))</f>
        <v> </v>
      </c>
      <c r="C236" s="422" t="str">
        <f aca="false">IF(A236="N/A"," ",(IF(AND(MONTH(A236)&gt;=6,MONTH(A236)&lt;=8,OR($M$37="REGION 2",$M$37="REGION 2A",$M$37="REGION 2B",$M$37="REGION 3",$M$37="REGION 3A",$M$37="REGION 3B",$M$37="REGION 4",$M$37="REGION 4B",$M$37="REGION 4C",$M$37="REGION 5",$M$37="REGION 5A")),((0.059228/(B236/100))-(0.4980013/(SQRT(B236/100)))+2.137988),HLOOKUP(MONTH(A236),ScalarTable,28))))</f>
        <v> </v>
      </c>
      <c r="D236" s="423" t="str">
        <f aca="false">IF(A236="N/A"," ",C236*B236)</f>
        <v> </v>
      </c>
      <c r="E236" s="421" t="str">
        <f aca="false">IF(A236="N/A"," ",IF(ISERROR(O236),E224*Pwresc,O236)*VLOOKUP(MONTH(A236),Curveadj,3))</f>
        <v> </v>
      </c>
      <c r="F236" s="423" t="str">
        <f aca="false">IF(A236="N/A"," ",E236*C236)</f>
        <v> </v>
      </c>
      <c r="G236" s="421" t="str">
        <f aca="false">IF(A236="N/A"," ",IF(ISERROR(P236),G224*Pwresc,P236)*VLOOKUP(MONTH(A236),Curveadj,3))</f>
        <v> </v>
      </c>
      <c r="H236" s="423" t="str">
        <f aca="false">IF(A236="N/A"," ",G236*C236)</f>
        <v> </v>
      </c>
      <c r="I236" s="423" t="str">
        <f aca="false">IF(A236="N/A"," ",IF(ISERROR(Q236),I224*Pwresc,Q236))</f>
        <v> </v>
      </c>
      <c r="J236" s="424" t="str">
        <f aca="false">IF(A236="N/A"," ",K236+L236+T236)</f>
        <v> </v>
      </c>
      <c r="K236" s="425" t="str">
        <f aca="false">IF(A236="N/A"," ",IF(ISERROR(R236),K224*Gasesc,R236))</f>
        <v> </v>
      </c>
      <c r="L236" s="425" t="str">
        <f aca="false">IF(A236="N/A"," ",IF(ISERROR(S236),L224*Gasesc,IF(S236=0,L224*Gasesc,S236)))</f>
        <v> </v>
      </c>
      <c r="M236" s="431"/>
      <c r="N236" s="427" t="str">
        <f aca="false">IF(A236="N/A"," ",VLOOKUP(A236,PeakPowerCurves,(IF(BMO=2,3,IF(BMO=1,2,4))),FALSE()))</f>
        <v> </v>
      </c>
      <c r="O236" s="427" t="str">
        <f aca="false">IF(A236="N/A"," ",VLOOKUP(A236,SatSunPeakPwr,(IF(BMO=2,3,IF(BMO=1,2,4))),FALSE()))</f>
        <v> </v>
      </c>
      <c r="P236" s="427" t="str">
        <f aca="false">IF(A236="N/A"," ",VLOOKUP(A236,SatSunPeakPwr,(IF(BMO=2,7,IF(BMO=1,6,8))),FALSE()))</f>
        <v> </v>
      </c>
      <c r="Q236" s="428" t="str">
        <f aca="false">IF(A236="N/A"," ",(VLOOKUP(A236,OPPowerPrices,(IF(BMO=2,7,IF(BMO=1,6,8))),FALSE())))</f>
        <v> </v>
      </c>
      <c r="R236" s="429" t="str">
        <f aca="false">IF(A236="N/A"," ",(VLOOKUP(A236,GasCurves,9,FALSE()))+IF(BMO=1,Gasbmo,IF(BMO=3,-Gasbmo,0)))</f>
        <v> </v>
      </c>
      <c r="S236" s="429" t="str">
        <f aca="false">IF(A236="N/A"," ",IF(Basischeck=TRUE(),(VLOOKUP(A236,GasCurves,IF(MONTH(A236)&gt;=4,IF(MONTH(A236)&lt;=10,11,12),12),FALSE())),0))</f>
        <v> </v>
      </c>
      <c r="T236" s="429" t="str">
        <f aca="false">IF(A236="N/A"," ",(IF(MONTH(A236)&gt;=4,IF(MONTH(A236)&lt;=10,Inputs!$H$2,Inputs!$H$3),Inputs!$H$3)))</f>
        <v> </v>
      </c>
      <c r="U236" s="430" t="str">
        <f aca="false">IF(A236="N/A"," ",(VLOOKUP($A236,InterestRatesTable,2)))</f>
        <v> </v>
      </c>
      <c r="AF236" s="384" t="n">
        <v>43617</v>
      </c>
      <c r="AG236" s="36" t="n">
        <v>20</v>
      </c>
      <c r="AH236" s="36" t="n">
        <v>5</v>
      </c>
      <c r="AI236" s="36" t="n">
        <v>5</v>
      </c>
      <c r="AJ236" s="36" t="n">
        <v>0</v>
      </c>
      <c r="AK236" s="36" t="n">
        <v>30</v>
      </c>
    </row>
    <row r="237" customFormat="false" ht="12.75" hidden="false" customHeight="false" outlineLevel="0" collapsed="false">
      <c r="A237" s="420" t="str">
        <f aca="false">Calculations!A204</f>
        <v>N/A</v>
      </c>
      <c r="B237" s="421" t="str">
        <f aca="false">IF(A237="N/A"," ",IF(ISERROR(N237),B225*Pwresc,N237)*VLOOKUP(MONTH(A237),Curveadj,3))</f>
        <v> </v>
      </c>
      <c r="C237" s="422" t="str">
        <f aca="false">IF(A237="N/A"," ",(IF(AND(MONTH(A237)&gt;=6,MONTH(A237)&lt;=8,OR($M$37="REGION 2",$M$37="REGION 2A",$M$37="REGION 2B",$M$37="REGION 3",$M$37="REGION 3A",$M$37="REGION 3B",$M$37="REGION 4",$M$37="REGION 4B",$M$37="REGION 4C",$M$37="REGION 5",$M$37="REGION 5A")),((0.059228/(B237/100))-(0.4980013/(SQRT(B237/100)))+2.137988),HLOOKUP(MONTH(A237),ScalarTable,28))))</f>
        <v> </v>
      </c>
      <c r="D237" s="423" t="str">
        <f aca="false">IF(A237="N/A"," ",C237*B237)</f>
        <v> </v>
      </c>
      <c r="E237" s="421" t="str">
        <f aca="false">IF(A237="N/A"," ",IF(ISERROR(O237),E225*Pwresc,O237)*VLOOKUP(MONTH(A237),Curveadj,3))</f>
        <v> </v>
      </c>
      <c r="F237" s="423" t="str">
        <f aca="false">IF(A237="N/A"," ",E237*C237)</f>
        <v> </v>
      </c>
      <c r="G237" s="421" t="str">
        <f aca="false">IF(A237="N/A"," ",IF(ISERROR(P237),G225*Pwresc,P237)*VLOOKUP(MONTH(A237),Curveadj,3))</f>
        <v> </v>
      </c>
      <c r="H237" s="423" t="str">
        <f aca="false">IF(A237="N/A"," ",G237*C237)</f>
        <v> </v>
      </c>
      <c r="I237" s="423" t="str">
        <f aca="false">IF(A237="N/A"," ",IF(ISERROR(Q237),I225*Pwresc,Q237))</f>
        <v> </v>
      </c>
      <c r="J237" s="424" t="str">
        <f aca="false">IF(A237="N/A"," ",K237+L237+T237)</f>
        <v> </v>
      </c>
      <c r="K237" s="425" t="str">
        <f aca="false">IF(A237="N/A"," ",IF(ISERROR(R237),K225*Gasesc,R237))</f>
        <v> </v>
      </c>
      <c r="L237" s="425" t="str">
        <f aca="false">IF(A237="N/A"," ",IF(ISERROR(S237),L225*Gasesc,IF(S237=0,L225*Gasesc,S237)))</f>
        <v> </v>
      </c>
      <c r="M237" s="431"/>
      <c r="N237" s="427" t="str">
        <f aca="false">IF(A237="N/A"," ",VLOOKUP(A237,PeakPowerCurves,(IF(BMO=2,3,IF(BMO=1,2,4))),FALSE()))</f>
        <v> </v>
      </c>
      <c r="O237" s="427" t="str">
        <f aca="false">IF(A237="N/A"," ",VLOOKUP(A237,SatSunPeakPwr,(IF(BMO=2,3,IF(BMO=1,2,4))),FALSE()))</f>
        <v> </v>
      </c>
      <c r="P237" s="427" t="str">
        <f aca="false">IF(A237="N/A"," ",VLOOKUP(A237,SatSunPeakPwr,(IF(BMO=2,7,IF(BMO=1,6,8))),FALSE()))</f>
        <v> </v>
      </c>
      <c r="Q237" s="428" t="str">
        <f aca="false">IF(A237="N/A"," ",(VLOOKUP(A237,OPPowerPrices,(IF(BMO=2,7,IF(BMO=1,6,8))),FALSE())))</f>
        <v> </v>
      </c>
      <c r="R237" s="429" t="str">
        <f aca="false">IF(A237="N/A"," ",(VLOOKUP(A237,GasCurves,9,FALSE()))+IF(BMO=1,Gasbmo,IF(BMO=3,-Gasbmo,0)))</f>
        <v> </v>
      </c>
      <c r="S237" s="429" t="str">
        <f aca="false">IF(A237="N/A"," ",IF(Basischeck=TRUE(),(VLOOKUP(A237,GasCurves,IF(MONTH(A237)&gt;=4,IF(MONTH(A237)&lt;=10,11,12),12),FALSE())),0))</f>
        <v> </v>
      </c>
      <c r="T237" s="429" t="str">
        <f aca="false">IF(A237="N/A"," ",(IF(MONTH(A237)&gt;=4,IF(MONTH(A237)&lt;=10,Inputs!$H$2,Inputs!$H$3),Inputs!$H$3)))</f>
        <v> </v>
      </c>
      <c r="U237" s="430" t="str">
        <f aca="false">IF(A237="N/A"," ",(VLOOKUP($A237,InterestRatesTable,2)))</f>
        <v> </v>
      </c>
      <c r="AF237" s="384" t="n">
        <v>43647</v>
      </c>
      <c r="AG237" s="36" t="n">
        <v>22</v>
      </c>
      <c r="AH237" s="36" t="n">
        <v>4</v>
      </c>
      <c r="AI237" s="36" t="n">
        <v>5</v>
      </c>
      <c r="AJ237" s="36" t="n">
        <v>1</v>
      </c>
      <c r="AK237" s="36" t="n">
        <v>31</v>
      </c>
    </row>
    <row r="238" customFormat="false" ht="12.75" hidden="false" customHeight="false" outlineLevel="0" collapsed="false">
      <c r="A238" s="420" t="str">
        <f aca="false">Calculations!A205</f>
        <v>N/A</v>
      </c>
      <c r="B238" s="421" t="str">
        <f aca="false">IF(A238="N/A"," ",IF(ISERROR(N238),B226*Pwresc,N238)*VLOOKUP(MONTH(A238),Curveadj,3))</f>
        <v> </v>
      </c>
      <c r="C238" s="422" t="str">
        <f aca="false">IF(A238="N/A"," ",(IF(AND(MONTH(A238)&gt;=6,MONTH(A238)&lt;=8,OR($M$37="REGION 2",$M$37="REGION 2A",$M$37="REGION 2B",$M$37="REGION 3",$M$37="REGION 3A",$M$37="REGION 3B",$M$37="REGION 4",$M$37="REGION 4B",$M$37="REGION 4C",$M$37="REGION 5",$M$37="REGION 5A")),((0.059228/(B238/100))-(0.4980013/(SQRT(B238/100)))+2.137988),HLOOKUP(MONTH(A238),ScalarTable,28))))</f>
        <v> </v>
      </c>
      <c r="D238" s="423" t="str">
        <f aca="false">IF(A238="N/A"," ",C238*B238)</f>
        <v> </v>
      </c>
      <c r="E238" s="421" t="str">
        <f aca="false">IF(A238="N/A"," ",IF(ISERROR(O238),E226*Pwresc,O238)*VLOOKUP(MONTH(A238),Curveadj,3))</f>
        <v> </v>
      </c>
      <c r="F238" s="423" t="str">
        <f aca="false">IF(A238="N/A"," ",E238*C238)</f>
        <v> </v>
      </c>
      <c r="G238" s="421" t="str">
        <f aca="false">IF(A238="N/A"," ",IF(ISERROR(P238),G226*Pwresc,P238)*VLOOKUP(MONTH(A238),Curveadj,3))</f>
        <v> </v>
      </c>
      <c r="H238" s="423" t="str">
        <f aca="false">IF(A238="N/A"," ",G238*C238)</f>
        <v> </v>
      </c>
      <c r="I238" s="423" t="str">
        <f aca="false">IF(A238="N/A"," ",IF(ISERROR(Q238),I226*Pwresc,Q238))</f>
        <v> </v>
      </c>
      <c r="J238" s="424" t="str">
        <f aca="false">IF(A238="N/A"," ",K238+L238+T238)</f>
        <v> </v>
      </c>
      <c r="K238" s="425" t="str">
        <f aca="false">IF(A238="N/A"," ",IF(ISERROR(R238),K226*Gasesc,R238))</f>
        <v> </v>
      </c>
      <c r="L238" s="425" t="str">
        <f aca="false">IF(A238="N/A"," ",IF(ISERROR(S238),L226*Gasesc,IF(S238=0,L226*Gasesc,S238)))</f>
        <v> </v>
      </c>
      <c r="M238" s="431"/>
      <c r="N238" s="427" t="str">
        <f aca="false">IF(A238="N/A"," ",VLOOKUP(A238,PeakPowerCurves,(IF(BMO=2,3,IF(BMO=1,2,4))),FALSE()))</f>
        <v> </v>
      </c>
      <c r="O238" s="427" t="str">
        <f aca="false">IF(A238="N/A"," ",VLOOKUP(A238,SatSunPeakPwr,(IF(BMO=2,3,IF(BMO=1,2,4))),FALSE()))</f>
        <v> </v>
      </c>
      <c r="P238" s="427" t="str">
        <f aca="false">IF(A238="N/A"," ",VLOOKUP(A238,SatSunPeakPwr,(IF(BMO=2,7,IF(BMO=1,6,8))),FALSE()))</f>
        <v> </v>
      </c>
      <c r="Q238" s="428" t="str">
        <f aca="false">IF(A238="N/A"," ",(VLOOKUP(A238,OPPowerPrices,(IF(BMO=2,7,IF(BMO=1,6,8))),FALSE())))</f>
        <v> </v>
      </c>
      <c r="R238" s="429" t="str">
        <f aca="false">IF(A238="N/A"," ",(VLOOKUP(A238,GasCurves,9,FALSE()))+IF(BMO=1,Gasbmo,IF(BMO=3,-Gasbmo,0)))</f>
        <v> </v>
      </c>
      <c r="S238" s="429" t="str">
        <f aca="false">IF(A238="N/A"," ",IF(Basischeck=TRUE(),(VLOOKUP(A238,GasCurves,IF(MONTH(A238)&gt;=4,IF(MONTH(A238)&lt;=10,11,12),12),FALSE())),0))</f>
        <v> </v>
      </c>
      <c r="T238" s="429" t="str">
        <f aca="false">IF(A238="N/A"," ",(IF(MONTH(A238)&gt;=4,IF(MONTH(A238)&lt;=10,Inputs!$H$2,Inputs!$H$3),Inputs!$H$3)))</f>
        <v> </v>
      </c>
      <c r="U238" s="430" t="str">
        <f aca="false">IF(A238="N/A"," ",(VLOOKUP($A238,InterestRatesTable,2)))</f>
        <v> </v>
      </c>
      <c r="AF238" s="384" t="n">
        <v>43678</v>
      </c>
      <c r="AG238" s="36" t="n">
        <v>22</v>
      </c>
      <c r="AH238" s="36" t="n">
        <v>5</v>
      </c>
      <c r="AI238" s="36" t="n">
        <v>4</v>
      </c>
      <c r="AJ238" s="36" t="n">
        <v>0</v>
      </c>
      <c r="AK238" s="36" t="n">
        <v>31</v>
      </c>
    </row>
    <row r="239" customFormat="false" ht="12.75" hidden="false" customHeight="false" outlineLevel="0" collapsed="false">
      <c r="A239" s="420" t="str">
        <f aca="false">Calculations!A206</f>
        <v>N/A</v>
      </c>
      <c r="B239" s="421" t="str">
        <f aca="false">IF(A239="N/A"," ",IF(ISERROR(N239),B227*Pwresc,N239)*VLOOKUP(MONTH(A239),Curveadj,3))</f>
        <v> </v>
      </c>
      <c r="C239" s="422" t="str">
        <f aca="false">IF(A239="N/A"," ",(IF(AND(MONTH(A239)&gt;=6,MONTH(A239)&lt;=8,OR($M$37="REGION 2",$M$37="REGION 2A",$M$37="REGION 2B",$M$37="REGION 3",$M$37="REGION 3A",$M$37="REGION 3B",$M$37="REGION 4",$M$37="REGION 4B",$M$37="REGION 4C",$M$37="REGION 5",$M$37="REGION 5A")),((0.059228/(B239/100))-(0.4980013/(SQRT(B239/100)))+2.137988),HLOOKUP(MONTH(A239),ScalarTable,28))))</f>
        <v> </v>
      </c>
      <c r="D239" s="423" t="str">
        <f aca="false">IF(A239="N/A"," ",C239*B239)</f>
        <v> </v>
      </c>
      <c r="E239" s="421" t="str">
        <f aca="false">IF(A239="N/A"," ",IF(ISERROR(O239),E227*Pwresc,O239)*VLOOKUP(MONTH(A239),Curveadj,3))</f>
        <v> </v>
      </c>
      <c r="F239" s="423" t="str">
        <f aca="false">IF(A239="N/A"," ",E239*C239)</f>
        <v> </v>
      </c>
      <c r="G239" s="421" t="str">
        <f aca="false">IF(A239="N/A"," ",IF(ISERROR(P239),G227*Pwresc,P239)*VLOOKUP(MONTH(A239),Curveadj,3))</f>
        <v> </v>
      </c>
      <c r="H239" s="423" t="str">
        <f aca="false">IF(A239="N/A"," ",G239*C239)</f>
        <v> </v>
      </c>
      <c r="I239" s="423" t="str">
        <f aca="false">IF(A239="N/A"," ",IF(ISERROR(Q239),I227*Pwresc,Q239))</f>
        <v> </v>
      </c>
      <c r="J239" s="424" t="str">
        <f aca="false">IF(A239="N/A"," ",K239+L239+T239)</f>
        <v> </v>
      </c>
      <c r="K239" s="425" t="str">
        <f aca="false">IF(A239="N/A"," ",IF(ISERROR(R239),K227*Gasesc,R239))</f>
        <v> </v>
      </c>
      <c r="L239" s="425" t="str">
        <f aca="false">IF(A239="N/A"," ",IF(ISERROR(S239),L227*Gasesc,IF(S239=0,L227*Gasesc,S239)))</f>
        <v> </v>
      </c>
      <c r="M239" s="431"/>
      <c r="N239" s="427" t="str">
        <f aca="false">IF(A239="N/A"," ",VLOOKUP(A239,PeakPowerCurves,(IF(BMO=2,3,IF(BMO=1,2,4))),FALSE()))</f>
        <v> </v>
      </c>
      <c r="O239" s="427" t="str">
        <f aca="false">IF(A239="N/A"," ",VLOOKUP(A239,SatSunPeakPwr,(IF(BMO=2,3,IF(BMO=1,2,4))),FALSE()))</f>
        <v> </v>
      </c>
      <c r="P239" s="427" t="str">
        <f aca="false">IF(A239="N/A"," ",VLOOKUP(A239,SatSunPeakPwr,(IF(BMO=2,7,IF(BMO=1,6,8))),FALSE()))</f>
        <v> </v>
      </c>
      <c r="Q239" s="428" t="str">
        <f aca="false">IF(A239="N/A"," ",(VLOOKUP(A239,OPPowerPrices,(IF(BMO=2,7,IF(BMO=1,6,8))),FALSE())))</f>
        <v> </v>
      </c>
      <c r="R239" s="429" t="str">
        <f aca="false">IF(A239="N/A"," ",(VLOOKUP(A239,GasCurves,9,FALSE()))+IF(BMO=1,Gasbmo,IF(BMO=3,-Gasbmo,0)))</f>
        <v> </v>
      </c>
      <c r="S239" s="429" t="str">
        <f aca="false">IF(A239="N/A"," ",IF(Basischeck=TRUE(),(VLOOKUP(A239,GasCurves,IF(MONTH(A239)&gt;=4,IF(MONTH(A239)&lt;=10,11,12),12),FALSE())),0))</f>
        <v> </v>
      </c>
      <c r="T239" s="429" t="str">
        <f aca="false">IF(A239="N/A"," ",(IF(MONTH(A239)&gt;=4,IF(MONTH(A239)&lt;=10,Inputs!$H$2,Inputs!$H$3),Inputs!$H$3)))</f>
        <v> </v>
      </c>
      <c r="U239" s="430" t="str">
        <f aca="false">IF(A239="N/A"," ",(VLOOKUP($A239,InterestRatesTable,2)))</f>
        <v> </v>
      </c>
      <c r="AF239" s="384" t="n">
        <v>43709</v>
      </c>
      <c r="AG239" s="36" t="n">
        <v>20</v>
      </c>
      <c r="AH239" s="36" t="n">
        <v>4</v>
      </c>
      <c r="AI239" s="36" t="n">
        <v>6</v>
      </c>
      <c r="AJ239" s="36" t="n">
        <v>1</v>
      </c>
      <c r="AK239" s="36" t="n">
        <v>30</v>
      </c>
    </row>
    <row r="240" customFormat="false" ht="12.75" hidden="false" customHeight="false" outlineLevel="0" collapsed="false">
      <c r="A240" s="420" t="str">
        <f aca="false">Calculations!A207</f>
        <v>N/A</v>
      </c>
      <c r="B240" s="421" t="str">
        <f aca="false">IF(A240="N/A"," ",IF(ISERROR(N240),B228*Pwresc,N240)*VLOOKUP(MONTH(A240),Curveadj,3))</f>
        <v> </v>
      </c>
      <c r="C240" s="422" t="str">
        <f aca="false">IF(A240="N/A"," ",(IF(AND(MONTH(A240)&gt;=6,MONTH(A240)&lt;=8,OR($M$37="REGION 2",$M$37="REGION 2A",$M$37="REGION 2B",$M$37="REGION 3",$M$37="REGION 3A",$M$37="REGION 3B",$M$37="REGION 4",$M$37="REGION 4B",$M$37="REGION 4C",$M$37="REGION 5",$M$37="REGION 5A")),((0.059228/(B240/100))-(0.4980013/(SQRT(B240/100)))+2.137988),HLOOKUP(MONTH(A240),ScalarTable,28))))</f>
        <v> </v>
      </c>
      <c r="D240" s="423" t="str">
        <f aca="false">IF(A240="N/A"," ",C240*B240)</f>
        <v> </v>
      </c>
      <c r="E240" s="421" t="str">
        <f aca="false">IF(A240="N/A"," ",IF(ISERROR(O240),E228*Pwresc,O240)*VLOOKUP(MONTH(A240),Curveadj,3))</f>
        <v> </v>
      </c>
      <c r="F240" s="423" t="str">
        <f aca="false">IF(A240="N/A"," ",E240*C240)</f>
        <v> </v>
      </c>
      <c r="G240" s="421" t="str">
        <f aca="false">IF(A240="N/A"," ",IF(ISERROR(P240),G228*Pwresc,P240)*VLOOKUP(MONTH(A240),Curveadj,3))</f>
        <v> </v>
      </c>
      <c r="H240" s="423" t="str">
        <f aca="false">IF(A240="N/A"," ",G240*C240)</f>
        <v> </v>
      </c>
      <c r="I240" s="423" t="str">
        <f aca="false">IF(A240="N/A"," ",IF(ISERROR(Q240),I228*Pwresc,Q240))</f>
        <v> </v>
      </c>
      <c r="J240" s="424" t="str">
        <f aca="false">IF(A240="N/A"," ",K240+L240+T240)</f>
        <v> </v>
      </c>
      <c r="K240" s="425" t="str">
        <f aca="false">IF(A240="N/A"," ",IF(ISERROR(R240),K228*Gasesc,R240))</f>
        <v> </v>
      </c>
      <c r="L240" s="425" t="str">
        <f aca="false">IF(A240="N/A"," ",IF(ISERROR(S240),L228*Gasesc,IF(S240=0,L228*Gasesc,S240)))</f>
        <v> </v>
      </c>
      <c r="M240" s="431"/>
      <c r="N240" s="427" t="str">
        <f aca="false">IF(A240="N/A"," ",VLOOKUP(A240,PeakPowerCurves,(IF(BMO=2,3,IF(BMO=1,2,4))),FALSE()))</f>
        <v> </v>
      </c>
      <c r="O240" s="427" t="str">
        <f aca="false">IF(A240="N/A"," ",VLOOKUP(A240,SatSunPeakPwr,(IF(BMO=2,3,IF(BMO=1,2,4))),FALSE()))</f>
        <v> </v>
      </c>
      <c r="P240" s="427" t="str">
        <f aca="false">IF(A240="N/A"," ",VLOOKUP(A240,SatSunPeakPwr,(IF(BMO=2,7,IF(BMO=1,6,8))),FALSE()))</f>
        <v> </v>
      </c>
      <c r="Q240" s="428" t="str">
        <f aca="false">IF(A240="N/A"," ",(VLOOKUP(A240,OPPowerPrices,(IF(BMO=2,7,IF(BMO=1,6,8))),FALSE())))</f>
        <v> </v>
      </c>
      <c r="R240" s="429" t="str">
        <f aca="false">IF(A240="N/A"," ",(VLOOKUP(A240,GasCurves,9,FALSE()))+IF(BMO=1,Gasbmo,IF(BMO=3,-Gasbmo,0)))</f>
        <v> </v>
      </c>
      <c r="S240" s="429" t="str">
        <f aca="false">IF(A240="N/A"," ",IF(Basischeck=TRUE(),(VLOOKUP(A240,GasCurves,IF(MONTH(A240)&gt;=4,IF(MONTH(A240)&lt;=10,11,12),12),FALSE())),0))</f>
        <v> </v>
      </c>
      <c r="T240" s="429" t="str">
        <f aca="false">IF(A240="N/A"," ",(IF(MONTH(A240)&gt;=4,IF(MONTH(A240)&lt;=10,Inputs!$H$2,Inputs!$H$3),Inputs!$H$3)))</f>
        <v> </v>
      </c>
      <c r="U240" s="430" t="str">
        <f aca="false">IF(A240="N/A"," ",(VLOOKUP($A240,InterestRatesTable,2)))</f>
        <v> </v>
      </c>
      <c r="AF240" s="384" t="n">
        <v>43739</v>
      </c>
      <c r="AG240" s="36" t="n">
        <v>23</v>
      </c>
      <c r="AH240" s="36" t="n">
        <v>4</v>
      </c>
      <c r="AI240" s="36" t="n">
        <v>4</v>
      </c>
      <c r="AJ240" s="36" t="n">
        <v>0</v>
      </c>
      <c r="AK240" s="36" t="n">
        <v>31</v>
      </c>
    </row>
    <row r="241" customFormat="false" ht="12.75" hidden="false" customHeight="false" outlineLevel="0" collapsed="false">
      <c r="A241" s="420" t="str">
        <f aca="false">Calculations!A208</f>
        <v>N/A</v>
      </c>
      <c r="B241" s="421" t="str">
        <f aca="false">IF(A241="N/A"," ",IF(ISERROR(N241),B229*Pwresc,N241)*VLOOKUP(MONTH(A241),Curveadj,3))</f>
        <v> </v>
      </c>
      <c r="C241" s="422" t="str">
        <f aca="false">IF(A241="N/A"," ",(IF(AND(MONTH(A241)&gt;=6,MONTH(A241)&lt;=8,OR($M$37="REGION 2",$M$37="REGION 2A",$M$37="REGION 2B",$M$37="REGION 3",$M$37="REGION 3A",$M$37="REGION 3B",$M$37="REGION 4",$M$37="REGION 4B",$M$37="REGION 4C",$M$37="REGION 5",$M$37="REGION 5A")),((0.059228/(B241/100))-(0.4980013/(SQRT(B241/100)))+2.137988),HLOOKUP(MONTH(A241),ScalarTable,28))))</f>
        <v> </v>
      </c>
      <c r="D241" s="423" t="str">
        <f aca="false">IF(A241="N/A"," ",C241*B241)</f>
        <v> </v>
      </c>
      <c r="E241" s="421" t="str">
        <f aca="false">IF(A241="N/A"," ",IF(ISERROR(O241),E229*Pwresc,O241)*VLOOKUP(MONTH(A241),Curveadj,3))</f>
        <v> </v>
      </c>
      <c r="F241" s="423" t="str">
        <f aca="false">IF(A241="N/A"," ",E241*C241)</f>
        <v> </v>
      </c>
      <c r="G241" s="421" t="str">
        <f aca="false">IF(A241="N/A"," ",IF(ISERROR(P241),G229*Pwresc,P241)*VLOOKUP(MONTH(A241),Curveadj,3))</f>
        <v> </v>
      </c>
      <c r="H241" s="423" t="str">
        <f aca="false">IF(A241="N/A"," ",G241*C241)</f>
        <v> </v>
      </c>
      <c r="I241" s="423" t="str">
        <f aca="false">IF(A241="N/A"," ",IF(ISERROR(Q241),I229*Pwresc,Q241))</f>
        <v> </v>
      </c>
      <c r="J241" s="424" t="str">
        <f aca="false">IF(A241="N/A"," ",K241+L241+T241)</f>
        <v> </v>
      </c>
      <c r="K241" s="425" t="str">
        <f aca="false">IF(A241="N/A"," ",IF(ISERROR(R241),K229*Gasesc,R241))</f>
        <v> </v>
      </c>
      <c r="L241" s="425" t="str">
        <f aca="false">IF(A241="N/A"," ",IF(ISERROR(S241),L229*Gasesc,IF(S241=0,L229*Gasesc,S241)))</f>
        <v> </v>
      </c>
      <c r="M241" s="431"/>
      <c r="N241" s="427" t="str">
        <f aca="false">IF(A241="N/A"," ",VLOOKUP(A241,PeakPowerCurves,(IF(BMO=2,3,IF(BMO=1,2,4))),FALSE()))</f>
        <v> </v>
      </c>
      <c r="O241" s="427" t="str">
        <f aca="false">IF(A241="N/A"," ",VLOOKUP(A241,SatSunPeakPwr,(IF(BMO=2,3,IF(BMO=1,2,4))),FALSE()))</f>
        <v> </v>
      </c>
      <c r="P241" s="427" t="str">
        <f aca="false">IF(A241="N/A"," ",VLOOKUP(A241,SatSunPeakPwr,(IF(BMO=2,7,IF(BMO=1,6,8))),FALSE()))</f>
        <v> </v>
      </c>
      <c r="Q241" s="428" t="str">
        <f aca="false">IF(A241="N/A"," ",(VLOOKUP(A241,OPPowerPrices,(IF(BMO=2,7,IF(BMO=1,6,8))),FALSE())))</f>
        <v> </v>
      </c>
      <c r="R241" s="429" t="str">
        <f aca="false">IF(A241="N/A"," ",(VLOOKUP(A241,GasCurves,9,FALSE()))+IF(BMO=1,Gasbmo,IF(BMO=3,-Gasbmo,0)))</f>
        <v> </v>
      </c>
      <c r="S241" s="429" t="str">
        <f aca="false">IF(A241="N/A"," ",IF(Basischeck=TRUE(),(VLOOKUP(A241,GasCurves,IF(MONTH(A241)&gt;=4,IF(MONTH(A241)&lt;=10,11,12),12),FALSE())),0))</f>
        <v> </v>
      </c>
      <c r="T241" s="429" t="str">
        <f aca="false">IF(A241="N/A"," ",(IF(MONTH(A241)&gt;=4,IF(MONTH(A241)&lt;=10,Inputs!$H$2,Inputs!$H$3),Inputs!$H$3)))</f>
        <v> </v>
      </c>
      <c r="U241" s="430" t="str">
        <f aca="false">IF(A241="N/A"," ",(VLOOKUP($A241,InterestRatesTable,2)))</f>
        <v> </v>
      </c>
      <c r="AF241" s="384" t="n">
        <v>43770</v>
      </c>
      <c r="AG241" s="36" t="n">
        <v>20</v>
      </c>
      <c r="AH241" s="36" t="n">
        <v>5</v>
      </c>
      <c r="AI241" s="36" t="n">
        <v>5</v>
      </c>
      <c r="AJ241" s="36" t="n">
        <v>1</v>
      </c>
      <c r="AK241" s="36" t="n">
        <v>30</v>
      </c>
    </row>
    <row r="242" customFormat="false" ht="12.75" hidden="false" customHeight="false" outlineLevel="0" collapsed="false">
      <c r="A242" s="420" t="str">
        <f aca="false">Calculations!A209</f>
        <v>N/A</v>
      </c>
      <c r="B242" s="421" t="str">
        <f aca="false">IF(A242="N/A"," ",IF(ISERROR(N242),B230*Pwresc,N242)*VLOOKUP(MONTH(A242),Curveadj,3))</f>
        <v> </v>
      </c>
      <c r="C242" s="422" t="str">
        <f aca="false">IF(A242="N/A"," ",(IF(AND(MONTH(A242)&gt;=6,MONTH(A242)&lt;=8,OR($M$37="REGION 2",$M$37="REGION 2A",$M$37="REGION 2B",$M$37="REGION 3",$M$37="REGION 3A",$M$37="REGION 3B",$M$37="REGION 4",$M$37="REGION 4B",$M$37="REGION 4C",$M$37="REGION 5",$M$37="REGION 5A")),((0.059228/(B242/100))-(0.4980013/(SQRT(B242/100)))+2.137988),HLOOKUP(MONTH(A242),ScalarTable,28))))</f>
        <v> </v>
      </c>
      <c r="D242" s="423" t="str">
        <f aca="false">IF(A242="N/A"," ",C242*B242)</f>
        <v> </v>
      </c>
      <c r="E242" s="421" t="str">
        <f aca="false">IF(A242="N/A"," ",IF(ISERROR(O242),E230*Pwresc,O242)*VLOOKUP(MONTH(A242),Curveadj,3))</f>
        <v> </v>
      </c>
      <c r="F242" s="423" t="str">
        <f aca="false">IF(A242="N/A"," ",E242*C242)</f>
        <v> </v>
      </c>
      <c r="G242" s="421" t="str">
        <f aca="false">IF(A242="N/A"," ",IF(ISERROR(P242),G230*Pwresc,P242)*VLOOKUP(MONTH(A242),Curveadj,3))</f>
        <v> </v>
      </c>
      <c r="H242" s="423" t="str">
        <f aca="false">IF(A242="N/A"," ",G242*C242)</f>
        <v> </v>
      </c>
      <c r="I242" s="423" t="str">
        <f aca="false">IF(A242="N/A"," ",IF(ISERROR(Q242),I230*Pwresc,Q242))</f>
        <v> </v>
      </c>
      <c r="J242" s="424" t="str">
        <f aca="false">IF(A242="N/A"," ",K242+L242+T242)</f>
        <v> </v>
      </c>
      <c r="K242" s="425" t="str">
        <f aca="false">IF(A242="N/A"," ",IF(ISERROR(R242),K230*Gasesc,R242))</f>
        <v> </v>
      </c>
      <c r="L242" s="425" t="str">
        <f aca="false">IF(A242="N/A"," ",IF(ISERROR(S242),L230*Gasesc,IF(S242=0,L230*Gasesc,S242)))</f>
        <v> </v>
      </c>
      <c r="M242" s="431"/>
      <c r="N242" s="427" t="str">
        <f aca="false">IF(A242="N/A"," ",VLOOKUP(A242,PeakPowerCurves,(IF(BMO=2,3,IF(BMO=1,2,4))),FALSE()))</f>
        <v> </v>
      </c>
      <c r="O242" s="427" t="str">
        <f aca="false">IF(A242="N/A"," ",VLOOKUP(A242,SatSunPeakPwr,(IF(BMO=2,3,IF(BMO=1,2,4))),FALSE()))</f>
        <v> </v>
      </c>
      <c r="P242" s="427" t="str">
        <f aca="false">IF(A242="N/A"," ",VLOOKUP(A242,SatSunPeakPwr,(IF(BMO=2,7,IF(BMO=1,6,8))),FALSE()))</f>
        <v> </v>
      </c>
      <c r="Q242" s="428" t="str">
        <f aca="false">IF(A242="N/A"," ",(VLOOKUP(A242,OPPowerPrices,(IF(BMO=2,7,IF(BMO=1,6,8))),FALSE())))</f>
        <v> </v>
      </c>
      <c r="R242" s="429" t="str">
        <f aca="false">IF(A242="N/A"," ",(VLOOKUP(A242,GasCurves,9,FALSE()))+IF(BMO=1,Gasbmo,IF(BMO=3,-Gasbmo,0)))</f>
        <v> </v>
      </c>
      <c r="S242" s="429" t="str">
        <f aca="false">IF(A242="N/A"," ",IF(Basischeck=TRUE(),(VLOOKUP(A242,GasCurves,IF(MONTH(A242)&gt;=4,IF(MONTH(A242)&lt;=10,11,12),12),FALSE())),0))</f>
        <v> </v>
      </c>
      <c r="T242" s="429" t="str">
        <f aca="false">IF(A242="N/A"," ",(IF(MONTH(A242)&gt;=4,IF(MONTH(A242)&lt;=10,Inputs!$H$2,Inputs!$H$3),Inputs!$H$3)))</f>
        <v> </v>
      </c>
      <c r="U242" s="430" t="str">
        <f aca="false">IF(A242="N/A"," ",(VLOOKUP($A242,InterestRatesTable,2)))</f>
        <v> </v>
      </c>
      <c r="AF242" s="384" t="n">
        <v>43800</v>
      </c>
      <c r="AG242" s="36" t="n">
        <v>21</v>
      </c>
      <c r="AH242" s="36" t="n">
        <v>4</v>
      </c>
      <c r="AI242" s="36" t="n">
        <v>6</v>
      </c>
      <c r="AJ242" s="36" t="n">
        <v>1</v>
      </c>
      <c r="AK242" s="36" t="n">
        <v>31</v>
      </c>
    </row>
    <row r="243" customFormat="false" ht="12.75" hidden="false" customHeight="false" outlineLevel="0" collapsed="false">
      <c r="A243" s="420" t="str">
        <f aca="false">Calculations!A210</f>
        <v>N/A</v>
      </c>
      <c r="B243" s="421" t="str">
        <f aca="false">IF(A243="N/A"," ",IF(ISERROR(N243),B231*Pwresc,N243)*VLOOKUP(MONTH(A243),Curveadj,3))</f>
        <v> </v>
      </c>
      <c r="C243" s="422" t="str">
        <f aca="false">IF(A243="N/A"," ",(IF(AND(MONTH(A243)&gt;=6,MONTH(A243)&lt;=8,OR($M$37="REGION 2",$M$37="REGION 2A",$M$37="REGION 2B",$M$37="REGION 3",$M$37="REGION 3A",$M$37="REGION 3B",$M$37="REGION 4",$M$37="REGION 4B",$M$37="REGION 4C",$M$37="REGION 5",$M$37="REGION 5A")),((0.059228/(B243/100))-(0.4980013/(SQRT(B243/100)))+2.137988),HLOOKUP(MONTH(A243),ScalarTable,28))))</f>
        <v> </v>
      </c>
      <c r="D243" s="423" t="str">
        <f aca="false">IF(A243="N/A"," ",C243*B243)</f>
        <v> </v>
      </c>
      <c r="E243" s="421" t="str">
        <f aca="false">IF(A243="N/A"," ",IF(ISERROR(O243),E231*Pwresc,O243)*VLOOKUP(MONTH(A243),Curveadj,3))</f>
        <v> </v>
      </c>
      <c r="F243" s="423" t="str">
        <f aca="false">IF(A243="N/A"," ",E243*C243)</f>
        <v> </v>
      </c>
      <c r="G243" s="421" t="str">
        <f aca="false">IF(A243="N/A"," ",IF(ISERROR(P243),G231*Pwresc,P243)*VLOOKUP(MONTH(A243),Curveadj,3))</f>
        <v> </v>
      </c>
      <c r="H243" s="423" t="str">
        <f aca="false">IF(A243="N/A"," ",G243*C243)</f>
        <v> </v>
      </c>
      <c r="I243" s="423" t="str">
        <f aca="false">IF(A243="N/A"," ",IF(ISERROR(Q243),I231*Pwresc,Q243))</f>
        <v> </v>
      </c>
      <c r="J243" s="424" t="str">
        <f aca="false">IF(A243="N/A"," ",K243+L243+T243)</f>
        <v> </v>
      </c>
      <c r="K243" s="425" t="str">
        <f aca="false">IF(A243="N/A"," ",IF(ISERROR(R243),K231*Gasesc,R243))</f>
        <v> </v>
      </c>
      <c r="L243" s="425" t="str">
        <f aca="false">IF(A243="N/A"," ",IF(ISERROR(S243),L231*Gasesc,IF(S243=0,L231*Gasesc,S243)))</f>
        <v> </v>
      </c>
      <c r="M243" s="431"/>
      <c r="N243" s="427" t="str">
        <f aca="false">IF(A243="N/A"," ",VLOOKUP(A243,PeakPowerCurves,(IF(BMO=2,3,IF(BMO=1,2,4))),FALSE()))</f>
        <v> </v>
      </c>
      <c r="O243" s="427" t="str">
        <f aca="false">IF(A243="N/A"," ",VLOOKUP(A243,SatSunPeakPwr,(IF(BMO=2,3,IF(BMO=1,2,4))),FALSE()))</f>
        <v> </v>
      </c>
      <c r="P243" s="427" t="str">
        <f aca="false">IF(A243="N/A"," ",VLOOKUP(A243,SatSunPeakPwr,(IF(BMO=2,7,IF(BMO=1,6,8))),FALSE()))</f>
        <v> </v>
      </c>
      <c r="Q243" s="428" t="str">
        <f aca="false">IF(A243="N/A"," ",(VLOOKUP(A243,OPPowerPrices,(IF(BMO=2,7,IF(BMO=1,6,8))),FALSE())))</f>
        <v> </v>
      </c>
      <c r="R243" s="429" t="str">
        <f aca="false">IF(A243="N/A"," ",(VLOOKUP(A243,GasCurves,9,FALSE()))+IF(BMO=1,Gasbmo,IF(BMO=3,-Gasbmo,0)))</f>
        <v> </v>
      </c>
      <c r="S243" s="429" t="str">
        <f aca="false">IF(A243="N/A"," ",IF(Basischeck=TRUE(),(VLOOKUP(A243,GasCurves,IF(MONTH(A243)&gt;=4,IF(MONTH(A243)&lt;=10,11,12),12),FALSE())),0))</f>
        <v> </v>
      </c>
      <c r="T243" s="429" t="str">
        <f aca="false">IF(A243="N/A"," ",(IF(MONTH(A243)&gt;=4,IF(MONTH(A243)&lt;=10,Inputs!$H$2,Inputs!$H$3),Inputs!$H$3)))</f>
        <v> </v>
      </c>
      <c r="U243" s="430" t="str">
        <f aca="false">IF(A243="N/A"," ",(VLOOKUP($A243,InterestRatesTable,2)))</f>
        <v> </v>
      </c>
      <c r="AF243" s="384" t="n">
        <v>43831</v>
      </c>
      <c r="AG243" s="36" t="n">
        <v>22</v>
      </c>
      <c r="AH243" s="36" t="n">
        <v>4</v>
      </c>
      <c r="AI243" s="36" t="n">
        <v>5</v>
      </c>
      <c r="AJ243" s="36" t="n">
        <v>1</v>
      </c>
      <c r="AK243" s="36" t="n">
        <v>31</v>
      </c>
    </row>
    <row r="244" customFormat="false" ht="12.75" hidden="false" customHeight="false" outlineLevel="0" collapsed="false">
      <c r="A244" s="420" t="str">
        <f aca="false">Calculations!A211</f>
        <v>N/A</v>
      </c>
      <c r="B244" s="421" t="str">
        <f aca="false">IF(A244="N/A"," ",IF(ISERROR(N244),B232*Pwresc,N244)*VLOOKUP(MONTH(A244),Curveadj,3))</f>
        <v> </v>
      </c>
      <c r="C244" s="422" t="str">
        <f aca="false">IF(A244="N/A"," ",(IF(AND(MONTH(A244)&gt;=6,MONTH(A244)&lt;=8,OR($M$37="REGION 2",$M$37="REGION 2A",$M$37="REGION 2B",$M$37="REGION 3",$M$37="REGION 3A",$M$37="REGION 3B",$M$37="REGION 4",$M$37="REGION 4B",$M$37="REGION 4C",$M$37="REGION 5",$M$37="REGION 5A")),((0.059228/(B244/100))-(0.4980013/(SQRT(B244/100)))+2.137988),HLOOKUP(MONTH(A244),ScalarTable,28))))</f>
        <v> </v>
      </c>
      <c r="D244" s="423" t="str">
        <f aca="false">IF(A244="N/A"," ",C244*B244)</f>
        <v> </v>
      </c>
      <c r="E244" s="421" t="str">
        <f aca="false">IF(A244="N/A"," ",IF(ISERROR(O244),E232*Pwresc,O244)*VLOOKUP(MONTH(A244),Curveadj,3))</f>
        <v> </v>
      </c>
      <c r="F244" s="423" t="str">
        <f aca="false">IF(A244="N/A"," ",E244*C244)</f>
        <v> </v>
      </c>
      <c r="G244" s="421" t="str">
        <f aca="false">IF(A244="N/A"," ",IF(ISERROR(P244),G232*Pwresc,P244)*VLOOKUP(MONTH(A244),Curveadj,3))</f>
        <v> </v>
      </c>
      <c r="H244" s="423" t="str">
        <f aca="false">IF(A244="N/A"," ",G244*C244)</f>
        <v> </v>
      </c>
      <c r="I244" s="423" t="str">
        <f aca="false">IF(A244="N/A"," ",IF(ISERROR(Q244),I232*Pwresc,Q244))</f>
        <v> </v>
      </c>
      <c r="J244" s="424" t="str">
        <f aca="false">IF(A244="N/A"," ",K244+L244+T244)</f>
        <v> </v>
      </c>
      <c r="K244" s="425" t="str">
        <f aca="false">IF(A244="N/A"," ",IF(ISERROR(R244),K232*Gasesc,R244))</f>
        <v> </v>
      </c>
      <c r="L244" s="425" t="str">
        <f aca="false">IF(A244="N/A"," ",IF(ISERROR(S244),L232*Gasesc,IF(S244=0,L232*Gasesc,S244)))</f>
        <v> </v>
      </c>
      <c r="M244" s="431"/>
      <c r="N244" s="427" t="str">
        <f aca="false">IF(A244="N/A"," ",VLOOKUP(A244,PeakPowerCurves,(IF(BMO=2,3,IF(BMO=1,2,4))),FALSE()))</f>
        <v> </v>
      </c>
      <c r="O244" s="427" t="str">
        <f aca="false">IF(A244="N/A"," ",VLOOKUP(A244,SatSunPeakPwr,(IF(BMO=2,3,IF(BMO=1,2,4))),FALSE()))</f>
        <v> </v>
      </c>
      <c r="P244" s="427" t="str">
        <f aca="false">IF(A244="N/A"," ",VLOOKUP(A244,SatSunPeakPwr,(IF(BMO=2,7,IF(BMO=1,6,8))),FALSE()))</f>
        <v> </v>
      </c>
      <c r="Q244" s="428" t="str">
        <f aca="false">IF(A244="N/A"," ",(VLOOKUP(A244,OPPowerPrices,(IF(BMO=2,7,IF(BMO=1,6,8))),FALSE())))</f>
        <v> </v>
      </c>
      <c r="R244" s="429" t="str">
        <f aca="false">IF(A244="N/A"," ",(VLOOKUP(A244,GasCurves,9,FALSE()))+IF(BMO=1,Gasbmo,IF(BMO=3,-Gasbmo,0)))</f>
        <v> </v>
      </c>
      <c r="S244" s="429" t="str">
        <f aca="false">IF(A244="N/A"," ",IF(Basischeck=TRUE(),(VLOOKUP(A244,GasCurves,IF(MONTH(A244)&gt;=4,IF(MONTH(A244)&lt;=10,11,12),12),FALSE())),0))</f>
        <v> </v>
      </c>
      <c r="T244" s="429" t="str">
        <f aca="false">IF(A244="N/A"," ",(IF(MONTH(A244)&gt;=4,IF(MONTH(A244)&lt;=10,Inputs!$H$2,Inputs!$H$3),Inputs!$H$3)))</f>
        <v> </v>
      </c>
      <c r="U244" s="430" t="str">
        <f aca="false">IF(A244="N/A"," ",(VLOOKUP($A244,InterestRatesTable,2)))</f>
        <v> </v>
      </c>
      <c r="AF244" s="384" t="n">
        <v>43862</v>
      </c>
      <c r="AG244" s="36" t="n">
        <v>20</v>
      </c>
      <c r="AH244" s="36" t="n">
        <v>5</v>
      </c>
      <c r="AI244" s="36" t="n">
        <v>4</v>
      </c>
      <c r="AJ244" s="36" t="n">
        <v>0</v>
      </c>
      <c r="AK244" s="36" t="n">
        <v>29</v>
      </c>
    </row>
    <row r="245" customFormat="false" ht="12.75" hidden="false" customHeight="false" outlineLevel="0" collapsed="false">
      <c r="A245" s="420" t="str">
        <f aca="false">Calculations!A212</f>
        <v>N/A</v>
      </c>
      <c r="B245" s="421" t="str">
        <f aca="false">IF(A245="N/A"," ",IF(ISERROR(N245),B233*Pwresc,N245)*VLOOKUP(MONTH(A245),Curveadj,3))</f>
        <v> </v>
      </c>
      <c r="C245" s="422" t="str">
        <f aca="false">IF(A245="N/A"," ",(IF(AND(MONTH(A245)&gt;=6,MONTH(A245)&lt;=8,OR($M$37="REGION 2",$M$37="REGION 2A",$M$37="REGION 2B",$M$37="REGION 3",$M$37="REGION 3A",$M$37="REGION 3B",$M$37="REGION 4",$M$37="REGION 4B",$M$37="REGION 4C",$M$37="REGION 5",$M$37="REGION 5A")),((0.059228/(B245/100))-(0.4980013/(SQRT(B245/100)))+2.137988),HLOOKUP(MONTH(A245),ScalarTable,28))))</f>
        <v> </v>
      </c>
      <c r="D245" s="423" t="str">
        <f aca="false">IF(A245="N/A"," ",C245*B245)</f>
        <v> </v>
      </c>
      <c r="E245" s="421" t="str">
        <f aca="false">IF(A245="N/A"," ",IF(ISERROR(O245),E233*Pwresc,O245)*VLOOKUP(MONTH(A245),Curveadj,3))</f>
        <v> </v>
      </c>
      <c r="F245" s="423" t="str">
        <f aca="false">IF(A245="N/A"," ",E245*C245)</f>
        <v> </v>
      </c>
      <c r="G245" s="421" t="str">
        <f aca="false">IF(A245="N/A"," ",IF(ISERROR(P245),G233*Pwresc,P245)*VLOOKUP(MONTH(A245),Curveadj,3))</f>
        <v> </v>
      </c>
      <c r="H245" s="423" t="str">
        <f aca="false">IF(A245="N/A"," ",G245*C245)</f>
        <v> </v>
      </c>
      <c r="I245" s="423" t="str">
        <f aca="false">IF(A245="N/A"," ",IF(ISERROR(Q245),I233*Pwresc,Q245))</f>
        <v> </v>
      </c>
      <c r="J245" s="424" t="str">
        <f aca="false">IF(A245="N/A"," ",K245+L245+T245)</f>
        <v> </v>
      </c>
      <c r="K245" s="425" t="str">
        <f aca="false">IF(A245="N/A"," ",IF(ISERROR(R245),K233*Gasesc,R245))</f>
        <v> </v>
      </c>
      <c r="L245" s="425" t="str">
        <f aca="false">IF(A245="N/A"," ",IF(ISERROR(S245),L233*Gasesc,IF(S245=0,L233*Gasesc,S245)))</f>
        <v> </v>
      </c>
      <c r="M245" s="431"/>
      <c r="N245" s="427" t="str">
        <f aca="false">IF(A245="N/A"," ",VLOOKUP(A245,PeakPowerCurves,(IF(BMO=2,3,IF(BMO=1,2,4))),FALSE()))</f>
        <v> </v>
      </c>
      <c r="O245" s="427" t="str">
        <f aca="false">IF(A245="N/A"," ",VLOOKUP(A245,SatSunPeakPwr,(IF(BMO=2,3,IF(BMO=1,2,4))),FALSE()))</f>
        <v> </v>
      </c>
      <c r="P245" s="427" t="str">
        <f aca="false">IF(A245="N/A"," ",VLOOKUP(A245,SatSunPeakPwr,(IF(BMO=2,7,IF(BMO=1,6,8))),FALSE()))</f>
        <v> </v>
      </c>
      <c r="Q245" s="428" t="str">
        <f aca="false">IF(A245="N/A"," ",(VLOOKUP(A245,OPPowerPrices,(IF(BMO=2,7,IF(BMO=1,6,8))),FALSE())))</f>
        <v> </v>
      </c>
      <c r="R245" s="429" t="str">
        <f aca="false">IF(A245="N/A"," ",(VLOOKUP(A245,GasCurves,9,FALSE()))+IF(BMO=1,Gasbmo,IF(BMO=3,-Gasbmo,0)))</f>
        <v> </v>
      </c>
      <c r="S245" s="429" t="str">
        <f aca="false">IF(A245="N/A"," ",IF(Basischeck=TRUE(),(VLOOKUP(A245,GasCurves,IF(MONTH(A245)&gt;=4,IF(MONTH(A245)&lt;=10,11,12),12),FALSE())),0))</f>
        <v> </v>
      </c>
      <c r="T245" s="429" t="str">
        <f aca="false">IF(A245="N/A"," ",(IF(MONTH(A245)&gt;=4,IF(MONTH(A245)&lt;=10,Inputs!$H$2,Inputs!$H$3),Inputs!$H$3)))</f>
        <v> </v>
      </c>
      <c r="U245" s="430" t="str">
        <f aca="false">IF(A245="N/A"," ",(VLOOKUP($A245,InterestRatesTable,2)))</f>
        <v> </v>
      </c>
      <c r="AF245" s="384" t="n">
        <v>43891</v>
      </c>
      <c r="AG245" s="36" t="n">
        <v>22</v>
      </c>
      <c r="AH245" s="36" t="n">
        <v>4</v>
      </c>
      <c r="AI245" s="36" t="n">
        <v>5</v>
      </c>
      <c r="AJ245" s="36" t="n">
        <v>0</v>
      </c>
      <c r="AK245" s="36" t="n">
        <v>31</v>
      </c>
    </row>
    <row r="246" customFormat="false" ht="12.75" hidden="false" customHeight="false" outlineLevel="0" collapsed="false">
      <c r="A246" s="420" t="str">
        <f aca="false">Calculations!A213</f>
        <v>N/A</v>
      </c>
      <c r="B246" s="421" t="str">
        <f aca="false">IF(A246="N/A"," ",IF(ISERROR(N246),B234*Pwresc,N246)*VLOOKUP(MONTH(A246),Curveadj,3))</f>
        <v> </v>
      </c>
      <c r="C246" s="422" t="str">
        <f aca="false">IF(A246="N/A"," ",(IF(AND(MONTH(A246)&gt;=6,MONTH(A246)&lt;=8,OR($M$37="REGION 2",$M$37="REGION 2A",$M$37="REGION 2B",$M$37="REGION 3",$M$37="REGION 3A",$M$37="REGION 3B",$M$37="REGION 4",$M$37="REGION 4B",$M$37="REGION 4C",$M$37="REGION 5",$M$37="REGION 5A")),((0.059228/(B246/100))-(0.4980013/(SQRT(B246/100)))+2.137988),HLOOKUP(MONTH(A246),ScalarTable,28))))</f>
        <v> </v>
      </c>
      <c r="D246" s="423" t="str">
        <f aca="false">IF(A246="N/A"," ",C246*B246)</f>
        <v> </v>
      </c>
      <c r="E246" s="421" t="str">
        <f aca="false">IF(A246="N/A"," ",IF(ISERROR(O246),E234*Pwresc,O246)*VLOOKUP(MONTH(A246),Curveadj,3))</f>
        <v> </v>
      </c>
      <c r="F246" s="423" t="str">
        <f aca="false">IF(A246="N/A"," ",E246*C246)</f>
        <v> </v>
      </c>
      <c r="G246" s="421" t="str">
        <f aca="false">IF(A246="N/A"," ",IF(ISERROR(P246),G234*Pwresc,P246)*VLOOKUP(MONTH(A246),Curveadj,3))</f>
        <v> </v>
      </c>
      <c r="H246" s="423" t="str">
        <f aca="false">IF(A246="N/A"," ",G246*C246)</f>
        <v> </v>
      </c>
      <c r="I246" s="423" t="str">
        <f aca="false">IF(A246="N/A"," ",IF(ISERROR(Q246),I234*Pwresc,Q246))</f>
        <v> </v>
      </c>
      <c r="J246" s="424" t="str">
        <f aca="false">IF(A246="N/A"," ",K246+L246+T246)</f>
        <v> </v>
      </c>
      <c r="K246" s="425" t="str">
        <f aca="false">IF(A246="N/A"," ",IF(ISERROR(R246),K234*Gasesc,R246))</f>
        <v> </v>
      </c>
      <c r="L246" s="425" t="str">
        <f aca="false">IF(A246="N/A"," ",IF(ISERROR(S246),L234*Gasesc,IF(S246=0,L234*Gasesc,S246)))</f>
        <v> </v>
      </c>
      <c r="M246" s="431"/>
      <c r="N246" s="427" t="str">
        <f aca="false">IF(A246="N/A"," ",VLOOKUP(A246,PeakPowerCurves,(IF(BMO=2,3,IF(BMO=1,2,4))),FALSE()))</f>
        <v> </v>
      </c>
      <c r="O246" s="427" t="str">
        <f aca="false">IF(A246="N/A"," ",VLOOKUP(A246,SatSunPeakPwr,(IF(BMO=2,3,IF(BMO=1,2,4))),FALSE()))</f>
        <v> </v>
      </c>
      <c r="P246" s="427" t="str">
        <f aca="false">IF(A246="N/A"," ",VLOOKUP(A246,SatSunPeakPwr,(IF(BMO=2,7,IF(BMO=1,6,8))),FALSE()))</f>
        <v> </v>
      </c>
      <c r="Q246" s="428" t="str">
        <f aca="false">IF(A246="N/A"," ",(VLOOKUP(A246,OPPowerPrices,(IF(BMO=2,7,IF(BMO=1,6,8))),FALSE())))</f>
        <v> </v>
      </c>
      <c r="R246" s="429" t="str">
        <f aca="false">IF(A246="N/A"," ",(VLOOKUP(A246,GasCurves,9,FALSE()))+IF(BMO=1,Gasbmo,IF(BMO=3,-Gasbmo,0)))</f>
        <v> </v>
      </c>
      <c r="S246" s="429" t="str">
        <f aca="false">IF(A246="N/A"," ",IF(Basischeck=TRUE(),(VLOOKUP(A246,GasCurves,IF(MONTH(A246)&gt;=4,IF(MONTH(A246)&lt;=10,11,12),12),FALSE())),0))</f>
        <v> </v>
      </c>
      <c r="T246" s="429" t="str">
        <f aca="false">IF(A246="N/A"," ",(IF(MONTH(A246)&gt;=4,IF(MONTH(A246)&lt;=10,Inputs!$H$2,Inputs!$H$3),Inputs!$H$3)))</f>
        <v> </v>
      </c>
      <c r="U246" s="430" t="str">
        <f aca="false">IF(A246="N/A"," ",(VLOOKUP($A246,InterestRatesTable,2)))</f>
        <v> </v>
      </c>
      <c r="AF246" s="384" t="n">
        <v>43922</v>
      </c>
      <c r="AG246" s="36" t="n">
        <v>22</v>
      </c>
      <c r="AH246" s="36" t="n">
        <v>4</v>
      </c>
      <c r="AI246" s="36" t="n">
        <v>4</v>
      </c>
      <c r="AJ246" s="36" t="n">
        <v>0</v>
      </c>
      <c r="AK246" s="36" t="n">
        <v>30</v>
      </c>
    </row>
    <row r="247" customFormat="false" ht="12.75" hidden="false" customHeight="false" outlineLevel="0" collapsed="false">
      <c r="A247" s="420" t="str">
        <f aca="false">Calculations!A214</f>
        <v>N/A</v>
      </c>
      <c r="B247" s="421" t="str">
        <f aca="false">IF(A247="N/A"," ",IF(ISERROR(N247),B235*Pwresc,N247)*VLOOKUP(MONTH(A247),Curveadj,3))</f>
        <v> </v>
      </c>
      <c r="C247" s="422" t="str">
        <f aca="false">IF(A247="N/A"," ",(IF(AND(MONTH(A247)&gt;=6,MONTH(A247)&lt;=8,OR($M$37="REGION 2",$M$37="REGION 2A",$M$37="REGION 2B",$M$37="REGION 3",$M$37="REGION 3A",$M$37="REGION 3B",$M$37="REGION 4",$M$37="REGION 4B",$M$37="REGION 4C",$M$37="REGION 5",$M$37="REGION 5A")),((0.059228/(B247/100))-(0.4980013/(SQRT(B247/100)))+2.137988),HLOOKUP(MONTH(A247),ScalarTable,28))))</f>
        <v> </v>
      </c>
      <c r="D247" s="423" t="str">
        <f aca="false">IF(A247="N/A"," ",C247*B247)</f>
        <v> </v>
      </c>
      <c r="E247" s="421" t="str">
        <f aca="false">IF(A247="N/A"," ",IF(ISERROR(O247),E235*Pwresc,O247)*VLOOKUP(MONTH(A247),Curveadj,3))</f>
        <v> </v>
      </c>
      <c r="F247" s="423" t="str">
        <f aca="false">IF(A247="N/A"," ",E247*C247)</f>
        <v> </v>
      </c>
      <c r="G247" s="421" t="str">
        <f aca="false">IF(A247="N/A"," ",IF(ISERROR(P247),G235*Pwresc,P247)*VLOOKUP(MONTH(A247),Curveadj,3))</f>
        <v> </v>
      </c>
      <c r="H247" s="423" t="str">
        <f aca="false">IF(A247="N/A"," ",G247*C247)</f>
        <v> </v>
      </c>
      <c r="I247" s="423" t="str">
        <f aca="false">IF(A247="N/A"," ",IF(ISERROR(Q247),I235*Pwresc,Q247))</f>
        <v> </v>
      </c>
      <c r="J247" s="424" t="str">
        <f aca="false">IF(A247="N/A"," ",K247+L247+T247)</f>
        <v> </v>
      </c>
      <c r="K247" s="425" t="str">
        <f aca="false">IF(A247="N/A"," ",IF(ISERROR(R247),K235*Gasesc,R247))</f>
        <v> </v>
      </c>
      <c r="L247" s="425" t="str">
        <f aca="false">IF(A247="N/A"," ",IF(ISERROR(S247),L235*Gasesc,IF(S247=0,L235*Gasesc,S247)))</f>
        <v> </v>
      </c>
      <c r="M247" s="431"/>
      <c r="N247" s="427" t="str">
        <f aca="false">IF(A247="N/A"," ",VLOOKUP(A247,PeakPowerCurves,(IF(BMO=2,3,IF(BMO=1,2,4))),FALSE()))</f>
        <v> </v>
      </c>
      <c r="O247" s="427" t="str">
        <f aca="false">IF(A247="N/A"," ",VLOOKUP(A247,SatSunPeakPwr,(IF(BMO=2,3,IF(BMO=1,2,4))),FALSE()))</f>
        <v> </v>
      </c>
      <c r="P247" s="427" t="str">
        <f aca="false">IF(A247="N/A"," ",VLOOKUP(A247,SatSunPeakPwr,(IF(BMO=2,7,IF(BMO=1,6,8))),FALSE()))</f>
        <v> </v>
      </c>
      <c r="Q247" s="428" t="str">
        <f aca="false">IF(A247="N/A"," ",(VLOOKUP(A247,OPPowerPrices,(IF(BMO=2,7,IF(BMO=1,6,8))),FALSE())))</f>
        <v> </v>
      </c>
      <c r="R247" s="429" t="str">
        <f aca="false">IF(A247="N/A"," ",(VLOOKUP(A247,GasCurves,9,FALSE()))+IF(BMO=1,Gasbmo,IF(BMO=3,-Gasbmo,0)))</f>
        <v> </v>
      </c>
      <c r="S247" s="429" t="str">
        <f aca="false">IF(A247="N/A"," ",IF(Basischeck=TRUE(),(VLOOKUP(A247,GasCurves,IF(MONTH(A247)&gt;=4,IF(MONTH(A247)&lt;=10,11,12),12),FALSE())),0))</f>
        <v> </v>
      </c>
      <c r="T247" s="429" t="str">
        <f aca="false">IF(A247="N/A"," ",(IF(MONTH(A247)&gt;=4,IF(MONTH(A247)&lt;=10,Inputs!$H$2,Inputs!$H$3),Inputs!$H$3)))</f>
        <v> </v>
      </c>
      <c r="U247" s="430" t="str">
        <f aca="false">IF(A247="N/A"," ",(VLOOKUP($A247,InterestRatesTable,2)))</f>
        <v> </v>
      </c>
      <c r="AF247" s="384" t="n">
        <v>43952</v>
      </c>
      <c r="AG247" s="36" t="n">
        <v>20</v>
      </c>
      <c r="AH247" s="36" t="n">
        <v>5</v>
      </c>
      <c r="AI247" s="36" t="n">
        <v>6</v>
      </c>
      <c r="AJ247" s="36" t="n">
        <v>1</v>
      </c>
      <c r="AK247" s="36" t="n">
        <v>31</v>
      </c>
    </row>
    <row r="248" customFormat="false" ht="12.75" hidden="false" customHeight="false" outlineLevel="0" collapsed="false">
      <c r="A248" s="420" t="str">
        <f aca="false">Calculations!A215</f>
        <v>N/A</v>
      </c>
      <c r="B248" s="421" t="str">
        <f aca="false">IF(A248="N/A"," ",IF(ISERROR(N248),B236*Pwresc,N248)*VLOOKUP(MONTH(A248),Curveadj,3))</f>
        <v> </v>
      </c>
      <c r="C248" s="422" t="str">
        <f aca="false">IF(A248="N/A"," ",(IF(AND(MONTH(A248)&gt;=6,MONTH(A248)&lt;=8,OR($M$37="REGION 2",$M$37="REGION 2A",$M$37="REGION 2B",$M$37="REGION 3",$M$37="REGION 3A",$M$37="REGION 3B",$M$37="REGION 4",$M$37="REGION 4B",$M$37="REGION 4C",$M$37="REGION 5",$M$37="REGION 5A")),((0.059228/(B248/100))-(0.4980013/(SQRT(B248/100)))+2.137988),HLOOKUP(MONTH(A248),ScalarTable,28))))</f>
        <v> </v>
      </c>
      <c r="D248" s="423" t="str">
        <f aca="false">IF(A248="N/A"," ",C248*B248)</f>
        <v> </v>
      </c>
      <c r="E248" s="421" t="str">
        <f aca="false">IF(A248="N/A"," ",IF(ISERROR(O248),E236*Pwresc,O248)*VLOOKUP(MONTH(A248),Curveadj,3))</f>
        <v> </v>
      </c>
      <c r="F248" s="423" t="str">
        <f aca="false">IF(A248="N/A"," ",E248*C248)</f>
        <v> </v>
      </c>
      <c r="G248" s="421" t="str">
        <f aca="false">IF(A248="N/A"," ",IF(ISERROR(P248),G236*Pwresc,P248)*VLOOKUP(MONTH(A248),Curveadj,3))</f>
        <v> </v>
      </c>
      <c r="H248" s="423" t="str">
        <f aca="false">IF(A248="N/A"," ",G248*C248)</f>
        <v> </v>
      </c>
      <c r="I248" s="423" t="str">
        <f aca="false">IF(A248="N/A"," ",IF(ISERROR(Q248),I236*Pwresc,Q248))</f>
        <v> </v>
      </c>
      <c r="J248" s="424" t="str">
        <f aca="false">IF(A248="N/A"," ",K248+L248+T248)</f>
        <v> </v>
      </c>
      <c r="K248" s="425" t="str">
        <f aca="false">IF(A248="N/A"," ",IF(ISERROR(R248),K236*Gasesc,R248))</f>
        <v> </v>
      </c>
      <c r="L248" s="425" t="str">
        <f aca="false">IF(A248="N/A"," ",IF(ISERROR(S248),L236*Gasesc,IF(S248=0,L236*Gasesc,S248)))</f>
        <v> </v>
      </c>
      <c r="M248" s="431"/>
      <c r="N248" s="427" t="str">
        <f aca="false">IF(A248="N/A"," ",VLOOKUP(A248,PeakPowerCurves,(IF(BMO=2,3,IF(BMO=1,2,4))),FALSE()))</f>
        <v> </v>
      </c>
      <c r="O248" s="427" t="str">
        <f aca="false">IF(A248="N/A"," ",VLOOKUP(A248,SatSunPeakPwr,(IF(BMO=2,3,IF(BMO=1,2,4))),FALSE()))</f>
        <v> </v>
      </c>
      <c r="P248" s="427" t="str">
        <f aca="false">IF(A248="N/A"," ",VLOOKUP(A248,SatSunPeakPwr,(IF(BMO=2,7,IF(BMO=1,6,8))),FALSE()))</f>
        <v> </v>
      </c>
      <c r="Q248" s="428" t="str">
        <f aca="false">IF(A248="N/A"," ",(VLOOKUP(A248,OPPowerPrices,(IF(BMO=2,7,IF(BMO=1,6,8))),FALSE())))</f>
        <v> </v>
      </c>
      <c r="R248" s="429" t="str">
        <f aca="false">IF(A248="N/A"," ",(VLOOKUP(A248,GasCurves,9,FALSE()))+IF(BMO=1,Gasbmo,IF(BMO=3,-Gasbmo,0)))</f>
        <v> </v>
      </c>
      <c r="S248" s="429" t="str">
        <f aca="false">IF(A248="N/A"," ",IF(Basischeck=TRUE(),(VLOOKUP(A248,GasCurves,IF(MONTH(A248)&gt;=4,IF(MONTH(A248)&lt;=10,11,12),12),FALSE())),0))</f>
        <v> </v>
      </c>
      <c r="T248" s="429" t="str">
        <f aca="false">IF(A248="N/A"," ",(IF(MONTH(A248)&gt;=4,IF(MONTH(A248)&lt;=10,Inputs!$H$2,Inputs!$H$3),Inputs!$H$3)))</f>
        <v> </v>
      </c>
      <c r="U248" s="430" t="str">
        <f aca="false">IF(A248="N/A"," ",(VLOOKUP($A248,InterestRatesTable,2)))</f>
        <v> </v>
      </c>
      <c r="AF248" s="384" t="n">
        <v>43983</v>
      </c>
      <c r="AG248" s="36" t="n">
        <v>22</v>
      </c>
      <c r="AH248" s="36" t="n">
        <v>4</v>
      </c>
      <c r="AI248" s="36" t="n">
        <v>4</v>
      </c>
      <c r="AJ248" s="36" t="n">
        <v>0</v>
      </c>
      <c r="AK248" s="36" t="n">
        <v>30</v>
      </c>
    </row>
    <row r="249" customFormat="false" ht="12.75" hidden="false" customHeight="false" outlineLevel="0" collapsed="false">
      <c r="A249" s="420" t="str">
        <f aca="false">Calculations!A216</f>
        <v>N/A</v>
      </c>
      <c r="B249" s="421" t="str">
        <f aca="false">IF(A249="N/A"," ",IF(ISERROR(N249),B237*Pwresc,N249)*VLOOKUP(MONTH(A249),Curveadj,3))</f>
        <v> </v>
      </c>
      <c r="C249" s="422" t="str">
        <f aca="false">IF(A249="N/A"," ",(IF(AND(MONTH(A249)&gt;=6,MONTH(A249)&lt;=8,OR($M$37="REGION 2",$M$37="REGION 2A",$M$37="REGION 2B",$M$37="REGION 3",$M$37="REGION 3A",$M$37="REGION 3B",$M$37="REGION 4",$M$37="REGION 4B",$M$37="REGION 4C",$M$37="REGION 5",$M$37="REGION 5A")),((0.059228/(B249/100))-(0.4980013/(SQRT(B249/100)))+2.137988),HLOOKUP(MONTH(A249),ScalarTable,28))))</f>
        <v> </v>
      </c>
      <c r="D249" s="423" t="str">
        <f aca="false">IF(A249="N/A"," ",C249*B249)</f>
        <v> </v>
      </c>
      <c r="E249" s="421" t="str">
        <f aca="false">IF(A249="N/A"," ",IF(ISERROR(O249),E237*Pwresc,O249)*VLOOKUP(MONTH(A249),Curveadj,3))</f>
        <v> </v>
      </c>
      <c r="F249" s="423" t="str">
        <f aca="false">IF(A249="N/A"," ",E249*C249)</f>
        <v> </v>
      </c>
      <c r="G249" s="421" t="str">
        <f aca="false">IF(A249="N/A"," ",IF(ISERROR(P249),G237*Pwresc,P249)*VLOOKUP(MONTH(A249),Curveadj,3))</f>
        <v> </v>
      </c>
      <c r="H249" s="423" t="str">
        <f aca="false">IF(A249="N/A"," ",G249*C249)</f>
        <v> </v>
      </c>
      <c r="I249" s="423" t="str">
        <f aca="false">IF(A249="N/A"," ",IF(ISERROR(Q249),I237*Pwresc,Q249))</f>
        <v> </v>
      </c>
      <c r="J249" s="424" t="str">
        <f aca="false">IF(A249="N/A"," ",K249+L249+T249)</f>
        <v> </v>
      </c>
      <c r="K249" s="425" t="str">
        <f aca="false">IF(A249="N/A"," ",IF(ISERROR(R249),K237*Gasesc,R249))</f>
        <v> </v>
      </c>
      <c r="L249" s="425" t="str">
        <f aca="false">IF(A249="N/A"," ",IF(ISERROR(S249),L237*Gasesc,IF(S249=0,L237*Gasesc,S249)))</f>
        <v> </v>
      </c>
      <c r="M249" s="431"/>
      <c r="N249" s="427" t="str">
        <f aca="false">IF(A249="N/A"," ",VLOOKUP(A249,PeakPowerCurves,(IF(BMO=2,3,IF(BMO=1,2,4))),FALSE()))</f>
        <v> </v>
      </c>
      <c r="O249" s="427" t="str">
        <f aca="false">IF(A249="N/A"," ",VLOOKUP(A249,SatSunPeakPwr,(IF(BMO=2,3,IF(BMO=1,2,4))),FALSE()))</f>
        <v> </v>
      </c>
      <c r="P249" s="427" t="str">
        <f aca="false">IF(A249="N/A"," ",VLOOKUP(A249,SatSunPeakPwr,(IF(BMO=2,7,IF(BMO=1,6,8))),FALSE()))</f>
        <v> </v>
      </c>
      <c r="Q249" s="428" t="str">
        <f aca="false">IF(A249="N/A"," ",(VLOOKUP(A249,OPPowerPrices,(IF(BMO=2,7,IF(BMO=1,6,8))),FALSE())))</f>
        <v> </v>
      </c>
      <c r="R249" s="429" t="str">
        <f aca="false">IF(A249="N/A"," ",(VLOOKUP(A249,GasCurves,9,FALSE()))+IF(BMO=1,Gasbmo,IF(BMO=3,-Gasbmo,0)))</f>
        <v> </v>
      </c>
      <c r="S249" s="429" t="str">
        <f aca="false">IF(A249="N/A"," ",IF(Basischeck=TRUE(),(VLOOKUP(A249,GasCurves,IF(MONTH(A249)&gt;=4,IF(MONTH(A249)&lt;=10,11,12),12),FALSE())),0))</f>
        <v> </v>
      </c>
      <c r="T249" s="429" t="str">
        <f aca="false">IF(A249="N/A"," ",(IF(MONTH(A249)&gt;=4,IF(MONTH(A249)&lt;=10,Inputs!$H$2,Inputs!$H$3),Inputs!$H$3)))</f>
        <v> </v>
      </c>
      <c r="U249" s="430" t="str">
        <f aca="false">IF(A249="N/A"," ",(VLOOKUP($A249,InterestRatesTable,2)))</f>
        <v> </v>
      </c>
      <c r="AF249" s="384" t="n">
        <v>44013</v>
      </c>
      <c r="AG249" s="36" t="n">
        <v>23</v>
      </c>
      <c r="AH249" s="36" t="n">
        <v>3</v>
      </c>
      <c r="AI249" s="36" t="n">
        <v>5</v>
      </c>
      <c r="AJ249" s="36" t="n">
        <v>1</v>
      </c>
      <c r="AK249" s="36" t="n">
        <v>31</v>
      </c>
    </row>
    <row r="250" customFormat="false" ht="12.75" hidden="false" customHeight="false" outlineLevel="0" collapsed="false">
      <c r="A250" s="420" t="str">
        <f aca="false">Calculations!A217</f>
        <v>N/A</v>
      </c>
      <c r="B250" s="421" t="str">
        <f aca="false">IF(A250="N/A"," ",IF(ISERROR(N250),B238*Pwresc,N250)*VLOOKUP(MONTH(A250),Curveadj,3))</f>
        <v> </v>
      </c>
      <c r="C250" s="422" t="str">
        <f aca="false">IF(A250="N/A"," ",(IF(AND(MONTH(A250)&gt;=6,MONTH(A250)&lt;=8,OR($M$37="REGION 2",$M$37="REGION 2A",$M$37="REGION 2B",$M$37="REGION 3",$M$37="REGION 3A",$M$37="REGION 3B",$M$37="REGION 4",$M$37="REGION 4B",$M$37="REGION 4C",$M$37="REGION 5",$M$37="REGION 5A")),((0.059228/(B250/100))-(0.4980013/(SQRT(B250/100)))+2.137988),HLOOKUP(MONTH(A250),ScalarTable,28))))</f>
        <v> </v>
      </c>
      <c r="D250" s="423" t="str">
        <f aca="false">IF(A250="N/A"," ",C250*B250)</f>
        <v> </v>
      </c>
      <c r="E250" s="421" t="str">
        <f aca="false">IF(A250="N/A"," ",IF(ISERROR(O250),E238*Pwresc,O250)*VLOOKUP(MONTH(A250),Curveadj,3))</f>
        <v> </v>
      </c>
      <c r="F250" s="423" t="str">
        <f aca="false">IF(A250="N/A"," ",E250*C250)</f>
        <v> </v>
      </c>
      <c r="G250" s="421" t="str">
        <f aca="false">IF(A250="N/A"," ",IF(ISERROR(P250),G238*Pwresc,P250)*VLOOKUP(MONTH(A250),Curveadj,3))</f>
        <v> </v>
      </c>
      <c r="H250" s="423" t="str">
        <f aca="false">IF(A250="N/A"," ",G250*C250)</f>
        <v> </v>
      </c>
      <c r="I250" s="423" t="str">
        <f aca="false">IF(A250="N/A"," ",IF(ISERROR(Q250),I238*Pwresc,Q250))</f>
        <v> </v>
      </c>
      <c r="J250" s="424" t="str">
        <f aca="false">IF(A250="N/A"," ",K250+L250+T250)</f>
        <v> </v>
      </c>
      <c r="K250" s="425" t="str">
        <f aca="false">IF(A250="N/A"," ",IF(ISERROR(R250),K238*Gasesc,R250))</f>
        <v> </v>
      </c>
      <c r="L250" s="425" t="str">
        <f aca="false">IF(A250="N/A"," ",IF(ISERROR(S250),L238*Gasesc,IF(S250=0,L238*Gasesc,S250)))</f>
        <v> </v>
      </c>
      <c r="M250" s="431"/>
      <c r="N250" s="427" t="str">
        <f aca="false">IF(A250="N/A"," ",VLOOKUP(A250,PeakPowerCurves,(IF(BMO=2,3,IF(BMO=1,2,4))),FALSE()))</f>
        <v> </v>
      </c>
      <c r="O250" s="427" t="str">
        <f aca="false">IF(A250="N/A"," ",VLOOKUP(A250,SatSunPeakPwr,(IF(BMO=2,3,IF(BMO=1,2,4))),FALSE()))</f>
        <v> </v>
      </c>
      <c r="P250" s="427" t="str">
        <f aca="false">IF(A250="N/A"," ",VLOOKUP(A250,SatSunPeakPwr,(IF(BMO=2,7,IF(BMO=1,6,8))),FALSE()))</f>
        <v> </v>
      </c>
      <c r="Q250" s="428" t="str">
        <f aca="false">IF(A250="N/A"," ",(VLOOKUP(A250,OPPowerPrices,(IF(BMO=2,7,IF(BMO=1,6,8))),FALSE())))</f>
        <v> </v>
      </c>
      <c r="R250" s="429" t="str">
        <f aca="false">IF(A250="N/A"," ",(VLOOKUP(A250,GasCurves,9,FALSE()))+IF(BMO=1,Gasbmo,IF(BMO=3,-Gasbmo,0)))</f>
        <v> </v>
      </c>
      <c r="S250" s="429" t="str">
        <f aca="false">IF(A250="N/A"," ",IF(Basischeck=TRUE(),(VLOOKUP(A250,GasCurves,IF(MONTH(A250)&gt;=4,IF(MONTH(A250)&lt;=10,11,12),12),FALSE())),0))</f>
        <v> </v>
      </c>
      <c r="T250" s="429" t="str">
        <f aca="false">IF(A250="N/A"," ",(IF(MONTH(A250)&gt;=4,IF(MONTH(A250)&lt;=10,Inputs!$H$2,Inputs!$H$3),Inputs!$H$3)))</f>
        <v> </v>
      </c>
      <c r="U250" s="430" t="str">
        <f aca="false">IF(A250="N/A"," ",(VLOOKUP($A250,InterestRatesTable,2)))</f>
        <v> </v>
      </c>
      <c r="AF250" s="384" t="n">
        <v>44044</v>
      </c>
      <c r="AG250" s="36" t="n">
        <v>21</v>
      </c>
      <c r="AH250" s="36" t="n">
        <v>5</v>
      </c>
      <c r="AI250" s="36" t="n">
        <v>5</v>
      </c>
      <c r="AJ250" s="36" t="n">
        <v>0</v>
      </c>
      <c r="AK250" s="36" t="n">
        <v>31</v>
      </c>
    </row>
    <row r="251" customFormat="false" ht="12.75" hidden="false" customHeight="false" outlineLevel="0" collapsed="false">
      <c r="A251" s="420" t="str">
        <f aca="false">Calculations!A218</f>
        <v>N/A</v>
      </c>
      <c r="B251" s="421" t="str">
        <f aca="false">IF(A251="N/A"," ",IF(ISERROR(N251),B239*Pwresc,N251)*VLOOKUP(MONTH(A251),Curveadj,3))</f>
        <v> </v>
      </c>
      <c r="C251" s="422" t="str">
        <f aca="false">IF(A251="N/A"," ",(IF(AND(MONTH(A251)&gt;=6,MONTH(A251)&lt;=8,OR($M$37="REGION 2",$M$37="REGION 2A",$M$37="REGION 2B",$M$37="REGION 3",$M$37="REGION 3A",$M$37="REGION 3B",$M$37="REGION 4",$M$37="REGION 4B",$M$37="REGION 4C",$M$37="REGION 5",$M$37="REGION 5A")),((0.059228/(B251/100))-(0.4980013/(SQRT(B251/100)))+2.137988),HLOOKUP(MONTH(A251),ScalarTable,28))))</f>
        <v> </v>
      </c>
      <c r="D251" s="423" t="str">
        <f aca="false">IF(A251="N/A"," ",C251*B251)</f>
        <v> </v>
      </c>
      <c r="E251" s="421" t="str">
        <f aca="false">IF(A251="N/A"," ",IF(ISERROR(O251),E239*Pwresc,O251)*VLOOKUP(MONTH(A251),Curveadj,3))</f>
        <v> </v>
      </c>
      <c r="F251" s="423" t="str">
        <f aca="false">IF(A251="N/A"," ",E251*C251)</f>
        <v> </v>
      </c>
      <c r="G251" s="421" t="str">
        <f aca="false">IF(A251="N/A"," ",IF(ISERROR(P251),G239*Pwresc,P251)*VLOOKUP(MONTH(A251),Curveadj,3))</f>
        <v> </v>
      </c>
      <c r="H251" s="423" t="str">
        <f aca="false">IF(A251="N/A"," ",G251*C251)</f>
        <v> </v>
      </c>
      <c r="I251" s="423" t="str">
        <f aca="false">IF(A251="N/A"," ",IF(ISERROR(Q251),I239*Pwresc,Q251))</f>
        <v> </v>
      </c>
      <c r="J251" s="424" t="str">
        <f aca="false">IF(A251="N/A"," ",K251+L251+T251)</f>
        <v> </v>
      </c>
      <c r="K251" s="425" t="str">
        <f aca="false">IF(A251="N/A"," ",IF(ISERROR(R251),K239*Gasesc,R251))</f>
        <v> </v>
      </c>
      <c r="L251" s="425" t="str">
        <f aca="false">IF(A251="N/A"," ",IF(ISERROR(S251),L239*Gasesc,IF(S251=0,L239*Gasesc,S251)))</f>
        <v> </v>
      </c>
      <c r="M251" s="431"/>
      <c r="N251" s="427" t="str">
        <f aca="false">IF(A251="N/A"," ",VLOOKUP(A251,PeakPowerCurves,(IF(BMO=2,3,IF(BMO=1,2,4))),FALSE()))</f>
        <v> </v>
      </c>
      <c r="O251" s="427" t="str">
        <f aca="false">IF(A251="N/A"," ",VLOOKUP(A251,SatSunPeakPwr,(IF(BMO=2,3,IF(BMO=1,2,4))),FALSE()))</f>
        <v> </v>
      </c>
      <c r="P251" s="427" t="str">
        <f aca="false">IF(A251="N/A"," ",VLOOKUP(A251,SatSunPeakPwr,(IF(BMO=2,7,IF(BMO=1,6,8))),FALSE()))</f>
        <v> </v>
      </c>
      <c r="Q251" s="428" t="str">
        <f aca="false">IF(A251="N/A"," ",(VLOOKUP(A251,OPPowerPrices,(IF(BMO=2,7,IF(BMO=1,6,8))),FALSE())))</f>
        <v> </v>
      </c>
      <c r="R251" s="429" t="str">
        <f aca="false">IF(A251="N/A"," ",(VLOOKUP(A251,GasCurves,9,FALSE()))+IF(BMO=1,Gasbmo,IF(BMO=3,-Gasbmo,0)))</f>
        <v> </v>
      </c>
      <c r="S251" s="429" t="str">
        <f aca="false">IF(A251="N/A"," ",IF(Basischeck=TRUE(),(VLOOKUP(A251,GasCurves,IF(MONTH(A251)&gt;=4,IF(MONTH(A251)&lt;=10,11,12),12),FALSE())),0))</f>
        <v> </v>
      </c>
      <c r="T251" s="429" t="str">
        <f aca="false">IF(A251="N/A"," ",(IF(MONTH(A251)&gt;=4,IF(MONTH(A251)&lt;=10,Inputs!$H$2,Inputs!$H$3),Inputs!$H$3)))</f>
        <v> </v>
      </c>
      <c r="U251" s="430" t="str">
        <f aca="false">IF(A251="N/A"," ",(VLOOKUP($A251,InterestRatesTable,2)))</f>
        <v> </v>
      </c>
      <c r="AF251" s="384" t="n">
        <v>44075</v>
      </c>
      <c r="AG251" s="36" t="n">
        <v>21</v>
      </c>
      <c r="AH251" s="36" t="n">
        <v>4</v>
      </c>
      <c r="AI251" s="36" t="n">
        <v>5</v>
      </c>
      <c r="AJ251" s="36" t="n">
        <v>1</v>
      </c>
      <c r="AK251" s="36" t="n">
        <v>30</v>
      </c>
    </row>
    <row r="252" customFormat="false" ht="12.75" hidden="false" customHeight="false" outlineLevel="0" collapsed="false">
      <c r="A252" s="420" t="str">
        <f aca="false">Calculations!A219</f>
        <v>N/A</v>
      </c>
      <c r="B252" s="421" t="str">
        <f aca="false">IF(A252="N/A"," ",IF(ISERROR(N252),B240*Pwresc,N252)*VLOOKUP(MONTH(A252),Curveadj,3))</f>
        <v> </v>
      </c>
      <c r="C252" s="422" t="str">
        <f aca="false">IF(A252="N/A"," ",(IF(AND(MONTH(A252)&gt;=6,MONTH(A252)&lt;=8,OR($M$37="REGION 2",$M$37="REGION 2A",$M$37="REGION 2B",$M$37="REGION 3",$M$37="REGION 3A",$M$37="REGION 3B",$M$37="REGION 4",$M$37="REGION 4B",$M$37="REGION 4C",$M$37="REGION 5",$M$37="REGION 5A")),((0.059228/(B252/100))-(0.4980013/(SQRT(B252/100)))+2.137988),HLOOKUP(MONTH(A252),ScalarTable,28))))</f>
        <v> </v>
      </c>
      <c r="D252" s="423" t="str">
        <f aca="false">IF(A252="N/A"," ",C252*B252)</f>
        <v> </v>
      </c>
      <c r="E252" s="421" t="str">
        <f aca="false">IF(A252="N/A"," ",IF(ISERROR(O252),E240*Pwresc,O252)*VLOOKUP(MONTH(A252),Curveadj,3))</f>
        <v> </v>
      </c>
      <c r="F252" s="423" t="str">
        <f aca="false">IF(A252="N/A"," ",E252*C252)</f>
        <v> </v>
      </c>
      <c r="G252" s="421" t="str">
        <f aca="false">IF(A252="N/A"," ",IF(ISERROR(P252),G240*Pwresc,P252)*VLOOKUP(MONTH(A252),Curveadj,3))</f>
        <v> </v>
      </c>
      <c r="H252" s="423" t="str">
        <f aca="false">IF(A252="N/A"," ",G252*C252)</f>
        <v> </v>
      </c>
      <c r="I252" s="423" t="str">
        <f aca="false">IF(A252="N/A"," ",IF(ISERROR(Q252),I240*Pwresc,Q252))</f>
        <v> </v>
      </c>
      <c r="J252" s="424" t="str">
        <f aca="false">IF(A252="N/A"," ",K252+L252+T252)</f>
        <v> </v>
      </c>
      <c r="K252" s="425" t="str">
        <f aca="false">IF(A252="N/A"," ",IF(ISERROR(R252),K240*Gasesc,R252))</f>
        <v> </v>
      </c>
      <c r="L252" s="425" t="str">
        <f aca="false">IF(A252="N/A"," ",IF(ISERROR(S252),L240*Gasesc,IF(S252=0,L240*Gasesc,S252)))</f>
        <v> </v>
      </c>
      <c r="M252" s="431"/>
      <c r="N252" s="427" t="str">
        <f aca="false">IF(A252="N/A"," ",VLOOKUP(A252,PeakPowerCurves,(IF(BMO=2,3,IF(BMO=1,2,4))),FALSE()))</f>
        <v> </v>
      </c>
      <c r="O252" s="427" t="str">
        <f aca="false">IF(A252="N/A"," ",VLOOKUP(A252,SatSunPeakPwr,(IF(BMO=2,3,IF(BMO=1,2,4))),FALSE()))</f>
        <v> </v>
      </c>
      <c r="P252" s="427" t="str">
        <f aca="false">IF(A252="N/A"," ",VLOOKUP(A252,SatSunPeakPwr,(IF(BMO=2,7,IF(BMO=1,6,8))),FALSE()))</f>
        <v> </v>
      </c>
      <c r="Q252" s="428" t="str">
        <f aca="false">IF(A252="N/A"," ",(VLOOKUP(A252,OPPowerPrices,(IF(BMO=2,7,IF(BMO=1,6,8))),FALSE())))</f>
        <v> </v>
      </c>
      <c r="R252" s="429" t="str">
        <f aca="false">IF(A252="N/A"," ",(VLOOKUP(A252,GasCurves,9,FALSE()))+IF(BMO=1,Gasbmo,IF(BMO=3,-Gasbmo,0)))</f>
        <v> </v>
      </c>
      <c r="S252" s="429" t="str">
        <f aca="false">IF(A252="N/A"," ",IF(Basischeck=TRUE(),(VLOOKUP(A252,GasCurves,IF(MONTH(A252)&gt;=4,IF(MONTH(A252)&lt;=10,11,12),12),FALSE())),0))</f>
        <v> </v>
      </c>
      <c r="T252" s="429" t="str">
        <f aca="false">IF(A252="N/A"," ",(IF(MONTH(A252)&gt;=4,IF(MONTH(A252)&lt;=10,Inputs!$H$2,Inputs!$H$3),Inputs!$H$3)))</f>
        <v> </v>
      </c>
      <c r="U252" s="430" t="str">
        <f aca="false">IF(A252="N/A"," ",(VLOOKUP($A252,InterestRatesTable,2)))</f>
        <v> </v>
      </c>
      <c r="AF252" s="384" t="n">
        <v>44105</v>
      </c>
      <c r="AG252" s="36" t="n">
        <v>22</v>
      </c>
      <c r="AH252" s="36" t="n">
        <v>5</v>
      </c>
      <c r="AI252" s="36" t="n">
        <v>4</v>
      </c>
      <c r="AJ252" s="36" t="n">
        <v>0</v>
      </c>
      <c r="AK252" s="36" t="n">
        <v>31</v>
      </c>
    </row>
    <row r="253" customFormat="false" ht="12.75" hidden="false" customHeight="false" outlineLevel="0" collapsed="false">
      <c r="A253" s="420" t="str">
        <f aca="false">Calculations!A220</f>
        <v>N/A</v>
      </c>
      <c r="B253" s="421" t="str">
        <f aca="false">IF(A253="N/A"," ",IF(ISERROR(N253),B241*Pwresc,N253)*VLOOKUP(MONTH(A253),Curveadj,3))</f>
        <v> </v>
      </c>
      <c r="C253" s="422" t="str">
        <f aca="false">IF(A253="N/A"," ",(IF(AND(MONTH(A253)&gt;=6,MONTH(A253)&lt;=8,OR($M$37="REGION 2",$M$37="REGION 2A",$M$37="REGION 2B",$M$37="REGION 3",$M$37="REGION 3A",$M$37="REGION 3B",$M$37="REGION 4",$M$37="REGION 4B",$M$37="REGION 4C",$M$37="REGION 5",$M$37="REGION 5A")),((0.059228/(B253/100))-(0.4980013/(SQRT(B253/100)))+2.137988),HLOOKUP(MONTH(A253),ScalarTable,28))))</f>
        <v> </v>
      </c>
      <c r="D253" s="423" t="str">
        <f aca="false">IF(A253="N/A"," ",C253*B253)</f>
        <v> </v>
      </c>
      <c r="E253" s="421" t="str">
        <f aca="false">IF(A253="N/A"," ",IF(ISERROR(O253),E241*Pwresc,O253)*VLOOKUP(MONTH(A253),Curveadj,3))</f>
        <v> </v>
      </c>
      <c r="F253" s="423" t="str">
        <f aca="false">IF(A253="N/A"," ",E253*C253)</f>
        <v> </v>
      </c>
      <c r="G253" s="421" t="str">
        <f aca="false">IF(A253="N/A"," ",IF(ISERROR(P253),G241*Pwresc,P253)*VLOOKUP(MONTH(A253),Curveadj,3))</f>
        <v> </v>
      </c>
      <c r="H253" s="423" t="str">
        <f aca="false">IF(A253="N/A"," ",G253*C253)</f>
        <v> </v>
      </c>
      <c r="I253" s="423" t="str">
        <f aca="false">IF(A253="N/A"," ",IF(ISERROR(Q253),I241*Pwresc,Q253))</f>
        <v> </v>
      </c>
      <c r="J253" s="424" t="str">
        <f aca="false">IF(A253="N/A"," ",K253+L253+T253)</f>
        <v> </v>
      </c>
      <c r="K253" s="425" t="str">
        <f aca="false">IF(A253="N/A"," ",IF(ISERROR(R253),K241*Gasesc,R253))</f>
        <v> </v>
      </c>
      <c r="L253" s="425" t="str">
        <f aca="false">IF(A253="N/A"," ",IF(ISERROR(S253),L241*Gasesc,IF(S253=0,L241*Gasesc,S253)))</f>
        <v> </v>
      </c>
      <c r="M253" s="431"/>
      <c r="N253" s="427" t="str">
        <f aca="false">IF(A253="N/A"," ",VLOOKUP(A253,PeakPowerCurves,(IF(BMO=2,3,IF(BMO=1,2,4))),FALSE()))</f>
        <v> </v>
      </c>
      <c r="O253" s="427" t="str">
        <f aca="false">IF(A253="N/A"," ",VLOOKUP(A253,SatSunPeakPwr,(IF(BMO=2,3,IF(BMO=1,2,4))),FALSE()))</f>
        <v> </v>
      </c>
      <c r="P253" s="427" t="str">
        <f aca="false">IF(A253="N/A"," ",VLOOKUP(A253,SatSunPeakPwr,(IF(BMO=2,7,IF(BMO=1,6,8))),FALSE()))</f>
        <v> </v>
      </c>
      <c r="Q253" s="428" t="str">
        <f aca="false">IF(A253="N/A"," ",(VLOOKUP(A253,OPPowerPrices,(IF(BMO=2,7,IF(BMO=1,6,8))),FALSE())))</f>
        <v> </v>
      </c>
      <c r="R253" s="429" t="str">
        <f aca="false">IF(A253="N/A"," ",(VLOOKUP(A253,GasCurves,9,FALSE()))+IF(BMO=1,Gasbmo,IF(BMO=3,-Gasbmo,0)))</f>
        <v> </v>
      </c>
      <c r="S253" s="429" t="str">
        <f aca="false">IF(A253="N/A"," ",IF(Basischeck=TRUE(),(VLOOKUP(A253,GasCurves,IF(MONTH(A253)&gt;=4,IF(MONTH(A253)&lt;=10,11,12),12),FALSE())),0))</f>
        <v> </v>
      </c>
      <c r="T253" s="429" t="str">
        <f aca="false">IF(A253="N/A"," ",(IF(MONTH(A253)&gt;=4,IF(MONTH(A253)&lt;=10,Inputs!$H$2,Inputs!$H$3),Inputs!$H$3)))</f>
        <v> </v>
      </c>
      <c r="U253" s="430" t="str">
        <f aca="false">IF(A253="N/A"," ",(VLOOKUP($A253,InterestRatesTable,2)))</f>
        <v> </v>
      </c>
      <c r="AF253" s="384" t="n">
        <v>44136</v>
      </c>
      <c r="AG253" s="36" t="n">
        <v>20</v>
      </c>
      <c r="AH253" s="36" t="n">
        <v>4</v>
      </c>
      <c r="AI253" s="36" t="n">
        <v>6</v>
      </c>
      <c r="AJ253" s="36" t="n">
        <v>1</v>
      </c>
      <c r="AK253" s="36" t="n">
        <v>30</v>
      </c>
    </row>
    <row r="254" customFormat="false" ht="12.75" hidden="false" customHeight="false" outlineLevel="0" collapsed="false">
      <c r="A254" s="420" t="str">
        <f aca="false">Calculations!A221</f>
        <v>N/A</v>
      </c>
      <c r="B254" s="421" t="str">
        <f aca="false">IF(A254="N/A"," ",IF(ISERROR(N254),B242*Pwresc,N254)*VLOOKUP(MONTH(A254),Curveadj,3))</f>
        <v> </v>
      </c>
      <c r="C254" s="422" t="str">
        <f aca="false">IF(A254="N/A"," ",(IF(AND(MONTH(A254)&gt;=6,MONTH(A254)&lt;=8,OR($M$37="REGION 2",$M$37="REGION 2A",$M$37="REGION 2B",$M$37="REGION 3",$M$37="REGION 3A",$M$37="REGION 3B",$M$37="REGION 4",$M$37="REGION 4B",$M$37="REGION 4C",$M$37="REGION 5",$M$37="REGION 5A")),((0.059228/(B254/100))-(0.4980013/(SQRT(B254/100)))+2.137988),HLOOKUP(MONTH(A254),ScalarTable,28))))</f>
        <v> </v>
      </c>
      <c r="D254" s="423" t="str">
        <f aca="false">IF(A254="N/A"," ",C254*B254)</f>
        <v> </v>
      </c>
      <c r="E254" s="421" t="str">
        <f aca="false">IF(A254="N/A"," ",IF(ISERROR(O254),E242*Pwresc,O254)*VLOOKUP(MONTH(A254),Curveadj,3))</f>
        <v> </v>
      </c>
      <c r="F254" s="423" t="str">
        <f aca="false">IF(A254="N/A"," ",E254*C254)</f>
        <v> </v>
      </c>
      <c r="G254" s="421" t="str">
        <f aca="false">IF(A254="N/A"," ",IF(ISERROR(P254),G242*Pwresc,P254)*VLOOKUP(MONTH(A254),Curveadj,3))</f>
        <v> </v>
      </c>
      <c r="H254" s="423" t="str">
        <f aca="false">IF(A254="N/A"," ",G254*C254)</f>
        <v> </v>
      </c>
      <c r="I254" s="423" t="str">
        <f aca="false">IF(A254="N/A"," ",IF(ISERROR(Q254),I242*Pwresc,Q254))</f>
        <v> </v>
      </c>
      <c r="J254" s="424" t="str">
        <f aca="false">IF(A254="N/A"," ",K254+L254+T254)</f>
        <v> </v>
      </c>
      <c r="K254" s="425" t="str">
        <f aca="false">IF(A254="N/A"," ",IF(ISERROR(R254),K242*Gasesc,R254))</f>
        <v> </v>
      </c>
      <c r="L254" s="425" t="str">
        <f aca="false">IF(A254="N/A"," ",IF(ISERROR(S254),L242*Gasesc,IF(S254=0,L242*Gasesc,S254)))</f>
        <v> </v>
      </c>
      <c r="M254" s="431"/>
      <c r="N254" s="427" t="str">
        <f aca="false">IF(A254="N/A"," ",VLOOKUP(A254,PeakPowerCurves,(IF(BMO=2,3,IF(BMO=1,2,4))),FALSE()))</f>
        <v> </v>
      </c>
      <c r="O254" s="427" t="str">
        <f aca="false">IF(A254="N/A"," ",VLOOKUP(A254,SatSunPeakPwr,(IF(BMO=2,3,IF(BMO=1,2,4))),FALSE()))</f>
        <v> </v>
      </c>
      <c r="P254" s="427" t="str">
        <f aca="false">IF(A254="N/A"," ",VLOOKUP(A254,SatSunPeakPwr,(IF(BMO=2,7,IF(BMO=1,6,8))),FALSE()))</f>
        <v> </v>
      </c>
      <c r="Q254" s="428" t="str">
        <f aca="false">IF(A254="N/A"," ",(VLOOKUP(A254,OPPowerPrices,(IF(BMO=2,7,IF(BMO=1,6,8))),FALSE())))</f>
        <v> </v>
      </c>
      <c r="R254" s="429" t="str">
        <f aca="false">IF(A254="N/A"," ",(VLOOKUP(A254,GasCurves,9,FALSE()))+IF(BMO=1,Gasbmo,IF(BMO=3,-Gasbmo,0)))</f>
        <v> </v>
      </c>
      <c r="S254" s="429" t="str">
        <f aca="false">IF(A254="N/A"," ",IF(Basischeck=TRUE(),(VLOOKUP(A254,GasCurves,IF(MONTH(A254)&gt;=4,IF(MONTH(A254)&lt;=10,11,12),12),FALSE())),0))</f>
        <v> </v>
      </c>
      <c r="T254" s="429" t="str">
        <f aca="false">IF(A254="N/A"," ",(IF(MONTH(A254)&gt;=4,IF(MONTH(A254)&lt;=10,Inputs!$H$2,Inputs!$H$3),Inputs!$H$3)))</f>
        <v> </v>
      </c>
      <c r="U254" s="430" t="str">
        <f aca="false">IF(A254="N/A"," ",(VLOOKUP($A254,InterestRatesTable,2)))</f>
        <v> </v>
      </c>
      <c r="AF254" s="384" t="n">
        <v>44166</v>
      </c>
      <c r="AG254" s="36" t="n">
        <v>22</v>
      </c>
      <c r="AH254" s="36" t="n">
        <v>4</v>
      </c>
      <c r="AI254" s="36" t="n">
        <v>5</v>
      </c>
      <c r="AJ254" s="36" t="n">
        <v>1</v>
      </c>
      <c r="AK254" s="36" t="n">
        <v>31</v>
      </c>
    </row>
    <row r="255" customFormat="false" ht="12.75" hidden="false" customHeight="false" outlineLevel="0" collapsed="false">
      <c r="A255" s="420" t="str">
        <f aca="false">Calculations!A222</f>
        <v>N/A</v>
      </c>
      <c r="B255" s="421" t="str">
        <f aca="false">IF(A255="N/A"," ",IF(ISERROR(N255),B243*Pwresc,N255)*VLOOKUP(MONTH(A255),Curveadj,3))</f>
        <v> </v>
      </c>
      <c r="C255" s="422" t="str">
        <f aca="false">IF(A255="N/A"," ",(IF(AND(MONTH(A255)&gt;=6,MONTH(A255)&lt;=8,OR($M$37="REGION 2",$M$37="REGION 2A",$M$37="REGION 2B",$M$37="REGION 3",$M$37="REGION 3A",$M$37="REGION 3B",$M$37="REGION 4",$M$37="REGION 4B",$M$37="REGION 4C",$M$37="REGION 5",$M$37="REGION 5A")),((0.059228/(B255/100))-(0.4980013/(SQRT(B255/100)))+2.137988),HLOOKUP(MONTH(A255),ScalarTable,28))))</f>
        <v> </v>
      </c>
      <c r="D255" s="423" t="str">
        <f aca="false">IF(A255="N/A"," ",C255*B255)</f>
        <v> </v>
      </c>
      <c r="E255" s="421" t="str">
        <f aca="false">IF(A255="N/A"," ",IF(ISERROR(O255),E243*Pwresc,O255)*VLOOKUP(MONTH(A255),Curveadj,3))</f>
        <v> </v>
      </c>
      <c r="F255" s="423" t="str">
        <f aca="false">IF(A255="N/A"," ",E255*C255)</f>
        <v> </v>
      </c>
      <c r="G255" s="421" t="str">
        <f aca="false">IF(A255="N/A"," ",IF(ISERROR(P255),G243*Pwresc,P255)*VLOOKUP(MONTH(A255),Curveadj,3))</f>
        <v> </v>
      </c>
      <c r="H255" s="423" t="str">
        <f aca="false">IF(A255="N/A"," ",G255*C255)</f>
        <v> </v>
      </c>
      <c r="I255" s="423" t="str">
        <f aca="false">IF(A255="N/A"," ",IF(ISERROR(Q255),I243*Pwresc,Q255))</f>
        <v> </v>
      </c>
      <c r="J255" s="424" t="str">
        <f aca="false">IF(A255="N/A"," ",K255+L255+T255)</f>
        <v> </v>
      </c>
      <c r="K255" s="425" t="str">
        <f aca="false">IF(A255="N/A"," ",IF(ISERROR(R255),K243*Gasesc,R255))</f>
        <v> </v>
      </c>
      <c r="L255" s="425" t="str">
        <f aca="false">IF(A255="N/A"," ",IF(ISERROR(S255),L243*Gasesc,IF(S255=0,L243*Gasesc,S255)))</f>
        <v> </v>
      </c>
      <c r="M255" s="431"/>
      <c r="N255" s="427" t="str">
        <f aca="false">IF(A255="N/A"," ",VLOOKUP(A255,PeakPowerCurves,(IF(BMO=2,3,IF(BMO=1,2,4))),FALSE()))</f>
        <v> </v>
      </c>
      <c r="O255" s="427" t="str">
        <f aca="false">IF(A255="N/A"," ",VLOOKUP(A255,SatSunPeakPwr,(IF(BMO=2,3,IF(BMO=1,2,4))),FALSE()))</f>
        <v> </v>
      </c>
      <c r="P255" s="427" t="str">
        <f aca="false">IF(A255="N/A"," ",VLOOKUP(A255,SatSunPeakPwr,(IF(BMO=2,7,IF(BMO=1,6,8))),FALSE()))</f>
        <v> </v>
      </c>
      <c r="Q255" s="428" t="str">
        <f aca="false">IF(A255="N/A"," ",(VLOOKUP(A255,OPPowerPrices,(IF(BMO=2,7,IF(BMO=1,6,8))),FALSE())))</f>
        <v> </v>
      </c>
      <c r="R255" s="429" t="str">
        <f aca="false">IF(A255="N/A"," ",(VLOOKUP(A255,GasCurves,9,FALSE()))+IF(BMO=1,Gasbmo,IF(BMO=3,-Gasbmo,0)))</f>
        <v> </v>
      </c>
      <c r="S255" s="429" t="str">
        <f aca="false">IF(A255="N/A"," ",IF(Basischeck=TRUE(),(VLOOKUP(A255,GasCurves,IF(MONTH(A255)&gt;=4,IF(MONTH(A255)&lt;=10,11,12),12),FALSE())),0))</f>
        <v> </v>
      </c>
      <c r="T255" s="429" t="str">
        <f aca="false">IF(A255="N/A"," ",(IF(MONTH(A255)&gt;=4,IF(MONTH(A255)&lt;=10,Inputs!$H$2,Inputs!$H$3),Inputs!$H$3)))</f>
        <v> </v>
      </c>
      <c r="U255" s="430" t="str">
        <f aca="false">IF(A255="N/A"," ",(VLOOKUP($A255,InterestRatesTable,2)))</f>
        <v> </v>
      </c>
      <c r="AF255" s="384" t="n">
        <f aca="false">EOMONTH(AF254,0)+1</f>
        <v>44197</v>
      </c>
      <c r="AG255" s="36" t="n">
        <v>22</v>
      </c>
      <c r="AH255" s="36" t="n">
        <v>4</v>
      </c>
      <c r="AI255" s="36" t="n">
        <v>5</v>
      </c>
      <c r="AJ255" s="36" t="n">
        <v>1</v>
      </c>
      <c r="AK255" s="36" t="n">
        <v>31</v>
      </c>
    </row>
    <row r="256" customFormat="false" ht="12.75" hidden="false" customHeight="false" outlineLevel="0" collapsed="false">
      <c r="A256" s="420" t="str">
        <f aca="false">Calculations!A223</f>
        <v>N/A</v>
      </c>
      <c r="B256" s="421" t="str">
        <f aca="false">IF(A256="N/A"," ",IF(ISERROR(N256),B244*Pwresc,N256)*VLOOKUP(MONTH(A256),Curveadj,3))</f>
        <v> </v>
      </c>
      <c r="C256" s="422" t="str">
        <f aca="false">IF(A256="N/A"," ",(IF(AND(MONTH(A256)&gt;=6,MONTH(A256)&lt;=8,OR($M$37="REGION 2",$M$37="REGION 2A",$M$37="REGION 2B",$M$37="REGION 3",$M$37="REGION 3A",$M$37="REGION 3B",$M$37="REGION 4",$M$37="REGION 4B",$M$37="REGION 4C",$M$37="REGION 5",$M$37="REGION 5A")),((0.059228/(B256/100))-(0.4980013/(SQRT(B256/100)))+2.137988),HLOOKUP(MONTH(A256),ScalarTable,28))))</f>
        <v> </v>
      </c>
      <c r="D256" s="423" t="str">
        <f aca="false">IF(A256="N/A"," ",C256*B256)</f>
        <v> </v>
      </c>
      <c r="E256" s="421" t="str">
        <f aca="false">IF(A256="N/A"," ",IF(ISERROR(O256),E244*Pwresc,O256)*VLOOKUP(MONTH(A256),Curveadj,3))</f>
        <v> </v>
      </c>
      <c r="F256" s="423" t="str">
        <f aca="false">IF(A256="N/A"," ",E256*C256)</f>
        <v> </v>
      </c>
      <c r="G256" s="421" t="str">
        <f aca="false">IF(A256="N/A"," ",IF(ISERROR(P256),G244*Pwresc,P256)*VLOOKUP(MONTH(A256),Curveadj,3))</f>
        <v> </v>
      </c>
      <c r="H256" s="423" t="str">
        <f aca="false">IF(A256="N/A"," ",G256*C256)</f>
        <v> </v>
      </c>
      <c r="I256" s="423" t="str">
        <f aca="false">IF(A256="N/A"," ",IF(ISERROR(Q256),I244*Pwresc,Q256))</f>
        <v> </v>
      </c>
      <c r="J256" s="424" t="str">
        <f aca="false">IF(A256="N/A"," ",K256+L256+T256)</f>
        <v> </v>
      </c>
      <c r="K256" s="425" t="str">
        <f aca="false">IF(A256="N/A"," ",IF(ISERROR(R256),K244*Gasesc,R256))</f>
        <v> </v>
      </c>
      <c r="L256" s="425" t="str">
        <f aca="false">IF(A256="N/A"," ",IF(ISERROR(S256),L244*Gasesc,IF(S256=0,L244*Gasesc,S256)))</f>
        <v> </v>
      </c>
      <c r="M256" s="431"/>
      <c r="N256" s="427" t="str">
        <f aca="false">IF(A256="N/A"," ",VLOOKUP(A256,PeakPowerCurves,(IF(BMO=2,3,IF(BMO=1,2,4))),FALSE()))</f>
        <v> </v>
      </c>
      <c r="O256" s="427" t="str">
        <f aca="false">IF(A256="N/A"," ",VLOOKUP(A256,SatSunPeakPwr,(IF(BMO=2,3,IF(BMO=1,2,4))),FALSE()))</f>
        <v> </v>
      </c>
      <c r="P256" s="427" t="str">
        <f aca="false">IF(A256="N/A"," ",VLOOKUP(A256,SatSunPeakPwr,(IF(BMO=2,7,IF(BMO=1,6,8))),FALSE()))</f>
        <v> </v>
      </c>
      <c r="Q256" s="428" t="str">
        <f aca="false">IF(A256="N/A"," ",(VLOOKUP(A256,OPPowerPrices,(IF(BMO=2,7,IF(BMO=1,6,8))),FALSE())))</f>
        <v> </v>
      </c>
      <c r="R256" s="429" t="str">
        <f aca="false">IF(A256="N/A"," ",(VLOOKUP(A256,GasCurves,9,FALSE()))+IF(BMO=1,Gasbmo,IF(BMO=3,-Gasbmo,0)))</f>
        <v> </v>
      </c>
      <c r="S256" s="429" t="str">
        <f aca="false">IF(A256="N/A"," ",IF(Basischeck=TRUE(),(VLOOKUP(A256,GasCurves,IF(MONTH(A256)&gt;=4,IF(MONTH(A256)&lt;=10,11,12),12),FALSE())),0))</f>
        <v> </v>
      </c>
      <c r="T256" s="429" t="str">
        <f aca="false">IF(A256="N/A"," ",(IF(MONTH(A256)&gt;=4,IF(MONTH(A256)&lt;=10,Inputs!$H$2,Inputs!$H$3),Inputs!$H$3)))</f>
        <v> </v>
      </c>
      <c r="U256" s="430" t="str">
        <f aca="false">IF(A256="N/A"," ",(VLOOKUP($A256,InterestRatesTable,2)))</f>
        <v> </v>
      </c>
      <c r="AF256" s="384" t="n">
        <f aca="false">EOMONTH(AF255,0)+1</f>
        <v>44228</v>
      </c>
      <c r="AG256" s="36" t="n">
        <v>20</v>
      </c>
      <c r="AH256" s="36" t="n">
        <v>4</v>
      </c>
      <c r="AI256" s="36" t="n">
        <v>4</v>
      </c>
      <c r="AJ256" s="36" t="n">
        <v>0</v>
      </c>
      <c r="AK256" s="36" t="n">
        <v>28</v>
      </c>
    </row>
    <row r="257" customFormat="false" ht="12.75" hidden="false" customHeight="false" outlineLevel="0" collapsed="false">
      <c r="A257" s="420" t="str">
        <f aca="false">Calculations!A224</f>
        <v>N/A</v>
      </c>
      <c r="B257" s="421" t="str">
        <f aca="false">IF(A257="N/A"," ",IF(ISERROR(N257),B245*Pwresc,N257)*VLOOKUP(MONTH(A257),Curveadj,3))</f>
        <v> </v>
      </c>
      <c r="C257" s="422" t="str">
        <f aca="false">IF(A257="N/A"," ",(IF(AND(MONTH(A257)&gt;=6,MONTH(A257)&lt;=8,OR($M$37="REGION 2",$M$37="REGION 2A",$M$37="REGION 2B",$M$37="REGION 3",$M$37="REGION 3A",$M$37="REGION 3B",$M$37="REGION 4",$M$37="REGION 4B",$M$37="REGION 4C",$M$37="REGION 5",$M$37="REGION 5A")),((0.059228/(B257/100))-(0.4980013/(SQRT(B257/100)))+2.137988),HLOOKUP(MONTH(A257),ScalarTable,28))))</f>
        <v> </v>
      </c>
      <c r="D257" s="423" t="str">
        <f aca="false">IF(A257="N/A"," ",C257*B257)</f>
        <v> </v>
      </c>
      <c r="E257" s="421" t="str">
        <f aca="false">IF(A257="N/A"," ",IF(ISERROR(O257),E245*Pwresc,O257)*VLOOKUP(MONTH(A257),Curveadj,3))</f>
        <v> </v>
      </c>
      <c r="F257" s="423" t="str">
        <f aca="false">IF(A257="N/A"," ",E257*C257)</f>
        <v> </v>
      </c>
      <c r="G257" s="421" t="str">
        <f aca="false">IF(A257="N/A"," ",IF(ISERROR(P257),G245*Pwresc,P257)*VLOOKUP(MONTH(A257),Curveadj,3))</f>
        <v> </v>
      </c>
      <c r="H257" s="423" t="str">
        <f aca="false">IF(A257="N/A"," ",G257*C257)</f>
        <v> </v>
      </c>
      <c r="I257" s="423" t="str">
        <f aca="false">IF(A257="N/A"," ",IF(ISERROR(Q257),I245*Pwresc,Q257))</f>
        <v> </v>
      </c>
      <c r="J257" s="424" t="str">
        <f aca="false">IF(A257="N/A"," ",K257+L257+T257)</f>
        <v> </v>
      </c>
      <c r="K257" s="425" t="str">
        <f aca="false">IF(A257="N/A"," ",IF(ISERROR(R257),K245*Gasesc,R257))</f>
        <v> </v>
      </c>
      <c r="L257" s="425" t="str">
        <f aca="false">IF(A257="N/A"," ",IF(ISERROR(S257),L245*Gasesc,IF(S257=0,L245*Gasesc,S257)))</f>
        <v> </v>
      </c>
      <c r="M257" s="431"/>
      <c r="N257" s="427" t="str">
        <f aca="false">IF(A257="N/A"," ",VLOOKUP(A257,PeakPowerCurves,(IF(BMO=2,3,IF(BMO=1,2,4))),FALSE()))</f>
        <v> </v>
      </c>
      <c r="O257" s="427" t="str">
        <f aca="false">IF(A257="N/A"," ",VLOOKUP(A257,SatSunPeakPwr,(IF(BMO=2,3,IF(BMO=1,2,4))),FALSE()))</f>
        <v> </v>
      </c>
      <c r="P257" s="427" t="str">
        <f aca="false">IF(A257="N/A"," ",VLOOKUP(A257,SatSunPeakPwr,(IF(BMO=2,7,IF(BMO=1,6,8))),FALSE()))</f>
        <v> </v>
      </c>
      <c r="Q257" s="428" t="str">
        <f aca="false">IF(A257="N/A"," ",(VLOOKUP(A257,OPPowerPrices,(IF(BMO=2,7,IF(BMO=1,6,8))),FALSE())))</f>
        <v> </v>
      </c>
      <c r="R257" s="429" t="str">
        <f aca="false">IF(A257="N/A"," ",(VLOOKUP(A257,GasCurves,9,FALSE()))+IF(BMO=1,Gasbmo,IF(BMO=3,-Gasbmo,0)))</f>
        <v> </v>
      </c>
      <c r="S257" s="429" t="str">
        <f aca="false">IF(A257="N/A"," ",IF(Basischeck=TRUE(),(VLOOKUP(A257,GasCurves,IF(MONTH(A257)&gt;=4,IF(MONTH(A257)&lt;=10,11,12),12),FALSE())),0))</f>
        <v> </v>
      </c>
      <c r="T257" s="429" t="str">
        <f aca="false">IF(A257="N/A"," ",(IF(MONTH(A257)&gt;=4,IF(MONTH(A257)&lt;=10,Inputs!$H$2,Inputs!$H$3),Inputs!$H$3)))</f>
        <v> </v>
      </c>
      <c r="U257" s="430" t="str">
        <f aca="false">IF(A257="N/A"," ",(VLOOKUP($A257,InterestRatesTable,2)))</f>
        <v> </v>
      </c>
      <c r="AF257" s="384" t="n">
        <f aca="false">EOMONTH(AF256,0)+1</f>
        <v>44256</v>
      </c>
      <c r="AG257" s="36" t="n">
        <v>21</v>
      </c>
      <c r="AH257" s="36" t="n">
        <v>5</v>
      </c>
      <c r="AI257" s="36" t="n">
        <v>5</v>
      </c>
      <c r="AJ257" s="36" t="n">
        <v>0</v>
      </c>
      <c r="AK257" s="36" t="n">
        <v>31</v>
      </c>
    </row>
    <row r="258" customFormat="false" ht="12.75" hidden="false" customHeight="false" outlineLevel="0" collapsed="false">
      <c r="A258" s="420" t="str">
        <f aca="false">Calculations!A225</f>
        <v>N/A</v>
      </c>
      <c r="B258" s="421" t="str">
        <f aca="false">IF(A258="N/A"," ",IF(ISERROR(N258),B246*Pwresc,N258)*VLOOKUP(MONTH(A258),Curveadj,3))</f>
        <v> </v>
      </c>
      <c r="C258" s="422" t="str">
        <f aca="false">IF(A258="N/A"," ",(IF(AND(MONTH(A258)&gt;=6,MONTH(A258)&lt;=8,OR($M$37="REGION 2",$M$37="REGION 2A",$M$37="REGION 2B",$M$37="REGION 3",$M$37="REGION 3A",$M$37="REGION 3B",$M$37="REGION 4",$M$37="REGION 4B",$M$37="REGION 4C",$M$37="REGION 5",$M$37="REGION 5A")),((0.059228/(B258/100))-(0.4980013/(SQRT(B258/100)))+2.137988),HLOOKUP(MONTH(A258),ScalarTable,28))))</f>
        <v> </v>
      </c>
      <c r="D258" s="423" t="str">
        <f aca="false">IF(A258="N/A"," ",C258*B258)</f>
        <v> </v>
      </c>
      <c r="E258" s="421" t="str">
        <f aca="false">IF(A258="N/A"," ",IF(ISERROR(O258),E246*Pwresc,O258)*VLOOKUP(MONTH(A258),Curveadj,3))</f>
        <v> </v>
      </c>
      <c r="F258" s="423" t="str">
        <f aca="false">IF(A258="N/A"," ",E258*C258)</f>
        <v> </v>
      </c>
      <c r="G258" s="421" t="str">
        <f aca="false">IF(A258="N/A"," ",IF(ISERROR(P258),G246*Pwresc,P258)*VLOOKUP(MONTH(A258),Curveadj,3))</f>
        <v> </v>
      </c>
      <c r="H258" s="423" t="str">
        <f aca="false">IF(A258="N/A"," ",G258*C258)</f>
        <v> </v>
      </c>
      <c r="I258" s="423" t="str">
        <f aca="false">IF(A258="N/A"," ",IF(ISERROR(Q258),I246*Pwresc,Q258))</f>
        <v> </v>
      </c>
      <c r="J258" s="424" t="str">
        <f aca="false">IF(A258="N/A"," ",K258+L258+T258)</f>
        <v> </v>
      </c>
      <c r="K258" s="425" t="str">
        <f aca="false">IF(A258="N/A"," ",IF(ISERROR(R258),K246*Gasesc,R258))</f>
        <v> </v>
      </c>
      <c r="L258" s="425" t="str">
        <f aca="false">IF(A258="N/A"," ",IF(ISERROR(S258),L246*Gasesc,IF(S258=0,L246*Gasesc,S258)))</f>
        <v> </v>
      </c>
      <c r="M258" s="431"/>
      <c r="N258" s="427" t="str">
        <f aca="false">IF(A258="N/A"," ",VLOOKUP(A258,PeakPowerCurves,(IF(BMO=2,3,IF(BMO=1,2,4))),FALSE()))</f>
        <v> </v>
      </c>
      <c r="O258" s="427" t="str">
        <f aca="false">IF(A258="N/A"," ",VLOOKUP(A258,SatSunPeakPwr,(IF(BMO=2,3,IF(BMO=1,2,4))),FALSE()))</f>
        <v> </v>
      </c>
      <c r="P258" s="427" t="str">
        <f aca="false">IF(A258="N/A"," ",VLOOKUP(A258,SatSunPeakPwr,(IF(BMO=2,7,IF(BMO=1,6,8))),FALSE()))</f>
        <v> </v>
      </c>
      <c r="Q258" s="428" t="str">
        <f aca="false">IF(A258="N/A"," ",(VLOOKUP(A258,OPPowerPrices,(IF(BMO=2,7,IF(BMO=1,6,8))),FALSE())))</f>
        <v> </v>
      </c>
      <c r="R258" s="429" t="str">
        <f aca="false">IF(A258="N/A"," ",(VLOOKUP(A258,GasCurves,9,FALSE()))+IF(BMO=1,Gasbmo,IF(BMO=3,-Gasbmo,0)))</f>
        <v> </v>
      </c>
      <c r="S258" s="429" t="str">
        <f aca="false">IF(A258="N/A"," ",IF(Basischeck=TRUE(),(VLOOKUP(A258,GasCurves,IF(MONTH(A258)&gt;=4,IF(MONTH(A258)&lt;=10,11,12),12),FALSE())),0))</f>
        <v> </v>
      </c>
      <c r="T258" s="429" t="str">
        <f aca="false">IF(A258="N/A"," ",(IF(MONTH(A258)&gt;=4,IF(MONTH(A258)&lt;=10,Inputs!$H$2,Inputs!$H$3),Inputs!$H$3)))</f>
        <v> </v>
      </c>
      <c r="U258" s="430" t="str">
        <f aca="false">IF(A258="N/A"," ",(VLOOKUP($A258,InterestRatesTable,2)))</f>
        <v> </v>
      </c>
      <c r="AF258" s="384" t="n">
        <f aca="false">EOMONTH(AF257,0)+1</f>
        <v>44287</v>
      </c>
      <c r="AG258" s="36" t="n">
        <v>22</v>
      </c>
      <c r="AH258" s="36" t="n">
        <v>4</v>
      </c>
      <c r="AI258" s="36" t="n">
        <v>4</v>
      </c>
      <c r="AJ258" s="36" t="n">
        <v>0</v>
      </c>
      <c r="AK258" s="36" t="n">
        <v>30</v>
      </c>
    </row>
    <row r="259" customFormat="false" ht="12.75" hidden="false" customHeight="false" outlineLevel="0" collapsed="false">
      <c r="A259" s="420" t="str">
        <f aca="false">Calculations!A226</f>
        <v>N/A</v>
      </c>
      <c r="B259" s="421" t="str">
        <f aca="false">IF(A259="N/A"," ",IF(ISERROR(N259),B247*Pwresc,N259)*VLOOKUP(MONTH(A259),Curveadj,3))</f>
        <v> </v>
      </c>
      <c r="C259" s="422" t="str">
        <f aca="false">IF(A259="N/A"," ",(IF(AND(MONTH(A259)&gt;=6,MONTH(A259)&lt;=8,OR($M$37="REGION 2",$M$37="REGION 2A",$M$37="REGION 2B",$M$37="REGION 3",$M$37="REGION 3A",$M$37="REGION 3B",$M$37="REGION 4",$M$37="REGION 4B",$M$37="REGION 4C",$M$37="REGION 5",$M$37="REGION 5A")),((0.059228/(B259/100))-(0.4980013/(SQRT(B259/100)))+2.137988),HLOOKUP(MONTH(A259),ScalarTable,28))))</f>
        <v> </v>
      </c>
      <c r="D259" s="423" t="str">
        <f aca="false">IF(A259="N/A"," ",C259*B259)</f>
        <v> </v>
      </c>
      <c r="E259" s="421" t="str">
        <f aca="false">IF(A259="N/A"," ",IF(ISERROR(O259),E247*Pwresc,O259)*VLOOKUP(MONTH(A259),Curveadj,3))</f>
        <v> </v>
      </c>
      <c r="F259" s="423" t="str">
        <f aca="false">IF(A259="N/A"," ",E259*C259)</f>
        <v> </v>
      </c>
      <c r="G259" s="421" t="str">
        <f aca="false">IF(A259="N/A"," ",IF(ISERROR(P259),G247*Pwresc,P259)*VLOOKUP(MONTH(A259),Curveadj,3))</f>
        <v> </v>
      </c>
      <c r="H259" s="423" t="str">
        <f aca="false">IF(A259="N/A"," ",G259*C259)</f>
        <v> </v>
      </c>
      <c r="I259" s="423" t="str">
        <f aca="false">IF(A259="N/A"," ",IF(ISERROR(Q259),I247*Pwresc,Q259))</f>
        <v> </v>
      </c>
      <c r="J259" s="424" t="str">
        <f aca="false">IF(A259="N/A"," ",K259+L259+T259)</f>
        <v> </v>
      </c>
      <c r="K259" s="425" t="str">
        <f aca="false">IF(A259="N/A"," ",IF(ISERROR(R259),K247*Gasesc,R259))</f>
        <v> </v>
      </c>
      <c r="L259" s="425" t="str">
        <f aca="false">IF(A259="N/A"," ",IF(ISERROR(S259),L247*Gasesc,IF(S259=0,L247*Gasesc,S259)))</f>
        <v> </v>
      </c>
      <c r="M259" s="431"/>
      <c r="N259" s="427" t="str">
        <f aca="false">IF(A259="N/A"," ",VLOOKUP(A259,PeakPowerCurves,(IF(BMO=2,3,IF(BMO=1,2,4))),FALSE()))</f>
        <v> </v>
      </c>
      <c r="O259" s="427" t="str">
        <f aca="false">IF(A259="N/A"," ",VLOOKUP(A259,SatSunPeakPwr,(IF(BMO=2,3,IF(BMO=1,2,4))),FALSE()))</f>
        <v> </v>
      </c>
      <c r="P259" s="427" t="str">
        <f aca="false">IF(A259="N/A"," ",VLOOKUP(A259,SatSunPeakPwr,(IF(BMO=2,7,IF(BMO=1,6,8))),FALSE()))</f>
        <v> </v>
      </c>
      <c r="Q259" s="428" t="str">
        <f aca="false">IF(A259="N/A"," ",(VLOOKUP(A259,OPPowerPrices,(IF(BMO=2,7,IF(BMO=1,6,8))),FALSE())))</f>
        <v> </v>
      </c>
      <c r="R259" s="429" t="str">
        <f aca="false">IF(A259="N/A"," ",(VLOOKUP(A259,GasCurves,9,FALSE()))+IF(BMO=1,Gasbmo,IF(BMO=3,-Gasbmo,0)))</f>
        <v> </v>
      </c>
      <c r="S259" s="429" t="str">
        <f aca="false">IF(A259="N/A"," ",IF(Basischeck=TRUE(),(VLOOKUP(A259,GasCurves,IF(MONTH(A259)&gt;=4,IF(MONTH(A259)&lt;=10,11,12),12),FALSE())),0))</f>
        <v> </v>
      </c>
      <c r="T259" s="429" t="str">
        <f aca="false">IF(A259="N/A"," ",(IF(MONTH(A259)&gt;=4,IF(MONTH(A259)&lt;=10,Inputs!$H$2,Inputs!$H$3),Inputs!$H$3)))</f>
        <v> </v>
      </c>
      <c r="U259" s="430" t="str">
        <f aca="false">IF(A259="N/A"," ",(VLOOKUP($A259,InterestRatesTable,2)))</f>
        <v> </v>
      </c>
      <c r="AF259" s="384" t="n">
        <f aca="false">EOMONTH(AF258,0)+1</f>
        <v>44317</v>
      </c>
      <c r="AG259" s="36" t="n">
        <v>22</v>
      </c>
      <c r="AH259" s="36" t="n">
        <v>4</v>
      </c>
      <c r="AI259" s="36" t="n">
        <v>5</v>
      </c>
      <c r="AJ259" s="36" t="n">
        <v>1</v>
      </c>
      <c r="AK259" s="36" t="n">
        <v>31</v>
      </c>
    </row>
    <row r="260" customFormat="false" ht="12.75" hidden="false" customHeight="false" outlineLevel="0" collapsed="false">
      <c r="A260" s="420" t="str">
        <f aca="false">Calculations!A227</f>
        <v>N/A</v>
      </c>
      <c r="B260" s="421" t="str">
        <f aca="false">IF(A260="N/A"," ",IF(ISERROR(N260),B248*Pwresc,N260)*VLOOKUP(MONTH(A260),Curveadj,3))</f>
        <v> </v>
      </c>
      <c r="C260" s="422" t="str">
        <f aca="false">IF(A260="N/A"," ",(IF(AND(MONTH(A260)&gt;=6,MONTH(A260)&lt;=8,OR($M$37="REGION 2",$M$37="REGION 2A",$M$37="REGION 2B",$M$37="REGION 3",$M$37="REGION 3A",$M$37="REGION 3B",$M$37="REGION 4",$M$37="REGION 4B",$M$37="REGION 4C",$M$37="REGION 5",$M$37="REGION 5A")),((0.059228/(B260/100))-(0.4980013/(SQRT(B260/100)))+2.137988),HLOOKUP(MONTH(A260),ScalarTable,28))))</f>
        <v> </v>
      </c>
      <c r="D260" s="423" t="str">
        <f aca="false">IF(A260="N/A"," ",C260*B260)</f>
        <v> </v>
      </c>
      <c r="E260" s="421" t="str">
        <f aca="false">IF(A260="N/A"," ",IF(ISERROR(O260),E248*Pwresc,O260)*VLOOKUP(MONTH(A260),Curveadj,3))</f>
        <v> </v>
      </c>
      <c r="F260" s="423" t="str">
        <f aca="false">IF(A260="N/A"," ",E260*C260)</f>
        <v> </v>
      </c>
      <c r="G260" s="421" t="str">
        <f aca="false">IF(A260="N/A"," ",IF(ISERROR(P260),G248*Pwresc,P260)*VLOOKUP(MONTH(A260),Curveadj,3))</f>
        <v> </v>
      </c>
      <c r="H260" s="423" t="str">
        <f aca="false">IF(A260="N/A"," ",G260*C260)</f>
        <v> </v>
      </c>
      <c r="I260" s="423" t="str">
        <f aca="false">IF(A260="N/A"," ",IF(ISERROR(Q260),I248*Pwresc,Q260))</f>
        <v> </v>
      </c>
      <c r="J260" s="424" t="str">
        <f aca="false">IF(A260="N/A"," ",K260+L260+T260)</f>
        <v> </v>
      </c>
      <c r="K260" s="425" t="str">
        <f aca="false">IF(A260="N/A"," ",IF(ISERROR(R260),K248*Gasesc,R260))</f>
        <v> </v>
      </c>
      <c r="L260" s="425" t="str">
        <f aca="false">IF(A260="N/A"," ",IF(ISERROR(S260),L248*Gasesc,IF(S260=0,L248*Gasesc,S260)))</f>
        <v> </v>
      </c>
      <c r="M260" s="431"/>
      <c r="N260" s="427" t="str">
        <f aca="false">IF(A260="N/A"," ",VLOOKUP(A260,PeakPowerCurves,(IF(BMO=2,3,IF(BMO=1,2,4))),FALSE()))</f>
        <v> </v>
      </c>
      <c r="O260" s="427" t="str">
        <f aca="false">IF(A260="N/A"," ",VLOOKUP(A260,SatSunPeakPwr,(IF(BMO=2,3,IF(BMO=1,2,4))),FALSE()))</f>
        <v> </v>
      </c>
      <c r="P260" s="427" t="str">
        <f aca="false">IF(A260="N/A"," ",VLOOKUP(A260,SatSunPeakPwr,(IF(BMO=2,7,IF(BMO=1,6,8))),FALSE()))</f>
        <v> </v>
      </c>
      <c r="Q260" s="428" t="str">
        <f aca="false">IF(A260="N/A"," ",(VLOOKUP(A260,OPPowerPrices,(IF(BMO=2,7,IF(BMO=1,6,8))),FALSE())))</f>
        <v> </v>
      </c>
      <c r="R260" s="429" t="str">
        <f aca="false">IF(A260="N/A"," ",(VLOOKUP(A260,GasCurves,9,FALSE()))+IF(BMO=1,Gasbmo,IF(BMO=3,-Gasbmo,0)))</f>
        <v> </v>
      </c>
      <c r="S260" s="429" t="str">
        <f aca="false">IF(A260="N/A"," ",IF(Basischeck=TRUE(),(VLOOKUP(A260,GasCurves,IF(MONTH(A260)&gt;=4,IF(MONTH(A260)&lt;=10,11,12),12),FALSE())),0))</f>
        <v> </v>
      </c>
      <c r="T260" s="429" t="str">
        <f aca="false">IF(A260="N/A"," ",(IF(MONTH(A260)&gt;=4,IF(MONTH(A260)&lt;=10,Inputs!$H$2,Inputs!$H$3),Inputs!$H$3)))</f>
        <v> </v>
      </c>
      <c r="U260" s="430" t="str">
        <f aca="false">IF(A260="N/A"," ",(VLOOKUP($A260,InterestRatesTable,2)))</f>
        <v> </v>
      </c>
      <c r="AF260" s="384" t="n">
        <f aca="false">EOMONTH(AF259,0)+1</f>
        <v>44348</v>
      </c>
      <c r="AG260" s="36" t="n">
        <v>20</v>
      </c>
      <c r="AH260" s="36" t="n">
        <v>5</v>
      </c>
      <c r="AI260" s="36" t="n">
        <v>5</v>
      </c>
      <c r="AJ260" s="36" t="n">
        <v>0</v>
      </c>
      <c r="AK260" s="36" t="n">
        <v>30</v>
      </c>
    </row>
    <row r="261" customFormat="false" ht="12.75" hidden="false" customHeight="false" outlineLevel="0" collapsed="false">
      <c r="A261" s="420" t="str">
        <f aca="false">Calculations!A228</f>
        <v>N/A</v>
      </c>
      <c r="B261" s="421" t="str">
        <f aca="false">IF(A261="N/A"," ",IF(ISERROR(N261),B249*Pwresc,N261)*VLOOKUP(MONTH(A261),Curveadj,3))</f>
        <v> </v>
      </c>
      <c r="C261" s="422" t="str">
        <f aca="false">IF(A261="N/A"," ",(IF(AND(MONTH(A261)&gt;=6,MONTH(A261)&lt;=8,OR($M$37="REGION 2",$M$37="REGION 2A",$M$37="REGION 2B",$M$37="REGION 3",$M$37="REGION 3A",$M$37="REGION 3B",$M$37="REGION 4",$M$37="REGION 4B",$M$37="REGION 4C",$M$37="REGION 5",$M$37="REGION 5A")),((0.059228/(B261/100))-(0.4980013/(SQRT(B261/100)))+2.137988),HLOOKUP(MONTH(A261),ScalarTable,28))))</f>
        <v> </v>
      </c>
      <c r="D261" s="423" t="str">
        <f aca="false">IF(A261="N/A"," ",C261*B261)</f>
        <v> </v>
      </c>
      <c r="E261" s="421" t="str">
        <f aca="false">IF(A261="N/A"," ",IF(ISERROR(O261),E249*Pwresc,O261)*VLOOKUP(MONTH(A261),Curveadj,3))</f>
        <v> </v>
      </c>
      <c r="F261" s="423" t="str">
        <f aca="false">IF(A261="N/A"," ",E261*C261)</f>
        <v> </v>
      </c>
      <c r="G261" s="421" t="str">
        <f aca="false">IF(A261="N/A"," ",IF(ISERROR(P261),G249*Pwresc,P261)*VLOOKUP(MONTH(A261),Curveadj,3))</f>
        <v> </v>
      </c>
      <c r="H261" s="423" t="str">
        <f aca="false">IF(A261="N/A"," ",G261*C261)</f>
        <v> </v>
      </c>
      <c r="I261" s="423" t="str">
        <f aca="false">IF(A261="N/A"," ",IF(ISERROR(Q261),I249*Pwresc,Q261))</f>
        <v> </v>
      </c>
      <c r="J261" s="424" t="str">
        <f aca="false">IF(A261="N/A"," ",K261+L261+T261)</f>
        <v> </v>
      </c>
      <c r="K261" s="425" t="str">
        <f aca="false">IF(A261="N/A"," ",IF(ISERROR(R261),K249*Gasesc,R261))</f>
        <v> </v>
      </c>
      <c r="L261" s="425" t="str">
        <f aca="false">IF(A261="N/A"," ",IF(ISERROR(S261),L249*Gasesc,IF(S261=0,L249*Gasesc,S261)))</f>
        <v> </v>
      </c>
      <c r="M261" s="431"/>
      <c r="N261" s="427" t="str">
        <f aca="false">IF(A261="N/A"," ",VLOOKUP(A261,PeakPowerCurves,(IF(BMO=2,3,IF(BMO=1,2,4))),FALSE()))</f>
        <v> </v>
      </c>
      <c r="O261" s="427" t="str">
        <f aca="false">IF(A261="N/A"," ",VLOOKUP(A261,SatSunPeakPwr,(IF(BMO=2,3,IF(BMO=1,2,4))),FALSE()))</f>
        <v> </v>
      </c>
      <c r="P261" s="427" t="str">
        <f aca="false">IF(A261="N/A"," ",VLOOKUP(A261,SatSunPeakPwr,(IF(BMO=2,7,IF(BMO=1,6,8))),FALSE()))</f>
        <v> </v>
      </c>
      <c r="Q261" s="428" t="str">
        <f aca="false">IF(A261="N/A"," ",(VLOOKUP(A261,OPPowerPrices,(IF(BMO=2,7,IF(BMO=1,6,8))),FALSE())))</f>
        <v> </v>
      </c>
      <c r="R261" s="429" t="str">
        <f aca="false">IF(A261="N/A"," ",(VLOOKUP(A261,GasCurves,9,FALSE()))+IF(BMO=1,Gasbmo,IF(BMO=3,-Gasbmo,0)))</f>
        <v> </v>
      </c>
      <c r="S261" s="429" t="str">
        <f aca="false">IF(A261="N/A"," ",IF(Basischeck=TRUE(),(VLOOKUP(A261,GasCurves,IF(MONTH(A261)&gt;=4,IF(MONTH(A261)&lt;=10,11,12),12),FALSE())),0))</f>
        <v> </v>
      </c>
      <c r="T261" s="429" t="str">
        <f aca="false">IF(A261="N/A"," ",(IF(MONTH(A261)&gt;=4,IF(MONTH(A261)&lt;=10,Inputs!$H$2,Inputs!$H$3),Inputs!$H$3)))</f>
        <v> </v>
      </c>
      <c r="U261" s="430" t="str">
        <f aca="false">IF(A261="N/A"," ",(VLOOKUP($A261,InterestRatesTable,2)))</f>
        <v> </v>
      </c>
      <c r="AF261" s="384" t="n">
        <f aca="false">EOMONTH(AF260,0)+1</f>
        <v>44378</v>
      </c>
      <c r="AG261" s="36" t="n">
        <v>22</v>
      </c>
      <c r="AH261" s="36" t="n">
        <v>4</v>
      </c>
      <c r="AI261" s="36" t="n">
        <v>5</v>
      </c>
      <c r="AJ261" s="36" t="n">
        <v>1</v>
      </c>
      <c r="AK261" s="36" t="n">
        <v>31</v>
      </c>
    </row>
    <row r="262" customFormat="false" ht="12.75" hidden="false" customHeight="false" outlineLevel="0" collapsed="false">
      <c r="A262" s="420" t="str">
        <f aca="false">Calculations!A229</f>
        <v>N/A</v>
      </c>
      <c r="B262" s="421" t="str">
        <f aca="false">IF(A262="N/A"," ",IF(ISERROR(N262),B250*Pwresc,N262)*VLOOKUP(MONTH(A262),Curveadj,3))</f>
        <v> </v>
      </c>
      <c r="C262" s="422" t="str">
        <f aca="false">IF(A262="N/A"," ",(IF(AND(MONTH(A262)&gt;=6,MONTH(A262)&lt;=8,OR($M$37="REGION 2",$M$37="REGION 2A",$M$37="REGION 2B",$M$37="REGION 3",$M$37="REGION 3A",$M$37="REGION 3B",$M$37="REGION 4",$M$37="REGION 4B",$M$37="REGION 4C",$M$37="REGION 5",$M$37="REGION 5A")),((0.059228/(B262/100))-(0.4980013/(SQRT(B262/100)))+2.137988),HLOOKUP(MONTH(A262),ScalarTable,28))))</f>
        <v> </v>
      </c>
      <c r="D262" s="423" t="str">
        <f aca="false">IF(A262="N/A"," ",C262*B262)</f>
        <v> </v>
      </c>
      <c r="E262" s="421" t="str">
        <f aca="false">IF(A262="N/A"," ",IF(ISERROR(O262),E250*Pwresc,O262)*VLOOKUP(MONTH(A262),Curveadj,3))</f>
        <v> </v>
      </c>
      <c r="F262" s="423" t="str">
        <f aca="false">IF(A262="N/A"," ",E262*C262)</f>
        <v> </v>
      </c>
      <c r="G262" s="421" t="str">
        <f aca="false">IF(A262="N/A"," ",IF(ISERROR(P262),G250*Pwresc,P262)*VLOOKUP(MONTH(A262),Curveadj,3))</f>
        <v> </v>
      </c>
      <c r="H262" s="423" t="str">
        <f aca="false">IF(A262="N/A"," ",G262*C262)</f>
        <v> </v>
      </c>
      <c r="I262" s="423" t="str">
        <f aca="false">IF(A262="N/A"," ",IF(ISERROR(Q262),I250*Pwresc,Q262))</f>
        <v> </v>
      </c>
      <c r="J262" s="424" t="str">
        <f aca="false">IF(A262="N/A"," ",K262+L262+T262)</f>
        <v> </v>
      </c>
      <c r="K262" s="425" t="str">
        <f aca="false">IF(A262="N/A"," ",IF(ISERROR(R262),K250*Gasesc,R262))</f>
        <v> </v>
      </c>
      <c r="L262" s="425" t="str">
        <f aca="false">IF(A262="N/A"," ",IF(ISERROR(S262),L250*Gasesc,IF(S262=0,L250*Gasesc,S262)))</f>
        <v> </v>
      </c>
      <c r="M262" s="431"/>
      <c r="N262" s="427" t="str">
        <f aca="false">IF(A262="N/A"," ",VLOOKUP(A262,PeakPowerCurves,(IF(BMO=2,3,IF(BMO=1,2,4))),FALSE()))</f>
        <v> </v>
      </c>
      <c r="O262" s="427" t="str">
        <f aca="false">IF(A262="N/A"," ",VLOOKUP(A262,SatSunPeakPwr,(IF(BMO=2,3,IF(BMO=1,2,4))),FALSE()))</f>
        <v> </v>
      </c>
      <c r="P262" s="427" t="str">
        <f aca="false">IF(A262="N/A"," ",VLOOKUP(A262,SatSunPeakPwr,(IF(BMO=2,7,IF(BMO=1,6,8))),FALSE()))</f>
        <v> </v>
      </c>
      <c r="Q262" s="428" t="str">
        <f aca="false">IF(A262="N/A"," ",(VLOOKUP(A262,OPPowerPrices,(IF(BMO=2,7,IF(BMO=1,6,8))),FALSE())))</f>
        <v> </v>
      </c>
      <c r="R262" s="429" t="str">
        <f aca="false">IF(A262="N/A"," ",(VLOOKUP(A262,GasCurves,9,FALSE()))+IF(BMO=1,Gasbmo,IF(BMO=3,-Gasbmo,0)))</f>
        <v> </v>
      </c>
      <c r="S262" s="429" t="str">
        <f aca="false">IF(A262="N/A"," ",IF(Basischeck=TRUE(),(VLOOKUP(A262,GasCurves,IF(MONTH(A262)&gt;=4,IF(MONTH(A262)&lt;=10,11,12),12),FALSE())),0))</f>
        <v> </v>
      </c>
      <c r="T262" s="429" t="str">
        <f aca="false">IF(A262="N/A"," ",(IF(MONTH(A262)&gt;=4,IF(MONTH(A262)&lt;=10,Inputs!$H$2,Inputs!$H$3),Inputs!$H$3)))</f>
        <v> </v>
      </c>
      <c r="U262" s="430" t="str">
        <f aca="false">IF(A262="N/A"," ",(VLOOKUP($A262,InterestRatesTable,2)))</f>
        <v> </v>
      </c>
      <c r="AF262" s="384" t="n">
        <f aca="false">EOMONTH(AF261,0)+1</f>
        <v>44409</v>
      </c>
      <c r="AG262" s="36" t="n">
        <v>22</v>
      </c>
      <c r="AH262" s="36" t="n">
        <v>5</v>
      </c>
      <c r="AI262" s="36" t="n">
        <v>4</v>
      </c>
      <c r="AJ262" s="36" t="n">
        <v>0</v>
      </c>
      <c r="AK262" s="36" t="n">
        <v>31</v>
      </c>
    </row>
    <row r="263" customFormat="false" ht="12.75" hidden="false" customHeight="false" outlineLevel="0" collapsed="false">
      <c r="A263" s="420" t="str">
        <f aca="false">Calculations!A230</f>
        <v>N/A</v>
      </c>
      <c r="B263" s="421" t="str">
        <f aca="false">IF(A263="N/A"," ",IF(ISERROR(N263),B251*Pwresc,N263)*VLOOKUP(MONTH(A263),Curveadj,3))</f>
        <v> </v>
      </c>
      <c r="C263" s="422" t="str">
        <f aca="false">IF(A263="N/A"," ",(IF(AND(MONTH(A263)&gt;=6,MONTH(A263)&lt;=8,OR($M$37="REGION 2",$M$37="REGION 2A",$M$37="REGION 2B",$M$37="REGION 3",$M$37="REGION 3A",$M$37="REGION 3B",$M$37="REGION 4",$M$37="REGION 4B",$M$37="REGION 4C",$M$37="REGION 5",$M$37="REGION 5A")),((0.059228/(B263/100))-(0.4980013/(SQRT(B263/100)))+2.137988),HLOOKUP(MONTH(A263),ScalarTable,28))))</f>
        <v> </v>
      </c>
      <c r="D263" s="423" t="str">
        <f aca="false">IF(A263="N/A"," ",C263*B263)</f>
        <v> </v>
      </c>
      <c r="E263" s="421" t="str">
        <f aca="false">IF(A263="N/A"," ",IF(ISERROR(O263),E251*Pwresc,O263)*VLOOKUP(MONTH(A263),Curveadj,3))</f>
        <v> </v>
      </c>
      <c r="F263" s="423" t="str">
        <f aca="false">IF(A263="N/A"," ",E263*C263)</f>
        <v> </v>
      </c>
      <c r="G263" s="421" t="str">
        <f aca="false">IF(A263="N/A"," ",IF(ISERROR(P263),G251*Pwresc,P263)*VLOOKUP(MONTH(A263),Curveadj,3))</f>
        <v> </v>
      </c>
      <c r="H263" s="423" t="str">
        <f aca="false">IF(A263="N/A"," ",G263*C263)</f>
        <v> </v>
      </c>
      <c r="I263" s="423" t="str">
        <f aca="false">IF(A263="N/A"," ",IF(ISERROR(Q263),I251*Pwresc,Q263))</f>
        <v> </v>
      </c>
      <c r="J263" s="424" t="str">
        <f aca="false">IF(A263="N/A"," ",K263+L263+T263)</f>
        <v> </v>
      </c>
      <c r="K263" s="425" t="str">
        <f aca="false">IF(A263="N/A"," ",IF(ISERROR(R263),K251*Gasesc,R263))</f>
        <v> </v>
      </c>
      <c r="L263" s="425" t="str">
        <f aca="false">IF(A263="N/A"," ",IF(ISERROR(S263),L251*Gasesc,IF(S263=0,L251*Gasesc,S263)))</f>
        <v> </v>
      </c>
      <c r="M263" s="431"/>
      <c r="N263" s="427" t="str">
        <f aca="false">IF(A263="N/A"," ",VLOOKUP(A263,PeakPowerCurves,(IF(BMO=2,3,IF(BMO=1,2,4))),FALSE()))</f>
        <v> </v>
      </c>
      <c r="O263" s="427" t="str">
        <f aca="false">IF(A263="N/A"," ",VLOOKUP(A263,SatSunPeakPwr,(IF(BMO=2,3,IF(BMO=1,2,4))),FALSE()))</f>
        <v> </v>
      </c>
      <c r="P263" s="427" t="str">
        <f aca="false">IF(A263="N/A"," ",VLOOKUP(A263,SatSunPeakPwr,(IF(BMO=2,7,IF(BMO=1,6,8))),FALSE()))</f>
        <v> </v>
      </c>
      <c r="Q263" s="428" t="str">
        <f aca="false">IF(A263="N/A"," ",(VLOOKUP(A263,OPPowerPrices,(IF(BMO=2,7,IF(BMO=1,6,8))),FALSE())))</f>
        <v> </v>
      </c>
      <c r="R263" s="429" t="str">
        <f aca="false">IF(A263="N/A"," ",(VLOOKUP(A263,GasCurves,9,FALSE()))+IF(BMO=1,Gasbmo,IF(BMO=3,-Gasbmo,0)))</f>
        <v> </v>
      </c>
      <c r="S263" s="429" t="str">
        <f aca="false">IF(A263="N/A"," ",IF(Basischeck=TRUE(),(VLOOKUP(A263,GasCurves,IF(MONTH(A263)&gt;=4,IF(MONTH(A263)&lt;=10,11,12),12),FALSE())),0))</f>
        <v> </v>
      </c>
      <c r="T263" s="429" t="str">
        <f aca="false">IF(A263="N/A"," ",(IF(MONTH(A263)&gt;=4,IF(MONTH(A263)&lt;=10,Inputs!$H$2,Inputs!$H$3),Inputs!$H$3)))</f>
        <v> </v>
      </c>
      <c r="U263" s="430" t="str">
        <f aca="false">IF(A263="N/A"," ",(VLOOKUP($A263,InterestRatesTable,2)))</f>
        <v> </v>
      </c>
      <c r="AF263" s="384" t="n">
        <f aca="false">EOMONTH(AF262,0)+1</f>
        <v>44440</v>
      </c>
      <c r="AG263" s="36" t="n">
        <v>20</v>
      </c>
      <c r="AH263" s="36" t="n">
        <v>4</v>
      </c>
      <c r="AI263" s="36" t="n">
        <v>6</v>
      </c>
      <c r="AJ263" s="36" t="n">
        <v>1</v>
      </c>
      <c r="AK263" s="36" t="n">
        <v>30</v>
      </c>
    </row>
    <row r="264" customFormat="false" ht="12.75" hidden="false" customHeight="false" outlineLevel="0" collapsed="false">
      <c r="A264" s="420" t="str">
        <f aca="false">Calculations!A231</f>
        <v>N/A</v>
      </c>
      <c r="B264" s="421" t="str">
        <f aca="false">IF(A264="N/A"," ",IF(ISERROR(N264),B252*Pwresc,N264)*VLOOKUP(MONTH(A264),Curveadj,3))</f>
        <v> </v>
      </c>
      <c r="C264" s="422" t="str">
        <f aca="false">IF(A264="N/A"," ",(IF(AND(MONTH(A264)&gt;=6,MONTH(A264)&lt;=8,OR($M$37="REGION 2",$M$37="REGION 2A",$M$37="REGION 2B",$M$37="REGION 3",$M$37="REGION 3A",$M$37="REGION 3B",$M$37="REGION 4",$M$37="REGION 4B",$M$37="REGION 4C",$M$37="REGION 5",$M$37="REGION 5A")),((0.059228/(B264/100))-(0.4980013/(SQRT(B264/100)))+2.137988),HLOOKUP(MONTH(A264),ScalarTable,28))))</f>
        <v> </v>
      </c>
      <c r="D264" s="423" t="str">
        <f aca="false">IF(A264="N/A"," ",C264*B264)</f>
        <v> </v>
      </c>
      <c r="E264" s="421" t="str">
        <f aca="false">IF(A264="N/A"," ",IF(ISERROR(O264),E252*Pwresc,O264)*VLOOKUP(MONTH(A264),Curveadj,3))</f>
        <v> </v>
      </c>
      <c r="F264" s="423" t="str">
        <f aca="false">IF(A264="N/A"," ",E264*C264)</f>
        <v> </v>
      </c>
      <c r="G264" s="421" t="str">
        <f aca="false">IF(A264="N/A"," ",IF(ISERROR(P264),G252*Pwresc,P264)*VLOOKUP(MONTH(A264),Curveadj,3))</f>
        <v> </v>
      </c>
      <c r="H264" s="423" t="str">
        <f aca="false">IF(A264="N/A"," ",G264*C264)</f>
        <v> </v>
      </c>
      <c r="I264" s="423" t="str">
        <f aca="false">IF(A264="N/A"," ",IF(ISERROR(Q264),I252*Pwresc,Q264))</f>
        <v> </v>
      </c>
      <c r="J264" s="424" t="str">
        <f aca="false">IF(A264="N/A"," ",K264+L264+T264)</f>
        <v> </v>
      </c>
      <c r="K264" s="425" t="str">
        <f aca="false">IF(A264="N/A"," ",IF(ISERROR(R264),K252*Gasesc,R264))</f>
        <v> </v>
      </c>
      <c r="L264" s="425" t="str">
        <f aca="false">IF(A264="N/A"," ",IF(ISERROR(S264),L252*Gasesc,IF(S264=0,L252*Gasesc,S264)))</f>
        <v> </v>
      </c>
      <c r="M264" s="431"/>
      <c r="N264" s="427" t="str">
        <f aca="false">IF(A264="N/A"," ",VLOOKUP(A264,PeakPowerCurves,(IF(BMO=2,3,IF(BMO=1,2,4))),FALSE()))</f>
        <v> </v>
      </c>
      <c r="O264" s="427" t="str">
        <f aca="false">IF(A264="N/A"," ",VLOOKUP(A264,SatSunPeakPwr,(IF(BMO=2,3,IF(BMO=1,2,4))),FALSE()))</f>
        <v> </v>
      </c>
      <c r="P264" s="427" t="str">
        <f aca="false">IF(A264="N/A"," ",VLOOKUP(A264,SatSunPeakPwr,(IF(BMO=2,7,IF(BMO=1,6,8))),FALSE()))</f>
        <v> </v>
      </c>
      <c r="Q264" s="428" t="str">
        <f aca="false">IF(A264="N/A"," ",(VLOOKUP(A264,OPPowerPrices,(IF(BMO=2,7,IF(BMO=1,6,8))),FALSE())))</f>
        <v> </v>
      </c>
      <c r="R264" s="429" t="str">
        <f aca="false">IF(A264="N/A"," ",(VLOOKUP(A264,GasCurves,9,FALSE()))+IF(BMO=1,Gasbmo,IF(BMO=3,-Gasbmo,0)))</f>
        <v> </v>
      </c>
      <c r="S264" s="429" t="str">
        <f aca="false">IF(A264="N/A"," ",IF(Basischeck=TRUE(),(VLOOKUP(A264,GasCurves,IF(MONTH(A264)&gt;=4,IF(MONTH(A264)&lt;=10,11,12),12),FALSE())),0))</f>
        <v> </v>
      </c>
      <c r="T264" s="429" t="str">
        <f aca="false">IF(A264="N/A"," ",(IF(MONTH(A264)&gt;=4,IF(MONTH(A264)&lt;=10,Inputs!$H$2,Inputs!$H$3),Inputs!$H$3)))</f>
        <v> </v>
      </c>
      <c r="U264" s="430" t="str">
        <f aca="false">IF(A264="N/A"," ",(VLOOKUP($A264,InterestRatesTable,2)))</f>
        <v> </v>
      </c>
      <c r="AF264" s="384" t="n">
        <f aca="false">EOMONTH(AF263,0)+1</f>
        <v>44470</v>
      </c>
      <c r="AG264" s="36" t="n">
        <v>23</v>
      </c>
      <c r="AH264" s="36" t="n">
        <v>4</v>
      </c>
      <c r="AI264" s="36" t="n">
        <v>4</v>
      </c>
      <c r="AJ264" s="36" t="n">
        <v>0</v>
      </c>
      <c r="AK264" s="36" t="n">
        <v>31</v>
      </c>
    </row>
    <row r="265" customFormat="false" ht="12.75" hidden="false" customHeight="false" outlineLevel="0" collapsed="false">
      <c r="A265" s="420" t="str">
        <f aca="false">Calculations!A232</f>
        <v>N/A</v>
      </c>
      <c r="B265" s="421" t="str">
        <f aca="false">IF(A265="N/A"," ",IF(ISERROR(N265),B253*Pwresc,N265)*VLOOKUP(MONTH(A265),Curveadj,3))</f>
        <v> </v>
      </c>
      <c r="C265" s="422" t="str">
        <f aca="false">IF(A265="N/A"," ",(IF(AND(MONTH(A265)&gt;=6,MONTH(A265)&lt;=8,OR($M$37="REGION 2",$M$37="REGION 2A",$M$37="REGION 2B",$M$37="REGION 3",$M$37="REGION 3A",$M$37="REGION 3B",$M$37="REGION 4",$M$37="REGION 4B",$M$37="REGION 4C",$M$37="REGION 5",$M$37="REGION 5A")),((0.059228/(B265/100))-(0.4980013/(SQRT(B265/100)))+2.137988),HLOOKUP(MONTH(A265),ScalarTable,28))))</f>
        <v> </v>
      </c>
      <c r="D265" s="423" t="str">
        <f aca="false">IF(A265="N/A"," ",C265*B265)</f>
        <v> </v>
      </c>
      <c r="E265" s="421" t="str">
        <f aca="false">IF(A265="N/A"," ",IF(ISERROR(O265),E253*Pwresc,O265)*VLOOKUP(MONTH(A265),Curveadj,3))</f>
        <v> </v>
      </c>
      <c r="F265" s="423" t="str">
        <f aca="false">IF(A265="N/A"," ",E265*C265)</f>
        <v> </v>
      </c>
      <c r="G265" s="421" t="str">
        <f aca="false">IF(A265="N/A"," ",IF(ISERROR(P265),G253*Pwresc,P265)*VLOOKUP(MONTH(A265),Curveadj,3))</f>
        <v> </v>
      </c>
      <c r="H265" s="423" t="str">
        <f aca="false">IF(A265="N/A"," ",G265*C265)</f>
        <v> </v>
      </c>
      <c r="I265" s="423" t="str">
        <f aca="false">IF(A265="N/A"," ",IF(ISERROR(Q265),I253*Pwresc,Q265))</f>
        <v> </v>
      </c>
      <c r="J265" s="424" t="str">
        <f aca="false">IF(A265="N/A"," ",K265+L265+T265)</f>
        <v> </v>
      </c>
      <c r="K265" s="425" t="str">
        <f aca="false">IF(A265="N/A"," ",IF(ISERROR(R265),K253*Gasesc,R265))</f>
        <v> </v>
      </c>
      <c r="L265" s="425" t="str">
        <f aca="false">IF(A265="N/A"," ",IF(ISERROR(S265),L253*Gasesc,IF(S265=0,L253*Gasesc,S265)))</f>
        <v> </v>
      </c>
      <c r="M265" s="431"/>
      <c r="N265" s="427" t="str">
        <f aca="false">IF(A265="N/A"," ",VLOOKUP(A265,PeakPowerCurves,(IF(BMO=2,3,IF(BMO=1,2,4))),FALSE()))</f>
        <v> </v>
      </c>
      <c r="O265" s="427" t="str">
        <f aca="false">IF(A265="N/A"," ",VLOOKUP(A265,SatSunPeakPwr,(IF(BMO=2,3,IF(BMO=1,2,4))),FALSE()))</f>
        <v> </v>
      </c>
      <c r="P265" s="427" t="str">
        <f aca="false">IF(A265="N/A"," ",VLOOKUP(A265,SatSunPeakPwr,(IF(BMO=2,7,IF(BMO=1,6,8))),FALSE()))</f>
        <v> </v>
      </c>
      <c r="Q265" s="428" t="str">
        <f aca="false">IF(A265="N/A"," ",(VLOOKUP(A265,OPPowerPrices,(IF(BMO=2,7,IF(BMO=1,6,8))),FALSE())))</f>
        <v> </v>
      </c>
      <c r="R265" s="429" t="str">
        <f aca="false">IF(A265="N/A"," ",(VLOOKUP(A265,GasCurves,9,FALSE()))+IF(BMO=1,Gasbmo,IF(BMO=3,-Gasbmo,0)))</f>
        <v> </v>
      </c>
      <c r="S265" s="429" t="str">
        <f aca="false">IF(A265="N/A"," ",IF(Basischeck=TRUE(),(VLOOKUP(A265,GasCurves,IF(MONTH(A265)&gt;=4,IF(MONTH(A265)&lt;=10,11,12),12),FALSE())),0))</f>
        <v> </v>
      </c>
      <c r="T265" s="429" t="str">
        <f aca="false">IF(A265="N/A"," ",(IF(MONTH(A265)&gt;=4,IF(MONTH(A265)&lt;=10,Inputs!$H$2,Inputs!$H$3),Inputs!$H$3)))</f>
        <v> </v>
      </c>
      <c r="U265" s="430" t="str">
        <f aca="false">IF(A265="N/A"," ",(VLOOKUP($A265,InterestRatesTable,2)))</f>
        <v> </v>
      </c>
      <c r="AF265" s="384" t="n">
        <f aca="false">EOMONTH(AF264,0)+1</f>
        <v>44501</v>
      </c>
      <c r="AG265" s="36" t="n">
        <v>20</v>
      </c>
      <c r="AH265" s="36" t="n">
        <v>5</v>
      </c>
      <c r="AI265" s="36" t="n">
        <v>5</v>
      </c>
      <c r="AJ265" s="36" t="n">
        <v>1</v>
      </c>
      <c r="AK265" s="36" t="n">
        <v>30</v>
      </c>
    </row>
    <row r="266" customFormat="false" ht="12.75" hidden="false" customHeight="false" outlineLevel="0" collapsed="false">
      <c r="A266" s="420" t="str">
        <f aca="false">Calculations!A233</f>
        <v>N/A</v>
      </c>
      <c r="B266" s="421" t="str">
        <f aca="false">IF(A266="N/A"," ",IF(ISERROR(N266),B254*Pwresc,N266)*VLOOKUP(MONTH(A266),Curveadj,3))</f>
        <v> </v>
      </c>
      <c r="C266" s="422" t="str">
        <f aca="false">IF(A266="N/A"," ",(IF(AND(MONTH(A266)&gt;=6,MONTH(A266)&lt;=8,OR($M$37="REGION 2",$M$37="REGION 2A",$M$37="REGION 2B",$M$37="REGION 3",$M$37="REGION 3A",$M$37="REGION 3B",$M$37="REGION 4",$M$37="REGION 4B",$M$37="REGION 4C",$M$37="REGION 5",$M$37="REGION 5A")),((0.059228/(B266/100))-(0.4980013/(SQRT(B266/100)))+2.137988),HLOOKUP(MONTH(A266),ScalarTable,28))))</f>
        <v> </v>
      </c>
      <c r="D266" s="423" t="str">
        <f aca="false">IF(A266="N/A"," ",C266*B266)</f>
        <v> </v>
      </c>
      <c r="E266" s="421" t="str">
        <f aca="false">IF(A266="N/A"," ",IF(ISERROR(O266),E254*Pwresc,O266)*VLOOKUP(MONTH(A266),Curveadj,3))</f>
        <v> </v>
      </c>
      <c r="F266" s="423" t="str">
        <f aca="false">IF(A266="N/A"," ",E266*C266)</f>
        <v> </v>
      </c>
      <c r="G266" s="421" t="str">
        <f aca="false">IF(A266="N/A"," ",IF(ISERROR(P266),G254*Pwresc,P266)*VLOOKUP(MONTH(A266),Curveadj,3))</f>
        <v> </v>
      </c>
      <c r="H266" s="423" t="str">
        <f aca="false">IF(A266="N/A"," ",G266*C266)</f>
        <v> </v>
      </c>
      <c r="I266" s="423" t="str">
        <f aca="false">IF(A266="N/A"," ",IF(ISERROR(Q266),I254*Pwresc,Q266))</f>
        <v> </v>
      </c>
      <c r="J266" s="424" t="str">
        <f aca="false">IF(A266="N/A"," ",K266+L266+T266)</f>
        <v> </v>
      </c>
      <c r="K266" s="425" t="str">
        <f aca="false">IF(A266="N/A"," ",IF(ISERROR(R266),K254*Gasesc,R266))</f>
        <v> </v>
      </c>
      <c r="L266" s="425" t="str">
        <f aca="false">IF(A266="N/A"," ",IF(ISERROR(S266),L254*Gasesc,IF(S266=0,L254*Gasesc,S266)))</f>
        <v> </v>
      </c>
      <c r="M266" s="431"/>
      <c r="N266" s="427" t="str">
        <f aca="false">IF(A266="N/A"," ",VLOOKUP(A266,PeakPowerCurves,(IF(BMO=2,3,IF(BMO=1,2,4))),FALSE()))</f>
        <v> </v>
      </c>
      <c r="O266" s="427" t="str">
        <f aca="false">IF(A266="N/A"," ",VLOOKUP(A266,SatSunPeakPwr,(IF(BMO=2,3,IF(BMO=1,2,4))),FALSE()))</f>
        <v> </v>
      </c>
      <c r="P266" s="427" t="str">
        <f aca="false">IF(A266="N/A"," ",VLOOKUP(A266,SatSunPeakPwr,(IF(BMO=2,7,IF(BMO=1,6,8))),FALSE()))</f>
        <v> </v>
      </c>
      <c r="Q266" s="428" t="str">
        <f aca="false">IF(A266="N/A"," ",(VLOOKUP(A266,OPPowerPrices,(IF(BMO=2,7,IF(BMO=1,6,8))),FALSE())))</f>
        <v> </v>
      </c>
      <c r="R266" s="429" t="str">
        <f aca="false">IF(A266="N/A"," ",(VLOOKUP(A266,GasCurves,9,FALSE()))+IF(BMO=1,Gasbmo,IF(BMO=3,-Gasbmo,0)))</f>
        <v> </v>
      </c>
      <c r="S266" s="429" t="str">
        <f aca="false">IF(A266="N/A"," ",IF(Basischeck=TRUE(),(VLOOKUP(A266,GasCurves,IF(MONTH(A266)&gt;=4,IF(MONTH(A266)&lt;=10,11,12),12),FALSE())),0))</f>
        <v> </v>
      </c>
      <c r="T266" s="429" t="str">
        <f aca="false">IF(A266="N/A"," ",(IF(MONTH(A266)&gt;=4,IF(MONTH(A266)&lt;=10,Inputs!$H$2,Inputs!$H$3),Inputs!$H$3)))</f>
        <v> </v>
      </c>
      <c r="U266" s="430" t="str">
        <f aca="false">IF(A266="N/A"," ",(VLOOKUP($A266,InterestRatesTable,2)))</f>
        <v> </v>
      </c>
      <c r="AF266" s="384" t="n">
        <f aca="false">EOMONTH(AF265,0)+1</f>
        <v>44531</v>
      </c>
      <c r="AG266" s="36" t="n">
        <v>21</v>
      </c>
      <c r="AH266" s="36" t="n">
        <v>4</v>
      </c>
      <c r="AI266" s="36" t="n">
        <v>6</v>
      </c>
      <c r="AJ266" s="36" t="n">
        <v>1</v>
      </c>
      <c r="AK266" s="36" t="n">
        <v>31</v>
      </c>
    </row>
    <row r="267" customFormat="false" ht="12.75" hidden="false" customHeight="false" outlineLevel="0" collapsed="false">
      <c r="A267" s="420" t="str">
        <f aca="false">Calculations!A234</f>
        <v>N/A</v>
      </c>
      <c r="B267" s="421" t="str">
        <f aca="false">IF(A267="N/A"," ",IF(ISERROR(N267),B255*Pwresc,N267)*VLOOKUP(MONTH(A267),Curveadj,3))</f>
        <v> </v>
      </c>
      <c r="C267" s="422" t="str">
        <f aca="false">IF(A267="N/A"," ",(IF(AND(MONTH(A267)&gt;=6,MONTH(A267)&lt;=8,OR($M$37="REGION 2",$M$37="REGION 2A",$M$37="REGION 2B",$M$37="REGION 3",$M$37="REGION 3A",$M$37="REGION 3B",$M$37="REGION 4",$M$37="REGION 4B",$M$37="REGION 4C",$M$37="REGION 5",$M$37="REGION 5A")),((0.059228/(B267/100))-(0.4980013/(SQRT(B267/100)))+2.137988),HLOOKUP(MONTH(A267),ScalarTable,28))))</f>
        <v> </v>
      </c>
      <c r="D267" s="423" t="str">
        <f aca="false">IF(A267="N/A"," ",C267*B267)</f>
        <v> </v>
      </c>
      <c r="E267" s="421" t="str">
        <f aca="false">IF(A267="N/A"," ",IF(ISERROR(O267),E255*Pwresc,O267)*VLOOKUP(MONTH(A267),Curveadj,3))</f>
        <v> </v>
      </c>
      <c r="F267" s="423" t="str">
        <f aca="false">IF(A267="N/A"," ",E267*C267)</f>
        <v> </v>
      </c>
      <c r="G267" s="421" t="str">
        <f aca="false">IF(A267="N/A"," ",IF(ISERROR(P267),G255*Pwresc,P267)*VLOOKUP(MONTH(A267),Curveadj,3))</f>
        <v> </v>
      </c>
      <c r="H267" s="423" t="str">
        <f aca="false">IF(A267="N/A"," ",G267*C267)</f>
        <v> </v>
      </c>
      <c r="I267" s="423" t="str">
        <f aca="false">IF(A267="N/A"," ",IF(ISERROR(Q267),I255*Pwresc,Q267))</f>
        <v> </v>
      </c>
      <c r="J267" s="424" t="str">
        <f aca="false">IF(A267="N/A"," ",K267+L267+T267)</f>
        <v> </v>
      </c>
      <c r="K267" s="425" t="str">
        <f aca="false">IF(A267="N/A"," ",IF(ISERROR(R267),K255*Gasesc,R267))</f>
        <v> </v>
      </c>
      <c r="L267" s="425" t="str">
        <f aca="false">IF(A267="N/A"," ",IF(ISERROR(S267),L255*Gasesc,IF(S267=0,L255*Gasesc,S267)))</f>
        <v> </v>
      </c>
      <c r="M267" s="431"/>
      <c r="N267" s="427" t="str">
        <f aca="false">IF(A267="N/A"," ",VLOOKUP(A267,PeakPowerCurves,(IF(BMO=2,3,IF(BMO=1,2,4))),FALSE()))</f>
        <v> </v>
      </c>
      <c r="O267" s="427" t="str">
        <f aca="false">IF(A267="N/A"," ",VLOOKUP(A267,SatSunPeakPwr,(IF(BMO=2,3,IF(BMO=1,2,4))),FALSE()))</f>
        <v> </v>
      </c>
      <c r="P267" s="427" t="str">
        <f aca="false">IF(A267="N/A"," ",VLOOKUP(A267,SatSunPeakPwr,(IF(BMO=2,7,IF(BMO=1,6,8))),FALSE()))</f>
        <v> </v>
      </c>
      <c r="Q267" s="428" t="str">
        <f aca="false">IF(A267="N/A"," ",(VLOOKUP(A267,OPPowerPrices,(IF(BMO=2,7,IF(BMO=1,6,8))),FALSE())))</f>
        <v> </v>
      </c>
      <c r="R267" s="429" t="str">
        <f aca="false">IF(A267="N/A"," ",(VLOOKUP(A267,GasCurves,9,FALSE()))+IF(BMO=1,Gasbmo,IF(BMO=3,-Gasbmo,0)))</f>
        <v> </v>
      </c>
      <c r="S267" s="429" t="str">
        <f aca="false">IF(A267="N/A"," ",IF(Basischeck=TRUE(),(VLOOKUP(A267,GasCurves,IF(MONTH(A267)&gt;=4,IF(MONTH(A267)&lt;=10,11,12),12),FALSE())),0))</f>
        <v> </v>
      </c>
      <c r="T267" s="429" t="str">
        <f aca="false">IF(A267="N/A"," ",(IF(MONTH(A267)&gt;=4,IF(MONTH(A267)&lt;=10,Inputs!$H$2,Inputs!$H$3),Inputs!$H$3)))</f>
        <v> </v>
      </c>
      <c r="U267" s="430" t="str">
        <f aca="false">IF(A267="N/A"," ",(VLOOKUP($A267,InterestRatesTable,2)))</f>
        <v> </v>
      </c>
      <c r="AF267" s="384" t="n">
        <f aca="false">EOMONTH(AF266,0)+1</f>
        <v>44562</v>
      </c>
      <c r="AG267" s="36" t="n">
        <v>22</v>
      </c>
      <c r="AH267" s="36" t="n">
        <v>4</v>
      </c>
      <c r="AI267" s="36" t="n">
        <v>5</v>
      </c>
      <c r="AJ267" s="36" t="n">
        <v>1</v>
      </c>
      <c r="AK267" s="36" t="n">
        <v>31</v>
      </c>
    </row>
    <row r="268" customFormat="false" ht="12.75" hidden="false" customHeight="false" outlineLevel="0" collapsed="false">
      <c r="A268" s="420" t="str">
        <f aca="false">Calculations!A235</f>
        <v>N/A</v>
      </c>
      <c r="B268" s="421" t="str">
        <f aca="false">IF(A268="N/A"," ",IF(ISERROR(N268),B256*Pwresc,N268)*VLOOKUP(MONTH(A268),Curveadj,3))</f>
        <v> </v>
      </c>
      <c r="C268" s="422" t="str">
        <f aca="false">IF(A268="N/A"," ",(IF(AND(MONTH(A268)&gt;=6,MONTH(A268)&lt;=8,OR($M$37="REGION 2",$M$37="REGION 2A",$M$37="REGION 2B",$M$37="REGION 3",$M$37="REGION 3A",$M$37="REGION 3B",$M$37="REGION 4",$M$37="REGION 4B",$M$37="REGION 4C",$M$37="REGION 5",$M$37="REGION 5A")),((0.059228/(B268/100))-(0.4980013/(SQRT(B268/100)))+2.137988),HLOOKUP(MONTH(A268),ScalarTable,28))))</f>
        <v> </v>
      </c>
      <c r="D268" s="423" t="str">
        <f aca="false">IF(A268="N/A"," ",C268*B268)</f>
        <v> </v>
      </c>
      <c r="E268" s="421" t="str">
        <f aca="false">IF(A268="N/A"," ",IF(ISERROR(O268),E256*Pwresc,O268)*VLOOKUP(MONTH(A268),Curveadj,3))</f>
        <v> </v>
      </c>
      <c r="F268" s="423" t="str">
        <f aca="false">IF(A268="N/A"," ",E268*C268)</f>
        <v> </v>
      </c>
      <c r="G268" s="421" t="str">
        <f aca="false">IF(A268="N/A"," ",IF(ISERROR(P268),G256*Pwresc,P268)*VLOOKUP(MONTH(A268),Curveadj,3))</f>
        <v> </v>
      </c>
      <c r="H268" s="423" t="str">
        <f aca="false">IF(A268="N/A"," ",G268*C268)</f>
        <v> </v>
      </c>
      <c r="I268" s="423" t="str">
        <f aca="false">IF(A268="N/A"," ",IF(ISERROR(Q268),I256*Pwresc,Q268))</f>
        <v> </v>
      </c>
      <c r="J268" s="424" t="str">
        <f aca="false">IF(A268="N/A"," ",K268+L268+T268)</f>
        <v> </v>
      </c>
      <c r="K268" s="425" t="str">
        <f aca="false">IF(A268="N/A"," ",IF(ISERROR(R268),K256*Gasesc,R268))</f>
        <v> </v>
      </c>
      <c r="L268" s="425" t="str">
        <f aca="false">IF(A268="N/A"," ",IF(ISERROR(S268),L256*Gasesc,IF(S268=0,L256*Gasesc,S268)))</f>
        <v> </v>
      </c>
      <c r="M268" s="431"/>
      <c r="N268" s="427" t="str">
        <f aca="false">IF(A268="N/A"," ",VLOOKUP(A268,PeakPowerCurves,(IF(BMO=2,3,IF(BMO=1,2,4))),FALSE()))</f>
        <v> </v>
      </c>
      <c r="O268" s="427" t="str">
        <f aca="false">IF(A268="N/A"," ",VLOOKUP(A268,SatSunPeakPwr,(IF(BMO=2,3,IF(BMO=1,2,4))),FALSE()))</f>
        <v> </v>
      </c>
      <c r="P268" s="427" t="str">
        <f aca="false">IF(A268="N/A"," ",VLOOKUP(A268,SatSunPeakPwr,(IF(BMO=2,7,IF(BMO=1,6,8))),FALSE()))</f>
        <v> </v>
      </c>
      <c r="Q268" s="428" t="str">
        <f aca="false">IF(A268="N/A"," ",(VLOOKUP(A268,OPPowerPrices,(IF(BMO=2,7,IF(BMO=1,6,8))),FALSE())))</f>
        <v> </v>
      </c>
      <c r="R268" s="429" t="str">
        <f aca="false">IF(A268="N/A"," ",(VLOOKUP(A268,GasCurves,9,FALSE()))+IF(BMO=1,Gasbmo,IF(BMO=3,-Gasbmo,0)))</f>
        <v> </v>
      </c>
      <c r="S268" s="429" t="str">
        <f aca="false">IF(A268="N/A"," ",IF(Basischeck=TRUE(),(VLOOKUP(A268,GasCurves,IF(MONTH(A268)&gt;=4,IF(MONTH(A268)&lt;=10,11,12),12),FALSE())),0))</f>
        <v> </v>
      </c>
      <c r="T268" s="429" t="str">
        <f aca="false">IF(A268="N/A"," ",(IF(MONTH(A268)&gt;=4,IF(MONTH(A268)&lt;=10,Inputs!$H$2,Inputs!$H$3),Inputs!$H$3)))</f>
        <v> </v>
      </c>
      <c r="U268" s="430" t="str">
        <f aca="false">IF(A268="N/A"," ",(VLOOKUP($A268,InterestRatesTable,2)))</f>
        <v> </v>
      </c>
      <c r="AF268" s="384" t="n">
        <f aca="false">EOMONTH(AF267,0)+1</f>
        <v>44593</v>
      </c>
      <c r="AG268" s="36" t="n">
        <v>20</v>
      </c>
      <c r="AH268" s="36" t="n">
        <v>4</v>
      </c>
      <c r="AI268" s="36" t="n">
        <v>4</v>
      </c>
      <c r="AJ268" s="36" t="n">
        <v>0</v>
      </c>
      <c r="AK268" s="36" t="n">
        <v>28</v>
      </c>
    </row>
    <row r="269" customFormat="false" ht="12.75" hidden="false" customHeight="false" outlineLevel="0" collapsed="false">
      <c r="A269" s="420" t="str">
        <f aca="false">Calculations!A236</f>
        <v>N/A</v>
      </c>
      <c r="B269" s="421" t="str">
        <f aca="false">IF(A269="N/A"," ",IF(ISERROR(N269),B257*Pwresc,N269)*VLOOKUP(MONTH(A269),Curveadj,3))</f>
        <v> </v>
      </c>
      <c r="C269" s="422" t="str">
        <f aca="false">IF(A269="N/A"," ",(IF(AND(MONTH(A269)&gt;=6,MONTH(A269)&lt;=8,OR($M$37="REGION 2",$M$37="REGION 2A",$M$37="REGION 2B",$M$37="REGION 3",$M$37="REGION 3A",$M$37="REGION 3B",$M$37="REGION 4",$M$37="REGION 4B",$M$37="REGION 4C",$M$37="REGION 5",$M$37="REGION 5A")),((0.059228/(B269/100))-(0.4980013/(SQRT(B269/100)))+2.137988),HLOOKUP(MONTH(A269),ScalarTable,28))))</f>
        <v> </v>
      </c>
      <c r="D269" s="423" t="str">
        <f aca="false">IF(A269="N/A"," ",C269*B269)</f>
        <v> </v>
      </c>
      <c r="E269" s="421" t="str">
        <f aca="false">IF(A269="N/A"," ",IF(ISERROR(O269),E257*Pwresc,O269)*VLOOKUP(MONTH(A269),Curveadj,3))</f>
        <v> </v>
      </c>
      <c r="F269" s="423" t="str">
        <f aca="false">IF(A269="N/A"," ",E269*C269)</f>
        <v> </v>
      </c>
      <c r="G269" s="421" t="str">
        <f aca="false">IF(A269="N/A"," ",IF(ISERROR(P269),G257*Pwresc,P269)*VLOOKUP(MONTH(A269),Curveadj,3))</f>
        <v> </v>
      </c>
      <c r="H269" s="423" t="str">
        <f aca="false">IF(A269="N/A"," ",G269*C269)</f>
        <v> </v>
      </c>
      <c r="I269" s="423" t="str">
        <f aca="false">IF(A269="N/A"," ",IF(ISERROR(Q269),I257*Pwresc,Q269))</f>
        <v> </v>
      </c>
      <c r="J269" s="424" t="str">
        <f aca="false">IF(A269="N/A"," ",K269+L269+T269)</f>
        <v> </v>
      </c>
      <c r="K269" s="425" t="str">
        <f aca="false">IF(A269="N/A"," ",IF(ISERROR(R269),K257*Gasesc,R269))</f>
        <v> </v>
      </c>
      <c r="L269" s="425" t="str">
        <f aca="false">IF(A269="N/A"," ",IF(ISERROR(S269),L257*Gasesc,IF(S269=0,L257*Gasesc,S269)))</f>
        <v> </v>
      </c>
      <c r="M269" s="431"/>
      <c r="N269" s="427" t="str">
        <f aca="false">IF(A269="N/A"," ",VLOOKUP(A269,PeakPowerCurves,(IF(BMO=2,3,IF(BMO=1,2,4))),FALSE()))</f>
        <v> </v>
      </c>
      <c r="O269" s="427" t="str">
        <f aca="false">IF(A269="N/A"," ",VLOOKUP(A269,SatSunPeakPwr,(IF(BMO=2,3,IF(BMO=1,2,4))),FALSE()))</f>
        <v> </v>
      </c>
      <c r="P269" s="427" t="str">
        <f aca="false">IF(A269="N/A"," ",VLOOKUP(A269,SatSunPeakPwr,(IF(BMO=2,7,IF(BMO=1,6,8))),FALSE()))</f>
        <v> </v>
      </c>
      <c r="Q269" s="428" t="str">
        <f aca="false">IF(A269="N/A"," ",(VLOOKUP(A269,OPPowerPrices,(IF(BMO=2,7,IF(BMO=1,6,8))),FALSE())))</f>
        <v> </v>
      </c>
      <c r="R269" s="429" t="str">
        <f aca="false">IF(A269="N/A"," ",(VLOOKUP(A269,GasCurves,9,FALSE()))+IF(BMO=1,Gasbmo,IF(BMO=3,-Gasbmo,0)))</f>
        <v> </v>
      </c>
      <c r="S269" s="429" t="str">
        <f aca="false">IF(A269="N/A"," ",IF(Basischeck=TRUE(),(VLOOKUP(A269,GasCurves,IF(MONTH(A269)&gt;=4,IF(MONTH(A269)&lt;=10,11,12),12),FALSE())),0))</f>
        <v> </v>
      </c>
      <c r="T269" s="429" t="str">
        <f aca="false">IF(A269="N/A"," ",(IF(MONTH(A269)&gt;=4,IF(MONTH(A269)&lt;=10,Inputs!$H$2,Inputs!$H$3),Inputs!$H$3)))</f>
        <v> </v>
      </c>
      <c r="U269" s="430" t="str">
        <f aca="false">IF(A269="N/A"," ",(VLOOKUP($A269,InterestRatesTable,2)))</f>
        <v> </v>
      </c>
      <c r="AF269" s="384" t="n">
        <f aca="false">EOMONTH(AF268,0)+1</f>
        <v>44621</v>
      </c>
      <c r="AG269" s="36" t="n">
        <v>21</v>
      </c>
      <c r="AH269" s="36" t="n">
        <v>5</v>
      </c>
      <c r="AI269" s="36" t="n">
        <v>5</v>
      </c>
      <c r="AJ269" s="36" t="n">
        <v>0</v>
      </c>
      <c r="AK269" s="36" t="n">
        <v>31</v>
      </c>
    </row>
    <row r="270" customFormat="false" ht="12.75" hidden="false" customHeight="false" outlineLevel="0" collapsed="false">
      <c r="A270" s="420" t="str">
        <f aca="false">Calculations!A237</f>
        <v>N/A</v>
      </c>
      <c r="B270" s="421" t="str">
        <f aca="false">IF(A270="N/A"," ",IF(ISERROR(N270),B258*Pwresc,N270)*VLOOKUP(MONTH(A270),Curveadj,3))</f>
        <v> </v>
      </c>
      <c r="C270" s="422" t="str">
        <f aca="false">IF(A270="N/A"," ",(IF(AND(MONTH(A270)&gt;=6,MONTH(A270)&lt;=8,OR($M$37="REGION 2",$M$37="REGION 2A",$M$37="REGION 2B",$M$37="REGION 3",$M$37="REGION 3A",$M$37="REGION 3B",$M$37="REGION 4",$M$37="REGION 4B",$M$37="REGION 4C",$M$37="REGION 5",$M$37="REGION 5A")),((0.059228/(B270/100))-(0.4980013/(SQRT(B270/100)))+2.137988),HLOOKUP(MONTH(A270),ScalarTable,28))))</f>
        <v> </v>
      </c>
      <c r="D270" s="423" t="str">
        <f aca="false">IF(A270="N/A"," ",C270*B270)</f>
        <v> </v>
      </c>
      <c r="E270" s="421" t="str">
        <f aca="false">IF(A270="N/A"," ",IF(ISERROR(O270),E258*Pwresc,O270)*VLOOKUP(MONTH(A270),Curveadj,3))</f>
        <v> </v>
      </c>
      <c r="F270" s="423" t="str">
        <f aca="false">IF(A270="N/A"," ",E270*C270)</f>
        <v> </v>
      </c>
      <c r="G270" s="421" t="str">
        <f aca="false">IF(A270="N/A"," ",IF(ISERROR(P270),G258*Pwresc,P270)*VLOOKUP(MONTH(A270),Curveadj,3))</f>
        <v> </v>
      </c>
      <c r="H270" s="423" t="str">
        <f aca="false">IF(A270="N/A"," ",G270*C270)</f>
        <v> </v>
      </c>
      <c r="I270" s="423" t="str">
        <f aca="false">IF(A270="N/A"," ",IF(ISERROR(Q270),I258*Pwresc,Q270))</f>
        <v> </v>
      </c>
      <c r="J270" s="424" t="str">
        <f aca="false">IF(A270="N/A"," ",K270+L270+T270)</f>
        <v> </v>
      </c>
      <c r="K270" s="425" t="str">
        <f aca="false">IF(A270="N/A"," ",IF(ISERROR(R270),K258*Gasesc,R270))</f>
        <v> </v>
      </c>
      <c r="L270" s="425" t="str">
        <f aca="false">IF(A270="N/A"," ",IF(ISERROR(S270),L258*Gasesc,IF(S270=0,L258*Gasesc,S270)))</f>
        <v> </v>
      </c>
      <c r="M270" s="431"/>
      <c r="N270" s="427" t="str">
        <f aca="false">IF(A270="N/A"," ",VLOOKUP(A270,PeakPowerCurves,(IF(BMO=2,3,IF(BMO=1,2,4))),FALSE()))</f>
        <v> </v>
      </c>
      <c r="O270" s="427" t="str">
        <f aca="false">IF(A270="N/A"," ",VLOOKUP(A270,SatSunPeakPwr,(IF(BMO=2,3,IF(BMO=1,2,4))),FALSE()))</f>
        <v> </v>
      </c>
      <c r="P270" s="427" t="str">
        <f aca="false">IF(A270="N/A"," ",VLOOKUP(A270,SatSunPeakPwr,(IF(BMO=2,7,IF(BMO=1,6,8))),FALSE()))</f>
        <v> </v>
      </c>
      <c r="Q270" s="428" t="str">
        <f aca="false">IF(A270="N/A"," ",(VLOOKUP(A270,OPPowerPrices,(IF(BMO=2,7,IF(BMO=1,6,8))),FALSE())))</f>
        <v> </v>
      </c>
      <c r="R270" s="429" t="str">
        <f aca="false">IF(A270="N/A"," ",(VLOOKUP(A270,GasCurves,9,FALSE()))+IF(BMO=1,Gasbmo,IF(BMO=3,-Gasbmo,0)))</f>
        <v> </v>
      </c>
      <c r="S270" s="429" t="str">
        <f aca="false">IF(A270="N/A"," ",IF(Basischeck=TRUE(),(VLOOKUP(A270,GasCurves,IF(MONTH(A270)&gt;=4,IF(MONTH(A270)&lt;=10,11,12),12),FALSE())),0))</f>
        <v> </v>
      </c>
      <c r="T270" s="429" t="str">
        <f aca="false">IF(A270="N/A"," ",(IF(MONTH(A270)&gt;=4,IF(MONTH(A270)&lt;=10,Inputs!$H$2,Inputs!$H$3),Inputs!$H$3)))</f>
        <v> </v>
      </c>
      <c r="U270" s="430" t="str">
        <f aca="false">IF(A270="N/A"," ",(VLOOKUP($A270,InterestRatesTable,2)))</f>
        <v> </v>
      </c>
      <c r="AF270" s="384" t="n">
        <f aca="false">EOMONTH(AF269,0)+1</f>
        <v>44652</v>
      </c>
      <c r="AG270" s="36" t="n">
        <v>22</v>
      </c>
      <c r="AH270" s="36" t="n">
        <v>4</v>
      </c>
      <c r="AI270" s="36" t="n">
        <v>4</v>
      </c>
      <c r="AJ270" s="36" t="n">
        <v>0</v>
      </c>
      <c r="AK270" s="36" t="n">
        <v>30</v>
      </c>
    </row>
    <row r="271" customFormat="false" ht="12.75" hidden="false" customHeight="false" outlineLevel="0" collapsed="false">
      <c r="A271" s="420" t="str">
        <f aca="false">Calculations!A238</f>
        <v>N/A</v>
      </c>
      <c r="B271" s="421" t="str">
        <f aca="false">IF(A271="N/A"," ",IF(ISERROR(N271),B259*Pwresc,N271)*VLOOKUP(MONTH(A271),Curveadj,3))</f>
        <v> </v>
      </c>
      <c r="C271" s="422" t="str">
        <f aca="false">IF(A271="N/A"," ",(IF(AND(MONTH(A271)&gt;=6,MONTH(A271)&lt;=8,OR($M$37="REGION 2",$M$37="REGION 2A",$M$37="REGION 2B",$M$37="REGION 3",$M$37="REGION 3A",$M$37="REGION 3B",$M$37="REGION 4",$M$37="REGION 4B",$M$37="REGION 4C",$M$37="REGION 5",$M$37="REGION 5A")),((0.059228/(B271/100))-(0.4980013/(SQRT(B271/100)))+2.137988),HLOOKUP(MONTH(A271),ScalarTable,28))))</f>
        <v> </v>
      </c>
      <c r="D271" s="423" t="str">
        <f aca="false">IF(A271="N/A"," ",C271*B271)</f>
        <v> </v>
      </c>
      <c r="E271" s="421" t="str">
        <f aca="false">IF(A271="N/A"," ",IF(ISERROR(O271),E259*Pwresc,O271)*VLOOKUP(MONTH(A271),Curveadj,3))</f>
        <v> </v>
      </c>
      <c r="F271" s="423" t="str">
        <f aca="false">IF(A271="N/A"," ",E271*C271)</f>
        <v> </v>
      </c>
      <c r="G271" s="421" t="str">
        <f aca="false">IF(A271="N/A"," ",IF(ISERROR(P271),G259*Pwresc,P271)*VLOOKUP(MONTH(A271),Curveadj,3))</f>
        <v> </v>
      </c>
      <c r="H271" s="423" t="str">
        <f aca="false">IF(A271="N/A"," ",G271*C271)</f>
        <v> </v>
      </c>
      <c r="I271" s="423" t="str">
        <f aca="false">IF(A271="N/A"," ",IF(ISERROR(Q271),I259*Pwresc,Q271))</f>
        <v> </v>
      </c>
      <c r="J271" s="424" t="str">
        <f aca="false">IF(A271="N/A"," ",K271+L271+T271)</f>
        <v> </v>
      </c>
      <c r="K271" s="425" t="str">
        <f aca="false">IF(A271="N/A"," ",IF(ISERROR(R271),K259*Gasesc,R271))</f>
        <v> </v>
      </c>
      <c r="L271" s="425" t="str">
        <f aca="false">IF(A271="N/A"," ",IF(ISERROR(S271),L259*Gasesc,IF(S271=0,L259*Gasesc,S271)))</f>
        <v> </v>
      </c>
      <c r="M271" s="431"/>
      <c r="N271" s="427" t="str">
        <f aca="false">IF(A271="N/A"," ",VLOOKUP(A271,PeakPowerCurves,(IF(BMO=2,3,IF(BMO=1,2,4))),FALSE()))</f>
        <v> </v>
      </c>
      <c r="O271" s="427" t="str">
        <f aca="false">IF(A271="N/A"," ",VLOOKUP(A271,SatSunPeakPwr,(IF(BMO=2,3,IF(BMO=1,2,4))),FALSE()))</f>
        <v> </v>
      </c>
      <c r="P271" s="427" t="str">
        <f aca="false">IF(A271="N/A"," ",VLOOKUP(A271,SatSunPeakPwr,(IF(BMO=2,7,IF(BMO=1,6,8))),FALSE()))</f>
        <v> </v>
      </c>
      <c r="Q271" s="428" t="str">
        <f aca="false">IF(A271="N/A"," ",(VLOOKUP(A271,OPPowerPrices,(IF(BMO=2,7,IF(BMO=1,6,8))),FALSE())))</f>
        <v> </v>
      </c>
      <c r="R271" s="429" t="str">
        <f aca="false">IF(A271="N/A"," ",(VLOOKUP(A271,GasCurves,9,FALSE()))+IF(BMO=1,Gasbmo,IF(BMO=3,-Gasbmo,0)))</f>
        <v> </v>
      </c>
      <c r="S271" s="429" t="str">
        <f aca="false">IF(A271="N/A"," ",IF(Basischeck=TRUE(),(VLOOKUP(A271,GasCurves,IF(MONTH(A271)&gt;=4,IF(MONTH(A271)&lt;=10,11,12),12),FALSE())),0))</f>
        <v> </v>
      </c>
      <c r="T271" s="429" t="str">
        <f aca="false">IF(A271="N/A"," ",(IF(MONTH(A271)&gt;=4,IF(MONTH(A271)&lt;=10,Inputs!$H$2,Inputs!$H$3),Inputs!$H$3)))</f>
        <v> </v>
      </c>
      <c r="U271" s="430" t="str">
        <f aca="false">IF(A271="N/A"," ",(VLOOKUP($A271,InterestRatesTable,2)))</f>
        <v> </v>
      </c>
      <c r="AF271" s="384" t="n">
        <f aca="false">EOMONTH(AF270,0)+1</f>
        <v>44682</v>
      </c>
      <c r="AG271" s="36" t="n">
        <v>22</v>
      </c>
      <c r="AH271" s="36" t="n">
        <v>4</v>
      </c>
      <c r="AI271" s="36" t="n">
        <v>5</v>
      </c>
      <c r="AJ271" s="36" t="n">
        <v>1</v>
      </c>
      <c r="AK271" s="36" t="n">
        <v>31</v>
      </c>
    </row>
    <row r="272" customFormat="false" ht="12.75" hidden="false" customHeight="false" outlineLevel="0" collapsed="false">
      <c r="A272" s="420" t="str">
        <f aca="false">Calculations!A239</f>
        <v>N/A</v>
      </c>
      <c r="B272" s="421" t="str">
        <f aca="false">IF(A272="N/A"," ",IF(ISERROR(N272),B260*Pwresc,N272)*VLOOKUP(MONTH(A272),Curveadj,3))</f>
        <v> </v>
      </c>
      <c r="C272" s="422" t="str">
        <f aca="false">IF(A272="N/A"," ",(IF(AND(MONTH(A272)&gt;=6,MONTH(A272)&lt;=8,OR($M$37="REGION 2",$M$37="REGION 2A",$M$37="REGION 2B",$M$37="REGION 3",$M$37="REGION 3A",$M$37="REGION 3B",$M$37="REGION 4",$M$37="REGION 4B",$M$37="REGION 4C",$M$37="REGION 5",$M$37="REGION 5A")),((0.059228/(B272/100))-(0.4980013/(SQRT(B272/100)))+2.137988),HLOOKUP(MONTH(A272),ScalarTable,28))))</f>
        <v> </v>
      </c>
      <c r="D272" s="423" t="str">
        <f aca="false">IF(A272="N/A"," ",C272*B272)</f>
        <v> </v>
      </c>
      <c r="E272" s="421" t="str">
        <f aca="false">IF(A272="N/A"," ",IF(ISERROR(O272),E260*Pwresc,O272)*VLOOKUP(MONTH(A272),Curveadj,3))</f>
        <v> </v>
      </c>
      <c r="F272" s="423" t="str">
        <f aca="false">IF(A272="N/A"," ",E272*C272)</f>
        <v> </v>
      </c>
      <c r="G272" s="421" t="str">
        <f aca="false">IF(A272="N/A"," ",IF(ISERROR(P272),G260*Pwresc,P272)*VLOOKUP(MONTH(A272),Curveadj,3))</f>
        <v> </v>
      </c>
      <c r="H272" s="423" t="str">
        <f aca="false">IF(A272="N/A"," ",G272*C272)</f>
        <v> </v>
      </c>
      <c r="I272" s="423" t="str">
        <f aca="false">IF(A272="N/A"," ",IF(ISERROR(Q272),I260*Pwresc,Q272))</f>
        <v> </v>
      </c>
      <c r="J272" s="424" t="str">
        <f aca="false">IF(A272="N/A"," ",K272+L272+T272)</f>
        <v> </v>
      </c>
      <c r="K272" s="425" t="str">
        <f aca="false">IF(A272="N/A"," ",IF(ISERROR(R272),K260*Gasesc,R272))</f>
        <v> </v>
      </c>
      <c r="L272" s="425" t="str">
        <f aca="false">IF(A272="N/A"," ",IF(ISERROR(S272),L260*Gasesc,IF(S272=0,L260*Gasesc,S272)))</f>
        <v> </v>
      </c>
      <c r="M272" s="431"/>
      <c r="N272" s="427" t="str">
        <f aca="false">IF(A272="N/A"," ",VLOOKUP(A272,PeakPowerCurves,(IF(BMO=2,3,IF(BMO=1,2,4))),FALSE()))</f>
        <v> </v>
      </c>
      <c r="O272" s="427" t="str">
        <f aca="false">IF(A272="N/A"," ",VLOOKUP(A272,SatSunPeakPwr,(IF(BMO=2,3,IF(BMO=1,2,4))),FALSE()))</f>
        <v> </v>
      </c>
      <c r="P272" s="427" t="str">
        <f aca="false">IF(A272="N/A"," ",VLOOKUP(A272,SatSunPeakPwr,(IF(BMO=2,7,IF(BMO=1,6,8))),FALSE()))</f>
        <v> </v>
      </c>
      <c r="Q272" s="428" t="str">
        <f aca="false">IF(A272="N/A"," ",(VLOOKUP(A272,OPPowerPrices,(IF(BMO=2,7,IF(BMO=1,6,8))),FALSE())))</f>
        <v> </v>
      </c>
      <c r="R272" s="429" t="str">
        <f aca="false">IF(A272="N/A"," ",(VLOOKUP(A272,GasCurves,9,FALSE()))+IF(BMO=1,Gasbmo,IF(BMO=3,-Gasbmo,0)))</f>
        <v> </v>
      </c>
      <c r="S272" s="429" t="str">
        <f aca="false">IF(A272="N/A"," ",IF(Basischeck=TRUE(),(VLOOKUP(A272,GasCurves,IF(MONTH(A272)&gt;=4,IF(MONTH(A272)&lt;=10,11,12),12),FALSE())),0))</f>
        <v> </v>
      </c>
      <c r="T272" s="429" t="str">
        <f aca="false">IF(A272="N/A"," ",(IF(MONTH(A272)&gt;=4,IF(MONTH(A272)&lt;=10,Inputs!$H$2,Inputs!$H$3),Inputs!$H$3)))</f>
        <v> </v>
      </c>
      <c r="U272" s="430" t="str">
        <f aca="false">IF(A272="N/A"," ",(VLOOKUP($A272,InterestRatesTable,2)))</f>
        <v> </v>
      </c>
      <c r="AF272" s="384" t="n">
        <f aca="false">EOMONTH(AF271,0)+1</f>
        <v>44713</v>
      </c>
      <c r="AG272" s="36" t="n">
        <v>20</v>
      </c>
      <c r="AH272" s="36" t="n">
        <v>5</v>
      </c>
      <c r="AI272" s="36" t="n">
        <v>5</v>
      </c>
      <c r="AJ272" s="36" t="n">
        <v>0</v>
      </c>
      <c r="AK272" s="36" t="n">
        <v>30</v>
      </c>
    </row>
    <row r="273" customFormat="false" ht="12.75" hidden="false" customHeight="false" outlineLevel="0" collapsed="false">
      <c r="A273" s="420" t="str">
        <f aca="false">Calculations!A240</f>
        <v>N/A</v>
      </c>
      <c r="B273" s="421" t="str">
        <f aca="false">IF(A273="N/A"," ",IF(ISERROR(N273),B261*Pwresc,N273)*VLOOKUP(MONTH(A273),Curveadj,3))</f>
        <v> </v>
      </c>
      <c r="C273" s="422" t="str">
        <f aca="false">IF(A273="N/A"," ",(IF(AND(MONTH(A273)&gt;=6,MONTH(A273)&lt;=8,OR($M$37="REGION 2",$M$37="REGION 2A",$M$37="REGION 2B",$M$37="REGION 3",$M$37="REGION 3A",$M$37="REGION 3B",$M$37="REGION 4",$M$37="REGION 4B",$M$37="REGION 4C",$M$37="REGION 5",$M$37="REGION 5A")),((0.059228/(B273/100))-(0.4980013/(SQRT(B273/100)))+2.137988),HLOOKUP(MONTH(A273),ScalarTable,28))))</f>
        <v> </v>
      </c>
      <c r="D273" s="423" t="str">
        <f aca="false">IF(A273="N/A"," ",C273*B273)</f>
        <v> </v>
      </c>
      <c r="E273" s="421" t="str">
        <f aca="false">IF(A273="N/A"," ",IF(ISERROR(O273),E261*Pwresc,O273)*VLOOKUP(MONTH(A273),Curveadj,3))</f>
        <v> </v>
      </c>
      <c r="F273" s="423" t="str">
        <f aca="false">IF(A273="N/A"," ",E273*C273)</f>
        <v> </v>
      </c>
      <c r="G273" s="421" t="str">
        <f aca="false">IF(A273="N/A"," ",IF(ISERROR(P273),G261*Pwresc,P273)*VLOOKUP(MONTH(A273),Curveadj,3))</f>
        <v> </v>
      </c>
      <c r="H273" s="423" t="str">
        <f aca="false">IF(A273="N/A"," ",G273*C273)</f>
        <v> </v>
      </c>
      <c r="I273" s="423" t="str">
        <f aca="false">IF(A273="N/A"," ",IF(ISERROR(Q273),I261*Pwresc,Q273))</f>
        <v> </v>
      </c>
      <c r="J273" s="424" t="str">
        <f aca="false">IF(A273="N/A"," ",K273+L273+T273)</f>
        <v> </v>
      </c>
      <c r="K273" s="425" t="str">
        <f aca="false">IF(A273="N/A"," ",IF(ISERROR(R273),K261*Gasesc,R273))</f>
        <v> </v>
      </c>
      <c r="L273" s="425" t="str">
        <f aca="false">IF(A273="N/A"," ",IF(ISERROR(S273),L261*Gasesc,IF(S273=0,L261*Gasesc,S273)))</f>
        <v> </v>
      </c>
      <c r="M273" s="431"/>
      <c r="N273" s="427" t="str">
        <f aca="false">IF(A273="N/A"," ",VLOOKUP(A273,PeakPowerCurves,(IF(BMO=2,3,IF(BMO=1,2,4))),FALSE()))</f>
        <v> </v>
      </c>
      <c r="O273" s="427" t="str">
        <f aca="false">IF(A273="N/A"," ",VLOOKUP(A273,SatSunPeakPwr,(IF(BMO=2,3,IF(BMO=1,2,4))),FALSE()))</f>
        <v> </v>
      </c>
      <c r="P273" s="427" t="str">
        <f aca="false">IF(A273="N/A"," ",VLOOKUP(A273,SatSunPeakPwr,(IF(BMO=2,7,IF(BMO=1,6,8))),FALSE()))</f>
        <v> </v>
      </c>
      <c r="Q273" s="428" t="str">
        <f aca="false">IF(A273="N/A"," ",(VLOOKUP(A273,OPPowerPrices,(IF(BMO=2,7,IF(BMO=1,6,8))),FALSE())))</f>
        <v> </v>
      </c>
      <c r="R273" s="429" t="str">
        <f aca="false">IF(A273="N/A"," ",(VLOOKUP(A273,GasCurves,9,FALSE()))+IF(BMO=1,Gasbmo,IF(BMO=3,-Gasbmo,0)))</f>
        <v> </v>
      </c>
      <c r="S273" s="429" t="str">
        <f aca="false">IF(A273="N/A"," ",IF(Basischeck=TRUE(),(VLOOKUP(A273,GasCurves,IF(MONTH(A273)&gt;=4,IF(MONTH(A273)&lt;=10,11,12),12),FALSE())),0))</f>
        <v> </v>
      </c>
      <c r="T273" s="429" t="str">
        <f aca="false">IF(A273="N/A"," ",(IF(MONTH(A273)&gt;=4,IF(MONTH(A273)&lt;=10,Inputs!$H$2,Inputs!$H$3),Inputs!$H$3)))</f>
        <v> </v>
      </c>
      <c r="U273" s="430" t="str">
        <f aca="false">IF(A273="N/A"," ",(VLOOKUP($A273,InterestRatesTable,2)))</f>
        <v> </v>
      </c>
      <c r="AF273" s="384" t="n">
        <f aca="false">EOMONTH(AF272,0)+1</f>
        <v>44743</v>
      </c>
      <c r="AG273" s="36" t="n">
        <v>22</v>
      </c>
      <c r="AH273" s="36" t="n">
        <v>4</v>
      </c>
      <c r="AI273" s="36" t="n">
        <v>5</v>
      </c>
      <c r="AJ273" s="36" t="n">
        <v>1</v>
      </c>
      <c r="AK273" s="36" t="n">
        <v>31</v>
      </c>
    </row>
    <row r="274" customFormat="false" ht="12.75" hidden="false" customHeight="false" outlineLevel="0" collapsed="false">
      <c r="A274" s="420" t="str">
        <f aca="false">Calculations!A241</f>
        <v>N/A</v>
      </c>
      <c r="B274" s="421" t="str">
        <f aca="false">IF(A274="N/A"," ",IF(ISERROR(N274),B262*Pwresc,N274)*VLOOKUP(MONTH(A274),Curveadj,3))</f>
        <v> </v>
      </c>
      <c r="C274" s="422" t="str">
        <f aca="false">IF(A274="N/A"," ",(IF(AND(MONTH(A274)&gt;=6,MONTH(A274)&lt;=8,OR($M$37="REGION 2",$M$37="REGION 2A",$M$37="REGION 2B",$M$37="REGION 3",$M$37="REGION 3A",$M$37="REGION 3B",$M$37="REGION 4",$M$37="REGION 4B",$M$37="REGION 4C",$M$37="REGION 5",$M$37="REGION 5A")),((0.059228/(B274/100))-(0.4980013/(SQRT(B274/100)))+2.137988),HLOOKUP(MONTH(A274),ScalarTable,28))))</f>
        <v> </v>
      </c>
      <c r="D274" s="423" t="str">
        <f aca="false">IF(A274="N/A"," ",C274*B274)</f>
        <v> </v>
      </c>
      <c r="E274" s="421" t="str">
        <f aca="false">IF(A274="N/A"," ",IF(ISERROR(O274),E262*Pwresc,O274)*VLOOKUP(MONTH(A274),Curveadj,3))</f>
        <v> </v>
      </c>
      <c r="F274" s="423" t="str">
        <f aca="false">IF(A274="N/A"," ",E274*C274)</f>
        <v> </v>
      </c>
      <c r="G274" s="421" t="str">
        <f aca="false">IF(A274="N/A"," ",IF(ISERROR(P274),G262*Pwresc,P274)*VLOOKUP(MONTH(A274),Curveadj,3))</f>
        <v> </v>
      </c>
      <c r="H274" s="423" t="str">
        <f aca="false">IF(A274="N/A"," ",G274*C274)</f>
        <v> </v>
      </c>
      <c r="I274" s="423" t="str">
        <f aca="false">IF(A274="N/A"," ",IF(ISERROR(Q274),I262*Pwresc,Q274))</f>
        <v> </v>
      </c>
      <c r="J274" s="424" t="str">
        <f aca="false">IF(A274="N/A"," ",K274+L274+T274)</f>
        <v> </v>
      </c>
      <c r="K274" s="425" t="str">
        <f aca="false">IF(A274="N/A"," ",IF(ISERROR(R274),K262*Gasesc,R274))</f>
        <v> </v>
      </c>
      <c r="L274" s="425" t="str">
        <f aca="false">IF(A274="N/A"," ",IF(ISERROR(S274),L262*Gasesc,IF(S274=0,L262*Gasesc,S274)))</f>
        <v> </v>
      </c>
      <c r="M274" s="431"/>
      <c r="N274" s="427" t="str">
        <f aca="false">IF(A274="N/A"," ",VLOOKUP(A274,PeakPowerCurves,(IF(BMO=2,3,IF(BMO=1,2,4))),FALSE()))</f>
        <v> </v>
      </c>
      <c r="O274" s="427" t="str">
        <f aca="false">IF(A274="N/A"," ",VLOOKUP(A274,SatSunPeakPwr,(IF(BMO=2,3,IF(BMO=1,2,4))),FALSE()))</f>
        <v> </v>
      </c>
      <c r="P274" s="427" t="str">
        <f aca="false">IF(A274="N/A"," ",VLOOKUP(A274,SatSunPeakPwr,(IF(BMO=2,7,IF(BMO=1,6,8))),FALSE()))</f>
        <v> </v>
      </c>
      <c r="Q274" s="428" t="str">
        <f aca="false">IF(A274="N/A"," ",(VLOOKUP(A274,OPPowerPrices,(IF(BMO=2,7,IF(BMO=1,6,8))),FALSE())))</f>
        <v> </v>
      </c>
      <c r="R274" s="429" t="str">
        <f aca="false">IF(A274="N/A"," ",(VLOOKUP(A274,GasCurves,9,FALSE()))+IF(BMO=1,Gasbmo,IF(BMO=3,-Gasbmo,0)))</f>
        <v> </v>
      </c>
      <c r="S274" s="429" t="str">
        <f aca="false">IF(A274="N/A"," ",IF(Basischeck=TRUE(),(VLOOKUP(A274,GasCurves,IF(MONTH(A274)&gt;=4,IF(MONTH(A274)&lt;=10,11,12),12),FALSE())),0))</f>
        <v> </v>
      </c>
      <c r="T274" s="429" t="str">
        <f aca="false">IF(A274="N/A"," ",(IF(MONTH(A274)&gt;=4,IF(MONTH(A274)&lt;=10,Inputs!$H$2,Inputs!$H$3),Inputs!$H$3)))</f>
        <v> </v>
      </c>
      <c r="U274" s="430" t="str">
        <f aca="false">IF(A274="N/A"," ",(VLOOKUP($A274,InterestRatesTable,2)))</f>
        <v> </v>
      </c>
      <c r="AF274" s="384" t="n">
        <f aca="false">EOMONTH(AF273,0)+1</f>
        <v>44774</v>
      </c>
      <c r="AG274" s="36" t="n">
        <v>22</v>
      </c>
      <c r="AH274" s="36" t="n">
        <v>5</v>
      </c>
      <c r="AI274" s="36" t="n">
        <v>4</v>
      </c>
      <c r="AJ274" s="36" t="n">
        <v>0</v>
      </c>
      <c r="AK274" s="36" t="n">
        <v>31</v>
      </c>
    </row>
    <row r="275" customFormat="false" ht="12.75" hidden="false" customHeight="false" outlineLevel="0" collapsed="false">
      <c r="A275" s="420" t="str">
        <f aca="false">Calculations!A242</f>
        <v>N/A</v>
      </c>
      <c r="B275" s="421" t="str">
        <f aca="false">IF(A275="N/A"," ",IF(ISERROR(N275),B263*Pwresc,N275)*VLOOKUP(MONTH(A275),Curveadj,3))</f>
        <v> </v>
      </c>
      <c r="C275" s="422" t="str">
        <f aca="false">IF(A275="N/A"," ",(IF(AND(MONTH(A275)&gt;=6,MONTH(A275)&lt;=8,OR($M$37="REGION 2",$M$37="REGION 2A",$M$37="REGION 2B",$M$37="REGION 3",$M$37="REGION 3A",$M$37="REGION 3B",$M$37="REGION 4",$M$37="REGION 4B",$M$37="REGION 4C",$M$37="REGION 5",$M$37="REGION 5A")),((0.059228/(B275/100))-(0.4980013/(SQRT(B275/100)))+2.137988),HLOOKUP(MONTH(A275),ScalarTable,28))))</f>
        <v> </v>
      </c>
      <c r="D275" s="423" t="str">
        <f aca="false">IF(A275="N/A"," ",C275*B275)</f>
        <v> </v>
      </c>
      <c r="E275" s="421" t="str">
        <f aca="false">IF(A275="N/A"," ",IF(ISERROR(O275),E263*Pwresc,O275)*VLOOKUP(MONTH(A275),Curveadj,3))</f>
        <v> </v>
      </c>
      <c r="F275" s="423" t="str">
        <f aca="false">IF(A275="N/A"," ",E275*C275)</f>
        <v> </v>
      </c>
      <c r="G275" s="421" t="str">
        <f aca="false">IF(A275="N/A"," ",IF(ISERROR(P275),G263*Pwresc,P275)*VLOOKUP(MONTH(A275),Curveadj,3))</f>
        <v> </v>
      </c>
      <c r="H275" s="423" t="str">
        <f aca="false">IF(A275="N/A"," ",G275*C275)</f>
        <v> </v>
      </c>
      <c r="I275" s="423" t="str">
        <f aca="false">IF(A275="N/A"," ",IF(ISERROR(Q275),I263*Pwresc,Q275))</f>
        <v> </v>
      </c>
      <c r="J275" s="424" t="str">
        <f aca="false">IF(A275="N/A"," ",K275+L275+T275)</f>
        <v> </v>
      </c>
      <c r="K275" s="425" t="str">
        <f aca="false">IF(A275="N/A"," ",IF(ISERROR(R275),K263*Gasesc,R275))</f>
        <v> </v>
      </c>
      <c r="L275" s="425" t="str">
        <f aca="false">IF(A275="N/A"," ",IF(ISERROR(S275),L263*Gasesc,IF(S275=0,L263*Gasesc,S275)))</f>
        <v> </v>
      </c>
      <c r="M275" s="431"/>
      <c r="N275" s="427" t="str">
        <f aca="false">IF(A275="N/A"," ",VLOOKUP(A275,PeakPowerCurves,(IF(BMO=2,3,IF(BMO=1,2,4))),FALSE()))</f>
        <v> </v>
      </c>
      <c r="O275" s="427" t="str">
        <f aca="false">IF(A275="N/A"," ",VLOOKUP(A275,SatSunPeakPwr,(IF(BMO=2,3,IF(BMO=1,2,4))),FALSE()))</f>
        <v> </v>
      </c>
      <c r="P275" s="427" t="str">
        <f aca="false">IF(A275="N/A"," ",VLOOKUP(A275,SatSunPeakPwr,(IF(BMO=2,7,IF(BMO=1,6,8))),FALSE()))</f>
        <v> </v>
      </c>
      <c r="Q275" s="428" t="str">
        <f aca="false">IF(A275="N/A"," ",(VLOOKUP(A275,OPPowerPrices,(IF(BMO=2,7,IF(BMO=1,6,8))),FALSE())))</f>
        <v> </v>
      </c>
      <c r="R275" s="429" t="str">
        <f aca="false">IF(A275="N/A"," ",(VLOOKUP(A275,GasCurves,9,FALSE()))+IF(BMO=1,Gasbmo,IF(BMO=3,-Gasbmo,0)))</f>
        <v> </v>
      </c>
      <c r="S275" s="429" t="str">
        <f aca="false">IF(A275="N/A"," ",IF(Basischeck=TRUE(),(VLOOKUP(A275,GasCurves,IF(MONTH(A275)&gt;=4,IF(MONTH(A275)&lt;=10,11,12),12),FALSE())),0))</f>
        <v> </v>
      </c>
      <c r="T275" s="429" t="str">
        <f aca="false">IF(A275="N/A"," ",(IF(MONTH(A275)&gt;=4,IF(MONTH(A275)&lt;=10,Inputs!$H$2,Inputs!$H$3),Inputs!$H$3)))</f>
        <v> </v>
      </c>
      <c r="U275" s="430" t="str">
        <f aca="false">IF(A275="N/A"," ",(VLOOKUP($A275,InterestRatesTable,2)))</f>
        <v> </v>
      </c>
      <c r="AF275" s="384" t="n">
        <f aca="false">EOMONTH(AF274,0)+1</f>
        <v>44805</v>
      </c>
      <c r="AG275" s="36" t="n">
        <v>20</v>
      </c>
      <c r="AH275" s="36" t="n">
        <v>4</v>
      </c>
      <c r="AI275" s="36" t="n">
        <v>6</v>
      </c>
      <c r="AJ275" s="36" t="n">
        <v>1</v>
      </c>
      <c r="AK275" s="36" t="n">
        <v>30</v>
      </c>
    </row>
    <row r="276" customFormat="false" ht="12.75" hidden="false" customHeight="false" outlineLevel="0" collapsed="false">
      <c r="A276" s="420" t="str">
        <f aca="false">Calculations!A243</f>
        <v>N/A</v>
      </c>
      <c r="B276" s="421" t="str">
        <f aca="false">IF(A276="N/A"," ",IF(ISERROR(N276),B264*Pwresc,N276)*VLOOKUP(MONTH(A276),Curveadj,3))</f>
        <v> </v>
      </c>
      <c r="C276" s="422" t="str">
        <f aca="false">IF(A276="N/A"," ",(IF(AND(MONTH(A276)&gt;=6,MONTH(A276)&lt;=8,OR($M$37="REGION 2",$M$37="REGION 2A",$M$37="REGION 2B",$M$37="REGION 3",$M$37="REGION 3A",$M$37="REGION 3B",$M$37="REGION 4",$M$37="REGION 4B",$M$37="REGION 4C",$M$37="REGION 5",$M$37="REGION 5A")),((0.059228/(B276/100))-(0.4980013/(SQRT(B276/100)))+2.137988),HLOOKUP(MONTH(A276),ScalarTable,28))))</f>
        <v> </v>
      </c>
      <c r="D276" s="423" t="str">
        <f aca="false">IF(A276="N/A"," ",C276*B276)</f>
        <v> </v>
      </c>
      <c r="E276" s="421" t="str">
        <f aca="false">IF(A276="N/A"," ",IF(ISERROR(O276),E264*Pwresc,O276)*VLOOKUP(MONTH(A276),Curveadj,3))</f>
        <v> </v>
      </c>
      <c r="F276" s="423" t="str">
        <f aca="false">IF(A276="N/A"," ",E276*C276)</f>
        <v> </v>
      </c>
      <c r="G276" s="421" t="str">
        <f aca="false">IF(A276="N/A"," ",IF(ISERROR(P276),G264*Pwresc,P276)*VLOOKUP(MONTH(A276),Curveadj,3))</f>
        <v> </v>
      </c>
      <c r="H276" s="423" t="str">
        <f aca="false">IF(A276="N/A"," ",G276*C276)</f>
        <v> </v>
      </c>
      <c r="I276" s="423" t="str">
        <f aca="false">IF(A276="N/A"," ",IF(ISERROR(Q276),I264*Pwresc,Q276))</f>
        <v> </v>
      </c>
      <c r="J276" s="424" t="str">
        <f aca="false">IF(A276="N/A"," ",K276+L276+T276)</f>
        <v> </v>
      </c>
      <c r="K276" s="425" t="str">
        <f aca="false">IF(A276="N/A"," ",IF(ISERROR(R276),K264*Gasesc,R276))</f>
        <v> </v>
      </c>
      <c r="L276" s="425" t="str">
        <f aca="false">IF(A276="N/A"," ",IF(ISERROR(S276),L264*Gasesc,IF(S276=0,L264*Gasesc,S276)))</f>
        <v> </v>
      </c>
      <c r="M276" s="431"/>
      <c r="N276" s="427" t="str">
        <f aca="false">IF(A276="N/A"," ",VLOOKUP(A276,PeakPowerCurves,(IF(BMO=2,3,IF(BMO=1,2,4))),FALSE()))</f>
        <v> </v>
      </c>
      <c r="O276" s="427" t="str">
        <f aca="false">IF(A276="N/A"," ",VLOOKUP(A276,SatSunPeakPwr,(IF(BMO=2,3,IF(BMO=1,2,4))),FALSE()))</f>
        <v> </v>
      </c>
      <c r="P276" s="427" t="str">
        <f aca="false">IF(A276="N/A"," ",VLOOKUP(A276,SatSunPeakPwr,(IF(BMO=2,7,IF(BMO=1,6,8))),FALSE()))</f>
        <v> </v>
      </c>
      <c r="Q276" s="428" t="str">
        <f aca="false">IF(A276="N/A"," ",(VLOOKUP(A276,OPPowerPrices,(IF(BMO=2,7,IF(BMO=1,6,8))),FALSE())))</f>
        <v> </v>
      </c>
      <c r="R276" s="429" t="str">
        <f aca="false">IF(A276="N/A"," ",(VLOOKUP(A276,GasCurves,9,FALSE()))+IF(BMO=1,Gasbmo,IF(BMO=3,-Gasbmo,0)))</f>
        <v> </v>
      </c>
      <c r="S276" s="429" t="str">
        <f aca="false">IF(A276="N/A"," ",IF(Basischeck=TRUE(),(VLOOKUP(A276,GasCurves,IF(MONTH(A276)&gt;=4,IF(MONTH(A276)&lt;=10,11,12),12),FALSE())),0))</f>
        <v> </v>
      </c>
      <c r="T276" s="429" t="str">
        <f aca="false">IF(A276="N/A"," ",(IF(MONTH(A276)&gt;=4,IF(MONTH(A276)&lt;=10,Inputs!$H$2,Inputs!$H$3),Inputs!$H$3)))</f>
        <v> </v>
      </c>
      <c r="U276" s="430" t="str">
        <f aca="false">IF(A276="N/A"," ",(VLOOKUP($A276,InterestRatesTable,2)))</f>
        <v> </v>
      </c>
      <c r="AF276" s="384" t="n">
        <f aca="false">EOMONTH(AF275,0)+1</f>
        <v>44835</v>
      </c>
      <c r="AG276" s="36" t="n">
        <v>23</v>
      </c>
      <c r="AH276" s="36" t="n">
        <v>4</v>
      </c>
      <c r="AI276" s="36" t="n">
        <v>4</v>
      </c>
      <c r="AJ276" s="36" t="n">
        <v>0</v>
      </c>
      <c r="AK276" s="36" t="n">
        <v>31</v>
      </c>
    </row>
    <row r="277" customFormat="false" ht="12.75" hidden="false" customHeight="false" outlineLevel="0" collapsed="false">
      <c r="A277" s="420" t="str">
        <f aca="false">Calculations!A244</f>
        <v>N/A</v>
      </c>
      <c r="B277" s="421" t="str">
        <f aca="false">IF(A277="N/A"," ",IF(ISERROR(N277),B265*Pwresc,N277)*VLOOKUP(MONTH(A277),Curveadj,3))</f>
        <v> </v>
      </c>
      <c r="C277" s="422" t="str">
        <f aca="false">IF(A277="N/A"," ",(IF(AND(MONTH(A277)&gt;=6,MONTH(A277)&lt;=8,OR($M$37="REGION 2",$M$37="REGION 2A",$M$37="REGION 2B",$M$37="REGION 3",$M$37="REGION 3A",$M$37="REGION 3B",$M$37="REGION 4",$M$37="REGION 4B",$M$37="REGION 4C",$M$37="REGION 5",$M$37="REGION 5A")),((0.059228/(B277/100))-(0.4980013/(SQRT(B277/100)))+2.137988),HLOOKUP(MONTH(A277),ScalarTable,28))))</f>
        <v> </v>
      </c>
      <c r="D277" s="423" t="str">
        <f aca="false">IF(A277="N/A"," ",C277*B277)</f>
        <v> </v>
      </c>
      <c r="E277" s="421" t="str">
        <f aca="false">IF(A277="N/A"," ",IF(ISERROR(O277),E265*Pwresc,O277)*VLOOKUP(MONTH(A277),Curveadj,3))</f>
        <v> </v>
      </c>
      <c r="F277" s="423" t="str">
        <f aca="false">IF(A277="N/A"," ",E277*C277)</f>
        <v> </v>
      </c>
      <c r="G277" s="421" t="str">
        <f aca="false">IF(A277="N/A"," ",IF(ISERROR(P277),G265*Pwresc,P277)*VLOOKUP(MONTH(A277),Curveadj,3))</f>
        <v> </v>
      </c>
      <c r="H277" s="423" t="str">
        <f aca="false">IF(A277="N/A"," ",G277*C277)</f>
        <v> </v>
      </c>
      <c r="I277" s="423" t="str">
        <f aca="false">IF(A277="N/A"," ",IF(ISERROR(Q277),I265*Pwresc,Q277))</f>
        <v> </v>
      </c>
      <c r="J277" s="424" t="str">
        <f aca="false">IF(A277="N/A"," ",K277+L277+T277)</f>
        <v> </v>
      </c>
      <c r="K277" s="425" t="str">
        <f aca="false">IF(A277="N/A"," ",IF(ISERROR(R277),K265*Gasesc,R277))</f>
        <v> </v>
      </c>
      <c r="L277" s="425" t="str">
        <f aca="false">IF(A277="N/A"," ",IF(ISERROR(S277),L265*Gasesc,IF(S277=0,L265*Gasesc,S277)))</f>
        <v> </v>
      </c>
      <c r="M277" s="431"/>
      <c r="N277" s="427" t="str">
        <f aca="false">IF(A277="N/A"," ",VLOOKUP(A277,PeakPowerCurves,(IF(BMO=2,3,IF(BMO=1,2,4))),FALSE()))</f>
        <v> </v>
      </c>
      <c r="O277" s="427" t="str">
        <f aca="false">IF(A277="N/A"," ",VLOOKUP(A277,SatSunPeakPwr,(IF(BMO=2,3,IF(BMO=1,2,4))),FALSE()))</f>
        <v> </v>
      </c>
      <c r="P277" s="427" t="str">
        <f aca="false">IF(A277="N/A"," ",VLOOKUP(A277,SatSunPeakPwr,(IF(BMO=2,7,IF(BMO=1,6,8))),FALSE()))</f>
        <v> </v>
      </c>
      <c r="Q277" s="428" t="str">
        <f aca="false">IF(A277="N/A"," ",(VLOOKUP(A277,OPPowerPrices,(IF(BMO=2,7,IF(BMO=1,6,8))),FALSE())))</f>
        <v> </v>
      </c>
      <c r="R277" s="429" t="str">
        <f aca="false">IF(A277="N/A"," ",(VLOOKUP(A277,GasCurves,9,FALSE()))+IF(BMO=1,Gasbmo,IF(BMO=3,-Gasbmo,0)))</f>
        <v> </v>
      </c>
      <c r="S277" s="429" t="str">
        <f aca="false">IF(A277="N/A"," ",IF(Basischeck=TRUE(),(VLOOKUP(A277,GasCurves,IF(MONTH(A277)&gt;=4,IF(MONTH(A277)&lt;=10,11,12),12),FALSE())),0))</f>
        <v> </v>
      </c>
      <c r="T277" s="429" t="str">
        <f aca="false">IF(A277="N/A"," ",(IF(MONTH(A277)&gt;=4,IF(MONTH(A277)&lt;=10,Inputs!$H$2,Inputs!$H$3),Inputs!$H$3)))</f>
        <v> </v>
      </c>
      <c r="U277" s="430" t="str">
        <f aca="false">IF(A277="N/A"," ",(VLOOKUP($A277,InterestRatesTable,2)))</f>
        <v> </v>
      </c>
      <c r="AF277" s="384" t="n">
        <f aca="false">EOMONTH(AF276,0)+1</f>
        <v>44866</v>
      </c>
      <c r="AG277" s="36" t="n">
        <v>20</v>
      </c>
      <c r="AH277" s="36" t="n">
        <v>5</v>
      </c>
      <c r="AI277" s="36" t="n">
        <v>5</v>
      </c>
      <c r="AJ277" s="36" t="n">
        <v>1</v>
      </c>
      <c r="AK277" s="36" t="n">
        <v>30</v>
      </c>
    </row>
    <row r="278" customFormat="false" ht="12.75" hidden="false" customHeight="false" outlineLevel="0" collapsed="false">
      <c r="A278" s="420" t="str">
        <f aca="false">Calculations!A245</f>
        <v>N/A</v>
      </c>
      <c r="B278" s="421" t="str">
        <f aca="false">IF(A278="N/A"," ",IF(ISERROR(N278),B266*Pwresc,N278)*VLOOKUP(MONTH(A278),Curveadj,3))</f>
        <v> </v>
      </c>
      <c r="C278" s="422" t="str">
        <f aca="false">IF(A278="N/A"," ",(IF(AND(MONTH(A278)&gt;=6,MONTH(A278)&lt;=8,OR($M$37="REGION 2",$M$37="REGION 2A",$M$37="REGION 2B",$M$37="REGION 3",$M$37="REGION 3A",$M$37="REGION 3B",$M$37="REGION 4",$M$37="REGION 4B",$M$37="REGION 4C",$M$37="REGION 5",$M$37="REGION 5A")),((0.059228/(B278/100))-(0.4980013/(SQRT(B278/100)))+2.137988),HLOOKUP(MONTH(A278),ScalarTable,28))))</f>
        <v> </v>
      </c>
      <c r="D278" s="423" t="str">
        <f aca="false">IF(A278="N/A"," ",C278*B278)</f>
        <v> </v>
      </c>
      <c r="E278" s="421" t="str">
        <f aca="false">IF(A278="N/A"," ",IF(ISERROR(O278),E266*Pwresc,O278)*VLOOKUP(MONTH(A278),Curveadj,3))</f>
        <v> </v>
      </c>
      <c r="F278" s="423" t="str">
        <f aca="false">IF(A278="N/A"," ",E278*C278)</f>
        <v> </v>
      </c>
      <c r="G278" s="421" t="str">
        <f aca="false">IF(A278="N/A"," ",IF(ISERROR(P278),G266*Pwresc,P278)*VLOOKUP(MONTH(A278),Curveadj,3))</f>
        <v> </v>
      </c>
      <c r="H278" s="423" t="str">
        <f aca="false">IF(A278="N/A"," ",G278*C278)</f>
        <v> </v>
      </c>
      <c r="I278" s="423" t="str">
        <f aca="false">IF(A278="N/A"," ",IF(ISERROR(Q278),I266*Pwresc,Q278))</f>
        <v> </v>
      </c>
      <c r="J278" s="424" t="str">
        <f aca="false">IF(A278="N/A"," ",K278+L278+T278)</f>
        <v> </v>
      </c>
      <c r="K278" s="425" t="str">
        <f aca="false">IF(A278="N/A"," ",IF(ISERROR(R278),K266*Gasesc,R278))</f>
        <v> </v>
      </c>
      <c r="L278" s="425" t="str">
        <f aca="false">IF(A278="N/A"," ",IF(ISERROR(S278),L266*Gasesc,IF(S278=0,L266*Gasesc,S278)))</f>
        <v> </v>
      </c>
      <c r="M278" s="431"/>
      <c r="N278" s="427" t="str">
        <f aca="false">IF(A278="N/A"," ",VLOOKUP(A278,PeakPowerCurves,(IF(BMO=2,3,IF(BMO=1,2,4))),FALSE()))</f>
        <v> </v>
      </c>
      <c r="O278" s="427" t="str">
        <f aca="false">IF(A278="N/A"," ",VLOOKUP(A278,SatSunPeakPwr,(IF(BMO=2,3,IF(BMO=1,2,4))),FALSE()))</f>
        <v> </v>
      </c>
      <c r="P278" s="427" t="str">
        <f aca="false">IF(A278="N/A"," ",VLOOKUP(A278,SatSunPeakPwr,(IF(BMO=2,7,IF(BMO=1,6,8))),FALSE()))</f>
        <v> </v>
      </c>
      <c r="Q278" s="428" t="str">
        <f aca="false">IF(A278="N/A"," ",(VLOOKUP(A278,OPPowerPrices,(IF(BMO=2,7,IF(BMO=1,6,8))),FALSE())))</f>
        <v> </v>
      </c>
      <c r="R278" s="429" t="str">
        <f aca="false">IF(A278="N/A"," ",(VLOOKUP(A278,GasCurves,9,FALSE()))+IF(BMO=1,Gasbmo,IF(BMO=3,-Gasbmo,0)))</f>
        <v> </v>
      </c>
      <c r="S278" s="429" t="str">
        <f aca="false">IF(A278="N/A"," ",IF(Basischeck=TRUE(),(VLOOKUP(A278,GasCurves,IF(MONTH(A278)&gt;=4,IF(MONTH(A278)&lt;=10,11,12),12),FALSE())),0))</f>
        <v> </v>
      </c>
      <c r="T278" s="429" t="str">
        <f aca="false">IF(A278="N/A"," ",(IF(MONTH(A278)&gt;=4,IF(MONTH(A278)&lt;=10,Inputs!$H$2,Inputs!$H$3),Inputs!$H$3)))</f>
        <v> </v>
      </c>
      <c r="U278" s="430" t="str">
        <f aca="false">IF(A278="N/A"," ",(VLOOKUP($A278,InterestRatesTable,2)))</f>
        <v> </v>
      </c>
      <c r="AF278" s="384" t="n">
        <f aca="false">EOMONTH(AF277,0)+1</f>
        <v>44896</v>
      </c>
      <c r="AG278" s="36" t="n">
        <v>21</v>
      </c>
      <c r="AH278" s="36" t="n">
        <v>4</v>
      </c>
      <c r="AI278" s="36" t="n">
        <v>6</v>
      </c>
      <c r="AJ278" s="36" t="n">
        <v>1</v>
      </c>
      <c r="AK278" s="36" t="n">
        <v>31</v>
      </c>
    </row>
    <row r="279" customFormat="false" ht="12.75" hidden="false" customHeight="false" outlineLevel="0" collapsed="false">
      <c r="A279" s="420" t="str">
        <f aca="false">Calculations!A246</f>
        <v>N/A</v>
      </c>
      <c r="B279" s="421" t="str">
        <f aca="false">IF(A279="N/A"," ",IF(ISERROR(N279),B267*Pwresc,N279)*VLOOKUP(MONTH(A279),Curveadj,3))</f>
        <v> </v>
      </c>
      <c r="C279" s="422" t="str">
        <f aca="false">IF(A279="N/A"," ",(IF(AND(MONTH(A279)&gt;=6,MONTH(A279)&lt;=8,OR($M$37="REGION 2",$M$37="REGION 2A",$M$37="REGION 2B",$M$37="REGION 3",$M$37="REGION 3A",$M$37="REGION 3B",$M$37="REGION 4",$M$37="REGION 4B",$M$37="REGION 4C",$M$37="REGION 5",$M$37="REGION 5A")),((0.059228/(B279/100))-(0.4980013/(SQRT(B279/100)))+2.137988),HLOOKUP(MONTH(A279),ScalarTable,28))))</f>
        <v> </v>
      </c>
      <c r="D279" s="423" t="str">
        <f aca="false">IF(A279="N/A"," ",C279*B279)</f>
        <v> </v>
      </c>
      <c r="E279" s="421" t="str">
        <f aca="false">IF(A279="N/A"," ",IF(ISERROR(O279),E267*Pwresc,O279)*VLOOKUP(MONTH(A279),Curveadj,3))</f>
        <v> </v>
      </c>
      <c r="F279" s="423" t="str">
        <f aca="false">IF(A279="N/A"," ",E279*C279)</f>
        <v> </v>
      </c>
      <c r="G279" s="421" t="str">
        <f aca="false">IF(A279="N/A"," ",IF(ISERROR(P279),G267*Pwresc,P279)*VLOOKUP(MONTH(A279),Curveadj,3))</f>
        <v> </v>
      </c>
      <c r="H279" s="423" t="str">
        <f aca="false">IF(A279="N/A"," ",G279*C279)</f>
        <v> </v>
      </c>
      <c r="I279" s="423" t="str">
        <f aca="false">IF(A279="N/A"," ",IF(ISERROR(Q279),I267*Pwresc,Q279))</f>
        <v> </v>
      </c>
      <c r="J279" s="424" t="str">
        <f aca="false">IF(A279="N/A"," ",K279+L279+T279)</f>
        <v> </v>
      </c>
      <c r="K279" s="425" t="str">
        <f aca="false">IF(A279="N/A"," ",IF(ISERROR(R279),K267*Gasesc,R279))</f>
        <v> </v>
      </c>
      <c r="L279" s="425" t="str">
        <f aca="false">IF(A279="N/A"," ",IF(ISERROR(S279),L267*Gasesc,IF(S279=0,L267*Gasesc,S279)))</f>
        <v> </v>
      </c>
      <c r="M279" s="431"/>
      <c r="N279" s="427" t="str">
        <f aca="false">IF(A279="N/A"," ",VLOOKUP(A279,PeakPowerCurves,(IF(BMO=2,3,IF(BMO=1,2,4))),FALSE()))</f>
        <v> </v>
      </c>
      <c r="O279" s="427" t="str">
        <f aca="false">IF(A279="N/A"," ",VLOOKUP(A279,SatSunPeakPwr,(IF(BMO=2,3,IF(BMO=1,2,4))),FALSE()))</f>
        <v> </v>
      </c>
      <c r="P279" s="427" t="str">
        <f aca="false">IF(A279="N/A"," ",VLOOKUP(A279,SatSunPeakPwr,(IF(BMO=2,7,IF(BMO=1,6,8))),FALSE()))</f>
        <v> </v>
      </c>
      <c r="Q279" s="428" t="str">
        <f aca="false">IF(A279="N/A"," ",(VLOOKUP(A279,OPPowerPrices,(IF(BMO=2,7,IF(BMO=1,6,8))),FALSE())))</f>
        <v> </v>
      </c>
      <c r="R279" s="429" t="str">
        <f aca="false">IF(A279="N/A"," ",(VLOOKUP(A279,GasCurves,9,FALSE()))+IF(BMO=1,Gasbmo,IF(BMO=3,-Gasbmo,0)))</f>
        <v> </v>
      </c>
      <c r="S279" s="429" t="str">
        <f aca="false">IF(A279="N/A"," ",IF(Basischeck=TRUE(),(VLOOKUP(A279,GasCurves,IF(MONTH(A279)&gt;=4,IF(MONTH(A279)&lt;=10,11,12),12),FALSE())),0))</f>
        <v> </v>
      </c>
      <c r="T279" s="429" t="str">
        <f aca="false">IF(A279="N/A"," ",(IF(MONTH(A279)&gt;=4,IF(MONTH(A279)&lt;=10,Inputs!$H$2,Inputs!$H$3),Inputs!$H$3)))</f>
        <v> </v>
      </c>
      <c r="U279" s="430" t="str">
        <f aca="false">IF(A279="N/A"," ",(VLOOKUP($A279,InterestRatesTable,2)))</f>
        <v> </v>
      </c>
      <c r="AF279" s="384" t="n">
        <f aca="false">EOMONTH(AF278,0)+1</f>
        <v>44927</v>
      </c>
      <c r="AG279" s="36" t="n">
        <v>22</v>
      </c>
      <c r="AH279" s="36" t="n">
        <v>4</v>
      </c>
      <c r="AI279" s="36" t="n">
        <v>5</v>
      </c>
      <c r="AJ279" s="36" t="n">
        <v>1</v>
      </c>
      <c r="AK279" s="36" t="n">
        <v>31</v>
      </c>
    </row>
    <row r="280" customFormat="false" ht="12.75" hidden="false" customHeight="false" outlineLevel="0" collapsed="false">
      <c r="A280" s="420" t="str">
        <f aca="false">Calculations!A247</f>
        <v>N/A</v>
      </c>
      <c r="B280" s="421" t="str">
        <f aca="false">IF(A280="N/A"," ",IF(ISERROR(N280),B268*Pwresc,N280)*VLOOKUP(MONTH(A280),Curveadj,3))</f>
        <v> </v>
      </c>
      <c r="C280" s="422" t="str">
        <f aca="false">IF(A280="N/A"," ",(IF(AND(MONTH(A280)&gt;=6,MONTH(A280)&lt;=8,OR($M$37="REGION 2",$M$37="REGION 2A",$M$37="REGION 2B",$M$37="REGION 3",$M$37="REGION 3A",$M$37="REGION 3B",$M$37="REGION 4",$M$37="REGION 4B",$M$37="REGION 4C",$M$37="REGION 5",$M$37="REGION 5A")),((0.059228/(B280/100))-(0.4980013/(SQRT(B280/100)))+2.137988),HLOOKUP(MONTH(A280),ScalarTable,28))))</f>
        <v> </v>
      </c>
      <c r="D280" s="423" t="str">
        <f aca="false">IF(A280="N/A"," ",C280*B280)</f>
        <v> </v>
      </c>
      <c r="E280" s="421" t="str">
        <f aca="false">IF(A280="N/A"," ",IF(ISERROR(O280),E268*Pwresc,O280)*VLOOKUP(MONTH(A280),Curveadj,3))</f>
        <v> </v>
      </c>
      <c r="F280" s="423" t="str">
        <f aca="false">IF(A280="N/A"," ",E280*C280)</f>
        <v> </v>
      </c>
      <c r="G280" s="421" t="str">
        <f aca="false">IF(A280="N/A"," ",IF(ISERROR(P280),G268*Pwresc,P280)*VLOOKUP(MONTH(A280),Curveadj,3))</f>
        <v> </v>
      </c>
      <c r="H280" s="423" t="str">
        <f aca="false">IF(A280="N/A"," ",G280*C280)</f>
        <v> </v>
      </c>
      <c r="I280" s="423" t="str">
        <f aca="false">IF(A280="N/A"," ",IF(ISERROR(Q280),I268*Pwresc,Q280))</f>
        <v> </v>
      </c>
      <c r="J280" s="424" t="str">
        <f aca="false">IF(A280="N/A"," ",K280+L280+T280)</f>
        <v> </v>
      </c>
      <c r="K280" s="425" t="str">
        <f aca="false">IF(A280="N/A"," ",IF(ISERROR(R280),K268*Gasesc,R280))</f>
        <v> </v>
      </c>
      <c r="L280" s="425" t="str">
        <f aca="false">IF(A280="N/A"," ",IF(ISERROR(S280),L268*Gasesc,IF(S280=0,L268*Gasesc,S280)))</f>
        <v> </v>
      </c>
      <c r="M280" s="431"/>
      <c r="N280" s="427" t="str">
        <f aca="false">IF(A280="N/A"," ",VLOOKUP(A280,PeakPowerCurves,(IF(BMO=2,3,IF(BMO=1,2,4))),FALSE()))</f>
        <v> </v>
      </c>
      <c r="O280" s="427" t="str">
        <f aca="false">IF(A280="N/A"," ",VLOOKUP(A280,SatSunPeakPwr,(IF(BMO=2,3,IF(BMO=1,2,4))),FALSE()))</f>
        <v> </v>
      </c>
      <c r="P280" s="427" t="str">
        <f aca="false">IF(A280="N/A"," ",VLOOKUP(A280,SatSunPeakPwr,(IF(BMO=2,7,IF(BMO=1,6,8))),FALSE()))</f>
        <v> </v>
      </c>
      <c r="Q280" s="428" t="str">
        <f aca="false">IF(A280="N/A"," ",(VLOOKUP(A280,OPPowerPrices,(IF(BMO=2,7,IF(BMO=1,6,8))),FALSE())))</f>
        <v> </v>
      </c>
      <c r="R280" s="429" t="str">
        <f aca="false">IF(A280="N/A"," ",(VLOOKUP(A280,GasCurves,9,FALSE()))+IF(BMO=1,Gasbmo,IF(BMO=3,-Gasbmo,0)))</f>
        <v> </v>
      </c>
      <c r="S280" s="429" t="str">
        <f aca="false">IF(A280="N/A"," ",IF(Basischeck=TRUE(),(VLOOKUP(A280,GasCurves,IF(MONTH(A280)&gt;=4,IF(MONTH(A280)&lt;=10,11,12),12),FALSE())),0))</f>
        <v> </v>
      </c>
      <c r="T280" s="429" t="str">
        <f aca="false">IF(A280="N/A"," ",(IF(MONTH(A280)&gt;=4,IF(MONTH(A280)&lt;=10,Inputs!$H$2,Inputs!$H$3),Inputs!$H$3)))</f>
        <v> </v>
      </c>
      <c r="U280" s="430" t="str">
        <f aca="false">IF(A280="N/A"," ",(VLOOKUP($A280,InterestRatesTable,2)))</f>
        <v> </v>
      </c>
      <c r="AF280" s="384" t="n">
        <f aca="false">EOMONTH(AF279,0)+1</f>
        <v>44958</v>
      </c>
      <c r="AG280" s="36" t="n">
        <v>20</v>
      </c>
      <c r="AH280" s="36" t="n">
        <v>4</v>
      </c>
      <c r="AI280" s="36" t="n">
        <v>4</v>
      </c>
      <c r="AJ280" s="36" t="n">
        <v>0</v>
      </c>
      <c r="AK280" s="36" t="n">
        <v>28</v>
      </c>
    </row>
    <row r="281" customFormat="false" ht="12.75" hidden="false" customHeight="false" outlineLevel="0" collapsed="false">
      <c r="A281" s="420" t="str">
        <f aca="false">Calculations!A248</f>
        <v>N/A</v>
      </c>
      <c r="B281" s="421" t="str">
        <f aca="false">IF(A281="N/A"," ",IF(ISERROR(N281),B269*Pwresc,N281)*VLOOKUP(MONTH(A281),Curveadj,3))</f>
        <v> </v>
      </c>
      <c r="C281" s="422" t="str">
        <f aca="false">IF(A281="N/A"," ",(IF(AND(MONTH(A281)&gt;=6,MONTH(A281)&lt;=8,OR($M$37="REGION 2",$M$37="REGION 2A",$M$37="REGION 2B",$M$37="REGION 3",$M$37="REGION 3A",$M$37="REGION 3B",$M$37="REGION 4",$M$37="REGION 4B",$M$37="REGION 4C",$M$37="REGION 5",$M$37="REGION 5A")),((0.059228/(B281/100))-(0.4980013/(SQRT(B281/100)))+2.137988),HLOOKUP(MONTH(A281),ScalarTable,28))))</f>
        <v> </v>
      </c>
      <c r="D281" s="423" t="str">
        <f aca="false">IF(A281="N/A"," ",C281*B281)</f>
        <v> </v>
      </c>
      <c r="E281" s="421" t="str">
        <f aca="false">IF(A281="N/A"," ",IF(ISERROR(O281),E269*Pwresc,O281)*VLOOKUP(MONTH(A281),Curveadj,3))</f>
        <v> </v>
      </c>
      <c r="F281" s="423" t="str">
        <f aca="false">IF(A281="N/A"," ",E281*C281)</f>
        <v> </v>
      </c>
      <c r="G281" s="421" t="str">
        <f aca="false">IF(A281="N/A"," ",IF(ISERROR(P281),G269*Pwresc,P281)*VLOOKUP(MONTH(A281),Curveadj,3))</f>
        <v> </v>
      </c>
      <c r="H281" s="423" t="str">
        <f aca="false">IF(A281="N/A"," ",G281*C281)</f>
        <v> </v>
      </c>
      <c r="I281" s="423" t="str">
        <f aca="false">IF(A281="N/A"," ",IF(ISERROR(Q281),I269*Pwresc,Q281))</f>
        <v> </v>
      </c>
      <c r="J281" s="424" t="str">
        <f aca="false">IF(A281="N/A"," ",K281+L281+T281)</f>
        <v> </v>
      </c>
      <c r="K281" s="425" t="str">
        <f aca="false">IF(A281="N/A"," ",IF(ISERROR(R281),K269*Gasesc,R281))</f>
        <v> </v>
      </c>
      <c r="L281" s="425" t="str">
        <f aca="false">IF(A281="N/A"," ",IF(ISERROR(S281),L269*Gasesc,IF(S281=0,L269*Gasesc,S281)))</f>
        <v> </v>
      </c>
      <c r="M281" s="431"/>
      <c r="N281" s="427" t="str">
        <f aca="false">IF(A281="N/A"," ",VLOOKUP(A281,PeakPowerCurves,(IF(BMO=2,3,IF(BMO=1,2,4))),FALSE()))</f>
        <v> </v>
      </c>
      <c r="O281" s="427" t="str">
        <f aca="false">IF(A281="N/A"," ",VLOOKUP(A281,SatSunPeakPwr,(IF(BMO=2,3,IF(BMO=1,2,4))),FALSE()))</f>
        <v> </v>
      </c>
      <c r="P281" s="427" t="str">
        <f aca="false">IF(A281="N/A"," ",VLOOKUP(A281,SatSunPeakPwr,(IF(BMO=2,7,IF(BMO=1,6,8))),FALSE()))</f>
        <v> </v>
      </c>
      <c r="Q281" s="428" t="str">
        <f aca="false">IF(A281="N/A"," ",(VLOOKUP(A281,OPPowerPrices,(IF(BMO=2,7,IF(BMO=1,6,8))),FALSE())))</f>
        <v> </v>
      </c>
      <c r="R281" s="429" t="str">
        <f aca="false">IF(A281="N/A"," ",(VLOOKUP(A281,GasCurves,9,FALSE()))+IF(BMO=1,Gasbmo,IF(BMO=3,-Gasbmo,0)))</f>
        <v> </v>
      </c>
      <c r="S281" s="429" t="str">
        <f aca="false">IF(A281="N/A"," ",IF(Basischeck=TRUE(),(VLOOKUP(A281,GasCurves,IF(MONTH(A281)&gt;=4,IF(MONTH(A281)&lt;=10,11,12),12),FALSE())),0))</f>
        <v> </v>
      </c>
      <c r="T281" s="429" t="str">
        <f aca="false">IF(A281="N/A"," ",(IF(MONTH(A281)&gt;=4,IF(MONTH(A281)&lt;=10,Inputs!$H$2,Inputs!$H$3),Inputs!$H$3)))</f>
        <v> </v>
      </c>
      <c r="U281" s="430" t="str">
        <f aca="false">IF(A281="N/A"," ",(VLOOKUP($A281,InterestRatesTable,2)))</f>
        <v> </v>
      </c>
      <c r="AF281" s="384" t="n">
        <f aca="false">EOMONTH(AF280,0)+1</f>
        <v>44986</v>
      </c>
      <c r="AG281" s="36" t="n">
        <v>21</v>
      </c>
      <c r="AH281" s="36" t="n">
        <v>5</v>
      </c>
      <c r="AI281" s="36" t="n">
        <v>5</v>
      </c>
      <c r="AJ281" s="36" t="n">
        <v>0</v>
      </c>
      <c r="AK281" s="36" t="n">
        <v>31</v>
      </c>
    </row>
    <row r="282" customFormat="false" ht="12.75" hidden="false" customHeight="false" outlineLevel="0" collapsed="false">
      <c r="A282" s="420" t="str">
        <f aca="false">Calculations!A249</f>
        <v>N/A</v>
      </c>
      <c r="B282" s="421" t="str">
        <f aca="false">IF(A282="N/A"," ",IF(ISERROR(N282),B270*Pwresc,N282)*VLOOKUP(MONTH(A282),Curveadj,3))</f>
        <v> </v>
      </c>
      <c r="C282" s="422" t="str">
        <f aca="false">IF(A282="N/A"," ",(IF(AND(MONTH(A282)&gt;=6,MONTH(A282)&lt;=8,OR($M$37="REGION 2",$M$37="REGION 2A",$M$37="REGION 2B",$M$37="REGION 3",$M$37="REGION 3A",$M$37="REGION 3B",$M$37="REGION 4",$M$37="REGION 4B",$M$37="REGION 4C",$M$37="REGION 5",$M$37="REGION 5A")),((0.059228/(B282/100))-(0.4980013/(SQRT(B282/100)))+2.137988),HLOOKUP(MONTH(A282),ScalarTable,28))))</f>
        <v> </v>
      </c>
      <c r="D282" s="423" t="str">
        <f aca="false">IF(A282="N/A"," ",C282*B282)</f>
        <v> </v>
      </c>
      <c r="E282" s="421" t="str">
        <f aca="false">IF(A282="N/A"," ",IF(ISERROR(O282),E270*Pwresc,O282)*VLOOKUP(MONTH(A282),Curveadj,3))</f>
        <v> </v>
      </c>
      <c r="F282" s="423" t="str">
        <f aca="false">IF(A282="N/A"," ",E282*C282)</f>
        <v> </v>
      </c>
      <c r="G282" s="421" t="str">
        <f aca="false">IF(A282="N/A"," ",IF(ISERROR(P282),G270*Pwresc,P282)*VLOOKUP(MONTH(A282),Curveadj,3))</f>
        <v> </v>
      </c>
      <c r="H282" s="423" t="str">
        <f aca="false">IF(A282="N/A"," ",G282*C282)</f>
        <v> </v>
      </c>
      <c r="I282" s="423" t="str">
        <f aca="false">IF(A282="N/A"," ",IF(ISERROR(Q282),I270*Pwresc,Q282))</f>
        <v> </v>
      </c>
      <c r="J282" s="424" t="str">
        <f aca="false">IF(A282="N/A"," ",K282+L282+T282)</f>
        <v> </v>
      </c>
      <c r="K282" s="425" t="str">
        <f aca="false">IF(A282="N/A"," ",IF(ISERROR(R282),K270*Gasesc,R282))</f>
        <v> </v>
      </c>
      <c r="L282" s="425" t="str">
        <f aca="false">IF(A282="N/A"," ",IF(ISERROR(S282),L270*Gasesc,IF(S282=0,L270*Gasesc,S282)))</f>
        <v> </v>
      </c>
      <c r="M282" s="431"/>
      <c r="N282" s="427" t="str">
        <f aca="false">IF(A282="N/A"," ",VLOOKUP(A282,PeakPowerCurves,(IF(BMO=2,3,IF(BMO=1,2,4))),FALSE()))</f>
        <v> </v>
      </c>
      <c r="O282" s="427" t="str">
        <f aca="false">IF(A282="N/A"," ",VLOOKUP(A282,SatSunPeakPwr,(IF(BMO=2,3,IF(BMO=1,2,4))),FALSE()))</f>
        <v> </v>
      </c>
      <c r="P282" s="427" t="str">
        <f aca="false">IF(A282="N/A"," ",VLOOKUP(A282,SatSunPeakPwr,(IF(BMO=2,7,IF(BMO=1,6,8))),FALSE()))</f>
        <v> </v>
      </c>
      <c r="Q282" s="428" t="str">
        <f aca="false">IF(A282="N/A"," ",(VLOOKUP(A282,OPPowerPrices,(IF(BMO=2,7,IF(BMO=1,6,8))),FALSE())))</f>
        <v> </v>
      </c>
      <c r="R282" s="429" t="str">
        <f aca="false">IF(A282="N/A"," ",(VLOOKUP(A282,GasCurves,9,FALSE()))+IF(BMO=1,Gasbmo,IF(BMO=3,-Gasbmo,0)))</f>
        <v> </v>
      </c>
      <c r="S282" s="429" t="str">
        <f aca="false">IF(A282="N/A"," ",IF(Basischeck=TRUE(),(VLOOKUP(A282,GasCurves,IF(MONTH(A282)&gt;=4,IF(MONTH(A282)&lt;=10,11,12),12),FALSE())),0))</f>
        <v> </v>
      </c>
      <c r="T282" s="429" t="str">
        <f aca="false">IF(A282="N/A"," ",(IF(MONTH(A282)&gt;=4,IF(MONTH(A282)&lt;=10,Inputs!$H$2,Inputs!$H$3),Inputs!$H$3)))</f>
        <v> </v>
      </c>
      <c r="U282" s="430" t="str">
        <f aca="false">IF(A282="N/A"," ",(VLOOKUP($A282,InterestRatesTable,2)))</f>
        <v> </v>
      </c>
      <c r="AF282" s="384" t="n">
        <f aca="false">EOMONTH(AF281,0)+1</f>
        <v>45017</v>
      </c>
      <c r="AG282" s="36" t="n">
        <v>22</v>
      </c>
      <c r="AH282" s="36" t="n">
        <v>4</v>
      </c>
      <c r="AI282" s="36" t="n">
        <v>4</v>
      </c>
      <c r="AJ282" s="36" t="n">
        <v>0</v>
      </c>
      <c r="AK282" s="36" t="n">
        <v>30</v>
      </c>
    </row>
    <row r="283" customFormat="false" ht="12.75" hidden="false" customHeight="false" outlineLevel="0" collapsed="false">
      <c r="A283" s="420" t="str">
        <f aca="false">Calculations!A250</f>
        <v>N/A</v>
      </c>
      <c r="B283" s="421" t="str">
        <f aca="false">IF(A283="N/A"," ",IF(ISERROR(N283),B271*Pwresc,N283)*VLOOKUP(MONTH(A283),Curveadj,3))</f>
        <v> </v>
      </c>
      <c r="C283" s="422" t="str">
        <f aca="false">IF(A283="N/A"," ",(IF(AND(MONTH(A283)&gt;=6,MONTH(A283)&lt;=8,OR($M$37="REGION 2",$M$37="REGION 2A",$M$37="REGION 2B",$M$37="REGION 3",$M$37="REGION 3A",$M$37="REGION 3B",$M$37="REGION 4",$M$37="REGION 4B",$M$37="REGION 4C",$M$37="REGION 5",$M$37="REGION 5A")),((0.059228/(B283/100))-(0.4980013/(SQRT(B283/100)))+2.137988),HLOOKUP(MONTH(A283),ScalarTable,28))))</f>
        <v> </v>
      </c>
      <c r="D283" s="423" t="str">
        <f aca="false">IF(A283="N/A"," ",C283*B283)</f>
        <v> </v>
      </c>
      <c r="E283" s="421" t="str">
        <f aca="false">IF(A283="N/A"," ",IF(ISERROR(O283),E271*Pwresc,O283)*VLOOKUP(MONTH(A283),Curveadj,3))</f>
        <v> </v>
      </c>
      <c r="F283" s="423" t="str">
        <f aca="false">IF(A283="N/A"," ",E283*C283)</f>
        <v> </v>
      </c>
      <c r="G283" s="421" t="str">
        <f aca="false">IF(A283="N/A"," ",IF(ISERROR(P283),G271*Pwresc,P283)*VLOOKUP(MONTH(A283),Curveadj,3))</f>
        <v> </v>
      </c>
      <c r="H283" s="423" t="str">
        <f aca="false">IF(A283="N/A"," ",G283*C283)</f>
        <v> </v>
      </c>
      <c r="I283" s="423" t="str">
        <f aca="false">IF(A283="N/A"," ",IF(ISERROR(Q283),I271*Pwresc,Q283))</f>
        <v> </v>
      </c>
      <c r="J283" s="424" t="str">
        <f aca="false">IF(A283="N/A"," ",K283+L283+T283)</f>
        <v> </v>
      </c>
      <c r="K283" s="425" t="str">
        <f aca="false">IF(A283="N/A"," ",IF(ISERROR(R283),K271*Gasesc,R283))</f>
        <v> </v>
      </c>
      <c r="L283" s="425" t="str">
        <f aca="false">IF(A283="N/A"," ",IF(ISERROR(S283),L271*Gasesc,IF(S283=0,L271*Gasesc,S283)))</f>
        <v> </v>
      </c>
      <c r="M283" s="431"/>
      <c r="N283" s="427" t="str">
        <f aca="false">IF(A283="N/A"," ",VLOOKUP(A283,PeakPowerCurves,(IF(BMO=2,3,IF(BMO=1,2,4))),FALSE()))</f>
        <v> </v>
      </c>
      <c r="O283" s="427" t="str">
        <f aca="false">IF(A283="N/A"," ",VLOOKUP(A283,SatSunPeakPwr,(IF(BMO=2,3,IF(BMO=1,2,4))),FALSE()))</f>
        <v> </v>
      </c>
      <c r="P283" s="427" t="str">
        <f aca="false">IF(A283="N/A"," ",VLOOKUP(A283,SatSunPeakPwr,(IF(BMO=2,7,IF(BMO=1,6,8))),FALSE()))</f>
        <v> </v>
      </c>
      <c r="Q283" s="428" t="str">
        <f aca="false">IF(A283="N/A"," ",(VLOOKUP(A283,OPPowerPrices,(IF(BMO=2,7,IF(BMO=1,6,8))),FALSE())))</f>
        <v> </v>
      </c>
      <c r="R283" s="429" t="str">
        <f aca="false">IF(A283="N/A"," ",(VLOOKUP(A283,GasCurves,9,FALSE()))+IF(BMO=1,Gasbmo,IF(BMO=3,-Gasbmo,0)))</f>
        <v> </v>
      </c>
      <c r="S283" s="429" t="str">
        <f aca="false">IF(A283="N/A"," ",IF(Basischeck=TRUE(),(VLOOKUP(A283,GasCurves,IF(MONTH(A283)&gt;=4,IF(MONTH(A283)&lt;=10,11,12),12),FALSE())),0))</f>
        <v> </v>
      </c>
      <c r="T283" s="429" t="str">
        <f aca="false">IF(A283="N/A"," ",(IF(MONTH(A283)&gt;=4,IF(MONTH(A283)&lt;=10,Inputs!$H$2,Inputs!$H$3),Inputs!$H$3)))</f>
        <v> </v>
      </c>
      <c r="U283" s="430" t="str">
        <f aca="false">IF(A283="N/A"," ",(VLOOKUP($A283,InterestRatesTable,2)))</f>
        <v> </v>
      </c>
      <c r="AF283" s="384" t="n">
        <f aca="false">EOMONTH(AF282,0)+1</f>
        <v>45047</v>
      </c>
      <c r="AG283" s="36" t="n">
        <v>22</v>
      </c>
      <c r="AH283" s="36" t="n">
        <v>4</v>
      </c>
      <c r="AI283" s="36" t="n">
        <v>5</v>
      </c>
      <c r="AJ283" s="36" t="n">
        <v>1</v>
      </c>
      <c r="AK283" s="36" t="n">
        <v>31</v>
      </c>
    </row>
    <row r="284" customFormat="false" ht="12.75" hidden="false" customHeight="false" outlineLevel="0" collapsed="false">
      <c r="A284" s="420" t="str">
        <f aca="false">Calculations!A251</f>
        <v>N/A</v>
      </c>
      <c r="B284" s="421" t="str">
        <f aca="false">IF(A284="N/A"," ",IF(ISERROR(N284),B272*Pwresc,N284)*VLOOKUP(MONTH(A284),Curveadj,3))</f>
        <v> </v>
      </c>
      <c r="C284" s="422" t="str">
        <f aca="false">IF(A284="N/A"," ",(IF(AND(MONTH(A284)&gt;=6,MONTH(A284)&lt;=8,OR($M$37="REGION 2",$M$37="REGION 2A",$M$37="REGION 2B",$M$37="REGION 3",$M$37="REGION 3A",$M$37="REGION 3B",$M$37="REGION 4",$M$37="REGION 4B",$M$37="REGION 4C",$M$37="REGION 5",$M$37="REGION 5A")),((0.059228/(B284/100))-(0.4980013/(SQRT(B284/100)))+2.137988),HLOOKUP(MONTH(A284),ScalarTable,28))))</f>
        <v> </v>
      </c>
      <c r="D284" s="423" t="str">
        <f aca="false">IF(A284="N/A"," ",C284*B284)</f>
        <v> </v>
      </c>
      <c r="E284" s="421" t="str">
        <f aca="false">IF(A284="N/A"," ",IF(ISERROR(O284),E272*Pwresc,O284)*VLOOKUP(MONTH(A284),Curveadj,3))</f>
        <v> </v>
      </c>
      <c r="F284" s="423" t="str">
        <f aca="false">IF(A284="N/A"," ",E284*C284)</f>
        <v> </v>
      </c>
      <c r="G284" s="421" t="str">
        <f aca="false">IF(A284="N/A"," ",IF(ISERROR(P284),G272*Pwresc,P284)*VLOOKUP(MONTH(A284),Curveadj,3))</f>
        <v> </v>
      </c>
      <c r="H284" s="423" t="str">
        <f aca="false">IF(A284="N/A"," ",G284*C284)</f>
        <v> </v>
      </c>
      <c r="I284" s="423" t="str">
        <f aca="false">IF(A284="N/A"," ",IF(ISERROR(Q284),I272*Pwresc,Q284))</f>
        <v> </v>
      </c>
      <c r="J284" s="424" t="str">
        <f aca="false">IF(A284="N/A"," ",K284+L284+T284)</f>
        <v> </v>
      </c>
      <c r="K284" s="425" t="str">
        <f aca="false">IF(A284="N/A"," ",IF(ISERROR(R284),K272*Gasesc,R284))</f>
        <v> </v>
      </c>
      <c r="L284" s="425" t="str">
        <f aca="false">IF(A284="N/A"," ",IF(ISERROR(S284),L272*Gasesc,IF(S284=0,L272*Gasesc,S284)))</f>
        <v> </v>
      </c>
      <c r="M284" s="431"/>
      <c r="N284" s="427" t="str">
        <f aca="false">IF(A284="N/A"," ",VLOOKUP(A284,PeakPowerCurves,(IF(BMO=2,3,IF(BMO=1,2,4))),FALSE()))</f>
        <v> </v>
      </c>
      <c r="O284" s="427" t="str">
        <f aca="false">IF(A284="N/A"," ",VLOOKUP(A284,SatSunPeakPwr,(IF(BMO=2,3,IF(BMO=1,2,4))),FALSE()))</f>
        <v> </v>
      </c>
      <c r="P284" s="427" t="str">
        <f aca="false">IF(A284="N/A"," ",VLOOKUP(A284,SatSunPeakPwr,(IF(BMO=2,7,IF(BMO=1,6,8))),FALSE()))</f>
        <v> </v>
      </c>
      <c r="Q284" s="428" t="str">
        <f aca="false">IF(A284="N/A"," ",(VLOOKUP(A284,OPPowerPrices,(IF(BMO=2,7,IF(BMO=1,6,8))),FALSE())))</f>
        <v> </v>
      </c>
      <c r="R284" s="429" t="str">
        <f aca="false">IF(A284="N/A"," ",(VLOOKUP(A284,GasCurves,9,FALSE()))+IF(BMO=1,Gasbmo,IF(BMO=3,-Gasbmo,0)))</f>
        <v> </v>
      </c>
      <c r="S284" s="429" t="str">
        <f aca="false">IF(A284="N/A"," ",IF(Basischeck=TRUE(),(VLOOKUP(A284,GasCurves,IF(MONTH(A284)&gt;=4,IF(MONTH(A284)&lt;=10,11,12),12),FALSE())),0))</f>
        <v> </v>
      </c>
      <c r="T284" s="429" t="str">
        <f aca="false">IF(A284="N/A"," ",(IF(MONTH(A284)&gt;=4,IF(MONTH(A284)&lt;=10,Inputs!$H$2,Inputs!$H$3),Inputs!$H$3)))</f>
        <v> </v>
      </c>
      <c r="U284" s="430" t="str">
        <f aca="false">IF(A284="N/A"," ",(VLOOKUP($A284,InterestRatesTable,2)))</f>
        <v> </v>
      </c>
      <c r="AF284" s="384" t="n">
        <f aca="false">EOMONTH(AF283,0)+1</f>
        <v>45078</v>
      </c>
      <c r="AG284" s="36" t="n">
        <v>20</v>
      </c>
      <c r="AH284" s="36" t="n">
        <v>5</v>
      </c>
      <c r="AI284" s="36" t="n">
        <v>5</v>
      </c>
      <c r="AJ284" s="36" t="n">
        <v>0</v>
      </c>
      <c r="AK284" s="36" t="n">
        <v>30</v>
      </c>
    </row>
    <row r="285" customFormat="false" ht="12.75" hidden="false" customHeight="false" outlineLevel="0" collapsed="false">
      <c r="A285" s="420" t="str">
        <f aca="false">Calculations!A252</f>
        <v>N/A</v>
      </c>
      <c r="B285" s="421" t="str">
        <f aca="false">IF(A285="N/A"," ",IF(ISERROR(N285),B273*Pwresc,N285)*VLOOKUP(MONTH(A285),Curveadj,3))</f>
        <v> </v>
      </c>
      <c r="C285" s="422" t="str">
        <f aca="false">IF(A285="N/A"," ",(IF(AND(MONTH(A285)&gt;=6,MONTH(A285)&lt;=8,OR($M$37="REGION 2",$M$37="REGION 2A",$M$37="REGION 2B",$M$37="REGION 3",$M$37="REGION 3A",$M$37="REGION 3B",$M$37="REGION 4",$M$37="REGION 4B",$M$37="REGION 4C",$M$37="REGION 5",$M$37="REGION 5A")),((0.059228/(B285/100))-(0.4980013/(SQRT(B285/100)))+2.137988),HLOOKUP(MONTH(A285),ScalarTable,28))))</f>
        <v> </v>
      </c>
      <c r="D285" s="423" t="str">
        <f aca="false">IF(A285="N/A"," ",C285*B285)</f>
        <v> </v>
      </c>
      <c r="E285" s="421" t="str">
        <f aca="false">IF(A285="N/A"," ",IF(ISERROR(O285),E273*Pwresc,O285)*VLOOKUP(MONTH(A285),Curveadj,3))</f>
        <v> </v>
      </c>
      <c r="F285" s="423" t="str">
        <f aca="false">IF(A285="N/A"," ",E285*C285)</f>
        <v> </v>
      </c>
      <c r="G285" s="421" t="str">
        <f aca="false">IF(A285="N/A"," ",IF(ISERROR(P285),G273*Pwresc,P285)*VLOOKUP(MONTH(A285),Curveadj,3))</f>
        <v> </v>
      </c>
      <c r="H285" s="423" t="str">
        <f aca="false">IF(A285="N/A"," ",G285*C285)</f>
        <v> </v>
      </c>
      <c r="I285" s="423" t="str">
        <f aca="false">IF(A285="N/A"," ",IF(ISERROR(Q285),I273*Pwresc,Q285))</f>
        <v> </v>
      </c>
      <c r="J285" s="424" t="str">
        <f aca="false">IF(A285="N/A"," ",K285+L285+T285)</f>
        <v> </v>
      </c>
      <c r="K285" s="425" t="str">
        <f aca="false">IF(A285="N/A"," ",IF(ISERROR(R285),K273*Gasesc,R285))</f>
        <v> </v>
      </c>
      <c r="L285" s="425" t="str">
        <f aca="false">IF(A285="N/A"," ",IF(ISERROR(S285),L273*Gasesc,IF(S285=0,L273*Gasesc,S285)))</f>
        <v> </v>
      </c>
      <c r="M285" s="431"/>
      <c r="N285" s="427" t="str">
        <f aca="false">IF(A285="N/A"," ",VLOOKUP(A285,PeakPowerCurves,(IF(BMO=2,3,IF(BMO=1,2,4))),FALSE()))</f>
        <v> </v>
      </c>
      <c r="O285" s="427" t="str">
        <f aca="false">IF(A285="N/A"," ",VLOOKUP(A285,SatSunPeakPwr,(IF(BMO=2,3,IF(BMO=1,2,4))),FALSE()))</f>
        <v> </v>
      </c>
      <c r="P285" s="427" t="str">
        <f aca="false">IF(A285="N/A"," ",VLOOKUP(A285,SatSunPeakPwr,(IF(BMO=2,7,IF(BMO=1,6,8))),FALSE()))</f>
        <v> </v>
      </c>
      <c r="Q285" s="428" t="str">
        <f aca="false">IF(A285="N/A"," ",(VLOOKUP(A285,OPPowerPrices,(IF(BMO=2,7,IF(BMO=1,6,8))),FALSE())))</f>
        <v> </v>
      </c>
      <c r="R285" s="429" t="str">
        <f aca="false">IF(A285="N/A"," ",(VLOOKUP(A285,GasCurves,9,FALSE()))+IF(BMO=1,Gasbmo,IF(BMO=3,-Gasbmo,0)))</f>
        <v> </v>
      </c>
      <c r="S285" s="429" t="str">
        <f aca="false">IF(A285="N/A"," ",IF(Basischeck=TRUE(),(VLOOKUP(A285,GasCurves,IF(MONTH(A285)&gt;=4,IF(MONTH(A285)&lt;=10,11,12),12),FALSE())),0))</f>
        <v> </v>
      </c>
      <c r="T285" s="429" t="str">
        <f aca="false">IF(A285="N/A"," ",(IF(MONTH(A285)&gt;=4,IF(MONTH(A285)&lt;=10,Inputs!$H$2,Inputs!$H$3),Inputs!$H$3)))</f>
        <v> </v>
      </c>
      <c r="U285" s="430" t="str">
        <f aca="false">IF(A285="N/A"," ",(VLOOKUP($A285,InterestRatesTable,2)))</f>
        <v> </v>
      </c>
      <c r="AF285" s="384" t="n">
        <f aca="false">EOMONTH(AF284,0)+1</f>
        <v>45108</v>
      </c>
      <c r="AG285" s="36" t="n">
        <v>22</v>
      </c>
      <c r="AH285" s="36" t="n">
        <v>4</v>
      </c>
      <c r="AI285" s="36" t="n">
        <v>5</v>
      </c>
      <c r="AJ285" s="36" t="n">
        <v>1</v>
      </c>
      <c r="AK285" s="36" t="n">
        <v>31</v>
      </c>
    </row>
    <row r="286" customFormat="false" ht="12.75" hidden="false" customHeight="false" outlineLevel="0" collapsed="false">
      <c r="A286" s="420" t="str">
        <f aca="false">Calculations!A253</f>
        <v>N/A</v>
      </c>
      <c r="B286" s="421" t="str">
        <f aca="false">IF(A286="N/A"," ",IF(ISERROR(N286),B274*Pwresc,N286)*VLOOKUP(MONTH(A286),Curveadj,3))</f>
        <v> </v>
      </c>
      <c r="C286" s="422" t="str">
        <f aca="false">IF(A286="N/A"," ",(IF(AND(MONTH(A286)&gt;=6,MONTH(A286)&lt;=8,OR($M$37="REGION 2",$M$37="REGION 2A",$M$37="REGION 2B",$M$37="REGION 3",$M$37="REGION 3A",$M$37="REGION 3B",$M$37="REGION 4",$M$37="REGION 4B",$M$37="REGION 4C",$M$37="REGION 5",$M$37="REGION 5A")),((0.059228/(B286/100))-(0.4980013/(SQRT(B286/100)))+2.137988),HLOOKUP(MONTH(A286),ScalarTable,28))))</f>
        <v> </v>
      </c>
      <c r="D286" s="423" t="str">
        <f aca="false">IF(A286="N/A"," ",C286*B286)</f>
        <v> </v>
      </c>
      <c r="E286" s="421" t="str">
        <f aca="false">IF(A286="N/A"," ",IF(ISERROR(O286),E274*Pwresc,O286)*VLOOKUP(MONTH(A286),Curveadj,3))</f>
        <v> </v>
      </c>
      <c r="F286" s="423" t="str">
        <f aca="false">IF(A286="N/A"," ",E286*C286)</f>
        <v> </v>
      </c>
      <c r="G286" s="421" t="str">
        <f aca="false">IF(A286="N/A"," ",IF(ISERROR(P286),G274*Pwresc,P286)*VLOOKUP(MONTH(A286),Curveadj,3))</f>
        <v> </v>
      </c>
      <c r="H286" s="423" t="str">
        <f aca="false">IF(A286="N/A"," ",G286*C286)</f>
        <v> </v>
      </c>
      <c r="I286" s="423" t="str">
        <f aca="false">IF(A286="N/A"," ",IF(ISERROR(Q286),I274*Pwresc,Q286))</f>
        <v> </v>
      </c>
      <c r="J286" s="424" t="str">
        <f aca="false">IF(A286="N/A"," ",K286+L286+T286)</f>
        <v> </v>
      </c>
      <c r="K286" s="425" t="str">
        <f aca="false">IF(A286="N/A"," ",IF(ISERROR(R286),K274*Gasesc,R286))</f>
        <v> </v>
      </c>
      <c r="L286" s="425" t="str">
        <f aca="false">IF(A286="N/A"," ",IF(ISERROR(S286),L274*Gasesc,IF(S286=0,L274*Gasesc,S286)))</f>
        <v> </v>
      </c>
      <c r="M286" s="431"/>
      <c r="N286" s="427" t="str">
        <f aca="false">IF(A286="N/A"," ",VLOOKUP(A286,PeakPowerCurves,(IF(BMO=2,3,IF(BMO=1,2,4))),FALSE()))</f>
        <v> </v>
      </c>
      <c r="O286" s="427" t="str">
        <f aca="false">IF(A286="N/A"," ",VLOOKUP(A286,SatSunPeakPwr,(IF(BMO=2,3,IF(BMO=1,2,4))),FALSE()))</f>
        <v> </v>
      </c>
      <c r="P286" s="427" t="str">
        <f aca="false">IF(A286="N/A"," ",VLOOKUP(A286,SatSunPeakPwr,(IF(BMO=2,7,IF(BMO=1,6,8))),FALSE()))</f>
        <v> </v>
      </c>
      <c r="Q286" s="428" t="str">
        <f aca="false">IF(A286="N/A"," ",(VLOOKUP(A286,OPPowerPrices,(IF(BMO=2,7,IF(BMO=1,6,8))),FALSE())))</f>
        <v> </v>
      </c>
      <c r="R286" s="429" t="str">
        <f aca="false">IF(A286="N/A"," ",(VLOOKUP(A286,GasCurves,9,FALSE()))+IF(BMO=1,Gasbmo,IF(BMO=3,-Gasbmo,0)))</f>
        <v> </v>
      </c>
      <c r="S286" s="429" t="str">
        <f aca="false">IF(A286="N/A"," ",IF(Basischeck=TRUE(),(VLOOKUP(A286,GasCurves,IF(MONTH(A286)&gt;=4,IF(MONTH(A286)&lt;=10,11,12),12),FALSE())),0))</f>
        <v> </v>
      </c>
      <c r="T286" s="429" t="str">
        <f aca="false">IF(A286="N/A"," ",(IF(MONTH(A286)&gt;=4,IF(MONTH(A286)&lt;=10,Inputs!$H$2,Inputs!$H$3),Inputs!$H$3)))</f>
        <v> </v>
      </c>
      <c r="U286" s="430" t="str">
        <f aca="false">IF(A286="N/A"," ",(VLOOKUP($A286,InterestRatesTable,2)))</f>
        <v> </v>
      </c>
      <c r="AF286" s="384" t="n">
        <f aca="false">EOMONTH(AF285,0)+1</f>
        <v>45139</v>
      </c>
      <c r="AG286" s="36" t="n">
        <v>22</v>
      </c>
      <c r="AH286" s="36" t="n">
        <v>5</v>
      </c>
      <c r="AI286" s="36" t="n">
        <v>4</v>
      </c>
      <c r="AJ286" s="36" t="n">
        <v>0</v>
      </c>
      <c r="AK286" s="36" t="n">
        <v>31</v>
      </c>
    </row>
    <row r="287" customFormat="false" ht="12.75" hidden="false" customHeight="false" outlineLevel="0" collapsed="false">
      <c r="A287" s="420" t="str">
        <f aca="false">Calculations!A254</f>
        <v>N/A</v>
      </c>
      <c r="B287" s="421" t="str">
        <f aca="false">IF(A287="N/A"," ",IF(ISERROR(N287),B275*Pwresc,N287)*VLOOKUP(MONTH(A287),Curveadj,3))</f>
        <v> </v>
      </c>
      <c r="C287" s="422" t="str">
        <f aca="false">IF(A287="N/A"," ",(IF(AND(MONTH(A287)&gt;=6,MONTH(A287)&lt;=8,OR($M$37="REGION 2",$M$37="REGION 2A",$M$37="REGION 2B",$M$37="REGION 3",$M$37="REGION 3A",$M$37="REGION 3B",$M$37="REGION 4",$M$37="REGION 4B",$M$37="REGION 4C",$M$37="REGION 5",$M$37="REGION 5A")),((0.059228/(B287/100))-(0.4980013/(SQRT(B287/100)))+2.137988),HLOOKUP(MONTH(A287),ScalarTable,28))))</f>
        <v> </v>
      </c>
      <c r="D287" s="423" t="str">
        <f aca="false">IF(A287="N/A"," ",C287*B287)</f>
        <v> </v>
      </c>
      <c r="E287" s="421" t="str">
        <f aca="false">IF(A287="N/A"," ",IF(ISERROR(O287),E275*Pwresc,O287)*VLOOKUP(MONTH(A287),Curveadj,3))</f>
        <v> </v>
      </c>
      <c r="F287" s="423" t="str">
        <f aca="false">IF(A287="N/A"," ",E287*C287)</f>
        <v> </v>
      </c>
      <c r="G287" s="421" t="str">
        <f aca="false">IF(A287="N/A"," ",IF(ISERROR(P287),G275*Pwresc,P287)*VLOOKUP(MONTH(A287),Curveadj,3))</f>
        <v> </v>
      </c>
      <c r="H287" s="423" t="str">
        <f aca="false">IF(A287="N/A"," ",G287*C287)</f>
        <v> </v>
      </c>
      <c r="I287" s="423" t="str">
        <f aca="false">IF(A287="N/A"," ",IF(ISERROR(Q287),I275*Pwresc,Q287))</f>
        <v> </v>
      </c>
      <c r="J287" s="424" t="str">
        <f aca="false">IF(A287="N/A"," ",K287+L287+T287)</f>
        <v> </v>
      </c>
      <c r="K287" s="425" t="str">
        <f aca="false">IF(A287="N/A"," ",IF(ISERROR(R287),K275*Gasesc,R287))</f>
        <v> </v>
      </c>
      <c r="L287" s="425" t="str">
        <f aca="false">IF(A287="N/A"," ",IF(ISERROR(S287),L275*Gasesc,IF(S287=0,L275*Gasesc,S287)))</f>
        <v> </v>
      </c>
      <c r="M287" s="431"/>
      <c r="N287" s="427" t="str">
        <f aca="false">IF(A287="N/A"," ",VLOOKUP(A287,PeakPowerCurves,(IF(BMO=2,3,IF(BMO=1,2,4))),FALSE()))</f>
        <v> </v>
      </c>
      <c r="O287" s="427" t="str">
        <f aca="false">IF(A287="N/A"," ",VLOOKUP(A287,SatSunPeakPwr,(IF(BMO=2,3,IF(BMO=1,2,4))),FALSE()))</f>
        <v> </v>
      </c>
      <c r="P287" s="427" t="str">
        <f aca="false">IF(A287="N/A"," ",VLOOKUP(A287,SatSunPeakPwr,(IF(BMO=2,7,IF(BMO=1,6,8))),FALSE()))</f>
        <v> </v>
      </c>
      <c r="Q287" s="428" t="str">
        <f aca="false">IF(A287="N/A"," ",(VLOOKUP(A287,OPPowerPrices,(IF(BMO=2,7,IF(BMO=1,6,8))),FALSE())))</f>
        <v> </v>
      </c>
      <c r="R287" s="429" t="str">
        <f aca="false">IF(A287="N/A"," ",(VLOOKUP(A287,GasCurves,9,FALSE()))+IF(BMO=1,Gasbmo,IF(BMO=3,-Gasbmo,0)))</f>
        <v> </v>
      </c>
      <c r="S287" s="429" t="str">
        <f aca="false">IF(A287="N/A"," ",IF(Basischeck=TRUE(),(VLOOKUP(A287,GasCurves,IF(MONTH(A287)&gt;=4,IF(MONTH(A287)&lt;=10,11,12),12),FALSE())),0))</f>
        <v> </v>
      </c>
      <c r="T287" s="429" t="str">
        <f aca="false">IF(A287="N/A"," ",(IF(MONTH(A287)&gt;=4,IF(MONTH(A287)&lt;=10,Inputs!$H$2,Inputs!$H$3),Inputs!$H$3)))</f>
        <v> </v>
      </c>
      <c r="U287" s="430" t="str">
        <f aca="false">IF(A287="N/A"," ",(VLOOKUP($A287,InterestRatesTable,2)))</f>
        <v> </v>
      </c>
      <c r="AF287" s="384" t="n">
        <f aca="false">EOMONTH(AF286,0)+1</f>
        <v>45170</v>
      </c>
      <c r="AG287" s="36" t="n">
        <v>20</v>
      </c>
      <c r="AH287" s="36" t="n">
        <v>4</v>
      </c>
      <c r="AI287" s="36" t="n">
        <v>6</v>
      </c>
      <c r="AJ287" s="36" t="n">
        <v>1</v>
      </c>
      <c r="AK287" s="36" t="n">
        <v>30</v>
      </c>
    </row>
    <row r="288" customFormat="false" ht="12.75" hidden="false" customHeight="false" outlineLevel="0" collapsed="false">
      <c r="A288" s="420" t="str">
        <f aca="false">Calculations!A255</f>
        <v>N/A</v>
      </c>
      <c r="B288" s="421" t="str">
        <f aca="false">IF(A288="N/A"," ",IF(ISERROR(N288),B276*Pwresc,N288)*VLOOKUP(MONTH(A288),Curveadj,3))</f>
        <v> </v>
      </c>
      <c r="C288" s="422" t="str">
        <f aca="false">IF(A288="N/A"," ",(IF(AND(MONTH(A288)&gt;=6,MONTH(A288)&lt;=8,OR($M$37="REGION 2",$M$37="REGION 2A",$M$37="REGION 2B",$M$37="REGION 3",$M$37="REGION 3A",$M$37="REGION 3B",$M$37="REGION 4",$M$37="REGION 4B",$M$37="REGION 4C",$M$37="REGION 5",$M$37="REGION 5A")),((0.059228/(B288/100))-(0.4980013/(SQRT(B288/100)))+2.137988),HLOOKUP(MONTH(A288),ScalarTable,28))))</f>
        <v> </v>
      </c>
      <c r="D288" s="423" t="str">
        <f aca="false">IF(A288="N/A"," ",C288*B288)</f>
        <v> </v>
      </c>
      <c r="E288" s="421" t="str">
        <f aca="false">IF(A288="N/A"," ",IF(ISERROR(O288),E276*Pwresc,O288)*VLOOKUP(MONTH(A288),Curveadj,3))</f>
        <v> </v>
      </c>
      <c r="F288" s="423" t="str">
        <f aca="false">IF(A288="N/A"," ",E288*C288)</f>
        <v> </v>
      </c>
      <c r="G288" s="421" t="str">
        <f aca="false">IF(A288="N/A"," ",IF(ISERROR(P288),G276*Pwresc,P288)*VLOOKUP(MONTH(A288),Curveadj,3))</f>
        <v> </v>
      </c>
      <c r="H288" s="423" t="str">
        <f aca="false">IF(A288="N/A"," ",G288*C288)</f>
        <v> </v>
      </c>
      <c r="I288" s="423" t="str">
        <f aca="false">IF(A288="N/A"," ",IF(ISERROR(Q288),I276*Pwresc,Q288))</f>
        <v> </v>
      </c>
      <c r="J288" s="424" t="str">
        <f aca="false">IF(A288="N/A"," ",K288+L288+T288)</f>
        <v> </v>
      </c>
      <c r="K288" s="425" t="str">
        <f aca="false">IF(A288="N/A"," ",IF(ISERROR(R288),K276*Gasesc,R288))</f>
        <v> </v>
      </c>
      <c r="L288" s="425" t="str">
        <f aca="false">IF(A288="N/A"," ",IF(ISERROR(S288),L276*Gasesc,IF(S288=0,L276*Gasesc,S288)))</f>
        <v> </v>
      </c>
      <c r="M288" s="431"/>
      <c r="N288" s="427" t="str">
        <f aca="false">IF(A288="N/A"," ",VLOOKUP(A288,PeakPowerCurves,(IF(BMO=2,3,IF(BMO=1,2,4))),FALSE()))</f>
        <v> </v>
      </c>
      <c r="O288" s="427" t="str">
        <f aca="false">IF(A288="N/A"," ",VLOOKUP(A288,SatSunPeakPwr,(IF(BMO=2,3,IF(BMO=1,2,4))),FALSE()))</f>
        <v> </v>
      </c>
      <c r="P288" s="427" t="str">
        <f aca="false">IF(A288="N/A"," ",VLOOKUP(A288,SatSunPeakPwr,(IF(BMO=2,7,IF(BMO=1,6,8))),FALSE()))</f>
        <v> </v>
      </c>
      <c r="Q288" s="428" t="str">
        <f aca="false">IF(A288="N/A"," ",(VLOOKUP(A288,OPPowerPrices,(IF(BMO=2,7,IF(BMO=1,6,8))),FALSE())))</f>
        <v> </v>
      </c>
      <c r="R288" s="429" t="str">
        <f aca="false">IF(A288="N/A"," ",(VLOOKUP(A288,GasCurves,9,FALSE()))+IF(BMO=1,Gasbmo,IF(BMO=3,-Gasbmo,0)))</f>
        <v> </v>
      </c>
      <c r="S288" s="429" t="str">
        <f aca="false">IF(A288="N/A"," ",IF(Basischeck=TRUE(),(VLOOKUP(A288,GasCurves,IF(MONTH(A288)&gt;=4,IF(MONTH(A288)&lt;=10,11,12),12),FALSE())),0))</f>
        <v> </v>
      </c>
      <c r="T288" s="429" t="str">
        <f aca="false">IF(A288="N/A"," ",(IF(MONTH(A288)&gt;=4,IF(MONTH(A288)&lt;=10,Inputs!$H$2,Inputs!$H$3),Inputs!$H$3)))</f>
        <v> </v>
      </c>
      <c r="U288" s="430" t="str">
        <f aca="false">IF(A288="N/A"," ",(VLOOKUP($A288,InterestRatesTable,2)))</f>
        <v> </v>
      </c>
      <c r="AF288" s="384" t="n">
        <f aca="false">EOMONTH(AF287,0)+1</f>
        <v>45200</v>
      </c>
      <c r="AG288" s="36" t="n">
        <v>23</v>
      </c>
      <c r="AH288" s="36" t="n">
        <v>4</v>
      </c>
      <c r="AI288" s="36" t="n">
        <v>4</v>
      </c>
      <c r="AJ288" s="36" t="n">
        <v>0</v>
      </c>
      <c r="AK288" s="36" t="n">
        <v>31</v>
      </c>
    </row>
    <row r="289" customFormat="false" ht="12.75" hidden="false" customHeight="false" outlineLevel="0" collapsed="false">
      <c r="A289" s="432"/>
      <c r="B289" s="421"/>
      <c r="C289" s="433"/>
      <c r="D289" s="434"/>
      <c r="E289" s="421"/>
      <c r="F289" s="434"/>
      <c r="G289" s="421"/>
      <c r="H289" s="434"/>
      <c r="I289" s="434"/>
      <c r="J289" s="435"/>
      <c r="K289" s="425"/>
      <c r="L289" s="425"/>
      <c r="M289" s="84"/>
      <c r="N289" s="421"/>
      <c r="O289" s="421"/>
      <c r="P289" s="421"/>
      <c r="Q289" s="434"/>
      <c r="R289" s="435"/>
      <c r="S289" s="435"/>
      <c r="T289" s="435"/>
      <c r="AF289" s="384" t="n">
        <f aca="false">EOMONTH(AF288,0)+1</f>
        <v>45231</v>
      </c>
      <c r="AG289" s="36" t="n">
        <v>20</v>
      </c>
      <c r="AH289" s="36" t="n">
        <v>5</v>
      </c>
      <c r="AI289" s="36" t="n">
        <v>5</v>
      </c>
      <c r="AJ289" s="36" t="n">
        <v>1</v>
      </c>
      <c r="AK289" s="36" t="n">
        <v>30</v>
      </c>
    </row>
    <row r="290" customFormat="false" ht="12.75" hidden="false" customHeight="false" outlineLevel="0" collapsed="false">
      <c r="A290" s="432"/>
      <c r="B290" s="421"/>
      <c r="C290" s="433"/>
      <c r="D290" s="434"/>
      <c r="E290" s="421"/>
      <c r="F290" s="434"/>
      <c r="G290" s="421"/>
      <c r="H290" s="434"/>
      <c r="I290" s="434"/>
      <c r="J290" s="435"/>
      <c r="K290" s="425"/>
      <c r="L290" s="425"/>
      <c r="M290" s="84"/>
      <c r="N290" s="421"/>
      <c r="O290" s="421"/>
      <c r="P290" s="421"/>
      <c r="Q290" s="434"/>
      <c r="R290" s="435"/>
      <c r="S290" s="435"/>
      <c r="T290" s="435"/>
      <c r="AF290" s="384" t="n">
        <f aca="false">EOMONTH(AF289,0)+1</f>
        <v>45261</v>
      </c>
      <c r="AG290" s="36" t="n">
        <v>21</v>
      </c>
      <c r="AH290" s="36" t="n">
        <v>4</v>
      </c>
      <c r="AI290" s="36" t="n">
        <v>6</v>
      </c>
      <c r="AJ290" s="36" t="n">
        <v>1</v>
      </c>
      <c r="AK290" s="36" t="n">
        <v>31</v>
      </c>
    </row>
    <row r="291" customFormat="false" ht="12.75" hidden="false" customHeight="false" outlineLevel="0" collapsed="false">
      <c r="A291" s="432"/>
      <c r="B291" s="421"/>
      <c r="C291" s="433"/>
      <c r="D291" s="434"/>
      <c r="E291" s="421"/>
      <c r="F291" s="434"/>
      <c r="G291" s="421"/>
      <c r="H291" s="434"/>
      <c r="I291" s="434"/>
      <c r="J291" s="435"/>
      <c r="K291" s="425"/>
      <c r="L291" s="425"/>
      <c r="M291" s="84"/>
      <c r="N291" s="421"/>
      <c r="O291" s="421"/>
      <c r="P291" s="421"/>
      <c r="Q291" s="434"/>
      <c r="R291" s="435"/>
      <c r="S291" s="435"/>
      <c r="T291" s="435"/>
      <c r="AF291" s="384" t="n">
        <f aca="false">EOMONTH(AF290,0)+1</f>
        <v>45292</v>
      </c>
      <c r="AG291" s="36" t="n">
        <v>22</v>
      </c>
      <c r="AH291" s="36" t="n">
        <v>4</v>
      </c>
      <c r="AI291" s="36" t="n">
        <v>5</v>
      </c>
      <c r="AJ291" s="36" t="n">
        <v>1</v>
      </c>
      <c r="AK291" s="36" t="n">
        <v>31</v>
      </c>
    </row>
    <row r="292" customFormat="false" ht="12.75" hidden="false" customHeight="false" outlineLevel="0" collapsed="false">
      <c r="A292" s="432"/>
      <c r="B292" s="421"/>
      <c r="C292" s="433"/>
      <c r="D292" s="434"/>
      <c r="E292" s="421"/>
      <c r="F292" s="434"/>
      <c r="G292" s="421"/>
      <c r="H292" s="434"/>
      <c r="I292" s="434"/>
      <c r="J292" s="435"/>
      <c r="K292" s="425"/>
      <c r="L292" s="425"/>
      <c r="M292" s="84"/>
      <c r="N292" s="421"/>
      <c r="O292" s="421"/>
      <c r="P292" s="421"/>
      <c r="Q292" s="434"/>
      <c r="R292" s="435"/>
      <c r="S292" s="435"/>
      <c r="T292" s="435"/>
      <c r="AF292" s="384" t="n">
        <f aca="false">EOMONTH(AF291,0)+1</f>
        <v>45323</v>
      </c>
      <c r="AG292" s="36" t="n">
        <v>20</v>
      </c>
      <c r="AH292" s="36" t="n">
        <v>5</v>
      </c>
      <c r="AI292" s="36" t="n">
        <v>4</v>
      </c>
      <c r="AJ292" s="36" t="n">
        <v>0</v>
      </c>
      <c r="AK292" s="36" t="n">
        <v>29</v>
      </c>
    </row>
    <row r="293" customFormat="false" ht="12.75" hidden="false" customHeight="false" outlineLevel="0" collapsed="false">
      <c r="A293" s="432"/>
      <c r="B293" s="421"/>
      <c r="C293" s="433"/>
      <c r="D293" s="434"/>
      <c r="E293" s="421"/>
      <c r="F293" s="434"/>
      <c r="G293" s="421"/>
      <c r="H293" s="434"/>
      <c r="I293" s="434"/>
      <c r="J293" s="435"/>
      <c r="K293" s="425"/>
      <c r="L293" s="425"/>
      <c r="M293" s="84"/>
      <c r="N293" s="421"/>
      <c r="O293" s="421"/>
      <c r="P293" s="421"/>
      <c r="Q293" s="434"/>
      <c r="R293" s="435"/>
      <c r="S293" s="435"/>
      <c r="T293" s="435"/>
      <c r="AF293" s="384" t="n">
        <f aca="false">EOMONTH(AF292,0)+1</f>
        <v>45352</v>
      </c>
      <c r="AG293" s="36" t="n">
        <v>22</v>
      </c>
      <c r="AH293" s="36" t="n">
        <v>4</v>
      </c>
      <c r="AI293" s="36" t="n">
        <v>5</v>
      </c>
      <c r="AJ293" s="36" t="n">
        <v>0</v>
      </c>
      <c r="AK293" s="36" t="n">
        <v>31</v>
      </c>
    </row>
    <row r="294" customFormat="false" ht="12.75" hidden="false" customHeight="false" outlineLevel="0" collapsed="false">
      <c r="A294" s="432"/>
      <c r="B294" s="421"/>
      <c r="C294" s="433"/>
      <c r="D294" s="434"/>
      <c r="E294" s="421"/>
      <c r="F294" s="434"/>
      <c r="G294" s="421"/>
      <c r="H294" s="434"/>
      <c r="I294" s="434"/>
      <c r="J294" s="435"/>
      <c r="K294" s="425"/>
      <c r="L294" s="425"/>
      <c r="M294" s="84"/>
      <c r="N294" s="421"/>
      <c r="O294" s="421"/>
      <c r="P294" s="421"/>
      <c r="Q294" s="434"/>
      <c r="R294" s="435"/>
      <c r="S294" s="435"/>
      <c r="T294" s="435"/>
      <c r="AF294" s="384" t="n">
        <f aca="false">EOMONTH(AF293,0)+1</f>
        <v>45383</v>
      </c>
      <c r="AG294" s="36" t="n">
        <v>22</v>
      </c>
      <c r="AH294" s="36" t="n">
        <v>4</v>
      </c>
      <c r="AI294" s="36" t="n">
        <v>4</v>
      </c>
      <c r="AJ294" s="36" t="n">
        <v>0</v>
      </c>
      <c r="AK294" s="36" t="n">
        <v>30</v>
      </c>
    </row>
    <row r="295" customFormat="false" ht="12.75" hidden="false" customHeight="false" outlineLevel="0" collapsed="false">
      <c r="A295" s="432"/>
      <c r="B295" s="421"/>
      <c r="C295" s="433"/>
      <c r="D295" s="434"/>
      <c r="E295" s="421"/>
      <c r="F295" s="434"/>
      <c r="G295" s="421"/>
      <c r="H295" s="434"/>
      <c r="I295" s="434"/>
      <c r="J295" s="435"/>
      <c r="K295" s="425"/>
      <c r="L295" s="425"/>
      <c r="M295" s="84"/>
      <c r="N295" s="421"/>
      <c r="O295" s="421"/>
      <c r="P295" s="421"/>
      <c r="Q295" s="434"/>
      <c r="R295" s="435"/>
      <c r="S295" s="435"/>
      <c r="T295" s="435"/>
      <c r="AF295" s="384" t="n">
        <f aca="false">EOMONTH(AF294,0)+1</f>
        <v>45413</v>
      </c>
      <c r="AG295" s="36" t="n">
        <v>20</v>
      </c>
      <c r="AH295" s="36" t="n">
        <v>5</v>
      </c>
      <c r="AI295" s="36" t="n">
        <v>6</v>
      </c>
      <c r="AJ295" s="36" t="n">
        <v>1</v>
      </c>
      <c r="AK295" s="36" t="n">
        <v>31</v>
      </c>
    </row>
    <row r="296" customFormat="false" ht="12.75" hidden="false" customHeight="false" outlineLevel="0" collapsed="false">
      <c r="A296" s="432"/>
      <c r="B296" s="421"/>
      <c r="C296" s="433"/>
      <c r="D296" s="434"/>
      <c r="E296" s="421"/>
      <c r="F296" s="434"/>
      <c r="G296" s="421"/>
      <c r="H296" s="434"/>
      <c r="I296" s="434"/>
      <c r="J296" s="435"/>
      <c r="K296" s="425"/>
      <c r="L296" s="425"/>
      <c r="M296" s="84"/>
      <c r="N296" s="421"/>
      <c r="O296" s="421"/>
      <c r="P296" s="421"/>
      <c r="Q296" s="434"/>
      <c r="R296" s="435"/>
      <c r="S296" s="435"/>
      <c r="T296" s="435"/>
      <c r="AF296" s="384" t="n">
        <f aca="false">EOMONTH(AF295,0)+1</f>
        <v>45444</v>
      </c>
      <c r="AG296" s="36" t="n">
        <v>22</v>
      </c>
      <c r="AH296" s="36" t="n">
        <v>4</v>
      </c>
      <c r="AI296" s="36" t="n">
        <v>4</v>
      </c>
      <c r="AJ296" s="36" t="n">
        <v>0</v>
      </c>
      <c r="AK296" s="36" t="n">
        <v>30</v>
      </c>
    </row>
    <row r="297" customFormat="false" ht="12.75" hidden="false" customHeight="false" outlineLevel="0" collapsed="false">
      <c r="A297" s="432"/>
      <c r="B297" s="421"/>
      <c r="C297" s="433"/>
      <c r="D297" s="434"/>
      <c r="E297" s="421"/>
      <c r="F297" s="434"/>
      <c r="G297" s="421"/>
      <c r="H297" s="434"/>
      <c r="I297" s="434"/>
      <c r="J297" s="435"/>
      <c r="K297" s="425"/>
      <c r="L297" s="425"/>
      <c r="M297" s="84"/>
      <c r="N297" s="421"/>
      <c r="O297" s="421"/>
      <c r="P297" s="421"/>
      <c r="Q297" s="434"/>
      <c r="R297" s="435"/>
      <c r="S297" s="435"/>
      <c r="T297" s="435"/>
      <c r="AF297" s="384" t="n">
        <f aca="false">EOMONTH(AF296,0)+1</f>
        <v>45474</v>
      </c>
      <c r="AG297" s="36" t="n">
        <v>23</v>
      </c>
      <c r="AH297" s="36" t="n">
        <v>3</v>
      </c>
      <c r="AI297" s="36" t="n">
        <v>5</v>
      </c>
      <c r="AJ297" s="36" t="n">
        <v>1</v>
      </c>
      <c r="AK297" s="36" t="n">
        <v>31</v>
      </c>
    </row>
    <row r="298" customFormat="false" ht="12.75" hidden="false" customHeight="false" outlineLevel="0" collapsed="false">
      <c r="A298" s="432"/>
      <c r="B298" s="421"/>
      <c r="C298" s="433"/>
      <c r="D298" s="434"/>
      <c r="E298" s="421"/>
      <c r="F298" s="434"/>
      <c r="G298" s="421"/>
      <c r="H298" s="434"/>
      <c r="I298" s="434"/>
      <c r="J298" s="435"/>
      <c r="K298" s="425"/>
      <c r="L298" s="425"/>
      <c r="M298" s="84"/>
      <c r="N298" s="421"/>
      <c r="O298" s="421"/>
      <c r="P298" s="421"/>
      <c r="Q298" s="434"/>
      <c r="R298" s="435"/>
      <c r="S298" s="435"/>
      <c r="T298" s="435"/>
      <c r="AF298" s="384" t="n">
        <f aca="false">EOMONTH(AF297,0)+1</f>
        <v>45505</v>
      </c>
      <c r="AG298" s="36" t="n">
        <v>21</v>
      </c>
      <c r="AH298" s="36" t="n">
        <v>5</v>
      </c>
      <c r="AI298" s="36" t="n">
        <v>5</v>
      </c>
      <c r="AJ298" s="36" t="n">
        <v>0</v>
      </c>
      <c r="AK298" s="36" t="n">
        <v>31</v>
      </c>
    </row>
    <row r="299" customFormat="false" ht="12.75" hidden="false" customHeight="false" outlineLevel="0" collapsed="false">
      <c r="A299" s="432"/>
      <c r="B299" s="421"/>
      <c r="C299" s="433"/>
      <c r="D299" s="434"/>
      <c r="E299" s="421"/>
      <c r="F299" s="434"/>
      <c r="G299" s="421"/>
      <c r="H299" s="434"/>
      <c r="I299" s="434"/>
      <c r="J299" s="435"/>
      <c r="K299" s="425"/>
      <c r="L299" s="425"/>
      <c r="M299" s="84"/>
      <c r="N299" s="421"/>
      <c r="O299" s="421"/>
      <c r="P299" s="421"/>
      <c r="Q299" s="434"/>
      <c r="R299" s="435"/>
      <c r="S299" s="435"/>
      <c r="T299" s="435"/>
      <c r="AF299" s="384" t="n">
        <f aca="false">EOMONTH(AF298,0)+1</f>
        <v>45536</v>
      </c>
      <c r="AG299" s="36" t="n">
        <v>21</v>
      </c>
      <c r="AH299" s="36" t="n">
        <v>4</v>
      </c>
      <c r="AI299" s="36" t="n">
        <v>5</v>
      </c>
      <c r="AJ299" s="36" t="n">
        <v>1</v>
      </c>
      <c r="AK299" s="36" t="n">
        <v>30</v>
      </c>
    </row>
    <row r="300" customFormat="false" ht="12.75" hidden="false" customHeight="false" outlineLevel="0" collapsed="false">
      <c r="A300" s="432"/>
      <c r="B300" s="421"/>
      <c r="C300" s="433"/>
      <c r="D300" s="434"/>
      <c r="E300" s="421"/>
      <c r="F300" s="434"/>
      <c r="G300" s="421"/>
      <c r="H300" s="434"/>
      <c r="I300" s="434"/>
      <c r="J300" s="435"/>
      <c r="K300" s="425"/>
      <c r="L300" s="425"/>
      <c r="M300" s="84"/>
      <c r="N300" s="421"/>
      <c r="O300" s="421"/>
      <c r="P300" s="421"/>
      <c r="Q300" s="434"/>
      <c r="R300" s="435"/>
      <c r="S300" s="435"/>
      <c r="T300" s="435"/>
      <c r="AF300" s="384" t="n">
        <f aca="false">EOMONTH(AF299,0)+1</f>
        <v>45566</v>
      </c>
      <c r="AG300" s="36" t="n">
        <v>22</v>
      </c>
      <c r="AH300" s="36" t="n">
        <v>5</v>
      </c>
      <c r="AI300" s="36" t="n">
        <v>4</v>
      </c>
      <c r="AJ300" s="36" t="n">
        <v>0</v>
      </c>
      <c r="AK300" s="36" t="n">
        <v>31</v>
      </c>
    </row>
    <row r="301" customFormat="false" ht="12.75" hidden="false" customHeight="false" outlineLevel="0" collapsed="false">
      <c r="A301" s="432"/>
      <c r="B301" s="421"/>
      <c r="C301" s="433"/>
      <c r="D301" s="434"/>
      <c r="E301" s="421"/>
      <c r="F301" s="434"/>
      <c r="G301" s="421"/>
      <c r="H301" s="434"/>
      <c r="I301" s="434"/>
      <c r="J301" s="435"/>
      <c r="K301" s="425"/>
      <c r="L301" s="425"/>
      <c r="M301" s="84"/>
      <c r="N301" s="421"/>
      <c r="O301" s="421"/>
      <c r="P301" s="421"/>
      <c r="Q301" s="434"/>
      <c r="R301" s="435"/>
      <c r="S301" s="435"/>
      <c r="T301" s="435"/>
      <c r="AF301" s="384" t="n">
        <f aca="false">EOMONTH(AF300,0)+1</f>
        <v>45597</v>
      </c>
      <c r="AG301" s="36" t="n">
        <v>20</v>
      </c>
      <c r="AH301" s="36" t="n">
        <v>4</v>
      </c>
      <c r="AI301" s="36" t="n">
        <v>6</v>
      </c>
      <c r="AJ301" s="36" t="n">
        <v>1</v>
      </c>
      <c r="AK301" s="36" t="n">
        <v>30</v>
      </c>
    </row>
    <row r="302" customFormat="false" ht="12.75" hidden="false" customHeight="false" outlineLevel="0" collapsed="false">
      <c r="A302" s="432"/>
      <c r="B302" s="421"/>
      <c r="C302" s="433"/>
      <c r="D302" s="434"/>
      <c r="E302" s="421"/>
      <c r="F302" s="434"/>
      <c r="G302" s="421"/>
      <c r="H302" s="434"/>
      <c r="I302" s="434"/>
      <c r="J302" s="435"/>
      <c r="K302" s="425"/>
      <c r="L302" s="425"/>
      <c r="M302" s="84"/>
      <c r="N302" s="421"/>
      <c r="O302" s="421"/>
      <c r="P302" s="421"/>
      <c r="Q302" s="434"/>
      <c r="R302" s="435"/>
      <c r="S302" s="435"/>
      <c r="T302" s="435"/>
      <c r="AF302" s="384" t="n">
        <f aca="false">EOMONTH(AF301,0)+1</f>
        <v>45627</v>
      </c>
      <c r="AG302" s="36" t="n">
        <v>22</v>
      </c>
      <c r="AH302" s="36" t="n">
        <v>4</v>
      </c>
      <c r="AI302" s="36" t="n">
        <v>5</v>
      </c>
      <c r="AJ302" s="36" t="n">
        <v>1</v>
      </c>
      <c r="AK302" s="36" t="n">
        <v>31</v>
      </c>
    </row>
    <row r="303" customFormat="false" ht="12.75" hidden="false" customHeight="false" outlineLevel="0" collapsed="false">
      <c r="A303" s="432"/>
      <c r="B303" s="421"/>
      <c r="C303" s="433"/>
      <c r="D303" s="434"/>
      <c r="E303" s="421"/>
      <c r="F303" s="434"/>
      <c r="G303" s="421"/>
      <c r="H303" s="434"/>
      <c r="I303" s="434"/>
      <c r="J303" s="435"/>
      <c r="K303" s="425"/>
      <c r="L303" s="425"/>
      <c r="M303" s="84"/>
      <c r="N303" s="421"/>
      <c r="O303" s="421"/>
      <c r="P303" s="421"/>
      <c r="Q303" s="434"/>
      <c r="R303" s="435"/>
      <c r="S303" s="435"/>
      <c r="T303" s="435"/>
      <c r="AF303" s="384" t="n">
        <f aca="false">EOMONTH(AF302,0)+1</f>
        <v>45658</v>
      </c>
      <c r="AG303" s="36" t="n">
        <v>22</v>
      </c>
      <c r="AH303" s="36" t="n">
        <v>4</v>
      </c>
      <c r="AI303" s="36" t="n">
        <v>5</v>
      </c>
      <c r="AJ303" s="36" t="n">
        <v>1</v>
      </c>
      <c r="AK303" s="36" t="n">
        <v>31</v>
      </c>
    </row>
    <row r="304" customFormat="false" ht="12.75" hidden="false" customHeight="false" outlineLevel="0" collapsed="false">
      <c r="A304" s="432"/>
      <c r="B304" s="421"/>
      <c r="C304" s="433"/>
      <c r="D304" s="434"/>
      <c r="E304" s="421"/>
      <c r="F304" s="434"/>
      <c r="G304" s="421"/>
      <c r="H304" s="434"/>
      <c r="I304" s="434"/>
      <c r="J304" s="435"/>
      <c r="K304" s="425"/>
      <c r="L304" s="425"/>
      <c r="M304" s="84"/>
      <c r="N304" s="421"/>
      <c r="O304" s="421"/>
      <c r="P304" s="421"/>
      <c r="Q304" s="434"/>
      <c r="R304" s="435"/>
      <c r="S304" s="435"/>
      <c r="T304" s="435"/>
      <c r="AF304" s="384" t="n">
        <f aca="false">EOMONTH(AF303,0)+1</f>
        <v>45689</v>
      </c>
      <c r="AG304" s="36" t="n">
        <v>20</v>
      </c>
      <c r="AH304" s="36" t="n">
        <v>4</v>
      </c>
      <c r="AI304" s="36" t="n">
        <v>4</v>
      </c>
      <c r="AJ304" s="36" t="n">
        <v>0</v>
      </c>
      <c r="AK304" s="36" t="n">
        <v>28</v>
      </c>
    </row>
    <row r="305" customFormat="false" ht="12.75" hidden="false" customHeight="false" outlineLevel="0" collapsed="false">
      <c r="A305" s="432"/>
      <c r="B305" s="421"/>
      <c r="C305" s="433"/>
      <c r="D305" s="434"/>
      <c r="E305" s="421"/>
      <c r="F305" s="434"/>
      <c r="G305" s="421"/>
      <c r="H305" s="434"/>
      <c r="I305" s="434"/>
      <c r="J305" s="435"/>
      <c r="K305" s="425"/>
      <c r="L305" s="425"/>
      <c r="M305" s="84"/>
      <c r="N305" s="421"/>
      <c r="O305" s="421"/>
      <c r="P305" s="421"/>
      <c r="Q305" s="434"/>
      <c r="R305" s="435"/>
      <c r="S305" s="435"/>
      <c r="T305" s="435"/>
      <c r="AF305" s="384" t="n">
        <f aca="false">EOMONTH(AF304,0)+1</f>
        <v>45717</v>
      </c>
      <c r="AG305" s="36" t="n">
        <v>21</v>
      </c>
      <c r="AH305" s="36" t="n">
        <v>5</v>
      </c>
      <c r="AI305" s="36" t="n">
        <v>5</v>
      </c>
      <c r="AJ305" s="36" t="n">
        <v>0</v>
      </c>
      <c r="AK305" s="36" t="n">
        <v>31</v>
      </c>
    </row>
    <row r="306" customFormat="false" ht="12.75" hidden="false" customHeight="false" outlineLevel="0" collapsed="false">
      <c r="A306" s="432"/>
      <c r="B306" s="421"/>
      <c r="C306" s="433"/>
      <c r="D306" s="434"/>
      <c r="E306" s="421"/>
      <c r="F306" s="434"/>
      <c r="G306" s="421"/>
      <c r="H306" s="434"/>
      <c r="I306" s="434"/>
      <c r="J306" s="435"/>
      <c r="K306" s="425"/>
      <c r="L306" s="425"/>
      <c r="M306" s="84"/>
      <c r="N306" s="421"/>
      <c r="O306" s="421"/>
      <c r="P306" s="421"/>
      <c r="Q306" s="434"/>
      <c r="R306" s="435"/>
      <c r="S306" s="435"/>
      <c r="T306" s="435"/>
      <c r="AF306" s="384" t="n">
        <f aca="false">EOMONTH(AF305,0)+1</f>
        <v>45748</v>
      </c>
      <c r="AG306" s="36" t="n">
        <v>22</v>
      </c>
      <c r="AH306" s="36" t="n">
        <v>4</v>
      </c>
      <c r="AI306" s="36" t="n">
        <v>4</v>
      </c>
      <c r="AJ306" s="36" t="n">
        <v>0</v>
      </c>
      <c r="AK306" s="36" t="n">
        <v>30</v>
      </c>
    </row>
    <row r="307" customFormat="false" ht="12.75" hidden="false" customHeight="false" outlineLevel="0" collapsed="false">
      <c r="A307" s="432"/>
      <c r="B307" s="421"/>
      <c r="C307" s="433"/>
      <c r="D307" s="434"/>
      <c r="E307" s="421"/>
      <c r="F307" s="434"/>
      <c r="G307" s="421"/>
      <c r="H307" s="434"/>
      <c r="I307" s="434"/>
      <c r="J307" s="435"/>
      <c r="K307" s="425"/>
      <c r="L307" s="425"/>
      <c r="M307" s="84"/>
      <c r="N307" s="421"/>
      <c r="O307" s="421"/>
      <c r="P307" s="421"/>
      <c r="Q307" s="434"/>
      <c r="R307" s="435"/>
      <c r="S307" s="435"/>
      <c r="T307" s="435"/>
      <c r="AF307" s="384" t="n">
        <f aca="false">EOMONTH(AF306,0)+1</f>
        <v>45778</v>
      </c>
      <c r="AG307" s="36" t="n">
        <v>22</v>
      </c>
      <c r="AH307" s="36" t="n">
        <v>4</v>
      </c>
      <c r="AI307" s="36" t="n">
        <v>5</v>
      </c>
      <c r="AJ307" s="36" t="n">
        <v>1</v>
      </c>
      <c r="AK307" s="36" t="n">
        <v>31</v>
      </c>
    </row>
    <row r="308" customFormat="false" ht="12.75" hidden="false" customHeight="false" outlineLevel="0" collapsed="false">
      <c r="A308" s="432"/>
      <c r="B308" s="421"/>
      <c r="C308" s="433"/>
      <c r="D308" s="434"/>
      <c r="E308" s="421"/>
      <c r="F308" s="434"/>
      <c r="G308" s="421"/>
      <c r="H308" s="434"/>
      <c r="I308" s="434"/>
      <c r="J308" s="435"/>
      <c r="K308" s="425"/>
      <c r="L308" s="425"/>
      <c r="M308" s="84"/>
      <c r="N308" s="421"/>
      <c r="O308" s="421"/>
      <c r="P308" s="421"/>
      <c r="Q308" s="434"/>
      <c r="R308" s="435"/>
      <c r="S308" s="435"/>
      <c r="T308" s="435"/>
      <c r="AF308" s="384" t="n">
        <f aca="false">EOMONTH(AF307,0)+1</f>
        <v>45809</v>
      </c>
      <c r="AG308" s="36" t="n">
        <v>20</v>
      </c>
      <c r="AH308" s="36" t="n">
        <v>5</v>
      </c>
      <c r="AI308" s="36" t="n">
        <v>5</v>
      </c>
      <c r="AJ308" s="36" t="n">
        <v>0</v>
      </c>
      <c r="AK308" s="36" t="n">
        <v>30</v>
      </c>
    </row>
    <row r="309" customFormat="false" ht="12.75" hidden="false" customHeight="false" outlineLevel="0" collapsed="false">
      <c r="A309" s="432"/>
      <c r="B309" s="421"/>
      <c r="C309" s="433"/>
      <c r="D309" s="434"/>
      <c r="E309" s="421"/>
      <c r="F309" s="434"/>
      <c r="G309" s="421"/>
      <c r="H309" s="434"/>
      <c r="I309" s="434"/>
      <c r="J309" s="435"/>
      <c r="K309" s="425"/>
      <c r="L309" s="425"/>
      <c r="M309" s="84"/>
      <c r="N309" s="421"/>
      <c r="O309" s="421"/>
      <c r="P309" s="421"/>
      <c r="Q309" s="434"/>
      <c r="R309" s="435"/>
      <c r="S309" s="435"/>
      <c r="T309" s="435"/>
      <c r="AF309" s="384" t="n">
        <f aca="false">EOMONTH(AF308,0)+1</f>
        <v>45839</v>
      </c>
      <c r="AG309" s="36" t="n">
        <v>22</v>
      </c>
      <c r="AH309" s="36" t="n">
        <v>4</v>
      </c>
      <c r="AI309" s="36" t="n">
        <v>5</v>
      </c>
      <c r="AJ309" s="36" t="n">
        <v>1</v>
      </c>
      <c r="AK309" s="36" t="n">
        <v>31</v>
      </c>
    </row>
    <row r="310" customFormat="false" ht="12.75" hidden="false" customHeight="false" outlineLevel="0" collapsed="false">
      <c r="A310" s="432"/>
      <c r="B310" s="421"/>
      <c r="C310" s="433"/>
      <c r="D310" s="434"/>
      <c r="E310" s="421"/>
      <c r="F310" s="434"/>
      <c r="G310" s="421"/>
      <c r="H310" s="434"/>
      <c r="I310" s="434"/>
      <c r="J310" s="435"/>
      <c r="K310" s="425"/>
      <c r="L310" s="425"/>
      <c r="M310" s="84"/>
      <c r="N310" s="421"/>
      <c r="O310" s="421"/>
      <c r="P310" s="421"/>
      <c r="Q310" s="434"/>
      <c r="R310" s="435"/>
      <c r="S310" s="435"/>
      <c r="T310" s="435"/>
      <c r="AF310" s="384" t="n">
        <f aca="false">EOMONTH(AF309,0)+1</f>
        <v>45870</v>
      </c>
      <c r="AG310" s="36" t="n">
        <v>22</v>
      </c>
      <c r="AH310" s="36" t="n">
        <v>5</v>
      </c>
      <c r="AI310" s="36" t="n">
        <v>4</v>
      </c>
      <c r="AJ310" s="36" t="n">
        <v>0</v>
      </c>
      <c r="AK310" s="36" t="n">
        <v>31</v>
      </c>
    </row>
    <row r="311" customFormat="false" ht="12.75" hidden="false" customHeight="false" outlineLevel="0" collapsed="false">
      <c r="A311" s="432"/>
      <c r="B311" s="421"/>
      <c r="C311" s="433"/>
      <c r="D311" s="434"/>
      <c r="E311" s="421"/>
      <c r="F311" s="434"/>
      <c r="G311" s="421"/>
      <c r="H311" s="434"/>
      <c r="I311" s="434"/>
      <c r="J311" s="435"/>
      <c r="K311" s="425"/>
      <c r="L311" s="425"/>
      <c r="M311" s="84"/>
      <c r="N311" s="421"/>
      <c r="O311" s="421"/>
      <c r="P311" s="421"/>
      <c r="Q311" s="434"/>
      <c r="R311" s="435"/>
      <c r="S311" s="435"/>
      <c r="T311" s="435"/>
      <c r="AF311" s="384" t="n">
        <f aca="false">EOMONTH(AF310,0)+1</f>
        <v>45901</v>
      </c>
      <c r="AG311" s="36" t="n">
        <v>20</v>
      </c>
      <c r="AH311" s="36" t="n">
        <v>4</v>
      </c>
      <c r="AI311" s="36" t="n">
        <v>6</v>
      </c>
      <c r="AJ311" s="36" t="n">
        <v>1</v>
      </c>
      <c r="AK311" s="36" t="n">
        <v>30</v>
      </c>
    </row>
    <row r="312" customFormat="false" ht="12.75" hidden="false" customHeight="false" outlineLevel="0" collapsed="false">
      <c r="A312" s="432"/>
      <c r="B312" s="421"/>
      <c r="C312" s="433"/>
      <c r="D312" s="434"/>
      <c r="E312" s="421"/>
      <c r="F312" s="434"/>
      <c r="G312" s="421"/>
      <c r="H312" s="434"/>
      <c r="I312" s="434"/>
      <c r="J312" s="435"/>
      <c r="K312" s="425"/>
      <c r="L312" s="425"/>
      <c r="M312" s="84"/>
      <c r="N312" s="421"/>
      <c r="O312" s="421"/>
      <c r="P312" s="421"/>
      <c r="Q312" s="434"/>
      <c r="R312" s="435"/>
      <c r="S312" s="435"/>
      <c r="T312" s="435"/>
      <c r="AF312" s="384" t="n">
        <f aca="false">EOMONTH(AF311,0)+1</f>
        <v>45931</v>
      </c>
      <c r="AG312" s="36" t="n">
        <v>23</v>
      </c>
      <c r="AH312" s="36" t="n">
        <v>4</v>
      </c>
      <c r="AI312" s="36" t="n">
        <v>4</v>
      </c>
      <c r="AJ312" s="36" t="n">
        <v>0</v>
      </c>
      <c r="AK312" s="36" t="n">
        <v>31</v>
      </c>
    </row>
    <row r="313" customFormat="false" ht="12.75" hidden="false" customHeight="false" outlineLevel="0" collapsed="false">
      <c r="A313" s="432"/>
      <c r="B313" s="421"/>
      <c r="C313" s="433"/>
      <c r="D313" s="434"/>
      <c r="E313" s="421"/>
      <c r="F313" s="434"/>
      <c r="G313" s="421"/>
      <c r="H313" s="434"/>
      <c r="I313" s="434"/>
      <c r="J313" s="435"/>
      <c r="K313" s="425"/>
      <c r="L313" s="425"/>
      <c r="M313" s="84"/>
      <c r="N313" s="421"/>
      <c r="O313" s="421"/>
      <c r="P313" s="421"/>
      <c r="Q313" s="434"/>
      <c r="R313" s="435"/>
      <c r="S313" s="435"/>
      <c r="T313" s="435"/>
      <c r="AF313" s="384" t="n">
        <f aca="false">EOMONTH(AF312,0)+1</f>
        <v>45962</v>
      </c>
      <c r="AG313" s="36" t="n">
        <v>20</v>
      </c>
      <c r="AH313" s="36" t="n">
        <v>5</v>
      </c>
      <c r="AI313" s="36" t="n">
        <v>5</v>
      </c>
      <c r="AJ313" s="36" t="n">
        <v>1</v>
      </c>
      <c r="AK313" s="36" t="n">
        <v>30</v>
      </c>
    </row>
    <row r="314" customFormat="false" ht="12.75" hidden="false" customHeight="false" outlineLevel="0" collapsed="false">
      <c r="A314" s="432"/>
      <c r="B314" s="421"/>
      <c r="C314" s="433"/>
      <c r="D314" s="434"/>
      <c r="E314" s="421"/>
      <c r="F314" s="434"/>
      <c r="G314" s="421"/>
      <c r="H314" s="434"/>
      <c r="I314" s="434"/>
      <c r="J314" s="435"/>
      <c r="K314" s="425"/>
      <c r="L314" s="425"/>
      <c r="M314" s="84"/>
      <c r="N314" s="421"/>
      <c r="O314" s="421"/>
      <c r="P314" s="421"/>
      <c r="Q314" s="434"/>
      <c r="R314" s="435"/>
      <c r="S314" s="435"/>
      <c r="T314" s="435"/>
      <c r="AF314" s="384" t="n">
        <f aca="false">EOMONTH(AF313,0)+1</f>
        <v>45992</v>
      </c>
      <c r="AG314" s="36" t="n">
        <v>21</v>
      </c>
      <c r="AH314" s="36" t="n">
        <v>4</v>
      </c>
      <c r="AI314" s="36" t="n">
        <v>6</v>
      </c>
      <c r="AJ314" s="36" t="n">
        <v>1</v>
      </c>
      <c r="AK314" s="36" t="n">
        <v>31</v>
      </c>
    </row>
    <row r="315" customFormat="false" ht="12.75" hidden="false" customHeight="false" outlineLevel="0" collapsed="false">
      <c r="A315" s="432"/>
      <c r="B315" s="421"/>
      <c r="C315" s="433"/>
      <c r="D315" s="434"/>
      <c r="E315" s="421"/>
      <c r="F315" s="434"/>
      <c r="G315" s="421"/>
      <c r="H315" s="434"/>
      <c r="I315" s="434"/>
      <c r="J315" s="435"/>
      <c r="K315" s="425"/>
      <c r="L315" s="425"/>
      <c r="M315" s="84"/>
      <c r="N315" s="421"/>
      <c r="O315" s="421"/>
      <c r="P315" s="421"/>
      <c r="Q315" s="434"/>
      <c r="R315" s="435"/>
      <c r="S315" s="435"/>
      <c r="T315" s="435"/>
      <c r="AF315" s="384" t="n">
        <f aca="false">EOMONTH(AF314,0)+1</f>
        <v>46023</v>
      </c>
      <c r="AG315" s="36" t="n">
        <v>22</v>
      </c>
      <c r="AH315" s="36" t="n">
        <v>4</v>
      </c>
      <c r="AI315" s="36" t="n">
        <v>5</v>
      </c>
      <c r="AJ315" s="36" t="n">
        <v>1</v>
      </c>
      <c r="AK315" s="36" t="n">
        <v>31</v>
      </c>
    </row>
    <row r="316" customFormat="false" ht="12.75" hidden="false" customHeight="false" outlineLevel="0" collapsed="false">
      <c r="A316" s="432"/>
      <c r="B316" s="421"/>
      <c r="C316" s="433"/>
      <c r="D316" s="434"/>
      <c r="E316" s="421"/>
      <c r="F316" s="434"/>
      <c r="G316" s="421"/>
      <c r="H316" s="434"/>
      <c r="I316" s="434"/>
      <c r="J316" s="435"/>
      <c r="K316" s="425"/>
      <c r="L316" s="425"/>
      <c r="M316" s="84"/>
      <c r="N316" s="421"/>
      <c r="O316" s="421"/>
      <c r="P316" s="421"/>
      <c r="Q316" s="434"/>
      <c r="R316" s="435"/>
      <c r="S316" s="435"/>
      <c r="T316" s="435"/>
      <c r="AF316" s="384" t="n">
        <f aca="false">EOMONTH(AF315,0)+1</f>
        <v>46054</v>
      </c>
      <c r="AG316" s="36" t="n">
        <v>20</v>
      </c>
      <c r="AH316" s="36" t="n">
        <v>4</v>
      </c>
      <c r="AI316" s="36" t="n">
        <v>4</v>
      </c>
      <c r="AJ316" s="36" t="n">
        <v>0</v>
      </c>
      <c r="AK316" s="36" t="n">
        <v>28</v>
      </c>
    </row>
    <row r="317" customFormat="false" ht="12.75" hidden="false" customHeight="false" outlineLevel="0" collapsed="false">
      <c r="A317" s="432"/>
      <c r="B317" s="421"/>
      <c r="C317" s="433"/>
      <c r="D317" s="434"/>
      <c r="E317" s="421"/>
      <c r="F317" s="434"/>
      <c r="G317" s="421"/>
      <c r="H317" s="434"/>
      <c r="I317" s="434"/>
      <c r="J317" s="435"/>
      <c r="K317" s="425"/>
      <c r="L317" s="425"/>
      <c r="M317" s="84"/>
      <c r="N317" s="421"/>
      <c r="O317" s="421"/>
      <c r="P317" s="421"/>
      <c r="Q317" s="434"/>
      <c r="R317" s="435"/>
      <c r="S317" s="435"/>
      <c r="T317" s="435"/>
      <c r="AF317" s="384" t="n">
        <f aca="false">EOMONTH(AF316,0)+1</f>
        <v>46082</v>
      </c>
      <c r="AG317" s="36" t="n">
        <v>21</v>
      </c>
      <c r="AH317" s="36" t="n">
        <v>5</v>
      </c>
      <c r="AI317" s="36" t="n">
        <v>5</v>
      </c>
      <c r="AJ317" s="36" t="n">
        <v>0</v>
      </c>
      <c r="AK317" s="36" t="n">
        <v>31</v>
      </c>
    </row>
    <row r="318" customFormat="false" ht="12.75" hidden="false" customHeight="false" outlineLevel="0" collapsed="false">
      <c r="A318" s="432"/>
      <c r="B318" s="421"/>
      <c r="C318" s="433"/>
      <c r="D318" s="434"/>
      <c r="E318" s="421"/>
      <c r="F318" s="434"/>
      <c r="G318" s="421"/>
      <c r="H318" s="434"/>
      <c r="I318" s="434"/>
      <c r="J318" s="435"/>
      <c r="K318" s="425"/>
      <c r="L318" s="425"/>
      <c r="M318" s="84"/>
      <c r="N318" s="421"/>
      <c r="O318" s="421"/>
      <c r="P318" s="421"/>
      <c r="Q318" s="434"/>
      <c r="R318" s="435"/>
      <c r="S318" s="435"/>
      <c r="T318" s="435"/>
      <c r="AF318" s="384" t="n">
        <f aca="false">EOMONTH(AF317,0)+1</f>
        <v>46113</v>
      </c>
      <c r="AG318" s="36" t="n">
        <v>22</v>
      </c>
      <c r="AH318" s="36" t="n">
        <v>4</v>
      </c>
      <c r="AI318" s="36" t="n">
        <v>4</v>
      </c>
      <c r="AJ318" s="36" t="n">
        <v>0</v>
      </c>
      <c r="AK318" s="36" t="n">
        <v>30</v>
      </c>
    </row>
    <row r="319" customFormat="false" ht="12.75" hidden="false" customHeight="false" outlineLevel="0" collapsed="false">
      <c r="A319" s="432"/>
      <c r="B319" s="421"/>
      <c r="C319" s="433"/>
      <c r="D319" s="434"/>
      <c r="E319" s="421"/>
      <c r="F319" s="434"/>
      <c r="G319" s="421"/>
      <c r="H319" s="434"/>
      <c r="I319" s="434"/>
      <c r="J319" s="435"/>
      <c r="K319" s="425"/>
      <c r="L319" s="425"/>
      <c r="M319" s="84"/>
      <c r="N319" s="421"/>
      <c r="O319" s="421"/>
      <c r="P319" s="421"/>
      <c r="Q319" s="434"/>
      <c r="R319" s="435"/>
      <c r="S319" s="435"/>
      <c r="T319" s="435"/>
      <c r="AF319" s="384" t="n">
        <f aca="false">EOMONTH(AF318,0)+1</f>
        <v>46143</v>
      </c>
      <c r="AG319" s="36" t="n">
        <v>22</v>
      </c>
      <c r="AH319" s="36" t="n">
        <v>4</v>
      </c>
      <c r="AI319" s="36" t="n">
        <v>5</v>
      </c>
      <c r="AJ319" s="36" t="n">
        <v>1</v>
      </c>
      <c r="AK319" s="36" t="n">
        <v>31</v>
      </c>
    </row>
    <row r="320" customFormat="false" ht="12.75" hidden="false" customHeight="false" outlineLevel="0" collapsed="false">
      <c r="A320" s="432"/>
      <c r="B320" s="421"/>
      <c r="C320" s="433"/>
      <c r="D320" s="434"/>
      <c r="E320" s="421"/>
      <c r="F320" s="434"/>
      <c r="G320" s="421"/>
      <c r="H320" s="434"/>
      <c r="I320" s="434"/>
      <c r="J320" s="435"/>
      <c r="K320" s="425"/>
      <c r="L320" s="425"/>
      <c r="M320" s="84"/>
      <c r="N320" s="421"/>
      <c r="O320" s="421"/>
      <c r="P320" s="421"/>
      <c r="Q320" s="434"/>
      <c r="R320" s="435"/>
      <c r="S320" s="435"/>
      <c r="T320" s="435"/>
      <c r="AF320" s="384" t="n">
        <f aca="false">EOMONTH(AF319,0)+1</f>
        <v>46174</v>
      </c>
      <c r="AG320" s="36" t="n">
        <v>20</v>
      </c>
      <c r="AH320" s="36" t="n">
        <v>5</v>
      </c>
      <c r="AI320" s="36" t="n">
        <v>5</v>
      </c>
      <c r="AJ320" s="36" t="n">
        <v>0</v>
      </c>
      <c r="AK320" s="36" t="n">
        <v>30</v>
      </c>
    </row>
    <row r="321" customFormat="false" ht="12.75" hidden="false" customHeight="false" outlineLevel="0" collapsed="false">
      <c r="A321" s="432"/>
      <c r="B321" s="421"/>
      <c r="C321" s="433"/>
      <c r="D321" s="434"/>
      <c r="E321" s="421"/>
      <c r="F321" s="434"/>
      <c r="G321" s="421"/>
      <c r="H321" s="434"/>
      <c r="I321" s="434"/>
      <c r="J321" s="435"/>
      <c r="K321" s="425"/>
      <c r="L321" s="425"/>
      <c r="M321" s="84"/>
      <c r="N321" s="421"/>
      <c r="O321" s="421"/>
      <c r="P321" s="421"/>
      <c r="Q321" s="434"/>
      <c r="R321" s="435"/>
      <c r="S321" s="435"/>
      <c r="T321" s="435"/>
      <c r="AF321" s="384" t="n">
        <f aca="false">EOMONTH(AF320,0)+1</f>
        <v>46204</v>
      </c>
      <c r="AG321" s="36" t="n">
        <v>22</v>
      </c>
      <c r="AH321" s="36" t="n">
        <v>4</v>
      </c>
      <c r="AI321" s="36" t="n">
        <v>5</v>
      </c>
      <c r="AJ321" s="36" t="n">
        <v>1</v>
      </c>
      <c r="AK321" s="36" t="n">
        <v>31</v>
      </c>
    </row>
    <row r="322" customFormat="false" ht="12.75" hidden="false" customHeight="false" outlineLevel="0" collapsed="false">
      <c r="A322" s="432"/>
      <c r="B322" s="421"/>
      <c r="C322" s="433"/>
      <c r="D322" s="434"/>
      <c r="E322" s="421"/>
      <c r="F322" s="434"/>
      <c r="G322" s="421"/>
      <c r="H322" s="434"/>
      <c r="I322" s="434"/>
      <c r="J322" s="435"/>
      <c r="K322" s="425"/>
      <c r="L322" s="425"/>
      <c r="M322" s="84"/>
      <c r="N322" s="421"/>
      <c r="O322" s="421"/>
      <c r="P322" s="421"/>
      <c r="Q322" s="434"/>
      <c r="R322" s="435"/>
      <c r="S322" s="435"/>
      <c r="T322" s="435"/>
      <c r="AF322" s="384" t="n">
        <f aca="false">EOMONTH(AF321,0)+1</f>
        <v>46235</v>
      </c>
      <c r="AG322" s="36" t="n">
        <v>22</v>
      </c>
      <c r="AH322" s="36" t="n">
        <v>5</v>
      </c>
      <c r="AI322" s="36" t="n">
        <v>4</v>
      </c>
      <c r="AJ322" s="36" t="n">
        <v>0</v>
      </c>
      <c r="AK322" s="36" t="n">
        <v>31</v>
      </c>
    </row>
    <row r="323" customFormat="false" ht="12.75" hidden="false" customHeight="false" outlineLevel="0" collapsed="false">
      <c r="A323" s="432"/>
      <c r="B323" s="421"/>
      <c r="C323" s="433"/>
      <c r="D323" s="434"/>
      <c r="E323" s="421"/>
      <c r="F323" s="434"/>
      <c r="G323" s="421"/>
      <c r="H323" s="434"/>
      <c r="I323" s="434"/>
      <c r="J323" s="435"/>
      <c r="K323" s="425"/>
      <c r="L323" s="425"/>
      <c r="M323" s="84"/>
      <c r="N323" s="421"/>
      <c r="O323" s="421"/>
      <c r="P323" s="421"/>
      <c r="Q323" s="434"/>
      <c r="R323" s="435"/>
      <c r="S323" s="435"/>
      <c r="T323" s="435"/>
      <c r="AF323" s="384" t="n">
        <f aca="false">EOMONTH(AF322,0)+1</f>
        <v>46266</v>
      </c>
      <c r="AG323" s="36" t="n">
        <v>20</v>
      </c>
      <c r="AH323" s="36" t="n">
        <v>4</v>
      </c>
      <c r="AI323" s="36" t="n">
        <v>6</v>
      </c>
      <c r="AJ323" s="36" t="n">
        <v>1</v>
      </c>
      <c r="AK323" s="36" t="n">
        <v>30</v>
      </c>
    </row>
    <row r="324" customFormat="false" ht="12.75" hidden="false" customHeight="false" outlineLevel="0" collapsed="false">
      <c r="A324" s="432"/>
      <c r="B324" s="421"/>
      <c r="C324" s="433"/>
      <c r="D324" s="434"/>
      <c r="E324" s="421"/>
      <c r="F324" s="434"/>
      <c r="G324" s="421"/>
      <c r="H324" s="434"/>
      <c r="I324" s="434"/>
      <c r="J324" s="435"/>
      <c r="K324" s="425"/>
      <c r="L324" s="425"/>
      <c r="M324" s="84"/>
      <c r="N324" s="421"/>
      <c r="O324" s="421"/>
      <c r="P324" s="421"/>
      <c r="Q324" s="434"/>
      <c r="R324" s="435"/>
      <c r="S324" s="435"/>
      <c r="T324" s="435"/>
      <c r="AF324" s="384" t="n">
        <f aca="false">EOMONTH(AF323,0)+1</f>
        <v>46296</v>
      </c>
      <c r="AG324" s="36" t="n">
        <v>23</v>
      </c>
      <c r="AH324" s="36" t="n">
        <v>4</v>
      </c>
      <c r="AI324" s="36" t="n">
        <v>4</v>
      </c>
      <c r="AJ324" s="36" t="n">
        <v>0</v>
      </c>
      <c r="AK324" s="36" t="n">
        <v>31</v>
      </c>
    </row>
    <row r="325" customFormat="false" ht="12.75" hidden="false" customHeight="false" outlineLevel="0" collapsed="false">
      <c r="A325" s="432"/>
      <c r="B325" s="421"/>
      <c r="C325" s="433"/>
      <c r="D325" s="434"/>
      <c r="E325" s="421"/>
      <c r="F325" s="434"/>
      <c r="G325" s="421"/>
      <c r="H325" s="434"/>
      <c r="I325" s="434"/>
      <c r="J325" s="435"/>
      <c r="K325" s="425"/>
      <c r="L325" s="425"/>
      <c r="M325" s="84"/>
      <c r="N325" s="421"/>
      <c r="O325" s="421"/>
      <c r="P325" s="421"/>
      <c r="Q325" s="434"/>
      <c r="R325" s="435"/>
      <c r="S325" s="435"/>
      <c r="T325" s="435"/>
      <c r="AF325" s="384" t="n">
        <f aca="false">EOMONTH(AF324,0)+1</f>
        <v>46327</v>
      </c>
      <c r="AG325" s="36" t="n">
        <v>20</v>
      </c>
      <c r="AH325" s="36" t="n">
        <v>5</v>
      </c>
      <c r="AI325" s="36" t="n">
        <v>5</v>
      </c>
      <c r="AJ325" s="36" t="n">
        <v>1</v>
      </c>
      <c r="AK325" s="36" t="n">
        <v>30</v>
      </c>
    </row>
    <row r="326" customFormat="false" ht="12.75" hidden="false" customHeight="false" outlineLevel="0" collapsed="false">
      <c r="A326" s="432"/>
      <c r="B326" s="421"/>
      <c r="C326" s="433"/>
      <c r="D326" s="434"/>
      <c r="E326" s="421"/>
      <c r="F326" s="434"/>
      <c r="G326" s="421"/>
      <c r="H326" s="434"/>
      <c r="I326" s="434"/>
      <c r="J326" s="435"/>
      <c r="K326" s="425"/>
      <c r="L326" s="425"/>
      <c r="M326" s="84"/>
      <c r="N326" s="421"/>
      <c r="O326" s="421"/>
      <c r="P326" s="421"/>
      <c r="Q326" s="434"/>
      <c r="R326" s="435"/>
      <c r="S326" s="435"/>
      <c r="T326" s="435"/>
      <c r="AF326" s="384" t="n">
        <f aca="false">EOMONTH(AF325,0)+1</f>
        <v>46357</v>
      </c>
      <c r="AG326" s="36" t="n">
        <v>21</v>
      </c>
      <c r="AH326" s="36" t="n">
        <v>4</v>
      </c>
      <c r="AI326" s="36" t="n">
        <v>6</v>
      </c>
      <c r="AJ326" s="36" t="n">
        <v>1</v>
      </c>
      <c r="AK326" s="36" t="n">
        <v>31</v>
      </c>
    </row>
    <row r="327" customFormat="false" ht="12.75" hidden="false" customHeight="false" outlineLevel="0" collapsed="false">
      <c r="A327" s="432"/>
      <c r="B327" s="421"/>
      <c r="C327" s="433"/>
      <c r="D327" s="434"/>
      <c r="E327" s="421"/>
      <c r="F327" s="434"/>
      <c r="G327" s="421"/>
      <c r="H327" s="434"/>
      <c r="I327" s="434"/>
      <c r="J327" s="435"/>
      <c r="K327" s="425"/>
      <c r="L327" s="425"/>
      <c r="M327" s="84"/>
      <c r="N327" s="421"/>
      <c r="O327" s="421"/>
      <c r="P327" s="421"/>
      <c r="Q327" s="434"/>
      <c r="R327" s="435"/>
      <c r="S327" s="435"/>
      <c r="T327" s="435"/>
      <c r="AF327" s="384" t="n">
        <f aca="false">EOMONTH(AF326,0)+1</f>
        <v>46388</v>
      </c>
      <c r="AG327" s="36" t="n">
        <v>22</v>
      </c>
      <c r="AH327" s="36" t="n">
        <v>4</v>
      </c>
      <c r="AI327" s="36" t="n">
        <v>5</v>
      </c>
      <c r="AJ327" s="36" t="n">
        <v>1</v>
      </c>
      <c r="AK327" s="36" t="n">
        <v>31</v>
      </c>
    </row>
    <row r="328" customFormat="false" ht="12.75" hidden="false" customHeight="false" outlineLevel="0" collapsed="false">
      <c r="A328" s="432"/>
      <c r="B328" s="421"/>
      <c r="C328" s="433"/>
      <c r="D328" s="434"/>
      <c r="E328" s="421"/>
      <c r="F328" s="434"/>
      <c r="G328" s="421"/>
      <c r="H328" s="434"/>
      <c r="I328" s="434"/>
      <c r="J328" s="435"/>
      <c r="K328" s="425"/>
      <c r="L328" s="425"/>
      <c r="M328" s="84"/>
      <c r="N328" s="421"/>
      <c r="O328" s="421"/>
      <c r="P328" s="421"/>
      <c r="Q328" s="434"/>
      <c r="R328" s="435"/>
      <c r="S328" s="435"/>
      <c r="T328" s="435"/>
      <c r="AF328" s="384" t="n">
        <f aca="false">EOMONTH(AF327,0)+1</f>
        <v>46419</v>
      </c>
      <c r="AG328" s="36" t="n">
        <v>20</v>
      </c>
      <c r="AH328" s="36" t="n">
        <v>4</v>
      </c>
      <c r="AI328" s="36" t="n">
        <v>4</v>
      </c>
      <c r="AJ328" s="36" t="n">
        <v>0</v>
      </c>
      <c r="AK328" s="36" t="n">
        <v>28</v>
      </c>
    </row>
    <row r="329" customFormat="false" ht="12.75" hidden="false" customHeight="false" outlineLevel="0" collapsed="false">
      <c r="A329" s="432"/>
      <c r="B329" s="421"/>
      <c r="C329" s="433"/>
      <c r="D329" s="434"/>
      <c r="E329" s="421"/>
      <c r="F329" s="434"/>
      <c r="G329" s="421"/>
      <c r="H329" s="434"/>
      <c r="I329" s="434"/>
      <c r="J329" s="435"/>
      <c r="K329" s="425"/>
      <c r="L329" s="425"/>
      <c r="M329" s="84"/>
      <c r="N329" s="421"/>
      <c r="O329" s="421"/>
      <c r="P329" s="421"/>
      <c r="Q329" s="434"/>
      <c r="R329" s="435"/>
      <c r="S329" s="435"/>
      <c r="T329" s="435"/>
      <c r="AF329" s="384" t="n">
        <f aca="false">EOMONTH(AF328,0)+1</f>
        <v>46447</v>
      </c>
      <c r="AG329" s="36" t="n">
        <v>21</v>
      </c>
      <c r="AH329" s="36" t="n">
        <v>5</v>
      </c>
      <c r="AI329" s="36" t="n">
        <v>5</v>
      </c>
      <c r="AJ329" s="36" t="n">
        <v>0</v>
      </c>
      <c r="AK329" s="36" t="n">
        <v>31</v>
      </c>
    </row>
    <row r="330" customFormat="false" ht="12.75" hidden="false" customHeight="false" outlineLevel="0" collapsed="false">
      <c r="A330" s="432"/>
      <c r="B330" s="421"/>
      <c r="C330" s="433"/>
      <c r="D330" s="434"/>
      <c r="E330" s="421"/>
      <c r="F330" s="434"/>
      <c r="G330" s="421"/>
      <c r="H330" s="434"/>
      <c r="I330" s="434"/>
      <c r="J330" s="435"/>
      <c r="K330" s="425"/>
      <c r="L330" s="425"/>
      <c r="M330" s="84"/>
      <c r="N330" s="421"/>
      <c r="O330" s="421"/>
      <c r="P330" s="421"/>
      <c r="Q330" s="434"/>
      <c r="R330" s="435"/>
      <c r="S330" s="435"/>
      <c r="T330" s="435"/>
      <c r="AF330" s="384" t="n">
        <f aca="false">EOMONTH(AF329,0)+1</f>
        <v>46478</v>
      </c>
      <c r="AG330" s="36" t="n">
        <v>22</v>
      </c>
      <c r="AH330" s="36" t="n">
        <v>4</v>
      </c>
      <c r="AI330" s="36" t="n">
        <v>4</v>
      </c>
      <c r="AJ330" s="36" t="n">
        <v>0</v>
      </c>
      <c r="AK330" s="36" t="n">
        <v>30</v>
      </c>
    </row>
    <row r="331" customFormat="false" ht="12.75" hidden="false" customHeight="false" outlineLevel="0" collapsed="false">
      <c r="A331" s="432"/>
      <c r="B331" s="421"/>
      <c r="C331" s="433"/>
      <c r="D331" s="434"/>
      <c r="E331" s="421"/>
      <c r="F331" s="434"/>
      <c r="G331" s="421"/>
      <c r="H331" s="434"/>
      <c r="I331" s="434"/>
      <c r="J331" s="435"/>
      <c r="K331" s="425"/>
      <c r="L331" s="425"/>
      <c r="M331" s="84"/>
      <c r="N331" s="421"/>
      <c r="O331" s="421"/>
      <c r="P331" s="421"/>
      <c r="Q331" s="434"/>
      <c r="R331" s="435"/>
      <c r="S331" s="435"/>
      <c r="T331" s="435"/>
      <c r="AF331" s="384" t="n">
        <f aca="false">EOMONTH(AF330,0)+1</f>
        <v>46508</v>
      </c>
      <c r="AG331" s="36" t="n">
        <v>22</v>
      </c>
      <c r="AH331" s="36" t="n">
        <v>4</v>
      </c>
      <c r="AI331" s="36" t="n">
        <v>5</v>
      </c>
      <c r="AJ331" s="36" t="n">
        <v>1</v>
      </c>
      <c r="AK331" s="36" t="n">
        <v>31</v>
      </c>
    </row>
    <row r="332" customFormat="false" ht="12.75" hidden="false" customHeight="false" outlineLevel="0" collapsed="false">
      <c r="A332" s="432"/>
      <c r="B332" s="421"/>
      <c r="C332" s="433"/>
      <c r="D332" s="434"/>
      <c r="E332" s="421"/>
      <c r="F332" s="434"/>
      <c r="G332" s="421"/>
      <c r="H332" s="434"/>
      <c r="I332" s="434"/>
      <c r="J332" s="435"/>
      <c r="K332" s="425"/>
      <c r="L332" s="425"/>
      <c r="M332" s="84"/>
      <c r="N332" s="421"/>
      <c r="O332" s="421"/>
      <c r="P332" s="421"/>
      <c r="Q332" s="434"/>
      <c r="R332" s="435"/>
      <c r="S332" s="435"/>
      <c r="T332" s="435"/>
      <c r="AF332" s="384" t="n">
        <f aca="false">EOMONTH(AF331,0)+1</f>
        <v>46539</v>
      </c>
      <c r="AG332" s="36" t="n">
        <v>20</v>
      </c>
      <c r="AH332" s="36" t="n">
        <v>5</v>
      </c>
      <c r="AI332" s="36" t="n">
        <v>5</v>
      </c>
      <c r="AJ332" s="36" t="n">
        <v>0</v>
      </c>
      <c r="AK332" s="36" t="n">
        <v>30</v>
      </c>
    </row>
    <row r="333" customFormat="false" ht="12.75" hidden="false" customHeight="false" outlineLevel="0" collapsed="false">
      <c r="A333" s="432"/>
      <c r="B333" s="421"/>
      <c r="C333" s="433"/>
      <c r="D333" s="434"/>
      <c r="E333" s="421"/>
      <c r="F333" s="434"/>
      <c r="G333" s="421"/>
      <c r="H333" s="434"/>
      <c r="I333" s="434"/>
      <c r="J333" s="435"/>
      <c r="K333" s="425"/>
      <c r="L333" s="425"/>
      <c r="M333" s="84"/>
      <c r="N333" s="421"/>
      <c r="O333" s="421"/>
      <c r="P333" s="421"/>
      <c r="Q333" s="434"/>
      <c r="R333" s="435"/>
      <c r="S333" s="435"/>
      <c r="T333" s="435"/>
      <c r="AF333" s="384" t="n">
        <f aca="false">EOMONTH(AF332,0)+1</f>
        <v>46569</v>
      </c>
      <c r="AG333" s="36" t="n">
        <v>22</v>
      </c>
      <c r="AH333" s="36" t="n">
        <v>4</v>
      </c>
      <c r="AI333" s="36" t="n">
        <v>5</v>
      </c>
      <c r="AJ333" s="36" t="n">
        <v>1</v>
      </c>
      <c r="AK333" s="36" t="n">
        <v>31</v>
      </c>
    </row>
    <row r="334" customFormat="false" ht="12.75" hidden="false" customHeight="false" outlineLevel="0" collapsed="false">
      <c r="A334" s="432"/>
      <c r="B334" s="421"/>
      <c r="C334" s="433"/>
      <c r="D334" s="434"/>
      <c r="E334" s="421"/>
      <c r="F334" s="434"/>
      <c r="G334" s="421"/>
      <c r="H334" s="434"/>
      <c r="I334" s="434"/>
      <c r="J334" s="435"/>
      <c r="K334" s="425"/>
      <c r="L334" s="425"/>
      <c r="M334" s="84"/>
      <c r="N334" s="421"/>
      <c r="O334" s="421"/>
      <c r="P334" s="421"/>
      <c r="Q334" s="434"/>
      <c r="R334" s="435"/>
      <c r="S334" s="435"/>
      <c r="T334" s="435"/>
      <c r="AF334" s="384" t="n">
        <f aca="false">EOMONTH(AF333,0)+1</f>
        <v>46600</v>
      </c>
      <c r="AG334" s="36" t="n">
        <v>22</v>
      </c>
      <c r="AH334" s="36" t="n">
        <v>5</v>
      </c>
      <c r="AI334" s="36" t="n">
        <v>4</v>
      </c>
      <c r="AJ334" s="36" t="n">
        <v>0</v>
      </c>
      <c r="AK334" s="36" t="n">
        <v>31</v>
      </c>
    </row>
    <row r="335" customFormat="false" ht="12.75" hidden="false" customHeight="false" outlineLevel="0" collapsed="false">
      <c r="A335" s="432"/>
      <c r="B335" s="421"/>
      <c r="C335" s="433"/>
      <c r="D335" s="434"/>
      <c r="E335" s="421"/>
      <c r="F335" s="434"/>
      <c r="G335" s="421"/>
      <c r="H335" s="434"/>
      <c r="I335" s="434"/>
      <c r="J335" s="435"/>
      <c r="K335" s="425"/>
      <c r="L335" s="425"/>
      <c r="M335" s="84"/>
      <c r="N335" s="421"/>
      <c r="O335" s="421"/>
      <c r="P335" s="421"/>
      <c r="Q335" s="434"/>
      <c r="R335" s="435"/>
      <c r="S335" s="435"/>
      <c r="T335" s="435"/>
      <c r="AF335" s="384" t="n">
        <f aca="false">EOMONTH(AF334,0)+1</f>
        <v>46631</v>
      </c>
      <c r="AG335" s="36" t="n">
        <v>20</v>
      </c>
      <c r="AH335" s="36" t="n">
        <v>4</v>
      </c>
      <c r="AI335" s="36" t="n">
        <v>6</v>
      </c>
      <c r="AJ335" s="36" t="n">
        <v>1</v>
      </c>
      <c r="AK335" s="36" t="n">
        <v>30</v>
      </c>
    </row>
    <row r="336" customFormat="false" ht="12.75" hidden="false" customHeight="false" outlineLevel="0" collapsed="false">
      <c r="A336" s="432"/>
      <c r="B336" s="421"/>
      <c r="C336" s="433"/>
      <c r="D336" s="434"/>
      <c r="E336" s="421"/>
      <c r="F336" s="434"/>
      <c r="G336" s="421"/>
      <c r="H336" s="434"/>
      <c r="I336" s="434"/>
      <c r="J336" s="435"/>
      <c r="K336" s="425"/>
      <c r="L336" s="425"/>
      <c r="M336" s="84"/>
      <c r="N336" s="421"/>
      <c r="O336" s="421"/>
      <c r="P336" s="421"/>
      <c r="Q336" s="434"/>
      <c r="R336" s="435"/>
      <c r="S336" s="435"/>
      <c r="T336" s="435"/>
      <c r="AF336" s="384" t="n">
        <f aca="false">EOMONTH(AF335,0)+1</f>
        <v>46661</v>
      </c>
      <c r="AG336" s="36" t="n">
        <v>23</v>
      </c>
      <c r="AH336" s="36" t="n">
        <v>4</v>
      </c>
      <c r="AI336" s="36" t="n">
        <v>4</v>
      </c>
      <c r="AJ336" s="36" t="n">
        <v>0</v>
      </c>
      <c r="AK336" s="36" t="n">
        <v>31</v>
      </c>
    </row>
    <row r="337" customFormat="false" ht="12.75" hidden="false" customHeight="false" outlineLevel="0" collapsed="false">
      <c r="A337" s="432"/>
      <c r="B337" s="421"/>
      <c r="C337" s="433"/>
      <c r="D337" s="434"/>
      <c r="E337" s="421"/>
      <c r="F337" s="434"/>
      <c r="G337" s="421"/>
      <c r="H337" s="434"/>
      <c r="I337" s="434"/>
      <c r="J337" s="435"/>
      <c r="K337" s="425"/>
      <c r="L337" s="425"/>
      <c r="M337" s="84"/>
      <c r="N337" s="421"/>
      <c r="O337" s="421"/>
      <c r="P337" s="421"/>
      <c r="Q337" s="434"/>
      <c r="R337" s="435"/>
      <c r="S337" s="435"/>
      <c r="T337" s="435"/>
      <c r="AF337" s="384" t="n">
        <f aca="false">EOMONTH(AF336,0)+1</f>
        <v>46692</v>
      </c>
      <c r="AG337" s="36" t="n">
        <v>20</v>
      </c>
      <c r="AH337" s="36" t="n">
        <v>5</v>
      </c>
      <c r="AI337" s="36" t="n">
        <v>5</v>
      </c>
      <c r="AJ337" s="36" t="n">
        <v>1</v>
      </c>
      <c r="AK337" s="36" t="n">
        <v>30</v>
      </c>
    </row>
    <row r="338" customFormat="false" ht="12.75" hidden="false" customHeight="false" outlineLevel="0" collapsed="false">
      <c r="A338" s="432"/>
      <c r="B338" s="421"/>
      <c r="C338" s="433"/>
      <c r="D338" s="434"/>
      <c r="E338" s="421"/>
      <c r="F338" s="434"/>
      <c r="G338" s="421"/>
      <c r="H338" s="434"/>
      <c r="I338" s="434"/>
      <c r="J338" s="435"/>
      <c r="K338" s="425"/>
      <c r="L338" s="425"/>
      <c r="M338" s="84"/>
      <c r="N338" s="421"/>
      <c r="O338" s="421"/>
      <c r="P338" s="421"/>
      <c r="Q338" s="434"/>
      <c r="R338" s="435"/>
      <c r="S338" s="435"/>
      <c r="T338" s="435"/>
      <c r="AF338" s="384" t="n">
        <f aca="false">EOMONTH(AF337,0)+1</f>
        <v>46722</v>
      </c>
      <c r="AG338" s="36" t="n">
        <v>21</v>
      </c>
      <c r="AH338" s="36" t="n">
        <v>4</v>
      </c>
      <c r="AI338" s="36" t="n">
        <v>6</v>
      </c>
      <c r="AJ338" s="36" t="n">
        <v>1</v>
      </c>
      <c r="AK338" s="36" t="n">
        <v>31</v>
      </c>
    </row>
    <row r="339" customFormat="false" ht="12.75" hidden="false" customHeight="false" outlineLevel="0" collapsed="false">
      <c r="A339" s="432"/>
      <c r="B339" s="421"/>
      <c r="C339" s="433"/>
      <c r="D339" s="434"/>
      <c r="E339" s="421"/>
      <c r="F339" s="434"/>
      <c r="G339" s="421"/>
      <c r="H339" s="434"/>
      <c r="I339" s="434"/>
      <c r="J339" s="435"/>
      <c r="K339" s="425"/>
      <c r="L339" s="425"/>
      <c r="M339" s="84"/>
      <c r="N339" s="421"/>
      <c r="O339" s="421"/>
      <c r="P339" s="421"/>
      <c r="Q339" s="434"/>
      <c r="R339" s="435"/>
      <c r="S339" s="435"/>
      <c r="T339" s="435"/>
      <c r="AF339" s="384" t="n">
        <f aca="false">EOMONTH(AF338,0)+1</f>
        <v>46753</v>
      </c>
      <c r="AG339" s="36" t="n">
        <v>22</v>
      </c>
      <c r="AH339" s="36" t="n">
        <v>4</v>
      </c>
      <c r="AI339" s="36" t="n">
        <v>5</v>
      </c>
      <c r="AJ339" s="36" t="n">
        <v>1</v>
      </c>
      <c r="AK339" s="36" t="n">
        <v>31</v>
      </c>
    </row>
    <row r="340" customFormat="false" ht="12.75" hidden="false" customHeight="false" outlineLevel="0" collapsed="false">
      <c r="A340" s="432"/>
      <c r="B340" s="421"/>
      <c r="C340" s="433"/>
      <c r="D340" s="434"/>
      <c r="E340" s="421"/>
      <c r="F340" s="434"/>
      <c r="G340" s="421"/>
      <c r="H340" s="434"/>
      <c r="I340" s="434"/>
      <c r="J340" s="435"/>
      <c r="K340" s="425"/>
      <c r="L340" s="425"/>
      <c r="M340" s="84"/>
      <c r="N340" s="421"/>
      <c r="O340" s="421"/>
      <c r="P340" s="421"/>
      <c r="Q340" s="434"/>
      <c r="R340" s="435"/>
      <c r="S340" s="435"/>
      <c r="T340" s="435"/>
      <c r="AF340" s="384" t="n">
        <f aca="false">EOMONTH(AF339,0)+1</f>
        <v>46784</v>
      </c>
      <c r="AG340" s="36" t="n">
        <v>20</v>
      </c>
      <c r="AH340" s="36" t="n">
        <v>5</v>
      </c>
      <c r="AI340" s="36" t="n">
        <v>4</v>
      </c>
      <c r="AJ340" s="36" t="n">
        <v>0</v>
      </c>
      <c r="AK340" s="36" t="n">
        <v>29</v>
      </c>
    </row>
    <row r="341" customFormat="false" ht="12.75" hidden="false" customHeight="false" outlineLevel="0" collapsed="false">
      <c r="A341" s="432"/>
      <c r="B341" s="421"/>
      <c r="C341" s="433"/>
      <c r="D341" s="434"/>
      <c r="E341" s="421"/>
      <c r="F341" s="434"/>
      <c r="G341" s="421"/>
      <c r="H341" s="434"/>
      <c r="I341" s="434"/>
      <c r="J341" s="435"/>
      <c r="K341" s="425"/>
      <c r="L341" s="425"/>
      <c r="M341" s="84"/>
      <c r="N341" s="421"/>
      <c r="O341" s="421"/>
      <c r="P341" s="421"/>
      <c r="Q341" s="434"/>
      <c r="R341" s="435"/>
      <c r="S341" s="435"/>
      <c r="T341" s="435"/>
      <c r="AF341" s="384" t="n">
        <f aca="false">EOMONTH(AF340,0)+1</f>
        <v>46813</v>
      </c>
      <c r="AG341" s="36" t="n">
        <v>22</v>
      </c>
      <c r="AH341" s="36" t="n">
        <v>4</v>
      </c>
      <c r="AI341" s="36" t="n">
        <v>5</v>
      </c>
      <c r="AJ341" s="36" t="n">
        <v>0</v>
      </c>
      <c r="AK341" s="36" t="n">
        <v>31</v>
      </c>
    </row>
    <row r="342" customFormat="false" ht="12.75" hidden="false" customHeight="false" outlineLevel="0" collapsed="false">
      <c r="A342" s="432"/>
      <c r="B342" s="421"/>
      <c r="C342" s="433"/>
      <c r="D342" s="434"/>
      <c r="E342" s="421"/>
      <c r="F342" s="434"/>
      <c r="G342" s="421"/>
      <c r="H342" s="434"/>
      <c r="I342" s="434"/>
      <c r="J342" s="435"/>
      <c r="K342" s="425"/>
      <c r="L342" s="425"/>
      <c r="M342" s="84"/>
      <c r="N342" s="421"/>
      <c r="O342" s="421"/>
      <c r="P342" s="421"/>
      <c r="Q342" s="434"/>
      <c r="R342" s="435"/>
      <c r="S342" s="435"/>
      <c r="T342" s="435"/>
      <c r="AF342" s="384" t="n">
        <f aca="false">EOMONTH(AF341,0)+1</f>
        <v>46844</v>
      </c>
      <c r="AG342" s="36" t="n">
        <v>22</v>
      </c>
      <c r="AH342" s="36" t="n">
        <v>4</v>
      </c>
      <c r="AI342" s="36" t="n">
        <v>4</v>
      </c>
      <c r="AJ342" s="36" t="n">
        <v>0</v>
      </c>
      <c r="AK342" s="36" t="n">
        <v>30</v>
      </c>
    </row>
    <row r="343" customFormat="false" ht="12.75" hidden="false" customHeight="false" outlineLevel="0" collapsed="false">
      <c r="A343" s="432"/>
      <c r="B343" s="421"/>
      <c r="C343" s="433"/>
      <c r="D343" s="434"/>
      <c r="E343" s="421"/>
      <c r="F343" s="434"/>
      <c r="G343" s="421"/>
      <c r="H343" s="434"/>
      <c r="I343" s="434"/>
      <c r="J343" s="435"/>
      <c r="K343" s="425"/>
      <c r="L343" s="425"/>
      <c r="M343" s="84"/>
      <c r="N343" s="421"/>
      <c r="O343" s="421"/>
      <c r="P343" s="421"/>
      <c r="Q343" s="434"/>
      <c r="R343" s="435"/>
      <c r="S343" s="435"/>
      <c r="T343" s="435"/>
      <c r="AF343" s="384" t="n">
        <f aca="false">EOMONTH(AF342,0)+1</f>
        <v>46874</v>
      </c>
      <c r="AG343" s="36" t="n">
        <v>20</v>
      </c>
      <c r="AH343" s="36" t="n">
        <v>5</v>
      </c>
      <c r="AI343" s="36" t="n">
        <v>6</v>
      </c>
      <c r="AJ343" s="36" t="n">
        <v>1</v>
      </c>
      <c r="AK343" s="36" t="n">
        <v>31</v>
      </c>
    </row>
    <row r="344" customFormat="false" ht="12.75" hidden="false" customHeight="false" outlineLevel="0" collapsed="false">
      <c r="A344" s="432"/>
      <c r="B344" s="421"/>
      <c r="C344" s="433"/>
      <c r="D344" s="434"/>
      <c r="E344" s="421"/>
      <c r="F344" s="434"/>
      <c r="G344" s="421"/>
      <c r="H344" s="434"/>
      <c r="I344" s="434"/>
      <c r="J344" s="435"/>
      <c r="K344" s="425"/>
      <c r="L344" s="425"/>
      <c r="M344" s="84"/>
      <c r="N344" s="421"/>
      <c r="O344" s="421"/>
      <c r="P344" s="421"/>
      <c r="Q344" s="434"/>
      <c r="R344" s="435"/>
      <c r="S344" s="435"/>
      <c r="T344" s="435"/>
      <c r="AF344" s="384" t="n">
        <f aca="false">EOMONTH(AF343,0)+1</f>
        <v>46905</v>
      </c>
      <c r="AG344" s="36" t="n">
        <v>22</v>
      </c>
      <c r="AH344" s="36" t="n">
        <v>4</v>
      </c>
      <c r="AI344" s="36" t="n">
        <v>4</v>
      </c>
      <c r="AJ344" s="36" t="n">
        <v>0</v>
      </c>
      <c r="AK344" s="36" t="n">
        <v>30</v>
      </c>
    </row>
    <row r="345" customFormat="false" ht="12.75" hidden="false" customHeight="false" outlineLevel="0" collapsed="false">
      <c r="A345" s="432"/>
      <c r="B345" s="421"/>
      <c r="C345" s="433"/>
      <c r="D345" s="434"/>
      <c r="E345" s="421"/>
      <c r="F345" s="434"/>
      <c r="G345" s="421"/>
      <c r="H345" s="434"/>
      <c r="I345" s="434"/>
      <c r="J345" s="435"/>
      <c r="K345" s="425"/>
      <c r="L345" s="425"/>
      <c r="M345" s="84"/>
      <c r="N345" s="421"/>
      <c r="O345" s="421"/>
      <c r="P345" s="421"/>
      <c r="Q345" s="434"/>
      <c r="R345" s="435"/>
      <c r="S345" s="435"/>
      <c r="T345" s="435"/>
      <c r="AF345" s="384" t="n">
        <f aca="false">EOMONTH(AF344,0)+1</f>
        <v>46935</v>
      </c>
      <c r="AG345" s="36" t="n">
        <v>23</v>
      </c>
      <c r="AH345" s="36" t="n">
        <v>3</v>
      </c>
      <c r="AI345" s="36" t="n">
        <v>5</v>
      </c>
      <c r="AJ345" s="36" t="n">
        <v>1</v>
      </c>
      <c r="AK345" s="36" t="n">
        <v>31</v>
      </c>
    </row>
    <row r="346" customFormat="false" ht="12.75" hidden="false" customHeight="false" outlineLevel="0" collapsed="false">
      <c r="A346" s="432"/>
      <c r="B346" s="421"/>
      <c r="C346" s="433"/>
      <c r="D346" s="434"/>
      <c r="E346" s="421"/>
      <c r="F346" s="434"/>
      <c r="G346" s="421"/>
      <c r="H346" s="434"/>
      <c r="I346" s="434"/>
      <c r="J346" s="435"/>
      <c r="K346" s="425"/>
      <c r="L346" s="425"/>
      <c r="M346" s="84"/>
      <c r="N346" s="421"/>
      <c r="O346" s="421"/>
      <c r="P346" s="421"/>
      <c r="Q346" s="434"/>
      <c r="R346" s="435"/>
      <c r="S346" s="435"/>
      <c r="T346" s="435"/>
      <c r="AF346" s="384" t="n">
        <f aca="false">EOMONTH(AF345,0)+1</f>
        <v>46966</v>
      </c>
      <c r="AG346" s="36" t="n">
        <v>21</v>
      </c>
      <c r="AH346" s="36" t="n">
        <v>5</v>
      </c>
      <c r="AI346" s="36" t="n">
        <v>5</v>
      </c>
      <c r="AJ346" s="36" t="n">
        <v>0</v>
      </c>
      <c r="AK346" s="36" t="n">
        <v>31</v>
      </c>
    </row>
    <row r="347" customFormat="false" ht="12.75" hidden="false" customHeight="false" outlineLevel="0" collapsed="false">
      <c r="A347" s="432"/>
      <c r="B347" s="421"/>
      <c r="C347" s="433"/>
      <c r="D347" s="434"/>
      <c r="E347" s="421"/>
      <c r="F347" s="434"/>
      <c r="G347" s="421"/>
      <c r="H347" s="434"/>
      <c r="I347" s="434"/>
      <c r="J347" s="435"/>
      <c r="K347" s="425"/>
      <c r="L347" s="425"/>
      <c r="M347" s="84"/>
      <c r="N347" s="421"/>
      <c r="O347" s="421"/>
      <c r="P347" s="421"/>
      <c r="Q347" s="434"/>
      <c r="R347" s="435"/>
      <c r="S347" s="435"/>
      <c r="T347" s="435"/>
      <c r="AF347" s="384" t="n">
        <f aca="false">EOMONTH(AF346,0)+1</f>
        <v>46997</v>
      </c>
      <c r="AG347" s="36" t="n">
        <v>21</v>
      </c>
      <c r="AH347" s="36" t="n">
        <v>4</v>
      </c>
      <c r="AI347" s="36" t="n">
        <v>5</v>
      </c>
      <c r="AJ347" s="36" t="n">
        <v>1</v>
      </c>
      <c r="AK347" s="36" t="n">
        <v>30</v>
      </c>
    </row>
    <row r="348" customFormat="false" ht="12.75" hidden="false" customHeight="false" outlineLevel="0" collapsed="false">
      <c r="A348" s="432"/>
      <c r="B348" s="421"/>
      <c r="C348" s="433"/>
      <c r="D348" s="434"/>
      <c r="E348" s="421"/>
      <c r="F348" s="434"/>
      <c r="G348" s="421"/>
      <c r="H348" s="434"/>
      <c r="I348" s="434"/>
      <c r="J348" s="435"/>
      <c r="K348" s="425"/>
      <c r="L348" s="425"/>
      <c r="M348" s="84"/>
      <c r="N348" s="421"/>
      <c r="O348" s="421"/>
      <c r="P348" s="421"/>
      <c r="Q348" s="434"/>
      <c r="R348" s="435"/>
      <c r="S348" s="435"/>
      <c r="T348" s="435"/>
      <c r="AF348" s="384" t="n">
        <f aca="false">EOMONTH(AF347,0)+1</f>
        <v>47027</v>
      </c>
      <c r="AG348" s="36" t="n">
        <v>22</v>
      </c>
      <c r="AH348" s="36" t="n">
        <v>5</v>
      </c>
      <c r="AI348" s="36" t="n">
        <v>4</v>
      </c>
      <c r="AJ348" s="36" t="n">
        <v>0</v>
      </c>
      <c r="AK348" s="36" t="n">
        <v>31</v>
      </c>
    </row>
    <row r="349" customFormat="false" ht="12.75" hidden="false" customHeight="false" outlineLevel="0" collapsed="false">
      <c r="A349" s="432"/>
      <c r="B349" s="421"/>
      <c r="C349" s="433"/>
      <c r="D349" s="434"/>
      <c r="E349" s="421"/>
      <c r="F349" s="434"/>
      <c r="G349" s="421"/>
      <c r="H349" s="434"/>
      <c r="I349" s="434"/>
      <c r="J349" s="435"/>
      <c r="K349" s="425"/>
      <c r="L349" s="425"/>
      <c r="M349" s="84"/>
      <c r="N349" s="421"/>
      <c r="O349" s="421"/>
      <c r="P349" s="421"/>
      <c r="Q349" s="434"/>
      <c r="R349" s="435"/>
      <c r="S349" s="435"/>
      <c r="T349" s="435"/>
      <c r="AF349" s="384" t="n">
        <f aca="false">EOMONTH(AF348,0)+1</f>
        <v>47058</v>
      </c>
      <c r="AG349" s="36" t="n">
        <v>20</v>
      </c>
      <c r="AH349" s="36" t="n">
        <v>4</v>
      </c>
      <c r="AI349" s="36" t="n">
        <v>6</v>
      </c>
      <c r="AJ349" s="36" t="n">
        <v>1</v>
      </c>
      <c r="AK349" s="36" t="n">
        <v>30</v>
      </c>
    </row>
    <row r="350" customFormat="false" ht="12.75" hidden="false" customHeight="false" outlineLevel="0" collapsed="false">
      <c r="A350" s="432"/>
      <c r="B350" s="421"/>
      <c r="C350" s="433"/>
      <c r="D350" s="434"/>
      <c r="E350" s="421"/>
      <c r="F350" s="434"/>
      <c r="G350" s="421"/>
      <c r="H350" s="434"/>
      <c r="I350" s="434"/>
      <c r="J350" s="435"/>
      <c r="K350" s="425"/>
      <c r="L350" s="425"/>
      <c r="M350" s="84"/>
      <c r="N350" s="421"/>
      <c r="O350" s="421"/>
      <c r="P350" s="421"/>
      <c r="Q350" s="434"/>
      <c r="R350" s="435"/>
      <c r="S350" s="435"/>
      <c r="T350" s="435"/>
      <c r="AF350" s="384" t="n">
        <f aca="false">EOMONTH(AF349,0)+1</f>
        <v>47088</v>
      </c>
      <c r="AG350" s="36" t="n">
        <v>22</v>
      </c>
      <c r="AH350" s="36" t="n">
        <v>4</v>
      </c>
      <c r="AI350" s="36" t="n">
        <v>5</v>
      </c>
      <c r="AJ350" s="36" t="n">
        <v>1</v>
      </c>
      <c r="AK350" s="36" t="n">
        <v>31</v>
      </c>
    </row>
    <row r="351" customFormat="false" ht="12.75" hidden="false" customHeight="false" outlineLevel="0" collapsed="false">
      <c r="A351" s="432"/>
      <c r="B351" s="421"/>
      <c r="C351" s="433"/>
      <c r="D351" s="434"/>
      <c r="E351" s="421"/>
      <c r="F351" s="434"/>
      <c r="G351" s="421"/>
      <c r="H351" s="434"/>
      <c r="I351" s="434"/>
      <c r="J351" s="435"/>
      <c r="K351" s="425"/>
      <c r="L351" s="425"/>
      <c r="M351" s="84"/>
      <c r="N351" s="421"/>
      <c r="O351" s="421"/>
      <c r="P351" s="421"/>
      <c r="Q351" s="434"/>
      <c r="R351" s="435"/>
      <c r="S351" s="435"/>
      <c r="T351" s="435"/>
      <c r="AF351" s="384" t="n">
        <f aca="false">EOMONTH(AF350,0)+1</f>
        <v>47119</v>
      </c>
      <c r="AG351" s="36" t="n">
        <v>22</v>
      </c>
      <c r="AH351" s="36" t="n">
        <v>4</v>
      </c>
      <c r="AI351" s="36" t="n">
        <v>5</v>
      </c>
      <c r="AJ351" s="36" t="n">
        <v>1</v>
      </c>
      <c r="AK351" s="36" t="n">
        <v>31</v>
      </c>
    </row>
    <row r="352" customFormat="false" ht="12.75" hidden="false" customHeight="false" outlineLevel="0" collapsed="false">
      <c r="A352" s="432"/>
      <c r="B352" s="421"/>
      <c r="C352" s="433"/>
      <c r="D352" s="434"/>
      <c r="E352" s="421"/>
      <c r="F352" s="434"/>
      <c r="G352" s="421"/>
      <c r="H352" s="434"/>
      <c r="I352" s="434"/>
      <c r="J352" s="435"/>
      <c r="K352" s="425"/>
      <c r="L352" s="425"/>
      <c r="M352" s="84"/>
      <c r="N352" s="421"/>
      <c r="O352" s="421"/>
      <c r="P352" s="421"/>
      <c r="Q352" s="434"/>
      <c r="R352" s="435"/>
      <c r="S352" s="435"/>
      <c r="T352" s="435"/>
      <c r="AF352" s="384" t="n">
        <f aca="false">EOMONTH(AF351,0)+1</f>
        <v>47150</v>
      </c>
      <c r="AG352" s="36" t="n">
        <v>20</v>
      </c>
      <c r="AH352" s="36" t="n">
        <v>4</v>
      </c>
      <c r="AI352" s="36" t="n">
        <v>4</v>
      </c>
      <c r="AJ352" s="36" t="n">
        <v>0</v>
      </c>
      <c r="AK352" s="36" t="n">
        <v>28</v>
      </c>
    </row>
    <row r="353" customFormat="false" ht="12.75" hidden="false" customHeight="false" outlineLevel="0" collapsed="false">
      <c r="A353" s="432"/>
      <c r="B353" s="421"/>
      <c r="C353" s="433"/>
      <c r="D353" s="434"/>
      <c r="E353" s="421"/>
      <c r="F353" s="434"/>
      <c r="G353" s="421"/>
      <c r="H353" s="434"/>
      <c r="I353" s="434"/>
      <c r="J353" s="435"/>
      <c r="K353" s="425"/>
      <c r="L353" s="425"/>
      <c r="M353" s="84"/>
      <c r="N353" s="421"/>
      <c r="O353" s="421"/>
      <c r="P353" s="421"/>
      <c r="Q353" s="434"/>
      <c r="R353" s="435"/>
      <c r="S353" s="435"/>
      <c r="T353" s="435"/>
      <c r="AF353" s="384" t="n">
        <f aca="false">EOMONTH(AF352,0)+1</f>
        <v>47178</v>
      </c>
      <c r="AG353" s="36" t="n">
        <v>21</v>
      </c>
      <c r="AH353" s="36" t="n">
        <v>5</v>
      </c>
      <c r="AI353" s="36" t="n">
        <v>5</v>
      </c>
      <c r="AJ353" s="36" t="n">
        <v>0</v>
      </c>
      <c r="AK353" s="36" t="n">
        <v>31</v>
      </c>
    </row>
    <row r="354" customFormat="false" ht="12.75" hidden="false" customHeight="false" outlineLevel="0" collapsed="false">
      <c r="A354" s="432"/>
      <c r="B354" s="421"/>
      <c r="C354" s="433"/>
      <c r="D354" s="434"/>
      <c r="E354" s="421"/>
      <c r="F354" s="434"/>
      <c r="G354" s="421"/>
      <c r="H354" s="434"/>
      <c r="I354" s="434"/>
      <c r="J354" s="435"/>
      <c r="K354" s="425"/>
      <c r="L354" s="425"/>
      <c r="M354" s="84"/>
      <c r="N354" s="421"/>
      <c r="O354" s="421"/>
      <c r="P354" s="421"/>
      <c r="Q354" s="434"/>
      <c r="R354" s="435"/>
      <c r="S354" s="435"/>
      <c r="T354" s="435"/>
      <c r="AF354" s="384" t="n">
        <f aca="false">EOMONTH(AF353,0)+1</f>
        <v>47209</v>
      </c>
      <c r="AG354" s="36" t="n">
        <v>22</v>
      </c>
      <c r="AH354" s="36" t="n">
        <v>4</v>
      </c>
      <c r="AI354" s="36" t="n">
        <v>4</v>
      </c>
      <c r="AJ354" s="36" t="n">
        <v>0</v>
      </c>
      <c r="AK354" s="36" t="n">
        <v>30</v>
      </c>
    </row>
    <row r="355" customFormat="false" ht="12.75" hidden="false" customHeight="false" outlineLevel="0" collapsed="false">
      <c r="A355" s="432"/>
      <c r="B355" s="421"/>
      <c r="C355" s="433"/>
      <c r="D355" s="434"/>
      <c r="E355" s="421"/>
      <c r="F355" s="434"/>
      <c r="G355" s="421"/>
      <c r="H355" s="434"/>
      <c r="I355" s="434"/>
      <c r="J355" s="435"/>
      <c r="K355" s="425"/>
      <c r="L355" s="425"/>
      <c r="M355" s="84"/>
      <c r="N355" s="421"/>
      <c r="O355" s="421"/>
      <c r="P355" s="421"/>
      <c r="Q355" s="434"/>
      <c r="R355" s="435"/>
      <c r="S355" s="435"/>
      <c r="T355" s="435"/>
      <c r="AF355" s="384" t="n">
        <f aca="false">EOMONTH(AF354,0)+1</f>
        <v>47239</v>
      </c>
      <c r="AG355" s="36" t="n">
        <v>22</v>
      </c>
      <c r="AH355" s="36" t="n">
        <v>4</v>
      </c>
      <c r="AI355" s="36" t="n">
        <v>5</v>
      </c>
      <c r="AJ355" s="36" t="n">
        <v>1</v>
      </c>
      <c r="AK355" s="36" t="n">
        <v>31</v>
      </c>
    </row>
    <row r="356" customFormat="false" ht="12.75" hidden="false" customHeight="false" outlineLevel="0" collapsed="false">
      <c r="A356" s="432"/>
      <c r="B356" s="421"/>
      <c r="C356" s="433"/>
      <c r="D356" s="434"/>
      <c r="E356" s="421"/>
      <c r="F356" s="434"/>
      <c r="G356" s="421"/>
      <c r="H356" s="434"/>
      <c r="I356" s="434"/>
      <c r="J356" s="435"/>
      <c r="K356" s="425"/>
      <c r="L356" s="425"/>
      <c r="M356" s="84"/>
      <c r="N356" s="421"/>
      <c r="O356" s="421"/>
      <c r="P356" s="421"/>
      <c r="Q356" s="434"/>
      <c r="R356" s="435"/>
      <c r="S356" s="435"/>
      <c r="T356" s="435"/>
      <c r="AF356" s="384" t="n">
        <f aca="false">EOMONTH(AF355,0)+1</f>
        <v>47270</v>
      </c>
      <c r="AG356" s="36" t="n">
        <v>20</v>
      </c>
      <c r="AH356" s="36" t="n">
        <v>5</v>
      </c>
      <c r="AI356" s="36" t="n">
        <v>5</v>
      </c>
      <c r="AJ356" s="36" t="n">
        <v>0</v>
      </c>
      <c r="AK356" s="36" t="n">
        <v>30</v>
      </c>
    </row>
    <row r="357" customFormat="false" ht="12.75" hidden="false" customHeight="false" outlineLevel="0" collapsed="false">
      <c r="A357" s="432"/>
      <c r="B357" s="421"/>
      <c r="C357" s="433"/>
      <c r="D357" s="434"/>
      <c r="E357" s="421"/>
      <c r="F357" s="434"/>
      <c r="G357" s="421"/>
      <c r="H357" s="434"/>
      <c r="I357" s="434"/>
      <c r="J357" s="435"/>
      <c r="K357" s="425"/>
      <c r="L357" s="425"/>
      <c r="M357" s="84"/>
      <c r="N357" s="421"/>
      <c r="O357" s="421"/>
      <c r="P357" s="421"/>
      <c r="Q357" s="434"/>
      <c r="R357" s="435"/>
      <c r="S357" s="435"/>
      <c r="T357" s="435"/>
      <c r="AF357" s="384" t="n">
        <f aca="false">EOMONTH(AF356,0)+1</f>
        <v>47300</v>
      </c>
      <c r="AG357" s="36" t="n">
        <v>22</v>
      </c>
      <c r="AH357" s="36" t="n">
        <v>4</v>
      </c>
      <c r="AI357" s="36" t="n">
        <v>5</v>
      </c>
      <c r="AJ357" s="36" t="n">
        <v>1</v>
      </c>
      <c r="AK357" s="36" t="n">
        <v>31</v>
      </c>
    </row>
    <row r="358" customFormat="false" ht="12.75" hidden="false" customHeight="false" outlineLevel="0" collapsed="false">
      <c r="A358" s="432"/>
      <c r="B358" s="421"/>
      <c r="C358" s="433"/>
      <c r="D358" s="434"/>
      <c r="E358" s="421"/>
      <c r="F358" s="434"/>
      <c r="G358" s="421"/>
      <c r="H358" s="434"/>
      <c r="I358" s="434"/>
      <c r="J358" s="435"/>
      <c r="K358" s="425"/>
      <c r="L358" s="425"/>
      <c r="M358" s="84"/>
      <c r="N358" s="421"/>
      <c r="O358" s="421"/>
      <c r="P358" s="421"/>
      <c r="Q358" s="434"/>
      <c r="R358" s="435"/>
      <c r="S358" s="435"/>
      <c r="T358" s="435"/>
      <c r="AF358" s="384" t="n">
        <f aca="false">EOMONTH(AF357,0)+1</f>
        <v>47331</v>
      </c>
      <c r="AG358" s="36" t="n">
        <v>22</v>
      </c>
      <c r="AH358" s="36" t="n">
        <v>5</v>
      </c>
      <c r="AI358" s="36" t="n">
        <v>4</v>
      </c>
      <c r="AJ358" s="36" t="n">
        <v>0</v>
      </c>
      <c r="AK358" s="36" t="n">
        <v>31</v>
      </c>
    </row>
    <row r="359" customFormat="false" ht="12.75" hidden="false" customHeight="false" outlineLevel="0" collapsed="false">
      <c r="A359" s="432"/>
      <c r="B359" s="421"/>
      <c r="C359" s="433"/>
      <c r="D359" s="434"/>
      <c r="E359" s="421"/>
      <c r="F359" s="434"/>
      <c r="G359" s="421"/>
      <c r="H359" s="434"/>
      <c r="I359" s="434"/>
      <c r="J359" s="435"/>
      <c r="K359" s="425"/>
      <c r="L359" s="425"/>
      <c r="M359" s="84"/>
      <c r="N359" s="421"/>
      <c r="O359" s="421"/>
      <c r="P359" s="421"/>
      <c r="Q359" s="434"/>
      <c r="R359" s="435"/>
      <c r="S359" s="435"/>
      <c r="T359" s="435"/>
      <c r="AF359" s="384" t="n">
        <f aca="false">EOMONTH(AF358,0)+1</f>
        <v>47362</v>
      </c>
      <c r="AG359" s="36" t="n">
        <v>20</v>
      </c>
      <c r="AH359" s="36" t="n">
        <v>4</v>
      </c>
      <c r="AI359" s="36" t="n">
        <v>6</v>
      </c>
      <c r="AJ359" s="36" t="n">
        <v>1</v>
      </c>
      <c r="AK359" s="36" t="n">
        <v>30</v>
      </c>
    </row>
    <row r="360" customFormat="false" ht="12.75" hidden="false" customHeight="false" outlineLevel="0" collapsed="false">
      <c r="A360" s="432"/>
      <c r="B360" s="421"/>
      <c r="C360" s="433"/>
      <c r="D360" s="434"/>
      <c r="E360" s="421"/>
      <c r="F360" s="434"/>
      <c r="G360" s="421"/>
      <c r="H360" s="434"/>
      <c r="I360" s="434"/>
      <c r="J360" s="435"/>
      <c r="K360" s="425"/>
      <c r="L360" s="425"/>
      <c r="M360" s="84"/>
      <c r="N360" s="421"/>
      <c r="O360" s="421"/>
      <c r="P360" s="421"/>
      <c r="Q360" s="434"/>
      <c r="R360" s="435"/>
      <c r="S360" s="435"/>
      <c r="T360" s="435"/>
      <c r="AF360" s="384" t="n">
        <f aca="false">EOMONTH(AF359,0)+1</f>
        <v>47392</v>
      </c>
      <c r="AG360" s="36" t="n">
        <v>23</v>
      </c>
      <c r="AH360" s="36" t="n">
        <v>4</v>
      </c>
      <c r="AI360" s="36" t="n">
        <v>4</v>
      </c>
      <c r="AJ360" s="36" t="n">
        <v>0</v>
      </c>
      <c r="AK360" s="36" t="n">
        <v>31</v>
      </c>
    </row>
    <row r="361" customFormat="false" ht="12.75" hidden="false" customHeight="false" outlineLevel="0" collapsed="false">
      <c r="A361" s="432"/>
      <c r="B361" s="421"/>
      <c r="C361" s="433"/>
      <c r="D361" s="434"/>
      <c r="E361" s="421"/>
      <c r="F361" s="434"/>
      <c r="G361" s="421"/>
      <c r="H361" s="434"/>
      <c r="I361" s="434"/>
      <c r="J361" s="435"/>
      <c r="K361" s="425"/>
      <c r="L361" s="425"/>
      <c r="M361" s="84"/>
      <c r="N361" s="421"/>
      <c r="O361" s="421"/>
      <c r="P361" s="421"/>
      <c r="Q361" s="434"/>
      <c r="R361" s="435"/>
      <c r="S361" s="435"/>
      <c r="T361" s="435"/>
      <c r="AF361" s="384" t="n">
        <f aca="false">EOMONTH(AF360,0)+1</f>
        <v>47423</v>
      </c>
      <c r="AG361" s="36" t="n">
        <v>20</v>
      </c>
      <c r="AH361" s="36" t="n">
        <v>5</v>
      </c>
      <c r="AI361" s="36" t="n">
        <v>5</v>
      </c>
      <c r="AJ361" s="36" t="n">
        <v>1</v>
      </c>
      <c r="AK361" s="36" t="n">
        <v>30</v>
      </c>
    </row>
    <row r="362" customFormat="false" ht="12.75" hidden="false" customHeight="false" outlineLevel="0" collapsed="false">
      <c r="A362" s="432"/>
      <c r="B362" s="421"/>
      <c r="C362" s="433"/>
      <c r="D362" s="434"/>
      <c r="E362" s="421"/>
      <c r="F362" s="434"/>
      <c r="G362" s="421"/>
      <c r="H362" s="434"/>
      <c r="I362" s="434"/>
      <c r="J362" s="435"/>
      <c r="K362" s="425"/>
      <c r="L362" s="425"/>
      <c r="M362" s="84"/>
      <c r="N362" s="421"/>
      <c r="O362" s="421"/>
      <c r="P362" s="421"/>
      <c r="Q362" s="434"/>
      <c r="R362" s="435"/>
      <c r="S362" s="435"/>
      <c r="T362" s="435"/>
      <c r="AF362" s="384" t="n">
        <f aca="false">EOMONTH(AF361,0)+1</f>
        <v>47453</v>
      </c>
      <c r="AG362" s="36" t="n">
        <v>21</v>
      </c>
      <c r="AH362" s="36" t="n">
        <v>4</v>
      </c>
      <c r="AI362" s="36" t="n">
        <v>6</v>
      </c>
      <c r="AJ362" s="36" t="n">
        <v>1</v>
      </c>
      <c r="AK362" s="36" t="n">
        <v>31</v>
      </c>
    </row>
    <row r="363" customFormat="false" ht="12.75" hidden="false" customHeight="false" outlineLevel="0" collapsed="false">
      <c r="A363" s="432"/>
      <c r="B363" s="421"/>
      <c r="C363" s="433"/>
      <c r="D363" s="434"/>
      <c r="E363" s="421"/>
      <c r="F363" s="434"/>
      <c r="G363" s="421"/>
      <c r="H363" s="434"/>
      <c r="I363" s="434"/>
      <c r="J363" s="435"/>
      <c r="K363" s="425"/>
      <c r="L363" s="425"/>
      <c r="M363" s="84"/>
      <c r="N363" s="421"/>
      <c r="O363" s="421"/>
      <c r="P363" s="421"/>
      <c r="Q363" s="434"/>
      <c r="R363" s="435"/>
      <c r="S363" s="435"/>
      <c r="T363" s="435"/>
      <c r="AF363" s="384" t="n">
        <f aca="false">EOMONTH(AF362,0)+1</f>
        <v>47484</v>
      </c>
      <c r="AG363" s="36" t="n">
        <v>22</v>
      </c>
      <c r="AH363" s="36" t="n">
        <v>4</v>
      </c>
      <c r="AI363" s="36" t="n">
        <v>5</v>
      </c>
      <c r="AJ363" s="36" t="n">
        <v>1</v>
      </c>
      <c r="AK363" s="36" t="n">
        <v>31</v>
      </c>
    </row>
    <row r="364" customFormat="false" ht="12.75" hidden="false" customHeight="false" outlineLevel="0" collapsed="false">
      <c r="A364" s="432"/>
      <c r="B364" s="421"/>
      <c r="C364" s="433"/>
      <c r="D364" s="434"/>
      <c r="E364" s="421"/>
      <c r="F364" s="434"/>
      <c r="G364" s="421"/>
      <c r="H364" s="434"/>
      <c r="I364" s="434"/>
      <c r="J364" s="435"/>
      <c r="K364" s="425"/>
      <c r="L364" s="425"/>
      <c r="M364" s="84"/>
      <c r="N364" s="421"/>
      <c r="O364" s="421"/>
      <c r="P364" s="421"/>
      <c r="Q364" s="434"/>
      <c r="R364" s="435"/>
      <c r="S364" s="435"/>
      <c r="T364" s="435"/>
      <c r="AF364" s="384" t="n">
        <f aca="false">EOMONTH(AF363,0)+1</f>
        <v>47515</v>
      </c>
      <c r="AG364" s="36" t="n">
        <v>20</v>
      </c>
      <c r="AH364" s="36" t="n">
        <v>4</v>
      </c>
      <c r="AI364" s="36" t="n">
        <v>4</v>
      </c>
      <c r="AJ364" s="36" t="n">
        <v>0</v>
      </c>
      <c r="AK364" s="36" t="n">
        <v>28</v>
      </c>
    </row>
    <row r="365" customFormat="false" ht="12.75" hidden="false" customHeight="false" outlineLevel="0" collapsed="false">
      <c r="A365" s="432"/>
      <c r="B365" s="421"/>
      <c r="C365" s="433"/>
      <c r="D365" s="434"/>
      <c r="E365" s="421"/>
      <c r="F365" s="434"/>
      <c r="G365" s="421"/>
      <c r="H365" s="434"/>
      <c r="I365" s="434"/>
      <c r="J365" s="435"/>
      <c r="K365" s="425"/>
      <c r="L365" s="425"/>
      <c r="M365" s="84"/>
      <c r="N365" s="421"/>
      <c r="O365" s="421"/>
      <c r="P365" s="421"/>
      <c r="Q365" s="434"/>
      <c r="R365" s="435"/>
      <c r="S365" s="435"/>
      <c r="T365" s="435"/>
      <c r="AF365" s="384" t="n">
        <f aca="false">EOMONTH(AF364,0)+1</f>
        <v>47543</v>
      </c>
      <c r="AG365" s="36" t="n">
        <v>21</v>
      </c>
      <c r="AH365" s="36" t="n">
        <v>5</v>
      </c>
      <c r="AI365" s="36" t="n">
        <v>5</v>
      </c>
      <c r="AJ365" s="36" t="n">
        <v>0</v>
      </c>
      <c r="AK365" s="36" t="n">
        <v>31</v>
      </c>
    </row>
    <row r="366" customFormat="false" ht="12.75" hidden="false" customHeight="false" outlineLevel="0" collapsed="false">
      <c r="A366" s="432"/>
      <c r="B366" s="421"/>
      <c r="C366" s="433"/>
      <c r="D366" s="434"/>
      <c r="E366" s="421"/>
      <c r="F366" s="434"/>
      <c r="G366" s="421"/>
      <c r="H366" s="434"/>
      <c r="I366" s="434"/>
      <c r="J366" s="435"/>
      <c r="K366" s="425"/>
      <c r="L366" s="425"/>
      <c r="M366" s="84"/>
      <c r="N366" s="421"/>
      <c r="O366" s="421"/>
      <c r="P366" s="421"/>
      <c r="Q366" s="434"/>
      <c r="R366" s="435"/>
      <c r="S366" s="435"/>
      <c r="T366" s="435"/>
      <c r="AF366" s="384" t="n">
        <f aca="false">EOMONTH(AF365,0)+1</f>
        <v>47574</v>
      </c>
      <c r="AG366" s="36" t="n">
        <v>22</v>
      </c>
      <c r="AH366" s="36" t="n">
        <v>4</v>
      </c>
      <c r="AI366" s="36" t="n">
        <v>4</v>
      </c>
      <c r="AJ366" s="36" t="n">
        <v>0</v>
      </c>
      <c r="AK366" s="36" t="n">
        <v>30</v>
      </c>
    </row>
    <row r="367" customFormat="false" ht="12.75" hidden="false" customHeight="false" outlineLevel="0" collapsed="false">
      <c r="A367" s="432"/>
      <c r="B367" s="421"/>
      <c r="C367" s="433"/>
      <c r="D367" s="434"/>
      <c r="E367" s="421"/>
      <c r="F367" s="434"/>
      <c r="G367" s="421"/>
      <c r="H367" s="434"/>
      <c r="I367" s="434"/>
      <c r="J367" s="435"/>
      <c r="K367" s="425"/>
      <c r="L367" s="425"/>
      <c r="M367" s="84"/>
      <c r="N367" s="421"/>
      <c r="O367" s="421"/>
      <c r="P367" s="421"/>
      <c r="Q367" s="434"/>
      <c r="R367" s="435"/>
      <c r="S367" s="435"/>
      <c r="T367" s="435"/>
      <c r="AF367" s="384" t="n">
        <f aca="false">EOMONTH(AF366,0)+1</f>
        <v>47604</v>
      </c>
      <c r="AG367" s="36" t="n">
        <v>22</v>
      </c>
      <c r="AH367" s="36" t="n">
        <v>4</v>
      </c>
      <c r="AI367" s="36" t="n">
        <v>5</v>
      </c>
      <c r="AJ367" s="36" t="n">
        <v>1</v>
      </c>
      <c r="AK367" s="36" t="n">
        <v>31</v>
      </c>
    </row>
    <row r="368" customFormat="false" ht="12.75" hidden="false" customHeight="false" outlineLevel="0" collapsed="false">
      <c r="A368" s="432"/>
      <c r="B368" s="421"/>
      <c r="C368" s="433"/>
      <c r="D368" s="434"/>
      <c r="E368" s="421"/>
      <c r="F368" s="434"/>
      <c r="G368" s="421"/>
      <c r="H368" s="434"/>
      <c r="I368" s="434"/>
      <c r="J368" s="435"/>
      <c r="K368" s="425"/>
      <c r="L368" s="425"/>
      <c r="M368" s="84"/>
      <c r="N368" s="421"/>
      <c r="O368" s="421"/>
      <c r="P368" s="421"/>
      <c r="Q368" s="434"/>
      <c r="R368" s="435"/>
      <c r="S368" s="435"/>
      <c r="T368" s="435"/>
      <c r="AF368" s="384" t="n">
        <f aca="false">EOMONTH(AF367,0)+1</f>
        <v>47635</v>
      </c>
      <c r="AG368" s="36" t="n">
        <v>20</v>
      </c>
      <c r="AH368" s="36" t="n">
        <v>5</v>
      </c>
      <c r="AI368" s="36" t="n">
        <v>5</v>
      </c>
      <c r="AJ368" s="36" t="n">
        <v>0</v>
      </c>
      <c r="AK368" s="36" t="n">
        <v>30</v>
      </c>
    </row>
    <row r="369" customFormat="false" ht="12.75" hidden="false" customHeight="false" outlineLevel="0" collapsed="false">
      <c r="A369" s="432"/>
      <c r="B369" s="421"/>
      <c r="C369" s="433"/>
      <c r="D369" s="434"/>
      <c r="E369" s="421"/>
      <c r="F369" s="434"/>
      <c r="G369" s="421"/>
      <c r="H369" s="434"/>
      <c r="I369" s="434"/>
      <c r="J369" s="435"/>
      <c r="K369" s="425"/>
      <c r="L369" s="425"/>
      <c r="M369" s="84"/>
      <c r="N369" s="421"/>
      <c r="O369" s="421"/>
      <c r="P369" s="421"/>
      <c r="Q369" s="434"/>
      <c r="R369" s="435"/>
      <c r="S369" s="435"/>
      <c r="T369" s="435"/>
      <c r="AF369" s="384" t="n">
        <f aca="false">EOMONTH(AF368,0)+1</f>
        <v>47665</v>
      </c>
      <c r="AG369" s="36" t="n">
        <v>22</v>
      </c>
      <c r="AH369" s="36" t="n">
        <v>4</v>
      </c>
      <c r="AI369" s="36" t="n">
        <v>5</v>
      </c>
      <c r="AJ369" s="36" t="n">
        <v>1</v>
      </c>
      <c r="AK369" s="36" t="n">
        <v>31</v>
      </c>
    </row>
    <row r="370" customFormat="false" ht="12.75" hidden="false" customHeight="false" outlineLevel="0" collapsed="false">
      <c r="A370" s="432"/>
      <c r="B370" s="421"/>
      <c r="C370" s="433"/>
      <c r="D370" s="434"/>
      <c r="E370" s="421"/>
      <c r="F370" s="434"/>
      <c r="G370" s="421"/>
      <c r="H370" s="434"/>
      <c r="I370" s="434"/>
      <c r="J370" s="435"/>
      <c r="K370" s="425"/>
      <c r="L370" s="425"/>
      <c r="M370" s="84"/>
      <c r="N370" s="421"/>
      <c r="O370" s="421"/>
      <c r="P370" s="421"/>
      <c r="Q370" s="434"/>
      <c r="R370" s="435"/>
      <c r="S370" s="435"/>
      <c r="T370" s="435"/>
      <c r="AF370" s="384" t="n">
        <f aca="false">EOMONTH(AF369,0)+1</f>
        <v>47696</v>
      </c>
      <c r="AG370" s="36" t="n">
        <v>22</v>
      </c>
      <c r="AH370" s="36" t="n">
        <v>5</v>
      </c>
      <c r="AI370" s="36" t="n">
        <v>4</v>
      </c>
      <c r="AJ370" s="36" t="n">
        <v>0</v>
      </c>
      <c r="AK370" s="36" t="n">
        <v>31</v>
      </c>
    </row>
    <row r="371" customFormat="false" ht="12.75" hidden="false" customHeight="false" outlineLevel="0" collapsed="false">
      <c r="A371" s="432"/>
      <c r="B371" s="421"/>
      <c r="C371" s="433"/>
      <c r="D371" s="434"/>
      <c r="E371" s="421"/>
      <c r="F371" s="434"/>
      <c r="G371" s="421"/>
      <c r="H371" s="434"/>
      <c r="I371" s="434"/>
      <c r="J371" s="435"/>
      <c r="K371" s="425"/>
      <c r="L371" s="425"/>
      <c r="M371" s="84"/>
      <c r="N371" s="421"/>
      <c r="O371" s="421"/>
      <c r="P371" s="421"/>
      <c r="Q371" s="434"/>
      <c r="R371" s="435"/>
      <c r="S371" s="435"/>
      <c r="T371" s="435"/>
      <c r="AF371" s="384" t="n">
        <f aca="false">EOMONTH(AF370,0)+1</f>
        <v>47727</v>
      </c>
      <c r="AG371" s="36" t="n">
        <v>20</v>
      </c>
      <c r="AH371" s="36" t="n">
        <v>4</v>
      </c>
      <c r="AI371" s="36" t="n">
        <v>6</v>
      </c>
      <c r="AJ371" s="36" t="n">
        <v>1</v>
      </c>
      <c r="AK371" s="36" t="n">
        <v>30</v>
      </c>
    </row>
    <row r="372" customFormat="false" ht="12.75" hidden="false" customHeight="false" outlineLevel="0" collapsed="false">
      <c r="A372" s="432"/>
      <c r="B372" s="421"/>
      <c r="C372" s="433"/>
      <c r="D372" s="434"/>
      <c r="E372" s="421"/>
      <c r="F372" s="434"/>
      <c r="G372" s="421"/>
      <c r="H372" s="434"/>
      <c r="I372" s="434"/>
      <c r="J372" s="435"/>
      <c r="K372" s="425"/>
      <c r="L372" s="425"/>
      <c r="M372" s="84"/>
      <c r="N372" s="421"/>
      <c r="O372" s="421"/>
      <c r="P372" s="421"/>
      <c r="Q372" s="434"/>
      <c r="R372" s="435"/>
      <c r="S372" s="435"/>
      <c r="T372" s="435"/>
      <c r="AF372" s="384" t="n">
        <f aca="false">EOMONTH(AF371,0)+1</f>
        <v>47757</v>
      </c>
      <c r="AG372" s="36" t="n">
        <v>23</v>
      </c>
      <c r="AH372" s="36" t="n">
        <v>4</v>
      </c>
      <c r="AI372" s="36" t="n">
        <v>4</v>
      </c>
      <c r="AJ372" s="36" t="n">
        <v>0</v>
      </c>
      <c r="AK372" s="36" t="n">
        <v>31</v>
      </c>
    </row>
    <row r="373" customFormat="false" ht="12.75" hidden="false" customHeight="false" outlineLevel="0" collapsed="false">
      <c r="A373" s="432"/>
      <c r="B373" s="421"/>
      <c r="C373" s="433"/>
      <c r="D373" s="434"/>
      <c r="E373" s="421"/>
      <c r="F373" s="434"/>
      <c r="G373" s="421"/>
      <c r="H373" s="434"/>
      <c r="I373" s="434"/>
      <c r="J373" s="435"/>
      <c r="K373" s="425"/>
      <c r="L373" s="425"/>
      <c r="M373" s="84"/>
      <c r="N373" s="421"/>
      <c r="O373" s="421"/>
      <c r="P373" s="421"/>
      <c r="Q373" s="434"/>
      <c r="R373" s="435"/>
      <c r="S373" s="435"/>
      <c r="T373" s="435"/>
      <c r="AF373" s="384" t="n">
        <f aca="false">EOMONTH(AF372,0)+1</f>
        <v>47788</v>
      </c>
      <c r="AG373" s="36" t="n">
        <v>20</v>
      </c>
      <c r="AH373" s="36" t="n">
        <v>5</v>
      </c>
      <c r="AI373" s="36" t="n">
        <v>5</v>
      </c>
      <c r="AJ373" s="36" t="n">
        <v>1</v>
      </c>
      <c r="AK373" s="36" t="n">
        <v>30</v>
      </c>
    </row>
    <row r="374" customFormat="false" ht="12.75" hidden="false" customHeight="false" outlineLevel="0" collapsed="false">
      <c r="A374" s="432"/>
      <c r="B374" s="421"/>
      <c r="C374" s="433"/>
      <c r="D374" s="434"/>
      <c r="E374" s="421"/>
      <c r="F374" s="434"/>
      <c r="G374" s="421"/>
      <c r="H374" s="434"/>
      <c r="I374" s="434"/>
      <c r="J374" s="435"/>
      <c r="K374" s="425"/>
      <c r="L374" s="425"/>
      <c r="M374" s="84"/>
      <c r="N374" s="421"/>
      <c r="O374" s="421"/>
      <c r="P374" s="421"/>
      <c r="Q374" s="434"/>
      <c r="R374" s="435"/>
      <c r="S374" s="435"/>
      <c r="T374" s="435"/>
      <c r="AF374" s="384" t="n">
        <f aca="false">EOMONTH(AF373,0)+1</f>
        <v>47818</v>
      </c>
      <c r="AG374" s="36" t="n">
        <v>21</v>
      </c>
      <c r="AH374" s="36" t="n">
        <v>4</v>
      </c>
      <c r="AI374" s="36" t="n">
        <v>6</v>
      </c>
      <c r="AJ374" s="36" t="n">
        <v>1</v>
      </c>
      <c r="AK374" s="36" t="n">
        <v>31</v>
      </c>
    </row>
    <row r="375" customFormat="false" ht="12.75" hidden="false" customHeight="false" outlineLevel="0" collapsed="false">
      <c r="A375" s="432"/>
      <c r="B375" s="421"/>
      <c r="C375" s="433"/>
      <c r="D375" s="434"/>
      <c r="E375" s="421"/>
      <c r="F375" s="434"/>
      <c r="G375" s="421"/>
      <c r="H375" s="434"/>
      <c r="I375" s="434"/>
      <c r="J375" s="435"/>
      <c r="K375" s="425"/>
      <c r="L375" s="425"/>
      <c r="M375" s="84"/>
      <c r="N375" s="421"/>
      <c r="O375" s="421"/>
      <c r="P375" s="421"/>
      <c r="Q375" s="434"/>
      <c r="R375" s="435"/>
      <c r="S375" s="435"/>
      <c r="T375" s="435"/>
      <c r="AF375" s="384" t="n">
        <f aca="false">EOMONTH(AF374,0)+1</f>
        <v>47849</v>
      </c>
      <c r="AG375" s="36" t="n">
        <v>22</v>
      </c>
      <c r="AH375" s="36" t="n">
        <v>4</v>
      </c>
      <c r="AI375" s="36" t="n">
        <v>5</v>
      </c>
      <c r="AJ375" s="36" t="n">
        <v>1</v>
      </c>
      <c r="AK375" s="36" t="n">
        <v>31</v>
      </c>
    </row>
    <row r="376" customFormat="false" ht="12.75" hidden="false" customHeight="false" outlineLevel="0" collapsed="false">
      <c r="A376" s="432"/>
      <c r="B376" s="421"/>
      <c r="C376" s="433"/>
      <c r="D376" s="434"/>
      <c r="E376" s="421"/>
      <c r="F376" s="434"/>
      <c r="G376" s="421"/>
      <c r="H376" s="434"/>
      <c r="I376" s="434"/>
      <c r="J376" s="435"/>
      <c r="K376" s="425"/>
      <c r="L376" s="425"/>
      <c r="M376" s="84"/>
      <c r="N376" s="421"/>
      <c r="O376" s="421"/>
      <c r="P376" s="421"/>
      <c r="Q376" s="434"/>
      <c r="R376" s="435"/>
      <c r="S376" s="435"/>
      <c r="T376" s="435"/>
      <c r="AF376" s="384" t="n">
        <f aca="false">EOMONTH(AF375,0)+1</f>
        <v>47880</v>
      </c>
      <c r="AG376" s="36" t="n">
        <v>20</v>
      </c>
      <c r="AH376" s="36" t="n">
        <v>4</v>
      </c>
      <c r="AI376" s="36" t="n">
        <v>4</v>
      </c>
      <c r="AJ376" s="36" t="n">
        <v>0</v>
      </c>
      <c r="AK376" s="36" t="n">
        <v>28</v>
      </c>
    </row>
    <row r="377" customFormat="false" ht="12.75" hidden="false" customHeight="false" outlineLevel="0" collapsed="false">
      <c r="A377" s="432"/>
      <c r="B377" s="421"/>
      <c r="C377" s="433"/>
      <c r="D377" s="434"/>
      <c r="E377" s="421"/>
      <c r="F377" s="434"/>
      <c r="G377" s="421"/>
      <c r="H377" s="434"/>
      <c r="I377" s="434"/>
      <c r="J377" s="435"/>
      <c r="K377" s="425"/>
      <c r="L377" s="425"/>
      <c r="M377" s="84"/>
      <c r="N377" s="421"/>
      <c r="O377" s="421"/>
      <c r="P377" s="421"/>
      <c r="Q377" s="434"/>
      <c r="R377" s="435"/>
      <c r="S377" s="435"/>
      <c r="T377" s="435"/>
      <c r="AF377" s="384" t="n">
        <f aca="false">EOMONTH(AF376,0)+1</f>
        <v>47908</v>
      </c>
      <c r="AG377" s="36" t="n">
        <v>21</v>
      </c>
      <c r="AH377" s="36" t="n">
        <v>5</v>
      </c>
      <c r="AI377" s="36" t="n">
        <v>5</v>
      </c>
      <c r="AJ377" s="36" t="n">
        <v>0</v>
      </c>
      <c r="AK377" s="36" t="n">
        <v>31</v>
      </c>
    </row>
    <row r="378" customFormat="false" ht="12.75" hidden="false" customHeight="false" outlineLevel="0" collapsed="false">
      <c r="A378" s="432"/>
      <c r="B378" s="421"/>
      <c r="C378" s="433"/>
      <c r="D378" s="434"/>
      <c r="E378" s="421"/>
      <c r="F378" s="434"/>
      <c r="G378" s="421"/>
      <c r="H378" s="434"/>
      <c r="I378" s="434"/>
      <c r="J378" s="435"/>
      <c r="K378" s="425"/>
      <c r="L378" s="425"/>
      <c r="M378" s="84"/>
      <c r="N378" s="421"/>
      <c r="O378" s="421"/>
      <c r="P378" s="421"/>
      <c r="Q378" s="434"/>
      <c r="R378" s="435"/>
      <c r="S378" s="435"/>
      <c r="T378" s="435"/>
      <c r="AF378" s="384" t="n">
        <f aca="false">EOMONTH(AF377,0)+1</f>
        <v>47939</v>
      </c>
      <c r="AG378" s="36" t="n">
        <v>22</v>
      </c>
      <c r="AH378" s="36" t="n">
        <v>4</v>
      </c>
      <c r="AI378" s="36" t="n">
        <v>4</v>
      </c>
      <c r="AJ378" s="36" t="n">
        <v>0</v>
      </c>
      <c r="AK378" s="36" t="n">
        <v>30</v>
      </c>
    </row>
    <row r="379" customFormat="false" ht="12.75" hidden="false" customHeight="false" outlineLevel="0" collapsed="false">
      <c r="A379" s="432"/>
      <c r="B379" s="421"/>
      <c r="C379" s="433"/>
      <c r="D379" s="434"/>
      <c r="E379" s="421"/>
      <c r="F379" s="434"/>
      <c r="G379" s="421"/>
      <c r="H379" s="434"/>
      <c r="I379" s="434"/>
      <c r="J379" s="435"/>
      <c r="K379" s="425"/>
      <c r="L379" s="425"/>
      <c r="M379" s="84"/>
      <c r="N379" s="421"/>
      <c r="O379" s="421"/>
      <c r="P379" s="421"/>
      <c r="Q379" s="434"/>
      <c r="R379" s="435"/>
      <c r="S379" s="435"/>
      <c r="T379" s="435"/>
      <c r="AF379" s="384" t="n">
        <f aca="false">EOMONTH(AF378,0)+1</f>
        <v>47969</v>
      </c>
      <c r="AG379" s="36" t="n">
        <v>22</v>
      </c>
      <c r="AH379" s="36" t="n">
        <v>4</v>
      </c>
      <c r="AI379" s="36" t="n">
        <v>5</v>
      </c>
      <c r="AJ379" s="36" t="n">
        <v>1</v>
      </c>
      <c r="AK379" s="36" t="n">
        <v>31</v>
      </c>
    </row>
    <row r="380" customFormat="false" ht="12.75" hidden="false" customHeight="false" outlineLevel="0" collapsed="false">
      <c r="A380" s="432"/>
      <c r="B380" s="421"/>
      <c r="C380" s="433"/>
      <c r="D380" s="434"/>
      <c r="E380" s="421"/>
      <c r="F380" s="434"/>
      <c r="G380" s="421"/>
      <c r="H380" s="434"/>
      <c r="I380" s="434"/>
      <c r="J380" s="435"/>
      <c r="K380" s="425"/>
      <c r="L380" s="425"/>
      <c r="M380" s="84"/>
      <c r="N380" s="421"/>
      <c r="O380" s="421"/>
      <c r="P380" s="421"/>
      <c r="Q380" s="434"/>
      <c r="R380" s="435"/>
      <c r="S380" s="435"/>
      <c r="T380" s="435"/>
      <c r="AF380" s="384" t="n">
        <f aca="false">EOMONTH(AF379,0)+1</f>
        <v>48000</v>
      </c>
      <c r="AG380" s="36" t="n">
        <v>20</v>
      </c>
      <c r="AH380" s="36" t="n">
        <v>5</v>
      </c>
      <c r="AI380" s="36" t="n">
        <v>5</v>
      </c>
      <c r="AJ380" s="36" t="n">
        <v>0</v>
      </c>
      <c r="AK380" s="36" t="n">
        <v>30</v>
      </c>
    </row>
    <row r="381" customFormat="false" ht="12.75" hidden="false" customHeight="false" outlineLevel="0" collapsed="false">
      <c r="A381" s="432"/>
      <c r="B381" s="421"/>
      <c r="C381" s="433"/>
      <c r="D381" s="434"/>
      <c r="E381" s="421"/>
      <c r="F381" s="434"/>
      <c r="G381" s="421"/>
      <c r="H381" s="434"/>
      <c r="I381" s="434"/>
      <c r="J381" s="435"/>
      <c r="K381" s="425"/>
      <c r="L381" s="425"/>
      <c r="M381" s="84"/>
      <c r="N381" s="421"/>
      <c r="O381" s="421"/>
      <c r="P381" s="421"/>
      <c r="Q381" s="434"/>
      <c r="R381" s="435"/>
      <c r="S381" s="435"/>
      <c r="T381" s="435"/>
      <c r="AF381" s="384" t="n">
        <f aca="false">EOMONTH(AF380,0)+1</f>
        <v>48030</v>
      </c>
      <c r="AG381" s="36" t="n">
        <v>22</v>
      </c>
      <c r="AH381" s="36" t="n">
        <v>4</v>
      </c>
      <c r="AI381" s="36" t="n">
        <v>5</v>
      </c>
      <c r="AJ381" s="36" t="n">
        <v>1</v>
      </c>
      <c r="AK381" s="36" t="n">
        <v>31</v>
      </c>
    </row>
    <row r="382" customFormat="false" ht="12.75" hidden="false" customHeight="false" outlineLevel="0" collapsed="false">
      <c r="A382" s="432"/>
      <c r="B382" s="421"/>
      <c r="C382" s="433"/>
      <c r="D382" s="434"/>
      <c r="E382" s="421"/>
      <c r="F382" s="434"/>
      <c r="G382" s="421"/>
      <c r="H382" s="434"/>
      <c r="I382" s="434"/>
      <c r="J382" s="435"/>
      <c r="K382" s="425"/>
      <c r="L382" s="425"/>
      <c r="M382" s="84"/>
      <c r="N382" s="421"/>
      <c r="O382" s="421"/>
      <c r="P382" s="421"/>
      <c r="Q382" s="434"/>
      <c r="R382" s="435"/>
      <c r="S382" s="435"/>
      <c r="T382" s="435"/>
      <c r="AF382" s="384" t="n">
        <f aca="false">EOMONTH(AF381,0)+1</f>
        <v>48061</v>
      </c>
      <c r="AG382" s="36" t="n">
        <v>22</v>
      </c>
      <c r="AH382" s="36" t="n">
        <v>5</v>
      </c>
      <c r="AI382" s="36" t="n">
        <v>4</v>
      </c>
      <c r="AJ382" s="36" t="n">
        <v>0</v>
      </c>
      <c r="AK382" s="36" t="n">
        <v>31</v>
      </c>
    </row>
    <row r="383" customFormat="false" ht="12.75" hidden="false" customHeight="false" outlineLevel="0" collapsed="false">
      <c r="A383" s="432"/>
      <c r="B383" s="421"/>
      <c r="C383" s="433"/>
      <c r="D383" s="434"/>
      <c r="E383" s="421"/>
      <c r="F383" s="434"/>
      <c r="G383" s="421"/>
      <c r="H383" s="434"/>
      <c r="I383" s="434"/>
      <c r="J383" s="435"/>
      <c r="K383" s="425"/>
      <c r="L383" s="425"/>
      <c r="M383" s="84"/>
      <c r="N383" s="421"/>
      <c r="O383" s="421"/>
      <c r="P383" s="421"/>
      <c r="Q383" s="434"/>
      <c r="R383" s="435"/>
      <c r="S383" s="435"/>
      <c r="T383" s="435"/>
      <c r="AF383" s="384" t="n">
        <f aca="false">EOMONTH(AF382,0)+1</f>
        <v>48092</v>
      </c>
      <c r="AG383" s="36" t="n">
        <v>20</v>
      </c>
      <c r="AH383" s="36" t="n">
        <v>4</v>
      </c>
      <c r="AI383" s="36" t="n">
        <v>6</v>
      </c>
      <c r="AJ383" s="36" t="n">
        <v>1</v>
      </c>
      <c r="AK383" s="36" t="n">
        <v>30</v>
      </c>
    </row>
    <row r="384" customFormat="false" ht="12.75" hidden="false" customHeight="false" outlineLevel="0" collapsed="false">
      <c r="A384" s="432"/>
      <c r="B384" s="421"/>
      <c r="C384" s="433"/>
      <c r="D384" s="434"/>
      <c r="E384" s="421"/>
      <c r="F384" s="434"/>
      <c r="G384" s="421"/>
      <c r="H384" s="434"/>
      <c r="I384" s="434"/>
      <c r="J384" s="435"/>
      <c r="K384" s="425"/>
      <c r="L384" s="425"/>
      <c r="M384" s="84"/>
      <c r="N384" s="421"/>
      <c r="O384" s="421"/>
      <c r="P384" s="421"/>
      <c r="Q384" s="434"/>
      <c r="R384" s="435"/>
      <c r="S384" s="435"/>
      <c r="T384" s="435"/>
      <c r="AF384" s="384" t="n">
        <f aca="false">EOMONTH(AF383,0)+1</f>
        <v>48122</v>
      </c>
      <c r="AG384" s="36" t="n">
        <v>23</v>
      </c>
      <c r="AH384" s="36" t="n">
        <v>4</v>
      </c>
      <c r="AI384" s="36" t="n">
        <v>4</v>
      </c>
      <c r="AJ384" s="36" t="n">
        <v>0</v>
      </c>
      <c r="AK384" s="36" t="n">
        <v>31</v>
      </c>
    </row>
    <row r="385" customFormat="false" ht="12.75" hidden="false" customHeight="false" outlineLevel="0" collapsed="false">
      <c r="A385" s="432"/>
      <c r="B385" s="421"/>
      <c r="C385" s="433"/>
      <c r="D385" s="434"/>
      <c r="E385" s="421"/>
      <c r="F385" s="434"/>
      <c r="G385" s="421"/>
      <c r="H385" s="434"/>
      <c r="I385" s="434"/>
      <c r="J385" s="435"/>
      <c r="K385" s="425"/>
      <c r="L385" s="425"/>
      <c r="M385" s="84"/>
      <c r="N385" s="421"/>
      <c r="O385" s="421"/>
      <c r="P385" s="421"/>
      <c r="Q385" s="434"/>
      <c r="R385" s="435"/>
      <c r="S385" s="435"/>
      <c r="T385" s="435"/>
      <c r="AF385" s="384" t="n">
        <f aca="false">EOMONTH(AF384,0)+1</f>
        <v>48153</v>
      </c>
      <c r="AG385" s="36" t="n">
        <v>20</v>
      </c>
      <c r="AH385" s="36" t="n">
        <v>5</v>
      </c>
      <c r="AI385" s="36" t="n">
        <v>5</v>
      </c>
      <c r="AJ385" s="36" t="n">
        <v>1</v>
      </c>
      <c r="AK385" s="36" t="n">
        <v>30</v>
      </c>
    </row>
    <row r="386" customFormat="false" ht="12.75" hidden="false" customHeight="false" outlineLevel="0" collapsed="false">
      <c r="A386" s="432"/>
      <c r="B386" s="421"/>
      <c r="C386" s="433"/>
      <c r="D386" s="434"/>
      <c r="E386" s="421"/>
      <c r="F386" s="434"/>
      <c r="G386" s="421"/>
      <c r="H386" s="434"/>
      <c r="I386" s="434"/>
      <c r="J386" s="435"/>
      <c r="K386" s="425"/>
      <c r="L386" s="425"/>
      <c r="M386" s="84"/>
      <c r="N386" s="421"/>
      <c r="O386" s="421"/>
      <c r="P386" s="421"/>
      <c r="Q386" s="434"/>
      <c r="R386" s="435"/>
      <c r="S386" s="435"/>
      <c r="T386" s="435"/>
      <c r="AF386" s="384" t="n">
        <f aca="false">EOMONTH(AF385,0)+1</f>
        <v>48183</v>
      </c>
      <c r="AG386" s="36" t="n">
        <v>21</v>
      </c>
      <c r="AH386" s="36" t="n">
        <v>4</v>
      </c>
      <c r="AI386" s="36" t="n">
        <v>6</v>
      </c>
      <c r="AJ386" s="36" t="n">
        <v>1</v>
      </c>
      <c r="AK386" s="36" t="n">
        <v>31</v>
      </c>
    </row>
    <row r="387" customFormat="false" ht="12.75" hidden="false" customHeight="false" outlineLevel="0" collapsed="false">
      <c r="A387" s="432"/>
      <c r="B387" s="421"/>
      <c r="C387" s="433"/>
      <c r="D387" s="434"/>
      <c r="E387" s="421"/>
      <c r="F387" s="434"/>
      <c r="G387" s="421"/>
      <c r="H387" s="434"/>
      <c r="I387" s="434"/>
      <c r="J387" s="435"/>
      <c r="K387" s="425"/>
      <c r="L387" s="425"/>
      <c r="M387" s="84"/>
      <c r="N387" s="421"/>
      <c r="O387" s="421"/>
      <c r="P387" s="421"/>
      <c r="Q387" s="434"/>
      <c r="R387" s="435"/>
      <c r="S387" s="435"/>
      <c r="T387" s="435"/>
      <c r="AF387" s="384" t="n">
        <f aca="false">EOMONTH(AF386,0)+1</f>
        <v>48214</v>
      </c>
      <c r="AG387" s="36" t="n">
        <v>22</v>
      </c>
      <c r="AH387" s="36" t="n">
        <v>4</v>
      </c>
      <c r="AI387" s="36" t="n">
        <v>5</v>
      </c>
      <c r="AJ387" s="36" t="n">
        <v>1</v>
      </c>
      <c r="AK387" s="36" t="n">
        <v>31</v>
      </c>
    </row>
    <row r="388" customFormat="false" ht="12.75" hidden="false" customHeight="false" outlineLevel="0" collapsed="false">
      <c r="A388" s="432"/>
      <c r="B388" s="421"/>
      <c r="C388" s="433"/>
      <c r="D388" s="434"/>
      <c r="E388" s="421"/>
      <c r="F388" s="434"/>
      <c r="G388" s="421"/>
      <c r="H388" s="434"/>
      <c r="I388" s="434"/>
      <c r="J388" s="435"/>
      <c r="K388" s="425"/>
      <c r="L388" s="425"/>
      <c r="M388" s="84"/>
      <c r="N388" s="421"/>
      <c r="O388" s="421"/>
      <c r="P388" s="421"/>
      <c r="Q388" s="434"/>
      <c r="R388" s="435"/>
      <c r="S388" s="435"/>
      <c r="T388" s="435"/>
      <c r="AF388" s="384" t="n">
        <f aca="false">EOMONTH(AF387,0)+1</f>
        <v>48245</v>
      </c>
      <c r="AG388" s="36" t="n">
        <v>20</v>
      </c>
      <c r="AH388" s="36" t="n">
        <v>5</v>
      </c>
      <c r="AI388" s="36" t="n">
        <v>4</v>
      </c>
      <c r="AJ388" s="36" t="n">
        <v>0</v>
      </c>
      <c r="AK388" s="36" t="n">
        <v>29</v>
      </c>
    </row>
    <row r="389" customFormat="false" ht="12.75" hidden="false" customHeight="false" outlineLevel="0" collapsed="false">
      <c r="A389" s="432"/>
      <c r="B389" s="421"/>
      <c r="C389" s="433"/>
      <c r="D389" s="434"/>
      <c r="E389" s="421"/>
      <c r="F389" s="434"/>
      <c r="G389" s="421"/>
      <c r="H389" s="434"/>
      <c r="I389" s="434"/>
      <c r="J389" s="435"/>
      <c r="K389" s="425"/>
      <c r="L389" s="425"/>
      <c r="M389" s="84"/>
      <c r="N389" s="421"/>
      <c r="O389" s="421"/>
      <c r="P389" s="421"/>
      <c r="Q389" s="434"/>
      <c r="R389" s="435"/>
      <c r="S389" s="435"/>
      <c r="T389" s="435"/>
      <c r="AF389" s="384" t="n">
        <f aca="false">EOMONTH(AF388,0)+1</f>
        <v>48274</v>
      </c>
      <c r="AG389" s="36" t="n">
        <v>22</v>
      </c>
      <c r="AH389" s="36" t="n">
        <v>4</v>
      </c>
      <c r="AI389" s="36" t="n">
        <v>5</v>
      </c>
      <c r="AJ389" s="36" t="n">
        <v>0</v>
      </c>
      <c r="AK389" s="36" t="n">
        <v>31</v>
      </c>
    </row>
    <row r="390" customFormat="false" ht="12.75" hidden="false" customHeight="false" outlineLevel="0" collapsed="false">
      <c r="A390" s="432"/>
      <c r="B390" s="421"/>
      <c r="C390" s="433"/>
      <c r="D390" s="434"/>
      <c r="E390" s="421"/>
      <c r="F390" s="434"/>
      <c r="G390" s="421"/>
      <c r="H390" s="434"/>
      <c r="I390" s="434"/>
      <c r="J390" s="435"/>
      <c r="K390" s="425"/>
      <c r="L390" s="425"/>
      <c r="M390" s="84"/>
      <c r="N390" s="421"/>
      <c r="O390" s="421"/>
      <c r="P390" s="421"/>
      <c r="Q390" s="434"/>
      <c r="R390" s="435"/>
      <c r="S390" s="435"/>
      <c r="T390" s="435"/>
      <c r="AF390" s="384" t="n">
        <f aca="false">EOMONTH(AF389,0)+1</f>
        <v>48305</v>
      </c>
      <c r="AG390" s="36" t="n">
        <v>22</v>
      </c>
      <c r="AH390" s="36" t="n">
        <v>4</v>
      </c>
      <c r="AI390" s="36" t="n">
        <v>4</v>
      </c>
      <c r="AJ390" s="36" t="n">
        <v>0</v>
      </c>
      <c r="AK390" s="36" t="n">
        <v>30</v>
      </c>
    </row>
    <row r="391" customFormat="false" ht="12.75" hidden="false" customHeight="false" outlineLevel="0" collapsed="false">
      <c r="A391" s="432"/>
      <c r="B391" s="421"/>
      <c r="C391" s="433"/>
      <c r="D391" s="434"/>
      <c r="E391" s="421"/>
      <c r="F391" s="434"/>
      <c r="G391" s="421"/>
      <c r="H391" s="434"/>
      <c r="I391" s="434"/>
      <c r="J391" s="435"/>
      <c r="K391" s="425"/>
      <c r="L391" s="425"/>
      <c r="M391" s="84"/>
      <c r="N391" s="421"/>
      <c r="O391" s="421"/>
      <c r="P391" s="421"/>
      <c r="Q391" s="434"/>
      <c r="R391" s="435"/>
      <c r="S391" s="435"/>
      <c r="T391" s="435"/>
      <c r="AF391" s="384" t="n">
        <f aca="false">EOMONTH(AF390,0)+1</f>
        <v>48335</v>
      </c>
      <c r="AG391" s="36" t="n">
        <v>20</v>
      </c>
      <c r="AH391" s="36" t="n">
        <v>5</v>
      </c>
      <c r="AI391" s="36" t="n">
        <v>6</v>
      </c>
      <c r="AJ391" s="36" t="n">
        <v>1</v>
      </c>
      <c r="AK391" s="36" t="n">
        <v>31</v>
      </c>
    </row>
    <row r="392" customFormat="false" ht="12.75" hidden="false" customHeight="false" outlineLevel="0" collapsed="false">
      <c r="A392" s="432"/>
      <c r="B392" s="421"/>
      <c r="C392" s="433"/>
      <c r="D392" s="434"/>
      <c r="E392" s="421"/>
      <c r="F392" s="434"/>
      <c r="G392" s="421"/>
      <c r="H392" s="434"/>
      <c r="I392" s="434"/>
      <c r="J392" s="435"/>
      <c r="K392" s="425"/>
      <c r="L392" s="425"/>
      <c r="M392" s="84"/>
      <c r="N392" s="421"/>
      <c r="O392" s="421"/>
      <c r="P392" s="421"/>
      <c r="Q392" s="434"/>
      <c r="R392" s="435"/>
      <c r="S392" s="435"/>
      <c r="T392" s="435"/>
      <c r="AF392" s="384" t="n">
        <f aca="false">EOMONTH(AF391,0)+1</f>
        <v>48366</v>
      </c>
      <c r="AG392" s="36" t="n">
        <v>22</v>
      </c>
      <c r="AH392" s="36" t="n">
        <v>4</v>
      </c>
      <c r="AI392" s="36" t="n">
        <v>4</v>
      </c>
      <c r="AJ392" s="36" t="n">
        <v>0</v>
      </c>
      <c r="AK392" s="36" t="n">
        <v>30</v>
      </c>
    </row>
    <row r="393" customFormat="false" ht="12.75" hidden="false" customHeight="false" outlineLevel="0" collapsed="false">
      <c r="A393" s="432"/>
      <c r="B393" s="421"/>
      <c r="C393" s="433"/>
      <c r="D393" s="434"/>
      <c r="E393" s="421"/>
      <c r="F393" s="434"/>
      <c r="G393" s="421"/>
      <c r="H393" s="434"/>
      <c r="I393" s="434"/>
      <c r="J393" s="435"/>
      <c r="K393" s="425"/>
      <c r="L393" s="425"/>
      <c r="M393" s="84"/>
      <c r="N393" s="421"/>
      <c r="O393" s="421"/>
      <c r="P393" s="421"/>
      <c r="Q393" s="434"/>
      <c r="R393" s="435"/>
      <c r="S393" s="435"/>
      <c r="T393" s="435"/>
      <c r="AF393" s="384" t="n">
        <f aca="false">EOMONTH(AF392,0)+1</f>
        <v>48396</v>
      </c>
      <c r="AG393" s="36" t="n">
        <v>23</v>
      </c>
      <c r="AH393" s="36" t="n">
        <v>3</v>
      </c>
      <c r="AI393" s="36" t="n">
        <v>5</v>
      </c>
      <c r="AJ393" s="36" t="n">
        <v>1</v>
      </c>
      <c r="AK393" s="36" t="n">
        <v>31</v>
      </c>
    </row>
    <row r="394" customFormat="false" ht="12.75" hidden="false" customHeight="false" outlineLevel="0" collapsed="false">
      <c r="A394" s="432"/>
      <c r="B394" s="421"/>
      <c r="C394" s="433"/>
      <c r="D394" s="434"/>
      <c r="E394" s="421"/>
      <c r="F394" s="434"/>
      <c r="G394" s="421"/>
      <c r="H394" s="434"/>
      <c r="I394" s="434"/>
      <c r="J394" s="435"/>
      <c r="K394" s="425"/>
      <c r="L394" s="425"/>
      <c r="M394" s="84"/>
      <c r="N394" s="421"/>
      <c r="O394" s="421"/>
      <c r="P394" s="421"/>
      <c r="Q394" s="434"/>
      <c r="R394" s="435"/>
      <c r="S394" s="435"/>
      <c r="T394" s="435"/>
      <c r="AF394" s="384" t="n">
        <f aca="false">EOMONTH(AF393,0)+1</f>
        <v>48427</v>
      </c>
      <c r="AG394" s="36" t="n">
        <v>21</v>
      </c>
      <c r="AH394" s="36" t="n">
        <v>5</v>
      </c>
      <c r="AI394" s="36" t="n">
        <v>5</v>
      </c>
      <c r="AJ394" s="36" t="n">
        <v>0</v>
      </c>
      <c r="AK394" s="36" t="n">
        <v>31</v>
      </c>
    </row>
    <row r="395" customFormat="false" ht="12.75" hidden="false" customHeight="false" outlineLevel="0" collapsed="false">
      <c r="A395" s="432"/>
      <c r="B395" s="421"/>
      <c r="C395" s="433"/>
      <c r="D395" s="434"/>
      <c r="E395" s="421"/>
      <c r="F395" s="434"/>
      <c r="G395" s="421"/>
      <c r="H395" s="434"/>
      <c r="I395" s="434"/>
      <c r="J395" s="435"/>
      <c r="K395" s="425"/>
      <c r="L395" s="425"/>
      <c r="M395" s="84"/>
      <c r="N395" s="421"/>
      <c r="O395" s="421"/>
      <c r="P395" s="421"/>
      <c r="Q395" s="434"/>
      <c r="R395" s="435"/>
      <c r="S395" s="435"/>
      <c r="T395" s="435"/>
      <c r="AF395" s="384" t="n">
        <f aca="false">EOMONTH(AF394,0)+1</f>
        <v>48458</v>
      </c>
      <c r="AG395" s="36" t="n">
        <v>21</v>
      </c>
      <c r="AH395" s="36" t="n">
        <v>4</v>
      </c>
      <c r="AI395" s="36" t="n">
        <v>5</v>
      </c>
      <c r="AJ395" s="36" t="n">
        <v>1</v>
      </c>
      <c r="AK395" s="36" t="n">
        <v>30</v>
      </c>
    </row>
    <row r="396" customFormat="false" ht="12.75" hidden="false" customHeight="false" outlineLevel="0" collapsed="false">
      <c r="A396" s="432"/>
      <c r="B396" s="421"/>
      <c r="C396" s="433"/>
      <c r="D396" s="434"/>
      <c r="E396" s="421"/>
      <c r="F396" s="434"/>
      <c r="G396" s="421"/>
      <c r="H396" s="434"/>
      <c r="I396" s="434"/>
      <c r="J396" s="435"/>
      <c r="K396" s="425"/>
      <c r="L396" s="425"/>
      <c r="M396" s="84"/>
      <c r="N396" s="421"/>
      <c r="O396" s="421"/>
      <c r="P396" s="421"/>
      <c r="Q396" s="434"/>
      <c r="R396" s="435"/>
      <c r="S396" s="435"/>
      <c r="T396" s="435"/>
      <c r="AF396" s="384" t="n">
        <f aca="false">EOMONTH(AF395,0)+1</f>
        <v>48488</v>
      </c>
      <c r="AG396" s="36" t="n">
        <v>22</v>
      </c>
      <c r="AH396" s="36" t="n">
        <v>5</v>
      </c>
      <c r="AI396" s="36" t="n">
        <v>4</v>
      </c>
      <c r="AJ396" s="36" t="n">
        <v>0</v>
      </c>
      <c r="AK396" s="36" t="n">
        <v>31</v>
      </c>
    </row>
    <row r="397" customFormat="false" ht="12.75" hidden="false" customHeight="false" outlineLevel="0" collapsed="false">
      <c r="A397" s="432"/>
      <c r="B397" s="421"/>
      <c r="C397" s="433"/>
      <c r="D397" s="434"/>
      <c r="E397" s="421"/>
      <c r="F397" s="434"/>
      <c r="G397" s="421"/>
      <c r="H397" s="434"/>
      <c r="I397" s="434"/>
      <c r="J397" s="435"/>
      <c r="K397" s="425"/>
      <c r="L397" s="425"/>
      <c r="M397" s="84"/>
      <c r="N397" s="421"/>
      <c r="O397" s="421"/>
      <c r="P397" s="421"/>
      <c r="Q397" s="434"/>
      <c r="R397" s="435"/>
      <c r="S397" s="435"/>
      <c r="T397" s="435"/>
      <c r="AF397" s="384" t="n">
        <f aca="false">EOMONTH(AF396,0)+1</f>
        <v>48519</v>
      </c>
      <c r="AG397" s="36" t="n">
        <v>20</v>
      </c>
      <c r="AH397" s="36" t="n">
        <v>4</v>
      </c>
      <c r="AI397" s="36" t="n">
        <v>6</v>
      </c>
      <c r="AJ397" s="36" t="n">
        <v>1</v>
      </c>
      <c r="AK397" s="36" t="n">
        <v>30</v>
      </c>
    </row>
    <row r="398" customFormat="false" ht="12.75" hidden="false" customHeight="false" outlineLevel="0" collapsed="false">
      <c r="A398" s="432"/>
      <c r="B398" s="421"/>
      <c r="C398" s="433"/>
      <c r="D398" s="434"/>
      <c r="E398" s="421"/>
      <c r="F398" s="434"/>
      <c r="G398" s="421"/>
      <c r="H398" s="434"/>
      <c r="I398" s="434"/>
      <c r="J398" s="435"/>
      <c r="K398" s="425"/>
      <c r="L398" s="425"/>
      <c r="M398" s="84"/>
      <c r="N398" s="421"/>
      <c r="O398" s="421"/>
      <c r="P398" s="421"/>
      <c r="Q398" s="434"/>
      <c r="R398" s="435"/>
      <c r="S398" s="435"/>
      <c r="T398" s="435"/>
      <c r="AF398" s="384" t="n">
        <f aca="false">EOMONTH(AF397,0)+1</f>
        <v>48549</v>
      </c>
      <c r="AG398" s="36" t="n">
        <v>22</v>
      </c>
      <c r="AH398" s="36" t="n">
        <v>4</v>
      </c>
      <c r="AI398" s="36" t="n">
        <v>5</v>
      </c>
      <c r="AJ398" s="36" t="n">
        <v>1</v>
      </c>
      <c r="AK398" s="36" t="n">
        <v>31</v>
      </c>
    </row>
    <row r="399" customFormat="false" ht="12.75" hidden="false" customHeight="false" outlineLevel="0" collapsed="false">
      <c r="A399" s="432"/>
      <c r="B399" s="421"/>
      <c r="C399" s="433"/>
      <c r="D399" s="434"/>
      <c r="E399" s="421"/>
      <c r="F399" s="434"/>
      <c r="G399" s="421"/>
      <c r="H399" s="434"/>
      <c r="I399" s="434"/>
      <c r="J399" s="435"/>
      <c r="K399" s="425"/>
      <c r="L399" s="425"/>
      <c r="M399" s="84"/>
      <c r="N399" s="421"/>
      <c r="O399" s="421"/>
      <c r="P399" s="421"/>
      <c r="Q399" s="434"/>
      <c r="R399" s="435"/>
      <c r="S399" s="435"/>
      <c r="T399" s="435"/>
      <c r="AF399" s="384" t="n">
        <f aca="false">EOMONTH(AF398,0)+1</f>
        <v>48580</v>
      </c>
      <c r="AG399" s="36" t="n">
        <v>22</v>
      </c>
      <c r="AH399" s="36" t="n">
        <v>4</v>
      </c>
      <c r="AI399" s="36" t="n">
        <v>5</v>
      </c>
      <c r="AJ399" s="36" t="n">
        <v>1</v>
      </c>
      <c r="AK399" s="36" t="n">
        <v>31</v>
      </c>
    </row>
    <row r="400" customFormat="false" ht="12.75" hidden="false" customHeight="false" outlineLevel="0" collapsed="false">
      <c r="A400" s="432"/>
      <c r="B400" s="421"/>
      <c r="C400" s="433"/>
      <c r="D400" s="434"/>
      <c r="E400" s="421"/>
      <c r="F400" s="434"/>
      <c r="G400" s="421"/>
      <c r="H400" s="434"/>
      <c r="I400" s="434"/>
      <c r="J400" s="435"/>
      <c r="K400" s="425"/>
      <c r="L400" s="425"/>
      <c r="M400" s="84"/>
      <c r="N400" s="421"/>
      <c r="O400" s="421"/>
      <c r="P400" s="421"/>
      <c r="Q400" s="434"/>
      <c r="R400" s="435"/>
      <c r="S400" s="435"/>
      <c r="T400" s="435"/>
      <c r="AF400" s="384" t="n">
        <f aca="false">EOMONTH(AF399,0)+1</f>
        <v>48611</v>
      </c>
      <c r="AG400" s="36" t="n">
        <v>20</v>
      </c>
      <c r="AH400" s="36" t="n">
        <v>4</v>
      </c>
      <c r="AI400" s="36" t="n">
        <v>4</v>
      </c>
      <c r="AJ400" s="36" t="n">
        <v>0</v>
      </c>
      <c r="AK400" s="36" t="n">
        <v>28</v>
      </c>
    </row>
    <row r="401" customFormat="false" ht="12.75" hidden="false" customHeight="false" outlineLevel="0" collapsed="false">
      <c r="A401" s="432"/>
      <c r="B401" s="421"/>
      <c r="C401" s="433"/>
      <c r="D401" s="434"/>
      <c r="E401" s="421"/>
      <c r="F401" s="434"/>
      <c r="G401" s="421"/>
      <c r="H401" s="434"/>
      <c r="I401" s="434"/>
      <c r="J401" s="435"/>
      <c r="K401" s="425"/>
      <c r="L401" s="425"/>
      <c r="M401" s="84"/>
      <c r="N401" s="421"/>
      <c r="O401" s="421"/>
      <c r="P401" s="421"/>
      <c r="Q401" s="434"/>
      <c r="R401" s="435"/>
      <c r="S401" s="435"/>
      <c r="T401" s="435"/>
      <c r="AF401" s="384" t="n">
        <f aca="false">EOMONTH(AF400,0)+1</f>
        <v>48639</v>
      </c>
      <c r="AG401" s="36" t="n">
        <v>21</v>
      </c>
      <c r="AH401" s="36" t="n">
        <v>5</v>
      </c>
      <c r="AI401" s="36" t="n">
        <v>5</v>
      </c>
      <c r="AJ401" s="36" t="n">
        <v>0</v>
      </c>
      <c r="AK401" s="36" t="n">
        <v>31</v>
      </c>
    </row>
    <row r="402" customFormat="false" ht="12.75" hidden="false" customHeight="false" outlineLevel="0" collapsed="false">
      <c r="A402" s="432"/>
      <c r="B402" s="421"/>
      <c r="C402" s="433"/>
      <c r="D402" s="434"/>
      <c r="E402" s="421"/>
      <c r="F402" s="434"/>
      <c r="G402" s="421"/>
      <c r="H402" s="434"/>
      <c r="I402" s="434"/>
      <c r="J402" s="435"/>
      <c r="K402" s="425"/>
      <c r="L402" s="425"/>
      <c r="M402" s="84"/>
      <c r="N402" s="421"/>
      <c r="O402" s="421"/>
      <c r="P402" s="421"/>
      <c r="Q402" s="434"/>
      <c r="R402" s="435"/>
      <c r="S402" s="435"/>
      <c r="T402" s="435"/>
      <c r="AF402" s="384" t="n">
        <f aca="false">EOMONTH(AF401,0)+1</f>
        <v>48670</v>
      </c>
      <c r="AG402" s="36" t="n">
        <v>22</v>
      </c>
      <c r="AH402" s="36" t="n">
        <v>4</v>
      </c>
      <c r="AI402" s="36" t="n">
        <v>4</v>
      </c>
      <c r="AJ402" s="36" t="n">
        <v>0</v>
      </c>
      <c r="AK402" s="36" t="n">
        <v>30</v>
      </c>
    </row>
    <row r="403" customFormat="false" ht="12.75" hidden="false" customHeight="false" outlineLevel="0" collapsed="false">
      <c r="A403" s="432"/>
      <c r="B403" s="421"/>
      <c r="C403" s="433"/>
      <c r="D403" s="434"/>
      <c r="E403" s="421"/>
      <c r="F403" s="434"/>
      <c r="G403" s="421"/>
      <c r="H403" s="434"/>
      <c r="I403" s="434"/>
      <c r="J403" s="435"/>
      <c r="K403" s="425"/>
      <c r="L403" s="425"/>
      <c r="M403" s="84"/>
      <c r="N403" s="421"/>
      <c r="O403" s="421"/>
      <c r="P403" s="421"/>
      <c r="Q403" s="434"/>
      <c r="R403" s="435"/>
      <c r="S403" s="435"/>
      <c r="T403" s="435"/>
      <c r="AF403" s="384" t="n">
        <f aca="false">EOMONTH(AF402,0)+1</f>
        <v>48700</v>
      </c>
      <c r="AG403" s="36" t="n">
        <v>22</v>
      </c>
      <c r="AH403" s="36" t="n">
        <v>4</v>
      </c>
      <c r="AI403" s="36" t="n">
        <v>5</v>
      </c>
      <c r="AJ403" s="36" t="n">
        <v>1</v>
      </c>
      <c r="AK403" s="36" t="n">
        <v>31</v>
      </c>
    </row>
    <row r="404" customFormat="false" ht="12.75" hidden="false" customHeight="false" outlineLevel="0" collapsed="false">
      <c r="A404" s="432"/>
      <c r="B404" s="421"/>
      <c r="C404" s="433"/>
      <c r="D404" s="434"/>
      <c r="E404" s="421"/>
      <c r="F404" s="434"/>
      <c r="G404" s="421"/>
      <c r="H404" s="434"/>
      <c r="I404" s="434"/>
      <c r="J404" s="435"/>
      <c r="K404" s="425"/>
      <c r="L404" s="425"/>
      <c r="M404" s="84"/>
      <c r="N404" s="421"/>
      <c r="O404" s="421"/>
      <c r="P404" s="421"/>
      <c r="Q404" s="434"/>
      <c r="R404" s="435"/>
      <c r="S404" s="435"/>
      <c r="T404" s="435"/>
      <c r="AF404" s="384" t="n">
        <f aca="false">EOMONTH(AF403,0)+1</f>
        <v>48731</v>
      </c>
      <c r="AG404" s="36" t="n">
        <v>20</v>
      </c>
      <c r="AH404" s="36" t="n">
        <v>5</v>
      </c>
      <c r="AI404" s="36" t="n">
        <v>5</v>
      </c>
      <c r="AJ404" s="36" t="n">
        <v>0</v>
      </c>
      <c r="AK404" s="36" t="n">
        <v>30</v>
      </c>
    </row>
    <row r="405" customFormat="false" ht="12.75" hidden="false" customHeight="false" outlineLevel="0" collapsed="false">
      <c r="A405" s="432"/>
      <c r="B405" s="421"/>
      <c r="C405" s="433"/>
      <c r="D405" s="434"/>
      <c r="E405" s="421"/>
      <c r="F405" s="434"/>
      <c r="G405" s="421"/>
      <c r="H405" s="434"/>
      <c r="I405" s="434"/>
      <c r="J405" s="435"/>
      <c r="K405" s="425"/>
      <c r="L405" s="425"/>
      <c r="M405" s="84"/>
      <c r="N405" s="421"/>
      <c r="O405" s="421"/>
      <c r="P405" s="421"/>
      <c r="Q405" s="434"/>
      <c r="R405" s="435"/>
      <c r="S405" s="435"/>
      <c r="T405" s="435"/>
      <c r="AF405" s="384" t="n">
        <f aca="false">EOMONTH(AF404,0)+1</f>
        <v>48761</v>
      </c>
      <c r="AG405" s="36" t="n">
        <v>22</v>
      </c>
      <c r="AH405" s="36" t="n">
        <v>4</v>
      </c>
      <c r="AI405" s="36" t="n">
        <v>5</v>
      </c>
      <c r="AJ405" s="36" t="n">
        <v>1</v>
      </c>
      <c r="AK405" s="36" t="n">
        <v>31</v>
      </c>
    </row>
    <row r="406" customFormat="false" ht="12.75" hidden="false" customHeight="false" outlineLevel="0" collapsed="false">
      <c r="A406" s="432"/>
      <c r="B406" s="421"/>
      <c r="C406" s="433"/>
      <c r="D406" s="434"/>
      <c r="E406" s="421"/>
      <c r="F406" s="434"/>
      <c r="G406" s="421"/>
      <c r="H406" s="434"/>
      <c r="I406" s="434"/>
      <c r="J406" s="435"/>
      <c r="K406" s="425"/>
      <c r="L406" s="425"/>
      <c r="M406" s="84"/>
      <c r="N406" s="421"/>
      <c r="O406" s="421"/>
      <c r="P406" s="421"/>
      <c r="Q406" s="434"/>
      <c r="R406" s="435"/>
      <c r="S406" s="435"/>
      <c r="T406" s="435"/>
      <c r="AF406" s="384" t="n">
        <f aca="false">EOMONTH(AF405,0)+1</f>
        <v>48792</v>
      </c>
      <c r="AG406" s="36" t="n">
        <v>22</v>
      </c>
      <c r="AH406" s="36" t="n">
        <v>5</v>
      </c>
      <c r="AI406" s="36" t="n">
        <v>4</v>
      </c>
      <c r="AJ406" s="36" t="n">
        <v>0</v>
      </c>
      <c r="AK406" s="36" t="n">
        <v>31</v>
      </c>
    </row>
    <row r="407" customFormat="false" ht="12.75" hidden="false" customHeight="false" outlineLevel="0" collapsed="false">
      <c r="A407" s="432"/>
      <c r="B407" s="421"/>
      <c r="C407" s="433"/>
      <c r="D407" s="434"/>
      <c r="E407" s="421"/>
      <c r="F407" s="434"/>
      <c r="G407" s="421"/>
      <c r="H407" s="434"/>
      <c r="I407" s="434"/>
      <c r="J407" s="435"/>
      <c r="K407" s="425"/>
      <c r="L407" s="425"/>
      <c r="M407" s="84"/>
      <c r="N407" s="421"/>
      <c r="O407" s="421"/>
      <c r="P407" s="421"/>
      <c r="Q407" s="434"/>
      <c r="R407" s="435"/>
      <c r="S407" s="435"/>
      <c r="T407" s="435"/>
      <c r="AF407" s="384" t="n">
        <f aca="false">EOMONTH(AF406,0)+1</f>
        <v>48823</v>
      </c>
      <c r="AG407" s="36" t="n">
        <v>20</v>
      </c>
      <c r="AH407" s="36" t="n">
        <v>4</v>
      </c>
      <c r="AI407" s="36" t="n">
        <v>6</v>
      </c>
      <c r="AJ407" s="36" t="n">
        <v>1</v>
      </c>
      <c r="AK407" s="36" t="n">
        <v>30</v>
      </c>
    </row>
    <row r="408" customFormat="false" ht="12.75" hidden="false" customHeight="false" outlineLevel="0" collapsed="false">
      <c r="A408" s="432"/>
      <c r="B408" s="421"/>
      <c r="C408" s="433"/>
      <c r="D408" s="434"/>
      <c r="E408" s="421"/>
      <c r="F408" s="434"/>
      <c r="G408" s="421"/>
      <c r="H408" s="434"/>
      <c r="I408" s="434"/>
      <c r="J408" s="435"/>
      <c r="K408" s="425"/>
      <c r="L408" s="425"/>
      <c r="M408" s="84"/>
      <c r="N408" s="421"/>
      <c r="O408" s="421"/>
      <c r="P408" s="421"/>
      <c r="Q408" s="434"/>
      <c r="R408" s="435"/>
      <c r="S408" s="435"/>
      <c r="T408" s="435"/>
      <c r="AF408" s="384" t="n">
        <f aca="false">EOMONTH(AF407,0)+1</f>
        <v>48853</v>
      </c>
      <c r="AG408" s="36" t="n">
        <v>23</v>
      </c>
      <c r="AH408" s="36" t="n">
        <v>4</v>
      </c>
      <c r="AI408" s="36" t="n">
        <v>4</v>
      </c>
      <c r="AJ408" s="36" t="n">
        <v>0</v>
      </c>
      <c r="AK408" s="36" t="n">
        <v>31</v>
      </c>
    </row>
    <row r="409" customFormat="false" ht="12.75" hidden="false" customHeight="false" outlineLevel="0" collapsed="false">
      <c r="A409" s="432"/>
      <c r="B409" s="421"/>
      <c r="C409" s="433"/>
      <c r="D409" s="434"/>
      <c r="E409" s="421"/>
      <c r="F409" s="434"/>
      <c r="G409" s="421"/>
      <c r="H409" s="434"/>
      <c r="I409" s="434"/>
      <c r="J409" s="435"/>
      <c r="K409" s="425"/>
      <c r="L409" s="425"/>
      <c r="M409" s="84"/>
      <c r="N409" s="421"/>
      <c r="O409" s="421"/>
      <c r="P409" s="421"/>
      <c r="Q409" s="434"/>
      <c r="R409" s="435"/>
      <c r="S409" s="435"/>
      <c r="T409" s="435"/>
      <c r="AF409" s="384" t="n">
        <f aca="false">EOMONTH(AF408,0)+1</f>
        <v>48884</v>
      </c>
      <c r="AG409" s="36" t="n">
        <v>20</v>
      </c>
      <c r="AH409" s="36" t="n">
        <v>5</v>
      </c>
      <c r="AI409" s="36" t="n">
        <v>5</v>
      </c>
      <c r="AJ409" s="36" t="n">
        <v>1</v>
      </c>
      <c r="AK409" s="36" t="n">
        <v>30</v>
      </c>
    </row>
    <row r="410" customFormat="false" ht="12.75" hidden="false" customHeight="false" outlineLevel="0" collapsed="false">
      <c r="A410" s="432"/>
      <c r="B410" s="421"/>
      <c r="C410" s="433"/>
      <c r="D410" s="434"/>
      <c r="E410" s="421"/>
      <c r="F410" s="434"/>
      <c r="G410" s="421"/>
      <c r="H410" s="434"/>
      <c r="I410" s="434"/>
      <c r="J410" s="435"/>
      <c r="K410" s="425"/>
      <c r="L410" s="425"/>
      <c r="M410" s="84"/>
      <c r="N410" s="421"/>
      <c r="O410" s="421"/>
      <c r="P410" s="421"/>
      <c r="Q410" s="434"/>
      <c r="R410" s="435"/>
      <c r="S410" s="435"/>
      <c r="T410" s="435"/>
      <c r="AF410" s="384" t="n">
        <f aca="false">EOMONTH(AF409,0)+1</f>
        <v>48914</v>
      </c>
      <c r="AG410" s="36" t="n">
        <v>21</v>
      </c>
      <c r="AH410" s="36" t="n">
        <v>4</v>
      </c>
      <c r="AI410" s="36" t="n">
        <v>6</v>
      </c>
      <c r="AJ410" s="36" t="n">
        <v>1</v>
      </c>
      <c r="AK410" s="36" t="n">
        <v>31</v>
      </c>
    </row>
    <row r="411" customFormat="false" ht="12.75" hidden="false" customHeight="false" outlineLevel="0" collapsed="false">
      <c r="A411" s="432"/>
      <c r="B411" s="421"/>
      <c r="C411" s="433"/>
      <c r="D411" s="434"/>
      <c r="E411" s="421"/>
      <c r="F411" s="434"/>
      <c r="G411" s="421"/>
      <c r="H411" s="434"/>
      <c r="I411" s="434"/>
      <c r="J411" s="435"/>
      <c r="K411" s="425"/>
      <c r="L411" s="425"/>
      <c r="M411" s="84"/>
      <c r="N411" s="421"/>
      <c r="O411" s="421"/>
      <c r="P411" s="421"/>
      <c r="Q411" s="434"/>
      <c r="R411" s="435"/>
      <c r="S411" s="435"/>
      <c r="T411" s="435"/>
      <c r="AF411" s="384" t="n">
        <f aca="false">EOMONTH(AF410,0)+1</f>
        <v>48945</v>
      </c>
      <c r="AG411" s="36" t="n">
        <v>22</v>
      </c>
      <c r="AH411" s="36" t="n">
        <v>4</v>
      </c>
      <c r="AI411" s="36" t="n">
        <v>5</v>
      </c>
      <c r="AJ411" s="36" t="n">
        <v>1</v>
      </c>
      <c r="AK411" s="36" t="n">
        <v>31</v>
      </c>
    </row>
    <row r="412" customFormat="false" ht="12.75" hidden="false" customHeight="false" outlineLevel="0" collapsed="false">
      <c r="A412" s="432"/>
      <c r="B412" s="421"/>
      <c r="C412" s="433"/>
      <c r="D412" s="434"/>
      <c r="E412" s="421"/>
      <c r="F412" s="434"/>
      <c r="G412" s="421"/>
      <c r="H412" s="434"/>
      <c r="I412" s="434"/>
      <c r="J412" s="435"/>
      <c r="K412" s="425"/>
      <c r="L412" s="425"/>
      <c r="M412" s="84"/>
      <c r="N412" s="421"/>
      <c r="O412" s="421"/>
      <c r="P412" s="421"/>
      <c r="Q412" s="434"/>
      <c r="R412" s="435"/>
      <c r="S412" s="435"/>
      <c r="T412" s="435"/>
      <c r="AF412" s="384" t="n">
        <f aca="false">EOMONTH(AF411,0)+1</f>
        <v>48976</v>
      </c>
      <c r="AG412" s="36" t="n">
        <v>20</v>
      </c>
      <c r="AH412" s="36" t="n">
        <v>4</v>
      </c>
      <c r="AI412" s="36" t="n">
        <v>4</v>
      </c>
      <c r="AJ412" s="36" t="n">
        <v>0</v>
      </c>
      <c r="AK412" s="36" t="n">
        <v>28</v>
      </c>
    </row>
    <row r="413" customFormat="false" ht="12.75" hidden="false" customHeight="false" outlineLevel="0" collapsed="false">
      <c r="A413" s="432"/>
      <c r="B413" s="421"/>
      <c r="C413" s="433"/>
      <c r="D413" s="434"/>
      <c r="E413" s="421"/>
      <c r="F413" s="434"/>
      <c r="G413" s="421"/>
      <c r="H413" s="434"/>
      <c r="I413" s="434"/>
      <c r="J413" s="435"/>
      <c r="K413" s="425"/>
      <c r="L413" s="425"/>
      <c r="M413" s="84"/>
      <c r="N413" s="421"/>
      <c r="O413" s="421"/>
      <c r="P413" s="421"/>
      <c r="Q413" s="434"/>
      <c r="R413" s="435"/>
      <c r="S413" s="435"/>
      <c r="T413" s="435"/>
      <c r="AF413" s="384" t="n">
        <f aca="false">EOMONTH(AF412,0)+1</f>
        <v>49004</v>
      </c>
      <c r="AG413" s="36" t="n">
        <v>21</v>
      </c>
      <c r="AH413" s="36" t="n">
        <v>5</v>
      </c>
      <c r="AI413" s="36" t="n">
        <v>5</v>
      </c>
      <c r="AJ413" s="36" t="n">
        <v>0</v>
      </c>
      <c r="AK413" s="36" t="n">
        <v>31</v>
      </c>
    </row>
    <row r="414" customFormat="false" ht="12.75" hidden="false" customHeight="false" outlineLevel="0" collapsed="false">
      <c r="A414" s="432"/>
      <c r="B414" s="421"/>
      <c r="C414" s="433"/>
      <c r="D414" s="434"/>
      <c r="E414" s="421"/>
      <c r="F414" s="434"/>
      <c r="G414" s="421"/>
      <c r="H414" s="434"/>
      <c r="I414" s="434"/>
      <c r="J414" s="435"/>
      <c r="K414" s="425"/>
      <c r="L414" s="425"/>
      <c r="M414" s="84"/>
      <c r="N414" s="421"/>
      <c r="O414" s="421"/>
      <c r="P414" s="421"/>
      <c r="Q414" s="434"/>
      <c r="R414" s="435"/>
      <c r="S414" s="435"/>
      <c r="T414" s="435"/>
      <c r="AF414" s="384" t="n">
        <f aca="false">EOMONTH(AF413,0)+1</f>
        <v>49035</v>
      </c>
      <c r="AG414" s="36" t="n">
        <v>22</v>
      </c>
      <c r="AH414" s="36" t="n">
        <v>4</v>
      </c>
      <c r="AI414" s="36" t="n">
        <v>4</v>
      </c>
      <c r="AJ414" s="36" t="n">
        <v>0</v>
      </c>
      <c r="AK414" s="36" t="n">
        <v>30</v>
      </c>
    </row>
    <row r="415" customFormat="false" ht="12.75" hidden="false" customHeight="false" outlineLevel="0" collapsed="false">
      <c r="A415" s="432"/>
      <c r="B415" s="421"/>
      <c r="C415" s="433"/>
      <c r="D415" s="434"/>
      <c r="E415" s="421"/>
      <c r="F415" s="434"/>
      <c r="G415" s="421"/>
      <c r="H415" s="434"/>
      <c r="I415" s="434"/>
      <c r="J415" s="435"/>
      <c r="K415" s="425"/>
      <c r="L415" s="425"/>
      <c r="M415" s="84"/>
      <c r="N415" s="421"/>
      <c r="O415" s="421"/>
      <c r="P415" s="421"/>
      <c r="Q415" s="434"/>
      <c r="R415" s="435"/>
      <c r="S415" s="435"/>
      <c r="T415" s="435"/>
      <c r="AF415" s="384" t="n">
        <f aca="false">EOMONTH(AF414,0)+1</f>
        <v>49065</v>
      </c>
      <c r="AG415" s="36" t="n">
        <v>22</v>
      </c>
      <c r="AH415" s="36" t="n">
        <v>4</v>
      </c>
      <c r="AI415" s="36" t="n">
        <v>5</v>
      </c>
      <c r="AJ415" s="36" t="n">
        <v>1</v>
      </c>
      <c r="AK415" s="36" t="n">
        <v>31</v>
      </c>
    </row>
    <row r="416" customFormat="false" ht="12.75" hidden="false" customHeight="false" outlineLevel="0" collapsed="false">
      <c r="A416" s="432"/>
      <c r="B416" s="421"/>
      <c r="C416" s="433"/>
      <c r="D416" s="434"/>
      <c r="E416" s="421"/>
      <c r="F416" s="434"/>
      <c r="G416" s="421"/>
      <c r="H416" s="434"/>
      <c r="I416" s="434"/>
      <c r="J416" s="435"/>
      <c r="K416" s="425"/>
      <c r="L416" s="425"/>
      <c r="M416" s="84"/>
      <c r="N416" s="421"/>
      <c r="O416" s="421"/>
      <c r="P416" s="421"/>
      <c r="Q416" s="434"/>
      <c r="R416" s="435"/>
      <c r="S416" s="435"/>
      <c r="T416" s="435"/>
      <c r="AF416" s="384" t="n">
        <f aca="false">EOMONTH(AF415,0)+1</f>
        <v>49096</v>
      </c>
      <c r="AG416" s="36" t="n">
        <v>20</v>
      </c>
      <c r="AH416" s="36" t="n">
        <v>5</v>
      </c>
      <c r="AI416" s="36" t="n">
        <v>5</v>
      </c>
      <c r="AJ416" s="36" t="n">
        <v>0</v>
      </c>
      <c r="AK416" s="36" t="n">
        <v>30</v>
      </c>
    </row>
    <row r="417" customFormat="false" ht="12.75" hidden="false" customHeight="false" outlineLevel="0" collapsed="false">
      <c r="A417" s="432"/>
      <c r="B417" s="421"/>
      <c r="C417" s="433"/>
      <c r="D417" s="434"/>
      <c r="E417" s="421"/>
      <c r="F417" s="434"/>
      <c r="G417" s="421"/>
      <c r="H417" s="434"/>
      <c r="I417" s="434"/>
      <c r="J417" s="435"/>
      <c r="K417" s="425"/>
      <c r="L417" s="425"/>
      <c r="M417" s="84"/>
      <c r="N417" s="421"/>
      <c r="O417" s="421"/>
      <c r="P417" s="421"/>
      <c r="Q417" s="434"/>
      <c r="R417" s="435"/>
      <c r="S417" s="435"/>
      <c r="T417" s="435"/>
      <c r="AF417" s="384" t="n">
        <f aca="false">EOMONTH(AF416,0)+1</f>
        <v>49126</v>
      </c>
      <c r="AG417" s="36" t="n">
        <v>22</v>
      </c>
      <c r="AH417" s="36" t="n">
        <v>4</v>
      </c>
      <c r="AI417" s="36" t="n">
        <v>5</v>
      </c>
      <c r="AJ417" s="36" t="n">
        <v>1</v>
      </c>
      <c r="AK417" s="36" t="n">
        <v>31</v>
      </c>
    </row>
    <row r="418" customFormat="false" ht="12.75" hidden="false" customHeight="false" outlineLevel="0" collapsed="false">
      <c r="A418" s="432"/>
      <c r="B418" s="421"/>
      <c r="C418" s="433"/>
      <c r="D418" s="434"/>
      <c r="E418" s="421"/>
      <c r="F418" s="434"/>
      <c r="G418" s="421"/>
      <c r="H418" s="434"/>
      <c r="I418" s="434"/>
      <c r="J418" s="435"/>
      <c r="K418" s="425"/>
      <c r="L418" s="425"/>
      <c r="M418" s="84"/>
      <c r="N418" s="421"/>
      <c r="O418" s="421"/>
      <c r="P418" s="421"/>
      <c r="Q418" s="434"/>
      <c r="R418" s="435"/>
      <c r="S418" s="435"/>
      <c r="T418" s="435"/>
      <c r="AF418" s="384" t="n">
        <f aca="false">EOMONTH(AF417,0)+1</f>
        <v>49157</v>
      </c>
      <c r="AG418" s="36" t="n">
        <v>22</v>
      </c>
      <c r="AH418" s="36" t="n">
        <v>5</v>
      </c>
      <c r="AI418" s="36" t="n">
        <v>4</v>
      </c>
      <c r="AJ418" s="36" t="n">
        <v>0</v>
      </c>
      <c r="AK418" s="36" t="n">
        <v>31</v>
      </c>
    </row>
    <row r="419" customFormat="false" ht="12.75" hidden="false" customHeight="false" outlineLevel="0" collapsed="false">
      <c r="A419" s="432"/>
      <c r="B419" s="421"/>
      <c r="C419" s="433"/>
      <c r="D419" s="434"/>
      <c r="E419" s="421"/>
      <c r="F419" s="434"/>
      <c r="G419" s="421"/>
      <c r="H419" s="434"/>
      <c r="I419" s="434"/>
      <c r="J419" s="435"/>
      <c r="K419" s="425"/>
      <c r="L419" s="425"/>
      <c r="M419" s="84"/>
      <c r="N419" s="421"/>
      <c r="O419" s="421"/>
      <c r="P419" s="421"/>
      <c r="Q419" s="434"/>
      <c r="R419" s="435"/>
      <c r="S419" s="435"/>
      <c r="T419" s="435"/>
      <c r="AF419" s="384" t="n">
        <f aca="false">EOMONTH(AF418,0)+1</f>
        <v>49188</v>
      </c>
      <c r="AG419" s="36" t="n">
        <v>20</v>
      </c>
      <c r="AH419" s="36" t="n">
        <v>4</v>
      </c>
      <c r="AI419" s="36" t="n">
        <v>6</v>
      </c>
      <c r="AJ419" s="36" t="n">
        <v>1</v>
      </c>
      <c r="AK419" s="36" t="n">
        <v>30</v>
      </c>
    </row>
    <row r="420" customFormat="false" ht="12.75" hidden="false" customHeight="false" outlineLevel="0" collapsed="false">
      <c r="A420" s="432"/>
      <c r="B420" s="421"/>
      <c r="C420" s="433"/>
      <c r="D420" s="434"/>
      <c r="E420" s="421"/>
      <c r="F420" s="434"/>
      <c r="G420" s="421"/>
      <c r="H420" s="434"/>
      <c r="I420" s="434"/>
      <c r="J420" s="435"/>
      <c r="K420" s="425"/>
      <c r="L420" s="425"/>
      <c r="M420" s="84"/>
      <c r="N420" s="421"/>
      <c r="O420" s="421"/>
      <c r="P420" s="421"/>
      <c r="Q420" s="434"/>
      <c r="R420" s="435"/>
      <c r="S420" s="435"/>
      <c r="T420" s="435"/>
      <c r="AF420" s="384" t="n">
        <f aca="false">EOMONTH(AF419,0)+1</f>
        <v>49218</v>
      </c>
      <c r="AG420" s="36" t="n">
        <v>23</v>
      </c>
      <c r="AH420" s="36" t="n">
        <v>4</v>
      </c>
      <c r="AI420" s="36" t="n">
        <v>4</v>
      </c>
      <c r="AJ420" s="36" t="n">
        <v>0</v>
      </c>
      <c r="AK420" s="36" t="n">
        <v>31</v>
      </c>
    </row>
    <row r="421" customFormat="false" ht="12.75" hidden="false" customHeight="false" outlineLevel="0" collapsed="false">
      <c r="A421" s="432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AF421" s="384" t="n">
        <f aca="false">EOMONTH(AF420,0)+1</f>
        <v>49249</v>
      </c>
      <c r="AG421" s="36" t="n">
        <v>20</v>
      </c>
      <c r="AH421" s="36" t="n">
        <v>5</v>
      </c>
      <c r="AI421" s="36" t="n">
        <v>5</v>
      </c>
      <c r="AJ421" s="36" t="n">
        <v>1</v>
      </c>
      <c r="AK421" s="36" t="n">
        <v>30</v>
      </c>
    </row>
    <row r="422" customFormat="false" ht="12.75" hidden="false" customHeight="false" outlineLevel="0" collapsed="false">
      <c r="A422" s="432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AF422" s="384" t="n">
        <f aca="false">EOMONTH(AF421,0)+1</f>
        <v>49279</v>
      </c>
      <c r="AG422" s="36" t="n">
        <v>21</v>
      </c>
      <c r="AH422" s="36" t="n">
        <v>4</v>
      </c>
      <c r="AI422" s="36" t="n">
        <v>6</v>
      </c>
      <c r="AJ422" s="36" t="n">
        <v>1</v>
      </c>
      <c r="AK422" s="36" t="n">
        <v>31</v>
      </c>
    </row>
    <row r="423" customFormat="false" ht="12.75" hidden="false" customHeight="false" outlineLevel="0" collapsed="false">
      <c r="A423" s="432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AF423" s="384" t="n">
        <f aca="false">EOMONTH(AF422,0)+1</f>
        <v>49310</v>
      </c>
      <c r="AG423" s="36" t="n">
        <v>22</v>
      </c>
      <c r="AH423" s="36" t="n">
        <v>4</v>
      </c>
      <c r="AI423" s="36" t="n">
        <v>5</v>
      </c>
      <c r="AJ423" s="36" t="n">
        <v>1</v>
      </c>
      <c r="AK423" s="36" t="n">
        <v>31</v>
      </c>
    </row>
    <row r="424" customFormat="false" ht="12.75" hidden="false" customHeight="false" outlineLevel="0" collapsed="false">
      <c r="A424" s="432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AF424" s="384" t="n">
        <f aca="false">EOMONTH(AF423,0)+1</f>
        <v>49341</v>
      </c>
      <c r="AG424" s="36" t="n">
        <v>20</v>
      </c>
      <c r="AH424" s="36" t="n">
        <v>4</v>
      </c>
      <c r="AI424" s="36" t="n">
        <v>4</v>
      </c>
      <c r="AJ424" s="36" t="n">
        <v>0</v>
      </c>
      <c r="AK424" s="36" t="n">
        <v>28</v>
      </c>
    </row>
    <row r="425" customFormat="false" ht="12.75" hidden="false" customHeight="false" outlineLevel="0" collapsed="false">
      <c r="A425" s="432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AF425" s="384" t="n">
        <f aca="false">EOMONTH(AF424,0)+1</f>
        <v>49369</v>
      </c>
      <c r="AG425" s="36" t="n">
        <v>21</v>
      </c>
      <c r="AH425" s="36" t="n">
        <v>5</v>
      </c>
      <c r="AI425" s="36" t="n">
        <v>5</v>
      </c>
      <c r="AJ425" s="36" t="n">
        <v>0</v>
      </c>
      <c r="AK425" s="36" t="n">
        <v>31</v>
      </c>
    </row>
    <row r="426" customFormat="false" ht="12.75" hidden="false" customHeight="false" outlineLevel="0" collapsed="false">
      <c r="A426" s="432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AF426" s="384" t="n">
        <f aca="false">EOMONTH(AF425,0)+1</f>
        <v>49400</v>
      </c>
      <c r="AG426" s="36" t="n">
        <v>22</v>
      </c>
      <c r="AH426" s="36" t="n">
        <v>4</v>
      </c>
      <c r="AI426" s="36" t="n">
        <v>4</v>
      </c>
      <c r="AJ426" s="36" t="n">
        <v>0</v>
      </c>
      <c r="AK426" s="36" t="n">
        <v>30</v>
      </c>
    </row>
    <row r="427" customFormat="false" ht="12.75" hidden="false" customHeight="false" outlineLevel="0" collapsed="false">
      <c r="A427" s="432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AF427" s="384" t="n">
        <f aca="false">EOMONTH(AF426,0)+1</f>
        <v>49430</v>
      </c>
      <c r="AG427" s="36" t="n">
        <v>22</v>
      </c>
      <c r="AH427" s="36" t="n">
        <v>4</v>
      </c>
      <c r="AI427" s="36" t="n">
        <v>5</v>
      </c>
      <c r="AJ427" s="36" t="n">
        <v>1</v>
      </c>
      <c r="AK427" s="36" t="n">
        <v>31</v>
      </c>
    </row>
    <row r="428" customFormat="false" ht="12.75" hidden="false" customHeight="false" outlineLevel="0" collapsed="false">
      <c r="A428" s="420"/>
      <c r="AF428" s="384" t="n">
        <f aca="false">EOMONTH(AF427,0)+1</f>
        <v>49461</v>
      </c>
      <c r="AG428" s="36" t="n">
        <v>20</v>
      </c>
      <c r="AH428" s="36" t="n">
        <v>5</v>
      </c>
      <c r="AI428" s="36" t="n">
        <v>5</v>
      </c>
      <c r="AJ428" s="36" t="n">
        <v>0</v>
      </c>
      <c r="AK428" s="36" t="n">
        <v>30</v>
      </c>
    </row>
    <row r="429" customFormat="false" ht="12.75" hidden="false" customHeight="false" outlineLevel="0" collapsed="false">
      <c r="A429" s="420"/>
      <c r="AF429" s="384" t="n">
        <f aca="false">EOMONTH(AF428,0)+1</f>
        <v>49491</v>
      </c>
      <c r="AG429" s="36" t="n">
        <v>22</v>
      </c>
      <c r="AH429" s="36" t="n">
        <v>4</v>
      </c>
      <c r="AI429" s="36" t="n">
        <v>5</v>
      </c>
      <c r="AJ429" s="36" t="n">
        <v>1</v>
      </c>
      <c r="AK429" s="36" t="n">
        <v>31</v>
      </c>
    </row>
    <row r="430" customFormat="false" ht="12.75" hidden="false" customHeight="false" outlineLevel="0" collapsed="false">
      <c r="A430" s="420"/>
      <c r="AF430" s="384" t="n">
        <f aca="false">EOMONTH(AF429,0)+1</f>
        <v>49522</v>
      </c>
      <c r="AG430" s="36" t="n">
        <v>22</v>
      </c>
      <c r="AH430" s="36" t="n">
        <v>5</v>
      </c>
      <c r="AI430" s="36" t="n">
        <v>4</v>
      </c>
      <c r="AJ430" s="36" t="n">
        <v>0</v>
      </c>
      <c r="AK430" s="36" t="n">
        <v>31</v>
      </c>
    </row>
    <row r="431" customFormat="false" ht="12.75" hidden="false" customHeight="false" outlineLevel="0" collapsed="false">
      <c r="A431" s="420"/>
      <c r="AF431" s="384" t="n">
        <f aca="false">EOMONTH(AF430,0)+1</f>
        <v>49553</v>
      </c>
      <c r="AG431" s="36" t="n">
        <v>20</v>
      </c>
      <c r="AH431" s="36" t="n">
        <v>4</v>
      </c>
      <c r="AI431" s="36" t="n">
        <v>6</v>
      </c>
      <c r="AJ431" s="36" t="n">
        <v>1</v>
      </c>
      <c r="AK431" s="36" t="n">
        <v>30</v>
      </c>
    </row>
    <row r="432" customFormat="false" ht="12.75" hidden="false" customHeight="false" outlineLevel="0" collapsed="false">
      <c r="A432" s="362"/>
      <c r="AF432" s="384" t="n">
        <f aca="false">EOMONTH(AF431,0)+1</f>
        <v>49583</v>
      </c>
      <c r="AG432" s="36" t="n">
        <v>23</v>
      </c>
      <c r="AH432" s="36" t="n">
        <v>4</v>
      </c>
      <c r="AI432" s="36" t="n">
        <v>4</v>
      </c>
      <c r="AJ432" s="36" t="n">
        <v>0</v>
      </c>
      <c r="AK432" s="36" t="n">
        <v>31</v>
      </c>
    </row>
    <row r="433" customFormat="false" ht="12.75" hidden="false" customHeight="false" outlineLevel="0" collapsed="false">
      <c r="A433" s="362"/>
      <c r="AF433" s="384" t="n">
        <f aca="false">EOMONTH(AF432,0)+1</f>
        <v>49614</v>
      </c>
      <c r="AG433" s="36" t="n">
        <v>20</v>
      </c>
      <c r="AH433" s="36" t="n">
        <v>5</v>
      </c>
      <c r="AI433" s="36" t="n">
        <v>5</v>
      </c>
      <c r="AJ433" s="36" t="n">
        <v>1</v>
      </c>
      <c r="AK433" s="36" t="n">
        <v>30</v>
      </c>
    </row>
    <row r="434" customFormat="false" ht="12.75" hidden="false" customHeight="false" outlineLevel="0" collapsed="false">
      <c r="A434" s="362"/>
      <c r="AF434" s="384" t="n">
        <f aca="false">EOMONTH(AF433,0)+1</f>
        <v>49644</v>
      </c>
      <c r="AG434" s="36" t="n">
        <v>21</v>
      </c>
      <c r="AH434" s="36" t="n">
        <v>4</v>
      </c>
      <c r="AI434" s="36" t="n">
        <v>6</v>
      </c>
      <c r="AJ434" s="36" t="n">
        <v>1</v>
      </c>
      <c r="AK434" s="36" t="n">
        <v>31</v>
      </c>
    </row>
    <row r="435" customFormat="false" ht="12.75" hidden="false" customHeight="false" outlineLevel="0" collapsed="false">
      <c r="A435" s="362"/>
      <c r="AF435" s="384" t="n">
        <f aca="false">EOMONTH(AF434,0)+1</f>
        <v>49675</v>
      </c>
      <c r="AG435" s="36" t="n">
        <v>22</v>
      </c>
      <c r="AH435" s="36" t="n">
        <v>4</v>
      </c>
      <c r="AI435" s="36" t="n">
        <v>5</v>
      </c>
      <c r="AJ435" s="36" t="n">
        <v>1</v>
      </c>
      <c r="AK435" s="36" t="n">
        <v>31</v>
      </c>
    </row>
    <row r="436" customFormat="false" ht="12.75" hidden="false" customHeight="false" outlineLevel="0" collapsed="false">
      <c r="A436" s="362"/>
      <c r="AF436" s="384" t="n">
        <f aca="false">EOMONTH(AF435,0)+1</f>
        <v>49706</v>
      </c>
      <c r="AG436" s="36" t="n">
        <v>20</v>
      </c>
      <c r="AH436" s="36" t="n">
        <v>5</v>
      </c>
      <c r="AI436" s="36" t="n">
        <v>4</v>
      </c>
      <c r="AJ436" s="36" t="n">
        <v>0</v>
      </c>
      <c r="AK436" s="36" t="n">
        <v>29</v>
      </c>
    </row>
    <row r="437" customFormat="false" ht="12.75" hidden="false" customHeight="false" outlineLevel="0" collapsed="false">
      <c r="A437" s="362"/>
      <c r="AF437" s="384" t="n">
        <f aca="false">EOMONTH(AF436,0)+1</f>
        <v>49735</v>
      </c>
      <c r="AG437" s="36" t="n">
        <v>22</v>
      </c>
      <c r="AH437" s="36" t="n">
        <v>4</v>
      </c>
      <c r="AI437" s="36" t="n">
        <v>5</v>
      </c>
      <c r="AJ437" s="36" t="n">
        <v>0</v>
      </c>
      <c r="AK437" s="36" t="n">
        <v>31</v>
      </c>
    </row>
    <row r="438" customFormat="false" ht="12.75" hidden="false" customHeight="false" outlineLevel="0" collapsed="false">
      <c r="A438" s="362"/>
      <c r="AF438" s="384" t="n">
        <f aca="false">EOMONTH(AF437,0)+1</f>
        <v>49766</v>
      </c>
      <c r="AG438" s="36" t="n">
        <v>22</v>
      </c>
      <c r="AH438" s="36" t="n">
        <v>4</v>
      </c>
      <c r="AI438" s="36" t="n">
        <v>4</v>
      </c>
      <c r="AJ438" s="36" t="n">
        <v>0</v>
      </c>
      <c r="AK438" s="36" t="n">
        <v>30</v>
      </c>
    </row>
    <row r="439" customFormat="false" ht="12.75" hidden="false" customHeight="false" outlineLevel="0" collapsed="false">
      <c r="A439" s="362"/>
      <c r="AF439" s="384" t="n">
        <f aca="false">EOMONTH(AF438,0)+1</f>
        <v>49796</v>
      </c>
      <c r="AG439" s="36" t="n">
        <v>20</v>
      </c>
      <c r="AH439" s="36" t="n">
        <v>5</v>
      </c>
      <c r="AI439" s="36" t="n">
        <v>6</v>
      </c>
      <c r="AJ439" s="36" t="n">
        <v>1</v>
      </c>
      <c r="AK439" s="36" t="n">
        <v>31</v>
      </c>
    </row>
    <row r="440" customFormat="false" ht="12.75" hidden="false" customHeight="false" outlineLevel="0" collapsed="false">
      <c r="A440" s="362"/>
      <c r="AF440" s="384" t="n">
        <f aca="false">EOMONTH(AF439,0)+1</f>
        <v>49827</v>
      </c>
      <c r="AG440" s="36" t="n">
        <v>22</v>
      </c>
      <c r="AH440" s="36" t="n">
        <v>4</v>
      </c>
      <c r="AI440" s="36" t="n">
        <v>4</v>
      </c>
      <c r="AJ440" s="36" t="n">
        <v>0</v>
      </c>
      <c r="AK440" s="36" t="n">
        <v>30</v>
      </c>
    </row>
    <row r="441" customFormat="false" ht="12.75" hidden="false" customHeight="false" outlineLevel="0" collapsed="false">
      <c r="A441" s="362"/>
      <c r="AF441" s="384" t="n">
        <f aca="false">EOMONTH(AF440,0)+1</f>
        <v>49857</v>
      </c>
      <c r="AG441" s="36" t="n">
        <v>23</v>
      </c>
      <c r="AH441" s="36" t="n">
        <v>3</v>
      </c>
      <c r="AI441" s="36" t="n">
        <v>5</v>
      </c>
      <c r="AJ441" s="36" t="n">
        <v>1</v>
      </c>
      <c r="AK441" s="36" t="n">
        <v>31</v>
      </c>
    </row>
    <row r="442" customFormat="false" ht="12.75" hidden="false" customHeight="false" outlineLevel="0" collapsed="false">
      <c r="A442" s="362"/>
      <c r="AF442" s="384" t="n">
        <f aca="false">EOMONTH(AF441,0)+1</f>
        <v>49888</v>
      </c>
      <c r="AG442" s="36" t="n">
        <v>21</v>
      </c>
      <c r="AH442" s="36" t="n">
        <v>5</v>
      </c>
      <c r="AI442" s="36" t="n">
        <v>5</v>
      </c>
      <c r="AJ442" s="36" t="n">
        <v>0</v>
      </c>
      <c r="AK442" s="36" t="n">
        <v>31</v>
      </c>
    </row>
    <row r="443" customFormat="false" ht="12.75" hidden="false" customHeight="false" outlineLevel="0" collapsed="false">
      <c r="A443" s="362"/>
      <c r="AF443" s="384" t="n">
        <f aca="false">EOMONTH(AF442,0)+1</f>
        <v>49919</v>
      </c>
      <c r="AG443" s="36" t="n">
        <v>21</v>
      </c>
      <c r="AH443" s="36" t="n">
        <v>4</v>
      </c>
      <c r="AI443" s="36" t="n">
        <v>5</v>
      </c>
      <c r="AJ443" s="36" t="n">
        <v>1</v>
      </c>
      <c r="AK443" s="36" t="n">
        <v>30</v>
      </c>
    </row>
    <row r="444" customFormat="false" ht="12.75" hidden="false" customHeight="false" outlineLevel="0" collapsed="false">
      <c r="A444" s="362"/>
      <c r="AF444" s="384" t="n">
        <f aca="false">EOMONTH(AF443,0)+1</f>
        <v>49949</v>
      </c>
      <c r="AG444" s="36" t="n">
        <v>22</v>
      </c>
      <c r="AH444" s="36" t="n">
        <v>5</v>
      </c>
      <c r="AI444" s="36" t="n">
        <v>4</v>
      </c>
      <c r="AJ444" s="36" t="n">
        <v>0</v>
      </c>
      <c r="AK444" s="36" t="n">
        <v>31</v>
      </c>
    </row>
    <row r="445" customFormat="false" ht="12.75" hidden="false" customHeight="false" outlineLevel="0" collapsed="false">
      <c r="A445" s="362"/>
      <c r="AF445" s="384" t="n">
        <f aca="false">EOMONTH(AF444,0)+1</f>
        <v>49980</v>
      </c>
      <c r="AG445" s="36" t="n">
        <v>20</v>
      </c>
      <c r="AH445" s="36" t="n">
        <v>4</v>
      </c>
      <c r="AI445" s="36" t="n">
        <v>6</v>
      </c>
      <c r="AJ445" s="36" t="n">
        <v>1</v>
      </c>
      <c r="AK445" s="36" t="n">
        <v>30</v>
      </c>
    </row>
    <row r="446" customFormat="false" ht="12.75" hidden="false" customHeight="false" outlineLevel="0" collapsed="false">
      <c r="A446" s="362"/>
      <c r="AF446" s="384" t="n">
        <f aca="false">EOMONTH(AF445,0)+1</f>
        <v>50010</v>
      </c>
      <c r="AG446" s="36" t="n">
        <v>22</v>
      </c>
      <c r="AH446" s="36" t="n">
        <v>4</v>
      </c>
      <c r="AI446" s="36" t="n">
        <v>5</v>
      </c>
      <c r="AJ446" s="36" t="n">
        <v>1</v>
      </c>
      <c r="AK446" s="36" t="n">
        <v>31</v>
      </c>
    </row>
    <row r="447" customFormat="false" ht="12.75" hidden="false" customHeight="false" outlineLevel="0" collapsed="false">
      <c r="A447" s="362"/>
    </row>
    <row r="448" customFormat="false" ht="12.75" hidden="false" customHeight="false" outlineLevel="0" collapsed="false">
      <c r="A448" s="362"/>
    </row>
    <row r="449" customFormat="false" ht="12.75" hidden="false" customHeight="false" outlineLevel="0" collapsed="false">
      <c r="A449" s="362"/>
    </row>
    <row r="450" customFormat="false" ht="12.75" hidden="false" customHeight="false" outlineLevel="0" collapsed="false">
      <c r="A450" s="362"/>
    </row>
    <row r="451" customFormat="false" ht="12.75" hidden="false" customHeight="false" outlineLevel="0" collapsed="false">
      <c r="A451" s="362"/>
    </row>
    <row r="452" customFormat="false" ht="12.75" hidden="false" customHeight="false" outlineLevel="0" collapsed="false">
      <c r="A452" s="362"/>
    </row>
    <row r="453" customFormat="false" ht="12.75" hidden="false" customHeight="false" outlineLevel="0" collapsed="false">
      <c r="A453" s="362"/>
    </row>
    <row r="454" customFormat="false" ht="12.75" hidden="false" customHeight="false" outlineLevel="0" collapsed="false">
      <c r="A454" s="362"/>
    </row>
    <row r="455" customFormat="false" ht="12.75" hidden="false" customHeight="false" outlineLevel="0" collapsed="false">
      <c r="A455" s="362"/>
    </row>
    <row r="456" customFormat="false" ht="12.75" hidden="false" customHeight="false" outlineLevel="0" collapsed="false">
      <c r="A456" s="362"/>
    </row>
    <row r="457" customFormat="false" ht="12.75" hidden="false" customHeight="false" outlineLevel="0" collapsed="false">
      <c r="A457" s="362"/>
    </row>
    <row r="458" customFormat="false" ht="12.75" hidden="false" customHeight="false" outlineLevel="0" collapsed="false">
      <c r="A458" s="362"/>
    </row>
    <row r="459" customFormat="false" ht="12.75" hidden="false" customHeight="false" outlineLevel="0" collapsed="false">
      <c r="A459" s="362"/>
    </row>
    <row r="460" customFormat="false" ht="12.75" hidden="false" customHeight="false" outlineLevel="0" collapsed="false">
      <c r="A460" s="362"/>
    </row>
    <row r="461" customFormat="false" ht="12.75" hidden="false" customHeight="false" outlineLevel="0" collapsed="false">
      <c r="A461" s="362"/>
    </row>
    <row r="462" customFormat="false" ht="12.75" hidden="false" customHeight="false" outlineLevel="0" collapsed="false">
      <c r="A462" s="362"/>
    </row>
    <row r="463" customFormat="false" ht="12.75" hidden="false" customHeight="false" outlineLevel="0" collapsed="false">
      <c r="A463" s="362"/>
    </row>
    <row r="464" customFormat="false" ht="12.75" hidden="false" customHeight="false" outlineLevel="0" collapsed="false">
      <c r="A464" s="362"/>
    </row>
    <row r="465" customFormat="false" ht="12.75" hidden="false" customHeight="false" outlineLevel="0" collapsed="false">
      <c r="A465" s="362"/>
    </row>
    <row r="466" customFormat="false" ht="12.75" hidden="false" customHeight="false" outlineLevel="0" collapsed="false">
      <c r="A466" s="362"/>
    </row>
    <row r="467" customFormat="false" ht="12.75" hidden="false" customHeight="false" outlineLevel="0" collapsed="false">
      <c r="A467" s="362"/>
    </row>
    <row r="468" customFormat="false" ht="12.75" hidden="false" customHeight="false" outlineLevel="0" collapsed="false">
      <c r="A468" s="362"/>
    </row>
    <row r="469" customFormat="false" ht="12.75" hidden="false" customHeight="false" outlineLevel="0" collapsed="false">
      <c r="A469" s="362"/>
    </row>
    <row r="470" customFormat="false" ht="12.75" hidden="false" customHeight="false" outlineLevel="0" collapsed="false">
      <c r="A470" s="362"/>
    </row>
    <row r="471" customFormat="false" ht="12.75" hidden="false" customHeight="false" outlineLevel="0" collapsed="false">
      <c r="A471" s="362"/>
    </row>
    <row r="472" customFormat="false" ht="12.75" hidden="false" customHeight="false" outlineLevel="0" collapsed="false">
      <c r="A472" s="362"/>
    </row>
    <row r="473" customFormat="false" ht="12.75" hidden="false" customHeight="false" outlineLevel="0" collapsed="false">
      <c r="A473" s="362"/>
    </row>
    <row r="474" customFormat="false" ht="12.75" hidden="false" customHeight="false" outlineLevel="0" collapsed="false">
      <c r="A474" s="362"/>
    </row>
    <row r="475" customFormat="false" ht="12.75" hidden="false" customHeight="false" outlineLevel="0" collapsed="false">
      <c r="A475" s="362"/>
    </row>
    <row r="476" customFormat="false" ht="12.75" hidden="false" customHeight="false" outlineLevel="0" collapsed="false">
      <c r="A476" s="362"/>
    </row>
    <row r="477" customFormat="false" ht="12.75" hidden="false" customHeight="false" outlineLevel="0" collapsed="false">
      <c r="A477" s="362"/>
    </row>
    <row r="478" customFormat="false" ht="12.75" hidden="false" customHeight="false" outlineLevel="0" collapsed="false">
      <c r="A478" s="362"/>
    </row>
    <row r="479" customFormat="false" ht="12.75" hidden="false" customHeight="false" outlineLevel="0" collapsed="false">
      <c r="A479" s="362"/>
    </row>
    <row r="480" customFormat="false" ht="12.75" hidden="false" customHeight="false" outlineLevel="0" collapsed="false">
      <c r="A480" s="362"/>
    </row>
    <row r="481" customFormat="false" ht="12.75" hidden="false" customHeight="false" outlineLevel="0" collapsed="false">
      <c r="A481" s="362"/>
    </row>
    <row r="482" customFormat="false" ht="12.75" hidden="false" customHeight="false" outlineLevel="0" collapsed="false">
      <c r="A482" s="362"/>
    </row>
    <row r="483" customFormat="false" ht="12.75" hidden="false" customHeight="false" outlineLevel="0" collapsed="false">
      <c r="A483" s="362"/>
    </row>
    <row r="484" customFormat="false" ht="12.75" hidden="false" customHeight="false" outlineLevel="0" collapsed="false">
      <c r="A484" s="362"/>
    </row>
    <row r="485" customFormat="false" ht="12.75" hidden="false" customHeight="false" outlineLevel="0" collapsed="false">
      <c r="A485" s="362"/>
    </row>
    <row r="486" customFormat="false" ht="12.75" hidden="false" customHeight="false" outlineLevel="0" collapsed="false">
      <c r="A486" s="362"/>
    </row>
    <row r="487" customFormat="false" ht="12.75" hidden="false" customHeight="false" outlineLevel="0" collapsed="false">
      <c r="A487" s="362"/>
    </row>
    <row r="488" customFormat="false" ht="12.75" hidden="false" customHeight="false" outlineLevel="0" collapsed="false">
      <c r="A488" s="362"/>
    </row>
    <row r="489" customFormat="false" ht="12.75" hidden="false" customHeight="false" outlineLevel="0" collapsed="false">
      <c r="A489" s="362"/>
    </row>
    <row r="490" customFormat="false" ht="12.75" hidden="false" customHeight="false" outlineLevel="0" collapsed="false">
      <c r="A490" s="362"/>
    </row>
    <row r="491" customFormat="false" ht="12.75" hidden="false" customHeight="false" outlineLevel="0" collapsed="false">
      <c r="A491" s="362"/>
    </row>
    <row r="492" customFormat="false" ht="12.75" hidden="false" customHeight="false" outlineLevel="0" collapsed="false">
      <c r="A492" s="362"/>
    </row>
    <row r="493" customFormat="false" ht="12.75" hidden="false" customHeight="false" outlineLevel="0" collapsed="false">
      <c r="A493" s="362"/>
    </row>
    <row r="494" customFormat="false" ht="12.75" hidden="false" customHeight="false" outlineLevel="0" collapsed="false">
      <c r="A494" s="362"/>
    </row>
    <row r="495" customFormat="false" ht="12.75" hidden="false" customHeight="false" outlineLevel="0" collapsed="false">
      <c r="A495" s="362"/>
    </row>
    <row r="496" customFormat="false" ht="12.75" hidden="false" customHeight="false" outlineLevel="0" collapsed="false">
      <c r="A496" s="362"/>
    </row>
    <row r="497" customFormat="false" ht="12.75" hidden="false" customHeight="false" outlineLevel="0" collapsed="false">
      <c r="A497" s="362"/>
    </row>
    <row r="498" customFormat="false" ht="12.75" hidden="false" customHeight="false" outlineLevel="0" collapsed="false">
      <c r="A498" s="362"/>
    </row>
    <row r="499" customFormat="false" ht="12.75" hidden="false" customHeight="false" outlineLevel="0" collapsed="false">
      <c r="A499" s="362"/>
    </row>
    <row r="500" customFormat="false" ht="12.75" hidden="false" customHeight="false" outlineLevel="0" collapsed="false">
      <c r="A500" s="362"/>
    </row>
    <row r="501" customFormat="false" ht="12.75" hidden="false" customHeight="false" outlineLevel="0" collapsed="false">
      <c r="A501" s="362"/>
    </row>
    <row r="502" customFormat="false" ht="12.75" hidden="false" customHeight="false" outlineLevel="0" collapsed="false">
      <c r="A502" s="362"/>
    </row>
    <row r="503" customFormat="false" ht="12.75" hidden="false" customHeight="false" outlineLevel="0" collapsed="false">
      <c r="A503" s="362"/>
    </row>
    <row r="504" customFormat="false" ht="12.75" hidden="false" customHeight="false" outlineLevel="0" collapsed="false">
      <c r="A504" s="362"/>
    </row>
    <row r="505" customFormat="false" ht="12.75" hidden="false" customHeight="false" outlineLevel="0" collapsed="false">
      <c r="A505" s="362"/>
    </row>
    <row r="506" customFormat="false" ht="12.75" hidden="false" customHeight="false" outlineLevel="0" collapsed="false">
      <c r="A506" s="362"/>
    </row>
    <row r="507" customFormat="false" ht="12.75" hidden="false" customHeight="false" outlineLevel="0" collapsed="false">
      <c r="A507" s="362"/>
    </row>
    <row r="508" customFormat="false" ht="12.75" hidden="false" customHeight="false" outlineLevel="0" collapsed="false">
      <c r="A508" s="362"/>
    </row>
    <row r="509" customFormat="false" ht="12.75" hidden="false" customHeight="false" outlineLevel="0" collapsed="false">
      <c r="A509" s="362"/>
    </row>
    <row r="510" customFormat="false" ht="12.75" hidden="false" customHeight="false" outlineLevel="0" collapsed="false">
      <c r="A510" s="362"/>
    </row>
    <row r="511" customFormat="false" ht="12.75" hidden="false" customHeight="false" outlineLevel="0" collapsed="false">
      <c r="A511" s="362"/>
    </row>
    <row r="512" customFormat="false" ht="12.75" hidden="false" customHeight="false" outlineLevel="0" collapsed="false">
      <c r="A512" s="362"/>
    </row>
    <row r="513" customFormat="false" ht="12.75" hidden="false" customHeight="false" outlineLevel="0" collapsed="false">
      <c r="A513" s="362"/>
    </row>
    <row r="514" customFormat="false" ht="12.75" hidden="false" customHeight="false" outlineLevel="0" collapsed="false">
      <c r="A514" s="362"/>
    </row>
    <row r="515" customFormat="false" ht="12.75" hidden="false" customHeight="false" outlineLevel="0" collapsed="false">
      <c r="A515" s="362"/>
    </row>
    <row r="516" customFormat="false" ht="12.75" hidden="false" customHeight="false" outlineLevel="0" collapsed="false">
      <c r="A516" s="362"/>
    </row>
    <row r="517" customFormat="false" ht="12.75" hidden="false" customHeight="false" outlineLevel="0" collapsed="false">
      <c r="A517" s="362"/>
    </row>
    <row r="518" customFormat="false" ht="12.75" hidden="false" customHeight="false" outlineLevel="0" collapsed="false">
      <c r="A518" s="362"/>
    </row>
    <row r="519" customFormat="false" ht="12.75" hidden="false" customHeight="false" outlineLevel="0" collapsed="false">
      <c r="A519" s="362"/>
    </row>
    <row r="520" customFormat="false" ht="12.75" hidden="false" customHeight="false" outlineLevel="0" collapsed="false">
      <c r="A520" s="362"/>
    </row>
    <row r="521" customFormat="false" ht="12.75" hidden="false" customHeight="false" outlineLevel="0" collapsed="false">
      <c r="A521" s="362"/>
    </row>
    <row r="522" customFormat="false" ht="12.75" hidden="false" customHeight="false" outlineLevel="0" collapsed="false">
      <c r="A522" s="362"/>
    </row>
    <row r="523" customFormat="false" ht="12.75" hidden="false" customHeight="false" outlineLevel="0" collapsed="false">
      <c r="A523" s="362"/>
    </row>
    <row r="524" customFormat="false" ht="12.75" hidden="false" customHeight="false" outlineLevel="0" collapsed="false">
      <c r="A524" s="362"/>
    </row>
    <row r="525" customFormat="false" ht="12.75" hidden="false" customHeight="false" outlineLevel="0" collapsed="false">
      <c r="A525" s="362"/>
    </row>
    <row r="526" customFormat="false" ht="12.75" hidden="false" customHeight="false" outlineLevel="0" collapsed="false">
      <c r="A526" s="362"/>
    </row>
    <row r="527" customFormat="false" ht="12.75" hidden="false" customHeight="false" outlineLevel="0" collapsed="false">
      <c r="A527" s="362"/>
    </row>
    <row r="528" customFormat="false" ht="12.75" hidden="false" customHeight="false" outlineLevel="0" collapsed="false">
      <c r="A528" s="362"/>
    </row>
    <row r="529" customFormat="false" ht="12.75" hidden="false" customHeight="false" outlineLevel="0" collapsed="false">
      <c r="A529" s="362"/>
    </row>
    <row r="530" customFormat="false" ht="12.75" hidden="false" customHeight="false" outlineLevel="0" collapsed="false">
      <c r="A530" s="362"/>
    </row>
    <row r="531" customFormat="false" ht="12.75" hidden="false" customHeight="false" outlineLevel="0" collapsed="false">
      <c r="A531" s="362"/>
    </row>
    <row r="532" customFormat="false" ht="12.75" hidden="false" customHeight="false" outlineLevel="0" collapsed="false">
      <c r="A532" s="362"/>
    </row>
    <row r="533" customFormat="false" ht="12.75" hidden="false" customHeight="false" outlineLevel="0" collapsed="false">
      <c r="A533" s="362"/>
    </row>
    <row r="534" customFormat="false" ht="12.75" hidden="false" customHeight="false" outlineLevel="0" collapsed="false">
      <c r="A534" s="362"/>
    </row>
    <row r="535" customFormat="false" ht="12.75" hidden="false" customHeight="false" outlineLevel="0" collapsed="false">
      <c r="A535" s="362"/>
    </row>
    <row r="536" customFormat="false" ht="12.75" hidden="false" customHeight="false" outlineLevel="0" collapsed="false">
      <c r="A536" s="362"/>
    </row>
    <row r="537" customFormat="false" ht="12.75" hidden="false" customHeight="false" outlineLevel="0" collapsed="false">
      <c r="A537" s="362"/>
    </row>
    <row r="538" customFormat="false" ht="12.75" hidden="false" customHeight="false" outlineLevel="0" collapsed="false">
      <c r="A538" s="362"/>
    </row>
    <row r="539" customFormat="false" ht="12.75" hidden="false" customHeight="false" outlineLevel="0" collapsed="false">
      <c r="A539" s="362"/>
    </row>
    <row r="540" customFormat="false" ht="12.75" hidden="false" customHeight="false" outlineLevel="0" collapsed="false">
      <c r="A540" s="362"/>
    </row>
    <row r="541" customFormat="false" ht="12.75" hidden="false" customHeight="false" outlineLevel="0" collapsed="false">
      <c r="A541" s="362"/>
    </row>
    <row r="542" customFormat="false" ht="12.75" hidden="false" customHeight="false" outlineLevel="0" collapsed="false">
      <c r="A542" s="362"/>
    </row>
    <row r="543" customFormat="false" ht="12.75" hidden="false" customHeight="false" outlineLevel="0" collapsed="false">
      <c r="A543" s="362"/>
    </row>
    <row r="544" customFormat="false" ht="12.75" hidden="false" customHeight="false" outlineLevel="0" collapsed="false">
      <c r="A544" s="362"/>
    </row>
    <row r="545" customFormat="false" ht="12.75" hidden="false" customHeight="false" outlineLevel="0" collapsed="false">
      <c r="A545" s="362"/>
    </row>
    <row r="546" customFormat="false" ht="12.75" hidden="false" customHeight="false" outlineLevel="0" collapsed="false">
      <c r="A546" s="362"/>
    </row>
    <row r="547" customFormat="false" ht="12.75" hidden="false" customHeight="false" outlineLevel="0" collapsed="false">
      <c r="A547" s="362"/>
    </row>
    <row r="548" customFormat="false" ht="12.75" hidden="false" customHeight="false" outlineLevel="0" collapsed="false">
      <c r="A548" s="362"/>
    </row>
    <row r="549" customFormat="false" ht="12.75" hidden="false" customHeight="false" outlineLevel="0" collapsed="false">
      <c r="A549" s="362"/>
    </row>
    <row r="550" customFormat="false" ht="12.75" hidden="false" customHeight="false" outlineLevel="0" collapsed="false">
      <c r="A550" s="362"/>
    </row>
    <row r="551" customFormat="false" ht="12.75" hidden="false" customHeight="false" outlineLevel="0" collapsed="false">
      <c r="A551" s="362"/>
    </row>
    <row r="552" customFormat="false" ht="12.75" hidden="false" customHeight="false" outlineLevel="0" collapsed="false">
      <c r="A552" s="362"/>
    </row>
    <row r="553" customFormat="false" ht="12.75" hidden="false" customHeight="false" outlineLevel="0" collapsed="false">
      <c r="A553" s="362"/>
    </row>
    <row r="554" customFormat="false" ht="12.75" hidden="false" customHeight="false" outlineLevel="0" collapsed="false">
      <c r="A554" s="362"/>
    </row>
    <row r="555" customFormat="false" ht="12.75" hidden="false" customHeight="false" outlineLevel="0" collapsed="false">
      <c r="A555" s="362"/>
    </row>
    <row r="556" customFormat="false" ht="12.75" hidden="false" customHeight="false" outlineLevel="0" collapsed="false">
      <c r="A556" s="362"/>
    </row>
    <row r="557" customFormat="false" ht="12.75" hidden="false" customHeight="false" outlineLevel="0" collapsed="false">
      <c r="A557" s="362"/>
    </row>
    <row r="558" customFormat="false" ht="12.75" hidden="false" customHeight="false" outlineLevel="0" collapsed="false">
      <c r="A558" s="362"/>
    </row>
    <row r="559" customFormat="false" ht="12.75" hidden="false" customHeight="false" outlineLevel="0" collapsed="false">
      <c r="A559" s="362"/>
    </row>
    <row r="560" customFormat="false" ht="12.75" hidden="false" customHeight="false" outlineLevel="0" collapsed="false">
      <c r="A560" s="362"/>
    </row>
    <row r="561" customFormat="false" ht="12.75" hidden="false" customHeight="false" outlineLevel="0" collapsed="false">
      <c r="A561" s="362"/>
    </row>
    <row r="562" customFormat="false" ht="12.75" hidden="false" customHeight="false" outlineLevel="0" collapsed="false">
      <c r="A562" s="362"/>
    </row>
    <row r="563" customFormat="false" ht="12.75" hidden="false" customHeight="false" outlineLevel="0" collapsed="false">
      <c r="A563" s="362"/>
    </row>
    <row r="564" customFormat="false" ht="12.75" hidden="false" customHeight="false" outlineLevel="0" collapsed="false">
      <c r="A564" s="362"/>
    </row>
    <row r="565" customFormat="false" ht="12.75" hidden="false" customHeight="false" outlineLevel="0" collapsed="false">
      <c r="A565" s="362"/>
    </row>
    <row r="566" customFormat="false" ht="12.75" hidden="false" customHeight="false" outlineLevel="0" collapsed="false">
      <c r="A566" s="362"/>
    </row>
    <row r="567" customFormat="false" ht="12.75" hidden="false" customHeight="false" outlineLevel="0" collapsed="false">
      <c r="A567" s="362"/>
    </row>
    <row r="568" customFormat="false" ht="12.75" hidden="false" customHeight="false" outlineLevel="0" collapsed="false">
      <c r="A568" s="362"/>
    </row>
    <row r="569" customFormat="false" ht="12.75" hidden="false" customHeight="false" outlineLevel="0" collapsed="false">
      <c r="A569" s="362"/>
    </row>
    <row r="570" customFormat="false" ht="12.75" hidden="false" customHeight="false" outlineLevel="0" collapsed="false">
      <c r="A570" s="362"/>
    </row>
    <row r="571" customFormat="false" ht="12.75" hidden="false" customHeight="false" outlineLevel="0" collapsed="false">
      <c r="A571" s="362"/>
    </row>
    <row r="572" customFormat="false" ht="12.75" hidden="false" customHeight="false" outlineLevel="0" collapsed="false">
      <c r="A572" s="362"/>
    </row>
    <row r="573" customFormat="false" ht="12.75" hidden="false" customHeight="false" outlineLevel="0" collapsed="false">
      <c r="A573" s="362"/>
    </row>
    <row r="574" customFormat="false" ht="12.75" hidden="false" customHeight="false" outlineLevel="0" collapsed="false">
      <c r="A574" s="362"/>
    </row>
    <row r="575" customFormat="false" ht="12.75" hidden="false" customHeight="false" outlineLevel="0" collapsed="false">
      <c r="A575" s="362"/>
    </row>
    <row r="576" customFormat="false" ht="12.75" hidden="false" customHeight="false" outlineLevel="0" collapsed="false">
      <c r="A576" s="362"/>
    </row>
    <row r="577" customFormat="false" ht="12.75" hidden="false" customHeight="false" outlineLevel="0" collapsed="false">
      <c r="A577" s="362"/>
    </row>
    <row r="578" customFormat="false" ht="12.75" hidden="false" customHeight="false" outlineLevel="0" collapsed="false">
      <c r="A578" s="362"/>
    </row>
    <row r="579" customFormat="false" ht="12.75" hidden="false" customHeight="false" outlineLevel="0" collapsed="false">
      <c r="A579" s="362"/>
    </row>
    <row r="580" customFormat="false" ht="12.75" hidden="false" customHeight="false" outlineLevel="0" collapsed="false">
      <c r="A580" s="362"/>
    </row>
    <row r="581" customFormat="false" ht="12.75" hidden="false" customHeight="false" outlineLevel="0" collapsed="false">
      <c r="A581" s="362"/>
    </row>
    <row r="582" customFormat="false" ht="12.75" hidden="false" customHeight="false" outlineLevel="0" collapsed="false">
      <c r="A582" s="362"/>
    </row>
    <row r="583" customFormat="false" ht="12.75" hidden="false" customHeight="false" outlineLevel="0" collapsed="false">
      <c r="A583" s="362"/>
    </row>
    <row r="584" customFormat="false" ht="12.75" hidden="false" customHeight="false" outlineLevel="0" collapsed="false">
      <c r="A584" s="362"/>
    </row>
    <row r="585" customFormat="false" ht="12.75" hidden="false" customHeight="false" outlineLevel="0" collapsed="false">
      <c r="A585" s="362"/>
    </row>
    <row r="586" customFormat="false" ht="12.75" hidden="false" customHeight="false" outlineLevel="0" collapsed="false">
      <c r="A586" s="362"/>
    </row>
    <row r="587" customFormat="false" ht="12.75" hidden="false" customHeight="false" outlineLevel="0" collapsed="false">
      <c r="A587" s="362"/>
    </row>
    <row r="588" customFormat="false" ht="12.75" hidden="false" customHeight="false" outlineLevel="0" collapsed="false">
      <c r="A588" s="362"/>
    </row>
    <row r="589" customFormat="false" ht="12.75" hidden="false" customHeight="false" outlineLevel="0" collapsed="false">
      <c r="A589" s="362"/>
    </row>
    <row r="590" customFormat="false" ht="12.75" hidden="false" customHeight="false" outlineLevel="0" collapsed="false">
      <c r="A590" s="362"/>
    </row>
    <row r="591" customFormat="false" ht="12.75" hidden="false" customHeight="false" outlineLevel="0" collapsed="false">
      <c r="A591" s="362"/>
    </row>
    <row r="592" customFormat="false" ht="12.75" hidden="false" customHeight="false" outlineLevel="0" collapsed="false">
      <c r="A592" s="362"/>
    </row>
    <row r="593" customFormat="false" ht="12.75" hidden="false" customHeight="false" outlineLevel="0" collapsed="false">
      <c r="A593" s="362"/>
    </row>
    <row r="594" customFormat="false" ht="12.75" hidden="false" customHeight="false" outlineLevel="0" collapsed="false">
      <c r="A594" s="362"/>
    </row>
    <row r="595" customFormat="false" ht="12.75" hidden="false" customHeight="false" outlineLevel="0" collapsed="false">
      <c r="A595" s="362"/>
    </row>
    <row r="596" customFormat="false" ht="12.75" hidden="false" customHeight="false" outlineLevel="0" collapsed="false">
      <c r="A596" s="362"/>
    </row>
    <row r="597" customFormat="false" ht="12.75" hidden="false" customHeight="false" outlineLevel="0" collapsed="false">
      <c r="A597" s="362"/>
    </row>
    <row r="598" customFormat="false" ht="12.75" hidden="false" customHeight="false" outlineLevel="0" collapsed="false">
      <c r="A598" s="362"/>
    </row>
    <row r="599" customFormat="false" ht="12.75" hidden="false" customHeight="false" outlineLevel="0" collapsed="false">
      <c r="A599" s="362"/>
    </row>
    <row r="600" customFormat="false" ht="12.75" hidden="false" customHeight="false" outlineLevel="0" collapsed="false">
      <c r="A600" s="362"/>
    </row>
    <row r="601" customFormat="false" ht="12.75" hidden="false" customHeight="false" outlineLevel="0" collapsed="false">
      <c r="A601" s="362"/>
    </row>
    <row r="602" customFormat="false" ht="12.75" hidden="false" customHeight="false" outlineLevel="0" collapsed="false">
      <c r="A602" s="362"/>
    </row>
    <row r="603" customFormat="false" ht="12.75" hidden="false" customHeight="false" outlineLevel="0" collapsed="false">
      <c r="A603" s="362"/>
    </row>
    <row r="604" customFormat="false" ht="12.75" hidden="false" customHeight="false" outlineLevel="0" collapsed="false">
      <c r="A604" s="362"/>
    </row>
    <row r="605" customFormat="false" ht="12.75" hidden="false" customHeight="false" outlineLevel="0" collapsed="false">
      <c r="A605" s="362"/>
    </row>
    <row r="606" customFormat="false" ht="12.75" hidden="false" customHeight="false" outlineLevel="0" collapsed="false">
      <c r="A606" s="362"/>
    </row>
    <row r="607" customFormat="false" ht="12.75" hidden="false" customHeight="false" outlineLevel="0" collapsed="false">
      <c r="A607" s="362"/>
    </row>
    <row r="608" customFormat="false" ht="12.75" hidden="false" customHeight="false" outlineLevel="0" collapsed="false">
      <c r="A608" s="362"/>
    </row>
    <row r="609" customFormat="false" ht="12.75" hidden="false" customHeight="false" outlineLevel="0" collapsed="false">
      <c r="A609" s="362"/>
    </row>
    <row r="610" customFormat="false" ht="12.75" hidden="false" customHeight="false" outlineLevel="0" collapsed="false">
      <c r="A610" s="362"/>
    </row>
    <row r="611" customFormat="false" ht="12.75" hidden="false" customHeight="false" outlineLevel="0" collapsed="false">
      <c r="A611" s="362"/>
    </row>
    <row r="612" customFormat="false" ht="12.75" hidden="false" customHeight="false" outlineLevel="0" collapsed="false">
      <c r="A612" s="362"/>
    </row>
    <row r="613" customFormat="false" ht="12.75" hidden="false" customHeight="false" outlineLevel="0" collapsed="false">
      <c r="A613" s="362"/>
    </row>
    <row r="614" customFormat="false" ht="12.75" hidden="false" customHeight="false" outlineLevel="0" collapsed="false">
      <c r="A614" s="362"/>
    </row>
    <row r="615" customFormat="false" ht="12.75" hidden="false" customHeight="false" outlineLevel="0" collapsed="false">
      <c r="A615" s="362"/>
    </row>
    <row r="616" customFormat="false" ht="12.75" hidden="false" customHeight="false" outlineLevel="0" collapsed="false">
      <c r="A616" s="362"/>
    </row>
    <row r="617" customFormat="false" ht="12.75" hidden="false" customHeight="false" outlineLevel="0" collapsed="false">
      <c r="A617" s="362"/>
    </row>
    <row r="618" customFormat="false" ht="12.75" hidden="false" customHeight="false" outlineLevel="0" collapsed="false">
      <c r="A618" s="362"/>
    </row>
    <row r="619" customFormat="false" ht="12.75" hidden="false" customHeight="false" outlineLevel="0" collapsed="false">
      <c r="A619" s="362"/>
    </row>
    <row r="620" customFormat="false" ht="12.75" hidden="false" customHeight="false" outlineLevel="0" collapsed="false">
      <c r="A620" s="362"/>
    </row>
    <row r="621" customFormat="false" ht="12.75" hidden="false" customHeight="false" outlineLevel="0" collapsed="false">
      <c r="A621" s="362"/>
    </row>
    <row r="622" customFormat="false" ht="12.75" hidden="false" customHeight="false" outlineLevel="0" collapsed="false">
      <c r="A622" s="362"/>
    </row>
    <row r="623" customFormat="false" ht="12.75" hidden="false" customHeight="false" outlineLevel="0" collapsed="false">
      <c r="A623" s="362"/>
    </row>
    <row r="624" customFormat="false" ht="12.75" hidden="false" customHeight="false" outlineLevel="0" collapsed="false">
      <c r="A624" s="362"/>
    </row>
    <row r="625" customFormat="false" ht="12.75" hidden="false" customHeight="false" outlineLevel="0" collapsed="false">
      <c r="A625" s="362"/>
    </row>
    <row r="626" customFormat="false" ht="12.75" hidden="false" customHeight="false" outlineLevel="0" collapsed="false">
      <c r="A626" s="362"/>
    </row>
    <row r="627" customFormat="false" ht="12.75" hidden="false" customHeight="false" outlineLevel="0" collapsed="false">
      <c r="A627" s="362"/>
    </row>
    <row r="628" customFormat="false" ht="12.75" hidden="false" customHeight="false" outlineLevel="0" collapsed="false">
      <c r="A628" s="362"/>
    </row>
    <row r="629" customFormat="false" ht="12.75" hidden="false" customHeight="false" outlineLevel="0" collapsed="false">
      <c r="A629" s="362"/>
    </row>
    <row r="630" customFormat="false" ht="12.75" hidden="false" customHeight="false" outlineLevel="0" collapsed="false">
      <c r="A630" s="362"/>
    </row>
    <row r="631" customFormat="false" ht="12.75" hidden="false" customHeight="false" outlineLevel="0" collapsed="false">
      <c r="A631" s="362"/>
    </row>
    <row r="632" customFormat="false" ht="12.75" hidden="false" customHeight="false" outlineLevel="0" collapsed="false">
      <c r="A632" s="362"/>
    </row>
    <row r="633" customFormat="false" ht="12.75" hidden="false" customHeight="false" outlineLevel="0" collapsed="false">
      <c r="A633" s="362"/>
    </row>
    <row r="634" customFormat="false" ht="12.75" hidden="false" customHeight="false" outlineLevel="0" collapsed="false">
      <c r="A634" s="362"/>
    </row>
    <row r="635" customFormat="false" ht="12.75" hidden="false" customHeight="false" outlineLevel="0" collapsed="false">
      <c r="A635" s="362"/>
    </row>
    <row r="636" customFormat="false" ht="12.75" hidden="false" customHeight="false" outlineLevel="0" collapsed="false">
      <c r="A636" s="362"/>
    </row>
    <row r="637" customFormat="false" ht="12.75" hidden="false" customHeight="false" outlineLevel="0" collapsed="false">
      <c r="A637" s="362"/>
    </row>
    <row r="638" customFormat="false" ht="12.75" hidden="false" customHeight="false" outlineLevel="0" collapsed="false">
      <c r="A638" s="362"/>
    </row>
    <row r="639" customFormat="false" ht="12.75" hidden="false" customHeight="false" outlineLevel="0" collapsed="false">
      <c r="A639" s="362"/>
    </row>
    <row r="640" customFormat="false" ht="12.75" hidden="false" customHeight="false" outlineLevel="0" collapsed="false">
      <c r="A640" s="362"/>
    </row>
    <row r="641" customFormat="false" ht="12.75" hidden="false" customHeight="false" outlineLevel="0" collapsed="false">
      <c r="A641" s="362"/>
    </row>
    <row r="642" customFormat="false" ht="12.75" hidden="false" customHeight="false" outlineLevel="0" collapsed="false">
      <c r="A642" s="362"/>
    </row>
    <row r="643" customFormat="false" ht="12.75" hidden="false" customHeight="false" outlineLevel="0" collapsed="false">
      <c r="A643" s="362"/>
    </row>
    <row r="644" customFormat="false" ht="12.75" hidden="false" customHeight="false" outlineLevel="0" collapsed="false">
      <c r="A644" s="362"/>
    </row>
    <row r="645" customFormat="false" ht="12.75" hidden="false" customHeight="false" outlineLevel="0" collapsed="false">
      <c r="A645" s="362"/>
    </row>
    <row r="646" customFormat="false" ht="12.75" hidden="false" customHeight="false" outlineLevel="0" collapsed="false">
      <c r="A646" s="362"/>
    </row>
    <row r="647" customFormat="false" ht="12.75" hidden="false" customHeight="false" outlineLevel="0" collapsed="false">
      <c r="A647" s="362"/>
    </row>
    <row r="648" customFormat="false" ht="12.75" hidden="false" customHeight="false" outlineLevel="0" collapsed="false">
      <c r="A648" s="362"/>
    </row>
    <row r="649" customFormat="false" ht="12.75" hidden="false" customHeight="false" outlineLevel="0" collapsed="false">
      <c r="A649" s="362"/>
    </row>
    <row r="650" customFormat="false" ht="12.75" hidden="false" customHeight="false" outlineLevel="0" collapsed="false">
      <c r="A650" s="362"/>
    </row>
    <row r="651" customFormat="false" ht="12.75" hidden="false" customHeight="false" outlineLevel="0" collapsed="false">
      <c r="A651" s="362"/>
    </row>
    <row r="652" customFormat="false" ht="12.75" hidden="false" customHeight="false" outlineLevel="0" collapsed="false">
      <c r="A652" s="362"/>
    </row>
    <row r="653" customFormat="false" ht="12.75" hidden="false" customHeight="false" outlineLevel="0" collapsed="false">
      <c r="A653" s="362"/>
    </row>
    <row r="654" customFormat="false" ht="12.75" hidden="false" customHeight="false" outlineLevel="0" collapsed="false">
      <c r="A654" s="362"/>
    </row>
    <row r="655" customFormat="false" ht="12.75" hidden="false" customHeight="false" outlineLevel="0" collapsed="false">
      <c r="A655" s="362"/>
    </row>
    <row r="656" customFormat="false" ht="12.75" hidden="false" customHeight="false" outlineLevel="0" collapsed="false">
      <c r="A656" s="362"/>
    </row>
    <row r="657" customFormat="false" ht="12.75" hidden="false" customHeight="false" outlineLevel="0" collapsed="false">
      <c r="A657" s="362"/>
    </row>
    <row r="658" customFormat="false" ht="12.75" hidden="false" customHeight="false" outlineLevel="0" collapsed="false">
      <c r="A658" s="362"/>
    </row>
    <row r="659" customFormat="false" ht="12.75" hidden="false" customHeight="false" outlineLevel="0" collapsed="false">
      <c r="A659" s="362"/>
    </row>
    <row r="660" customFormat="false" ht="12.75" hidden="false" customHeight="false" outlineLevel="0" collapsed="false">
      <c r="A660" s="362"/>
    </row>
    <row r="661" customFormat="false" ht="12.75" hidden="false" customHeight="false" outlineLevel="0" collapsed="false">
      <c r="A661" s="362"/>
    </row>
    <row r="662" customFormat="false" ht="12.75" hidden="false" customHeight="false" outlineLevel="0" collapsed="false">
      <c r="A662" s="362"/>
    </row>
    <row r="663" customFormat="false" ht="12.75" hidden="false" customHeight="false" outlineLevel="0" collapsed="false">
      <c r="A663" s="362"/>
    </row>
    <row r="664" customFormat="false" ht="12.75" hidden="false" customHeight="false" outlineLevel="0" collapsed="false">
      <c r="A664" s="362"/>
    </row>
    <row r="665" customFormat="false" ht="12.75" hidden="false" customHeight="false" outlineLevel="0" collapsed="false">
      <c r="A665" s="362"/>
    </row>
    <row r="666" customFormat="false" ht="12.75" hidden="false" customHeight="false" outlineLevel="0" collapsed="false">
      <c r="A666" s="362"/>
    </row>
    <row r="667" customFormat="false" ht="12.75" hidden="false" customHeight="false" outlineLevel="0" collapsed="false">
      <c r="A667" s="362"/>
    </row>
    <row r="668" customFormat="false" ht="12.75" hidden="false" customHeight="false" outlineLevel="0" collapsed="false">
      <c r="A668" s="362"/>
    </row>
    <row r="669" customFormat="false" ht="12.75" hidden="false" customHeight="false" outlineLevel="0" collapsed="false">
      <c r="A669" s="362"/>
    </row>
    <row r="670" customFormat="false" ht="12.75" hidden="false" customHeight="false" outlineLevel="0" collapsed="false">
      <c r="A670" s="362"/>
    </row>
    <row r="671" customFormat="false" ht="12.75" hidden="false" customHeight="false" outlineLevel="0" collapsed="false">
      <c r="A671" s="362"/>
    </row>
    <row r="672" customFormat="false" ht="12.75" hidden="false" customHeight="false" outlineLevel="0" collapsed="false">
      <c r="A672" s="362"/>
    </row>
    <row r="673" customFormat="false" ht="12.75" hidden="false" customHeight="false" outlineLevel="0" collapsed="false">
      <c r="A673" s="362"/>
    </row>
    <row r="674" customFormat="false" ht="12.75" hidden="false" customHeight="false" outlineLevel="0" collapsed="false">
      <c r="A674" s="362"/>
    </row>
    <row r="675" customFormat="false" ht="12.75" hidden="false" customHeight="false" outlineLevel="0" collapsed="false">
      <c r="A675" s="362"/>
    </row>
    <row r="676" customFormat="false" ht="12.75" hidden="false" customHeight="false" outlineLevel="0" collapsed="false">
      <c r="A676" s="362"/>
    </row>
    <row r="677" customFormat="false" ht="12.75" hidden="false" customHeight="false" outlineLevel="0" collapsed="false">
      <c r="A677" s="362"/>
    </row>
    <row r="678" customFormat="false" ht="12.75" hidden="false" customHeight="false" outlineLevel="0" collapsed="false">
      <c r="A678" s="362"/>
    </row>
    <row r="679" customFormat="false" ht="12.75" hidden="false" customHeight="false" outlineLevel="0" collapsed="false">
      <c r="A679" s="362"/>
    </row>
    <row r="680" customFormat="false" ht="12.75" hidden="false" customHeight="false" outlineLevel="0" collapsed="false">
      <c r="A680" s="362"/>
    </row>
    <row r="681" customFormat="false" ht="12.75" hidden="false" customHeight="false" outlineLevel="0" collapsed="false">
      <c r="A681" s="362"/>
    </row>
    <row r="682" customFormat="false" ht="12.75" hidden="false" customHeight="false" outlineLevel="0" collapsed="false">
      <c r="A682" s="362"/>
    </row>
    <row r="683" customFormat="false" ht="12.75" hidden="false" customHeight="false" outlineLevel="0" collapsed="false">
      <c r="A683" s="362"/>
    </row>
    <row r="684" customFormat="false" ht="12.75" hidden="false" customHeight="false" outlineLevel="0" collapsed="false">
      <c r="A684" s="362"/>
    </row>
    <row r="685" customFormat="false" ht="12.75" hidden="false" customHeight="false" outlineLevel="0" collapsed="false">
      <c r="A685" s="362"/>
    </row>
    <row r="686" customFormat="false" ht="12.75" hidden="false" customHeight="false" outlineLevel="0" collapsed="false">
      <c r="A686" s="362"/>
    </row>
    <row r="687" customFormat="false" ht="12.75" hidden="false" customHeight="false" outlineLevel="0" collapsed="false">
      <c r="A687" s="362"/>
    </row>
    <row r="688" customFormat="false" ht="12.75" hidden="false" customHeight="false" outlineLevel="0" collapsed="false">
      <c r="A688" s="362"/>
    </row>
    <row r="689" customFormat="false" ht="12.75" hidden="false" customHeight="false" outlineLevel="0" collapsed="false">
      <c r="A689" s="362"/>
    </row>
    <row r="690" customFormat="false" ht="12.75" hidden="false" customHeight="false" outlineLevel="0" collapsed="false">
      <c r="A690" s="362"/>
    </row>
    <row r="691" customFormat="false" ht="12.75" hidden="false" customHeight="false" outlineLevel="0" collapsed="false">
      <c r="A691" s="362"/>
    </row>
    <row r="692" customFormat="false" ht="12.75" hidden="false" customHeight="false" outlineLevel="0" collapsed="false">
      <c r="A692" s="362"/>
    </row>
    <row r="693" customFormat="false" ht="12.75" hidden="false" customHeight="false" outlineLevel="0" collapsed="false">
      <c r="A693" s="362"/>
    </row>
    <row r="694" customFormat="false" ht="12.75" hidden="false" customHeight="false" outlineLevel="0" collapsed="false">
      <c r="A694" s="362"/>
    </row>
    <row r="695" customFormat="false" ht="12.75" hidden="false" customHeight="false" outlineLevel="0" collapsed="false">
      <c r="A695" s="362"/>
    </row>
    <row r="696" customFormat="false" ht="12.75" hidden="false" customHeight="false" outlineLevel="0" collapsed="false">
      <c r="A696" s="362"/>
    </row>
    <row r="697" customFormat="false" ht="12.75" hidden="false" customHeight="false" outlineLevel="0" collapsed="false">
      <c r="A697" s="362"/>
    </row>
    <row r="698" customFormat="false" ht="12.75" hidden="false" customHeight="false" outlineLevel="0" collapsed="false">
      <c r="A698" s="362"/>
    </row>
    <row r="699" customFormat="false" ht="12.75" hidden="false" customHeight="false" outlineLevel="0" collapsed="false">
      <c r="A699" s="362"/>
    </row>
    <row r="700" customFormat="false" ht="12.75" hidden="false" customHeight="false" outlineLevel="0" collapsed="false">
      <c r="A700" s="362"/>
    </row>
    <row r="701" customFormat="false" ht="12.75" hidden="false" customHeight="false" outlineLevel="0" collapsed="false">
      <c r="A701" s="362"/>
    </row>
    <row r="702" customFormat="false" ht="12.75" hidden="false" customHeight="false" outlineLevel="0" collapsed="false">
      <c r="A702" s="362"/>
    </row>
    <row r="703" customFormat="false" ht="12.75" hidden="false" customHeight="false" outlineLevel="0" collapsed="false">
      <c r="A703" s="362"/>
    </row>
    <row r="704" customFormat="false" ht="12.75" hidden="false" customHeight="false" outlineLevel="0" collapsed="false">
      <c r="A704" s="362"/>
    </row>
    <row r="705" customFormat="false" ht="12.75" hidden="false" customHeight="false" outlineLevel="0" collapsed="false">
      <c r="A705" s="362"/>
    </row>
    <row r="706" customFormat="false" ht="12.75" hidden="false" customHeight="false" outlineLevel="0" collapsed="false">
      <c r="A706" s="362"/>
    </row>
    <row r="707" customFormat="false" ht="12.75" hidden="false" customHeight="false" outlineLevel="0" collapsed="false">
      <c r="A707" s="362"/>
    </row>
    <row r="708" customFormat="false" ht="12.75" hidden="false" customHeight="false" outlineLevel="0" collapsed="false">
      <c r="A708" s="362"/>
    </row>
    <row r="709" customFormat="false" ht="12.75" hidden="false" customHeight="false" outlineLevel="0" collapsed="false">
      <c r="A709" s="362"/>
    </row>
    <row r="710" customFormat="false" ht="12.75" hidden="false" customHeight="false" outlineLevel="0" collapsed="false">
      <c r="A710" s="362"/>
    </row>
    <row r="711" customFormat="false" ht="12.75" hidden="false" customHeight="false" outlineLevel="0" collapsed="false">
      <c r="A711" s="362"/>
    </row>
    <row r="712" customFormat="false" ht="12.75" hidden="false" customHeight="false" outlineLevel="0" collapsed="false">
      <c r="A712" s="362"/>
    </row>
    <row r="713" customFormat="false" ht="12.75" hidden="false" customHeight="false" outlineLevel="0" collapsed="false">
      <c r="A713" s="362"/>
    </row>
    <row r="714" customFormat="false" ht="12.75" hidden="false" customHeight="false" outlineLevel="0" collapsed="false">
      <c r="A714" s="362"/>
    </row>
    <row r="715" customFormat="false" ht="12.75" hidden="false" customHeight="false" outlineLevel="0" collapsed="false">
      <c r="A715" s="362"/>
    </row>
    <row r="716" customFormat="false" ht="12.75" hidden="false" customHeight="false" outlineLevel="0" collapsed="false">
      <c r="A716" s="362"/>
    </row>
    <row r="717" customFormat="false" ht="12.75" hidden="false" customHeight="false" outlineLevel="0" collapsed="false">
      <c r="A717" s="362"/>
    </row>
    <row r="718" customFormat="false" ht="12.75" hidden="false" customHeight="false" outlineLevel="0" collapsed="false">
      <c r="A718" s="362"/>
    </row>
    <row r="719" customFormat="false" ht="12.75" hidden="false" customHeight="false" outlineLevel="0" collapsed="false">
      <c r="A719" s="362"/>
    </row>
    <row r="720" customFormat="false" ht="12.75" hidden="false" customHeight="false" outlineLevel="0" collapsed="false">
      <c r="A720" s="362"/>
    </row>
    <row r="721" customFormat="false" ht="12.75" hidden="false" customHeight="false" outlineLevel="0" collapsed="false">
      <c r="A721" s="362"/>
    </row>
    <row r="722" customFormat="false" ht="12.75" hidden="false" customHeight="false" outlineLevel="0" collapsed="false">
      <c r="A722" s="362"/>
    </row>
    <row r="723" customFormat="false" ht="12.75" hidden="false" customHeight="false" outlineLevel="0" collapsed="false">
      <c r="A723" s="362"/>
    </row>
    <row r="724" customFormat="false" ht="12.75" hidden="false" customHeight="false" outlineLevel="0" collapsed="false">
      <c r="A724" s="362"/>
    </row>
    <row r="725" customFormat="false" ht="12.75" hidden="false" customHeight="false" outlineLevel="0" collapsed="false">
      <c r="A725" s="362"/>
    </row>
    <row r="726" customFormat="false" ht="12.75" hidden="false" customHeight="false" outlineLevel="0" collapsed="false">
      <c r="A726" s="362"/>
    </row>
    <row r="727" customFormat="false" ht="12.75" hidden="false" customHeight="false" outlineLevel="0" collapsed="false">
      <c r="A727" s="362"/>
    </row>
    <row r="728" customFormat="false" ht="12.75" hidden="false" customHeight="false" outlineLevel="0" collapsed="false">
      <c r="A728" s="362"/>
    </row>
    <row r="729" customFormat="false" ht="12.75" hidden="false" customHeight="false" outlineLevel="0" collapsed="false">
      <c r="A729" s="362"/>
    </row>
    <row r="730" customFormat="false" ht="12.75" hidden="false" customHeight="false" outlineLevel="0" collapsed="false">
      <c r="A730" s="362"/>
    </row>
    <row r="731" customFormat="false" ht="12.75" hidden="false" customHeight="false" outlineLevel="0" collapsed="false">
      <c r="A731" s="362"/>
    </row>
    <row r="732" customFormat="false" ht="12.75" hidden="false" customHeight="false" outlineLevel="0" collapsed="false">
      <c r="A732" s="362"/>
    </row>
    <row r="733" customFormat="false" ht="12.75" hidden="false" customHeight="false" outlineLevel="0" collapsed="false">
      <c r="A733" s="362"/>
    </row>
    <row r="734" customFormat="false" ht="12.75" hidden="false" customHeight="false" outlineLevel="0" collapsed="false">
      <c r="A734" s="362"/>
    </row>
    <row r="735" customFormat="false" ht="12.75" hidden="false" customHeight="false" outlineLevel="0" collapsed="false">
      <c r="A735" s="362"/>
    </row>
    <row r="736" customFormat="false" ht="12.75" hidden="false" customHeight="false" outlineLevel="0" collapsed="false">
      <c r="A736" s="362"/>
    </row>
    <row r="737" customFormat="false" ht="12.75" hidden="false" customHeight="false" outlineLevel="0" collapsed="false">
      <c r="A737" s="362"/>
    </row>
    <row r="738" customFormat="false" ht="12.75" hidden="false" customHeight="false" outlineLevel="0" collapsed="false">
      <c r="A738" s="362"/>
    </row>
    <row r="739" customFormat="false" ht="12.75" hidden="false" customHeight="false" outlineLevel="0" collapsed="false">
      <c r="A739" s="362"/>
    </row>
    <row r="740" customFormat="false" ht="12.75" hidden="false" customHeight="false" outlineLevel="0" collapsed="false">
      <c r="A740" s="362"/>
    </row>
    <row r="741" customFormat="false" ht="12.75" hidden="false" customHeight="false" outlineLevel="0" collapsed="false">
      <c r="A741" s="362"/>
    </row>
    <row r="742" customFormat="false" ht="12.75" hidden="false" customHeight="false" outlineLevel="0" collapsed="false">
      <c r="A742" s="362"/>
    </row>
    <row r="743" customFormat="false" ht="12.75" hidden="false" customHeight="false" outlineLevel="0" collapsed="false">
      <c r="A743" s="362"/>
    </row>
    <row r="744" customFormat="false" ht="12.75" hidden="false" customHeight="false" outlineLevel="0" collapsed="false">
      <c r="A744" s="362"/>
    </row>
    <row r="745" customFormat="false" ht="12.75" hidden="false" customHeight="false" outlineLevel="0" collapsed="false">
      <c r="A745" s="362"/>
    </row>
    <row r="746" customFormat="false" ht="12.75" hidden="false" customHeight="false" outlineLevel="0" collapsed="false">
      <c r="A746" s="362"/>
    </row>
    <row r="747" customFormat="false" ht="12.75" hidden="false" customHeight="false" outlineLevel="0" collapsed="false">
      <c r="A747" s="362"/>
    </row>
    <row r="748" customFormat="false" ht="12.75" hidden="false" customHeight="false" outlineLevel="0" collapsed="false">
      <c r="A748" s="362"/>
    </row>
    <row r="749" customFormat="false" ht="12.75" hidden="false" customHeight="false" outlineLevel="0" collapsed="false">
      <c r="A749" s="362"/>
    </row>
    <row r="750" customFormat="false" ht="12.75" hidden="false" customHeight="false" outlineLevel="0" collapsed="false">
      <c r="A750" s="362"/>
    </row>
    <row r="751" customFormat="false" ht="12.75" hidden="false" customHeight="false" outlineLevel="0" collapsed="false">
      <c r="A751" s="362"/>
    </row>
    <row r="752" customFormat="false" ht="12.75" hidden="false" customHeight="false" outlineLevel="0" collapsed="false">
      <c r="A752" s="362"/>
    </row>
    <row r="753" customFormat="false" ht="12.75" hidden="false" customHeight="false" outlineLevel="0" collapsed="false">
      <c r="A753" s="362"/>
    </row>
    <row r="754" customFormat="false" ht="12.75" hidden="false" customHeight="false" outlineLevel="0" collapsed="false">
      <c r="A754" s="362"/>
    </row>
    <row r="755" customFormat="false" ht="12.75" hidden="false" customHeight="false" outlineLevel="0" collapsed="false">
      <c r="A755" s="362"/>
    </row>
    <row r="756" customFormat="false" ht="12.75" hidden="false" customHeight="false" outlineLevel="0" collapsed="false">
      <c r="A756" s="362"/>
    </row>
    <row r="757" customFormat="false" ht="12.75" hidden="false" customHeight="false" outlineLevel="0" collapsed="false">
      <c r="A757" s="362"/>
    </row>
    <row r="758" customFormat="false" ht="12.75" hidden="false" customHeight="false" outlineLevel="0" collapsed="false">
      <c r="A758" s="362"/>
    </row>
    <row r="759" customFormat="false" ht="12.75" hidden="false" customHeight="false" outlineLevel="0" collapsed="false">
      <c r="A759" s="362"/>
    </row>
    <row r="760" customFormat="false" ht="12.75" hidden="false" customHeight="false" outlineLevel="0" collapsed="false">
      <c r="A760" s="362"/>
    </row>
    <row r="761" customFormat="false" ht="12.75" hidden="false" customHeight="false" outlineLevel="0" collapsed="false">
      <c r="A761" s="362"/>
    </row>
    <row r="762" customFormat="false" ht="12.75" hidden="false" customHeight="false" outlineLevel="0" collapsed="false">
      <c r="A762" s="362"/>
    </row>
    <row r="763" customFormat="false" ht="12.75" hidden="false" customHeight="false" outlineLevel="0" collapsed="false">
      <c r="A763" s="362"/>
    </row>
    <row r="764" customFormat="false" ht="12.75" hidden="false" customHeight="false" outlineLevel="0" collapsed="false">
      <c r="A764" s="362"/>
    </row>
    <row r="765" customFormat="false" ht="12.75" hidden="false" customHeight="false" outlineLevel="0" collapsed="false">
      <c r="A765" s="362"/>
    </row>
    <row r="766" customFormat="false" ht="12.75" hidden="false" customHeight="false" outlineLevel="0" collapsed="false">
      <c r="A766" s="362"/>
    </row>
    <row r="767" customFormat="false" ht="12.75" hidden="false" customHeight="false" outlineLevel="0" collapsed="false">
      <c r="A767" s="362"/>
    </row>
    <row r="768" customFormat="false" ht="12.75" hidden="false" customHeight="false" outlineLevel="0" collapsed="false">
      <c r="A768" s="362"/>
    </row>
    <row r="769" customFormat="false" ht="12.75" hidden="false" customHeight="false" outlineLevel="0" collapsed="false">
      <c r="A769" s="362"/>
    </row>
    <row r="770" customFormat="false" ht="12.75" hidden="false" customHeight="false" outlineLevel="0" collapsed="false">
      <c r="A770" s="362"/>
    </row>
    <row r="771" customFormat="false" ht="12.75" hidden="false" customHeight="false" outlineLevel="0" collapsed="false">
      <c r="A771" s="362"/>
    </row>
    <row r="772" customFormat="false" ht="12.75" hidden="false" customHeight="false" outlineLevel="0" collapsed="false">
      <c r="A772" s="362"/>
    </row>
    <row r="773" customFormat="false" ht="12.75" hidden="false" customHeight="false" outlineLevel="0" collapsed="false">
      <c r="A773" s="362"/>
    </row>
    <row r="774" customFormat="false" ht="12.75" hidden="false" customHeight="false" outlineLevel="0" collapsed="false">
      <c r="A774" s="362"/>
    </row>
    <row r="775" customFormat="false" ht="12.75" hidden="false" customHeight="false" outlineLevel="0" collapsed="false">
      <c r="A775" s="362"/>
    </row>
    <row r="776" customFormat="false" ht="12.75" hidden="false" customHeight="false" outlineLevel="0" collapsed="false">
      <c r="A776" s="362"/>
    </row>
    <row r="777" customFormat="false" ht="12.75" hidden="false" customHeight="false" outlineLevel="0" collapsed="false">
      <c r="A777" s="362"/>
    </row>
    <row r="778" customFormat="false" ht="12.75" hidden="false" customHeight="false" outlineLevel="0" collapsed="false">
      <c r="A778" s="362"/>
    </row>
    <row r="779" customFormat="false" ht="12.75" hidden="false" customHeight="false" outlineLevel="0" collapsed="false">
      <c r="A779" s="362"/>
    </row>
    <row r="780" customFormat="false" ht="12.75" hidden="false" customHeight="false" outlineLevel="0" collapsed="false">
      <c r="A780" s="362"/>
    </row>
    <row r="781" customFormat="false" ht="12.75" hidden="false" customHeight="false" outlineLevel="0" collapsed="false">
      <c r="A781" s="362"/>
    </row>
    <row r="782" customFormat="false" ht="12.75" hidden="false" customHeight="false" outlineLevel="0" collapsed="false">
      <c r="A782" s="362"/>
    </row>
    <row r="783" customFormat="false" ht="12.75" hidden="false" customHeight="false" outlineLevel="0" collapsed="false">
      <c r="A783" s="362"/>
    </row>
    <row r="784" customFormat="false" ht="12.75" hidden="false" customHeight="false" outlineLevel="0" collapsed="false">
      <c r="A784" s="362"/>
    </row>
    <row r="785" customFormat="false" ht="12.75" hidden="false" customHeight="false" outlineLevel="0" collapsed="false">
      <c r="A785" s="362"/>
    </row>
    <row r="786" customFormat="false" ht="12.75" hidden="false" customHeight="false" outlineLevel="0" collapsed="false">
      <c r="A786" s="362"/>
    </row>
    <row r="787" customFormat="false" ht="12.75" hidden="false" customHeight="false" outlineLevel="0" collapsed="false">
      <c r="A787" s="362"/>
    </row>
    <row r="788" customFormat="false" ht="12.75" hidden="false" customHeight="false" outlineLevel="0" collapsed="false">
      <c r="A788" s="362"/>
    </row>
    <row r="789" customFormat="false" ht="12.75" hidden="false" customHeight="false" outlineLevel="0" collapsed="false">
      <c r="A789" s="362"/>
    </row>
    <row r="790" customFormat="false" ht="12.75" hidden="false" customHeight="false" outlineLevel="0" collapsed="false">
      <c r="A790" s="362"/>
    </row>
    <row r="791" customFormat="false" ht="12.75" hidden="false" customHeight="false" outlineLevel="0" collapsed="false">
      <c r="A791" s="362"/>
    </row>
    <row r="792" customFormat="false" ht="12.75" hidden="false" customHeight="false" outlineLevel="0" collapsed="false">
      <c r="A792" s="362"/>
    </row>
    <row r="793" customFormat="false" ht="12.75" hidden="false" customHeight="false" outlineLevel="0" collapsed="false">
      <c r="A793" s="362"/>
    </row>
    <row r="794" customFormat="false" ht="12.75" hidden="false" customHeight="false" outlineLevel="0" collapsed="false">
      <c r="A794" s="362"/>
    </row>
    <row r="795" customFormat="false" ht="12.75" hidden="false" customHeight="false" outlineLevel="0" collapsed="false">
      <c r="A795" s="362"/>
    </row>
    <row r="796" customFormat="false" ht="12.75" hidden="false" customHeight="false" outlineLevel="0" collapsed="false">
      <c r="A796" s="362"/>
    </row>
    <row r="797" customFormat="false" ht="12.75" hidden="false" customHeight="false" outlineLevel="0" collapsed="false">
      <c r="A797" s="362"/>
    </row>
    <row r="798" customFormat="false" ht="12.75" hidden="false" customHeight="false" outlineLevel="0" collapsed="false">
      <c r="A798" s="362"/>
    </row>
    <row r="799" customFormat="false" ht="12.75" hidden="false" customHeight="false" outlineLevel="0" collapsed="false">
      <c r="A799" s="362"/>
    </row>
    <row r="800" customFormat="false" ht="12.75" hidden="false" customHeight="false" outlineLevel="0" collapsed="false">
      <c r="A800" s="362"/>
    </row>
    <row r="801" customFormat="false" ht="12.75" hidden="false" customHeight="false" outlineLevel="0" collapsed="false">
      <c r="A801" s="362"/>
    </row>
    <row r="802" customFormat="false" ht="12.75" hidden="false" customHeight="false" outlineLevel="0" collapsed="false">
      <c r="A802" s="362"/>
    </row>
    <row r="803" customFormat="false" ht="12.75" hidden="false" customHeight="false" outlineLevel="0" collapsed="false">
      <c r="A803" s="362"/>
    </row>
    <row r="804" customFormat="false" ht="12.75" hidden="false" customHeight="false" outlineLevel="0" collapsed="false">
      <c r="A804" s="362"/>
    </row>
    <row r="805" customFormat="false" ht="12.75" hidden="false" customHeight="false" outlineLevel="0" collapsed="false">
      <c r="A805" s="362"/>
    </row>
    <row r="806" customFormat="false" ht="12.75" hidden="false" customHeight="false" outlineLevel="0" collapsed="false">
      <c r="A806" s="362"/>
    </row>
    <row r="807" customFormat="false" ht="12.75" hidden="false" customHeight="false" outlineLevel="0" collapsed="false">
      <c r="A807" s="362"/>
    </row>
    <row r="808" customFormat="false" ht="12.75" hidden="false" customHeight="false" outlineLevel="0" collapsed="false">
      <c r="A808" s="362"/>
    </row>
    <row r="809" customFormat="false" ht="12.75" hidden="false" customHeight="false" outlineLevel="0" collapsed="false">
      <c r="A809" s="362"/>
    </row>
    <row r="810" customFormat="false" ht="12.75" hidden="false" customHeight="false" outlineLevel="0" collapsed="false">
      <c r="A810" s="362"/>
    </row>
    <row r="811" customFormat="false" ht="12.75" hidden="false" customHeight="false" outlineLevel="0" collapsed="false">
      <c r="A811" s="362"/>
    </row>
    <row r="812" customFormat="false" ht="12.75" hidden="false" customHeight="false" outlineLevel="0" collapsed="false">
      <c r="A812" s="362"/>
    </row>
    <row r="813" customFormat="false" ht="12.75" hidden="false" customHeight="false" outlineLevel="0" collapsed="false">
      <c r="A813" s="362"/>
    </row>
    <row r="814" customFormat="false" ht="12.75" hidden="false" customHeight="false" outlineLevel="0" collapsed="false">
      <c r="A814" s="362"/>
    </row>
    <row r="815" customFormat="false" ht="12.75" hidden="false" customHeight="false" outlineLevel="0" collapsed="false">
      <c r="A815" s="362"/>
    </row>
    <row r="816" customFormat="false" ht="12.75" hidden="false" customHeight="false" outlineLevel="0" collapsed="false">
      <c r="A816" s="362"/>
    </row>
    <row r="817" customFormat="false" ht="12.75" hidden="false" customHeight="false" outlineLevel="0" collapsed="false">
      <c r="A817" s="362"/>
    </row>
    <row r="818" customFormat="false" ht="12.75" hidden="false" customHeight="false" outlineLevel="0" collapsed="false">
      <c r="A818" s="362"/>
    </row>
    <row r="819" customFormat="false" ht="12.75" hidden="false" customHeight="false" outlineLevel="0" collapsed="false">
      <c r="A819" s="362"/>
    </row>
    <row r="820" customFormat="false" ht="12.75" hidden="false" customHeight="false" outlineLevel="0" collapsed="false">
      <c r="A820" s="362"/>
    </row>
    <row r="821" customFormat="false" ht="12.75" hidden="false" customHeight="false" outlineLevel="0" collapsed="false">
      <c r="A821" s="362"/>
    </row>
    <row r="822" customFormat="false" ht="12.75" hidden="false" customHeight="false" outlineLevel="0" collapsed="false">
      <c r="A822" s="362"/>
    </row>
    <row r="823" customFormat="false" ht="12.75" hidden="false" customHeight="false" outlineLevel="0" collapsed="false">
      <c r="A823" s="362"/>
    </row>
    <row r="824" customFormat="false" ht="12.75" hidden="false" customHeight="false" outlineLevel="0" collapsed="false">
      <c r="A824" s="362"/>
    </row>
    <row r="825" customFormat="false" ht="12.75" hidden="false" customHeight="false" outlineLevel="0" collapsed="false">
      <c r="A825" s="362"/>
    </row>
    <row r="826" customFormat="false" ht="12.75" hidden="false" customHeight="false" outlineLevel="0" collapsed="false">
      <c r="A826" s="362"/>
    </row>
    <row r="827" customFormat="false" ht="12.75" hidden="false" customHeight="false" outlineLevel="0" collapsed="false">
      <c r="A827" s="362"/>
    </row>
    <row r="828" customFormat="false" ht="12.75" hidden="false" customHeight="false" outlineLevel="0" collapsed="false">
      <c r="A828" s="362"/>
    </row>
    <row r="829" customFormat="false" ht="12.75" hidden="false" customHeight="false" outlineLevel="0" collapsed="false">
      <c r="A829" s="362"/>
    </row>
    <row r="830" customFormat="false" ht="12.75" hidden="false" customHeight="false" outlineLevel="0" collapsed="false">
      <c r="A830" s="362"/>
    </row>
    <row r="831" customFormat="false" ht="12.75" hidden="false" customHeight="false" outlineLevel="0" collapsed="false">
      <c r="A831" s="362"/>
    </row>
    <row r="832" customFormat="false" ht="12.75" hidden="false" customHeight="false" outlineLevel="0" collapsed="false">
      <c r="A832" s="362"/>
    </row>
    <row r="833" customFormat="false" ht="12.75" hidden="false" customHeight="false" outlineLevel="0" collapsed="false">
      <c r="A833" s="362"/>
    </row>
    <row r="834" customFormat="false" ht="12.75" hidden="false" customHeight="false" outlineLevel="0" collapsed="false">
      <c r="A834" s="362"/>
    </row>
    <row r="835" customFormat="false" ht="12.75" hidden="false" customHeight="false" outlineLevel="0" collapsed="false">
      <c r="A835" s="362"/>
    </row>
    <row r="836" customFormat="false" ht="12.75" hidden="false" customHeight="false" outlineLevel="0" collapsed="false">
      <c r="A836" s="362"/>
    </row>
    <row r="837" customFormat="false" ht="12.75" hidden="false" customHeight="false" outlineLevel="0" collapsed="false">
      <c r="A837" s="362"/>
    </row>
    <row r="838" customFormat="false" ht="12.75" hidden="false" customHeight="false" outlineLevel="0" collapsed="false">
      <c r="A838" s="362"/>
    </row>
    <row r="839" customFormat="false" ht="12.75" hidden="false" customHeight="false" outlineLevel="0" collapsed="false">
      <c r="A839" s="362"/>
    </row>
    <row r="840" customFormat="false" ht="12.75" hidden="false" customHeight="false" outlineLevel="0" collapsed="false">
      <c r="A840" s="362"/>
    </row>
    <row r="841" customFormat="false" ht="12.75" hidden="false" customHeight="false" outlineLevel="0" collapsed="false">
      <c r="A841" s="362"/>
    </row>
    <row r="842" customFormat="false" ht="12.75" hidden="false" customHeight="false" outlineLevel="0" collapsed="false">
      <c r="A842" s="362"/>
    </row>
    <row r="843" customFormat="false" ht="12.75" hidden="false" customHeight="false" outlineLevel="0" collapsed="false">
      <c r="A843" s="362"/>
    </row>
    <row r="844" customFormat="false" ht="12.75" hidden="false" customHeight="false" outlineLevel="0" collapsed="false">
      <c r="A844" s="362"/>
    </row>
    <row r="845" customFormat="false" ht="12.75" hidden="false" customHeight="false" outlineLevel="0" collapsed="false">
      <c r="A845" s="362"/>
    </row>
    <row r="846" customFormat="false" ht="12.75" hidden="false" customHeight="false" outlineLevel="0" collapsed="false">
      <c r="A846" s="362"/>
    </row>
    <row r="847" customFormat="false" ht="12.75" hidden="false" customHeight="false" outlineLevel="0" collapsed="false">
      <c r="A847" s="362"/>
    </row>
    <row r="848" customFormat="false" ht="12.75" hidden="false" customHeight="false" outlineLevel="0" collapsed="false">
      <c r="A848" s="362"/>
    </row>
    <row r="849" customFormat="false" ht="12.75" hidden="false" customHeight="false" outlineLevel="0" collapsed="false">
      <c r="A849" s="362"/>
    </row>
    <row r="850" customFormat="false" ht="12.75" hidden="false" customHeight="false" outlineLevel="0" collapsed="false">
      <c r="A850" s="362"/>
    </row>
    <row r="851" customFormat="false" ht="12.75" hidden="false" customHeight="false" outlineLevel="0" collapsed="false">
      <c r="A851" s="362"/>
    </row>
    <row r="852" customFormat="false" ht="12.75" hidden="false" customHeight="false" outlineLevel="0" collapsed="false">
      <c r="A852" s="362"/>
    </row>
    <row r="853" customFormat="false" ht="12.75" hidden="false" customHeight="false" outlineLevel="0" collapsed="false">
      <c r="A853" s="362"/>
    </row>
    <row r="854" customFormat="false" ht="12.75" hidden="false" customHeight="false" outlineLevel="0" collapsed="false">
      <c r="A854" s="362"/>
    </row>
    <row r="855" customFormat="false" ht="12.75" hidden="false" customHeight="false" outlineLevel="0" collapsed="false">
      <c r="A855" s="362"/>
    </row>
    <row r="856" customFormat="false" ht="12.75" hidden="false" customHeight="false" outlineLevel="0" collapsed="false">
      <c r="A856" s="362"/>
    </row>
    <row r="857" customFormat="false" ht="12.75" hidden="false" customHeight="false" outlineLevel="0" collapsed="false">
      <c r="A857" s="362"/>
    </row>
    <row r="858" customFormat="false" ht="12.75" hidden="false" customHeight="false" outlineLevel="0" collapsed="false">
      <c r="A858" s="362"/>
    </row>
    <row r="859" customFormat="false" ht="12.75" hidden="false" customHeight="false" outlineLevel="0" collapsed="false">
      <c r="A859" s="362"/>
    </row>
    <row r="860" customFormat="false" ht="12.75" hidden="false" customHeight="false" outlineLevel="0" collapsed="false">
      <c r="A860" s="362"/>
    </row>
    <row r="861" customFormat="false" ht="12.75" hidden="false" customHeight="false" outlineLevel="0" collapsed="false">
      <c r="A861" s="362"/>
    </row>
    <row r="862" customFormat="false" ht="12.75" hidden="false" customHeight="false" outlineLevel="0" collapsed="false">
      <c r="A862" s="362"/>
    </row>
    <row r="863" customFormat="false" ht="12.75" hidden="false" customHeight="false" outlineLevel="0" collapsed="false">
      <c r="A863" s="362"/>
    </row>
    <row r="864" customFormat="false" ht="12.75" hidden="false" customHeight="false" outlineLevel="0" collapsed="false">
      <c r="A864" s="362"/>
    </row>
    <row r="865" customFormat="false" ht="12.75" hidden="false" customHeight="false" outlineLevel="0" collapsed="false">
      <c r="A865" s="362"/>
    </row>
    <row r="866" customFormat="false" ht="12.75" hidden="false" customHeight="false" outlineLevel="0" collapsed="false">
      <c r="A866" s="362"/>
    </row>
    <row r="867" customFormat="false" ht="12.75" hidden="false" customHeight="false" outlineLevel="0" collapsed="false">
      <c r="A867" s="362"/>
    </row>
    <row r="868" customFormat="false" ht="12.75" hidden="false" customHeight="false" outlineLevel="0" collapsed="false">
      <c r="A868" s="362"/>
    </row>
    <row r="869" customFormat="false" ht="12.75" hidden="false" customHeight="false" outlineLevel="0" collapsed="false">
      <c r="A869" s="362"/>
    </row>
    <row r="870" customFormat="false" ht="12.75" hidden="false" customHeight="false" outlineLevel="0" collapsed="false">
      <c r="A870" s="362"/>
    </row>
    <row r="871" customFormat="false" ht="12.75" hidden="false" customHeight="false" outlineLevel="0" collapsed="false">
      <c r="A871" s="362"/>
    </row>
    <row r="872" customFormat="false" ht="12.75" hidden="false" customHeight="false" outlineLevel="0" collapsed="false">
      <c r="A872" s="362"/>
    </row>
    <row r="873" customFormat="false" ht="12.75" hidden="false" customHeight="false" outlineLevel="0" collapsed="false">
      <c r="A873" s="362"/>
    </row>
    <row r="874" customFormat="false" ht="12.75" hidden="false" customHeight="false" outlineLevel="0" collapsed="false">
      <c r="A874" s="362"/>
    </row>
    <row r="875" customFormat="false" ht="12.75" hidden="false" customHeight="false" outlineLevel="0" collapsed="false">
      <c r="A875" s="362"/>
    </row>
    <row r="876" customFormat="false" ht="12.75" hidden="false" customHeight="false" outlineLevel="0" collapsed="false">
      <c r="A876" s="362"/>
    </row>
    <row r="877" customFormat="false" ht="12.75" hidden="false" customHeight="false" outlineLevel="0" collapsed="false">
      <c r="A877" s="362"/>
    </row>
    <row r="878" customFormat="false" ht="12.75" hidden="false" customHeight="false" outlineLevel="0" collapsed="false">
      <c r="A878" s="362"/>
    </row>
    <row r="879" customFormat="false" ht="12.75" hidden="false" customHeight="false" outlineLevel="0" collapsed="false">
      <c r="A879" s="362"/>
    </row>
    <row r="880" customFormat="false" ht="12.75" hidden="false" customHeight="false" outlineLevel="0" collapsed="false">
      <c r="A880" s="362"/>
    </row>
    <row r="881" customFormat="false" ht="12.75" hidden="false" customHeight="false" outlineLevel="0" collapsed="false">
      <c r="A881" s="362"/>
    </row>
    <row r="882" customFormat="false" ht="12.75" hidden="false" customHeight="false" outlineLevel="0" collapsed="false">
      <c r="A882" s="362"/>
    </row>
    <row r="883" customFormat="false" ht="12.75" hidden="false" customHeight="false" outlineLevel="0" collapsed="false">
      <c r="A883" s="362"/>
    </row>
    <row r="884" customFormat="false" ht="12.75" hidden="false" customHeight="false" outlineLevel="0" collapsed="false">
      <c r="A884" s="362"/>
    </row>
    <row r="885" customFormat="false" ht="12.75" hidden="false" customHeight="false" outlineLevel="0" collapsed="false">
      <c r="A885" s="362"/>
    </row>
    <row r="886" customFormat="false" ht="12.75" hidden="false" customHeight="false" outlineLevel="0" collapsed="false">
      <c r="A886" s="362"/>
    </row>
    <row r="887" customFormat="false" ht="12.75" hidden="false" customHeight="false" outlineLevel="0" collapsed="false">
      <c r="A887" s="362"/>
    </row>
    <row r="888" customFormat="false" ht="12.75" hidden="false" customHeight="false" outlineLevel="0" collapsed="false">
      <c r="A888" s="362"/>
    </row>
    <row r="889" customFormat="false" ht="12.75" hidden="false" customHeight="false" outlineLevel="0" collapsed="false">
      <c r="A889" s="362"/>
    </row>
    <row r="890" customFormat="false" ht="12.75" hidden="false" customHeight="false" outlineLevel="0" collapsed="false">
      <c r="A890" s="362"/>
    </row>
    <row r="891" customFormat="false" ht="12.75" hidden="false" customHeight="false" outlineLevel="0" collapsed="false">
      <c r="A891" s="362"/>
    </row>
    <row r="892" customFormat="false" ht="12.75" hidden="false" customHeight="false" outlineLevel="0" collapsed="false">
      <c r="A892" s="362"/>
    </row>
    <row r="893" customFormat="false" ht="12.75" hidden="false" customHeight="false" outlineLevel="0" collapsed="false">
      <c r="A893" s="362"/>
    </row>
    <row r="894" customFormat="false" ht="12.75" hidden="false" customHeight="false" outlineLevel="0" collapsed="false">
      <c r="A894" s="362"/>
    </row>
    <row r="895" customFormat="false" ht="12.75" hidden="false" customHeight="false" outlineLevel="0" collapsed="false">
      <c r="A895" s="362"/>
    </row>
    <row r="896" customFormat="false" ht="12.75" hidden="false" customHeight="false" outlineLevel="0" collapsed="false">
      <c r="A896" s="362"/>
    </row>
    <row r="897" customFormat="false" ht="12.75" hidden="false" customHeight="false" outlineLevel="0" collapsed="false">
      <c r="A897" s="362"/>
    </row>
    <row r="898" customFormat="false" ht="12.75" hidden="false" customHeight="false" outlineLevel="0" collapsed="false">
      <c r="A898" s="362"/>
    </row>
    <row r="899" customFormat="false" ht="12.75" hidden="false" customHeight="false" outlineLevel="0" collapsed="false">
      <c r="A899" s="362"/>
    </row>
    <row r="900" customFormat="false" ht="12.75" hidden="false" customHeight="false" outlineLevel="0" collapsed="false">
      <c r="A900" s="362"/>
    </row>
    <row r="901" customFormat="false" ht="12.75" hidden="false" customHeight="false" outlineLevel="0" collapsed="false">
      <c r="A901" s="362"/>
    </row>
    <row r="902" customFormat="false" ht="12.75" hidden="false" customHeight="false" outlineLevel="0" collapsed="false">
      <c r="A902" s="362"/>
    </row>
    <row r="903" customFormat="false" ht="12.75" hidden="false" customHeight="false" outlineLevel="0" collapsed="false">
      <c r="A903" s="362"/>
    </row>
    <row r="904" customFormat="false" ht="12.75" hidden="false" customHeight="false" outlineLevel="0" collapsed="false">
      <c r="A904" s="362"/>
    </row>
    <row r="905" customFormat="false" ht="12.75" hidden="false" customHeight="false" outlineLevel="0" collapsed="false">
      <c r="A905" s="362"/>
    </row>
    <row r="906" customFormat="false" ht="12.75" hidden="false" customHeight="false" outlineLevel="0" collapsed="false">
      <c r="A906" s="362"/>
    </row>
    <row r="907" customFormat="false" ht="12.75" hidden="false" customHeight="false" outlineLevel="0" collapsed="false">
      <c r="A907" s="362"/>
    </row>
    <row r="908" customFormat="false" ht="12.75" hidden="false" customHeight="false" outlineLevel="0" collapsed="false">
      <c r="A908" s="362"/>
    </row>
    <row r="909" customFormat="false" ht="12.75" hidden="false" customHeight="false" outlineLevel="0" collapsed="false">
      <c r="A909" s="362"/>
    </row>
    <row r="910" customFormat="false" ht="12.75" hidden="false" customHeight="false" outlineLevel="0" collapsed="false">
      <c r="A910" s="362"/>
    </row>
    <row r="911" customFormat="false" ht="12.75" hidden="false" customHeight="false" outlineLevel="0" collapsed="false">
      <c r="A911" s="362"/>
    </row>
    <row r="912" customFormat="false" ht="12.75" hidden="false" customHeight="false" outlineLevel="0" collapsed="false">
      <c r="A912" s="362"/>
    </row>
    <row r="913" customFormat="false" ht="12.75" hidden="false" customHeight="false" outlineLevel="0" collapsed="false">
      <c r="A913" s="362"/>
    </row>
    <row r="914" customFormat="false" ht="12.75" hidden="false" customHeight="false" outlineLevel="0" collapsed="false">
      <c r="A914" s="362"/>
    </row>
    <row r="915" customFormat="false" ht="12.75" hidden="false" customHeight="false" outlineLevel="0" collapsed="false">
      <c r="A915" s="362"/>
    </row>
    <row r="916" customFormat="false" ht="12.75" hidden="false" customHeight="false" outlineLevel="0" collapsed="false">
      <c r="A916" s="362"/>
    </row>
    <row r="917" customFormat="false" ht="12.75" hidden="false" customHeight="false" outlineLevel="0" collapsed="false">
      <c r="A917" s="362"/>
    </row>
    <row r="918" customFormat="false" ht="12.75" hidden="false" customHeight="false" outlineLevel="0" collapsed="false">
      <c r="A918" s="362"/>
    </row>
    <row r="919" customFormat="false" ht="12.75" hidden="false" customHeight="false" outlineLevel="0" collapsed="false">
      <c r="A919" s="362"/>
    </row>
    <row r="920" customFormat="false" ht="12.75" hidden="false" customHeight="false" outlineLevel="0" collapsed="false">
      <c r="A920" s="362"/>
    </row>
    <row r="921" customFormat="false" ht="12.75" hidden="false" customHeight="false" outlineLevel="0" collapsed="false">
      <c r="A921" s="362"/>
    </row>
    <row r="922" customFormat="false" ht="12.75" hidden="false" customHeight="false" outlineLevel="0" collapsed="false">
      <c r="A922" s="362"/>
    </row>
    <row r="923" customFormat="false" ht="12.75" hidden="false" customHeight="false" outlineLevel="0" collapsed="false">
      <c r="A923" s="362"/>
    </row>
    <row r="924" customFormat="false" ht="12.75" hidden="false" customHeight="false" outlineLevel="0" collapsed="false">
      <c r="A924" s="362"/>
    </row>
    <row r="925" customFormat="false" ht="12.75" hidden="false" customHeight="false" outlineLevel="0" collapsed="false">
      <c r="A925" s="362"/>
    </row>
    <row r="926" customFormat="false" ht="12.75" hidden="false" customHeight="false" outlineLevel="0" collapsed="false">
      <c r="A926" s="362"/>
    </row>
    <row r="927" customFormat="false" ht="12.75" hidden="false" customHeight="false" outlineLevel="0" collapsed="false">
      <c r="A927" s="362"/>
    </row>
    <row r="928" customFormat="false" ht="12.75" hidden="false" customHeight="false" outlineLevel="0" collapsed="false">
      <c r="A928" s="362"/>
    </row>
    <row r="929" customFormat="false" ht="12.75" hidden="false" customHeight="false" outlineLevel="0" collapsed="false">
      <c r="A929" s="362"/>
    </row>
    <row r="930" customFormat="false" ht="12.75" hidden="false" customHeight="false" outlineLevel="0" collapsed="false">
      <c r="A930" s="362"/>
    </row>
    <row r="931" customFormat="false" ht="12.75" hidden="false" customHeight="false" outlineLevel="0" collapsed="false">
      <c r="A931" s="362"/>
    </row>
    <row r="932" customFormat="false" ht="12.75" hidden="false" customHeight="false" outlineLevel="0" collapsed="false">
      <c r="A932" s="362"/>
    </row>
    <row r="933" customFormat="false" ht="12.75" hidden="false" customHeight="false" outlineLevel="0" collapsed="false">
      <c r="A933" s="362"/>
    </row>
    <row r="934" customFormat="false" ht="12.75" hidden="false" customHeight="false" outlineLevel="0" collapsed="false">
      <c r="A934" s="362"/>
    </row>
    <row r="935" customFormat="false" ht="12.75" hidden="false" customHeight="false" outlineLevel="0" collapsed="false">
      <c r="A935" s="362"/>
    </row>
    <row r="936" customFormat="false" ht="12.75" hidden="false" customHeight="false" outlineLevel="0" collapsed="false">
      <c r="A936" s="362"/>
    </row>
    <row r="937" customFormat="false" ht="12.75" hidden="false" customHeight="false" outlineLevel="0" collapsed="false">
      <c r="A937" s="362"/>
    </row>
    <row r="938" customFormat="false" ht="12.75" hidden="false" customHeight="false" outlineLevel="0" collapsed="false">
      <c r="A938" s="362"/>
    </row>
    <row r="939" customFormat="false" ht="12.75" hidden="false" customHeight="false" outlineLevel="0" collapsed="false">
      <c r="A939" s="362"/>
    </row>
    <row r="940" customFormat="false" ht="12.75" hidden="false" customHeight="false" outlineLevel="0" collapsed="false">
      <c r="A940" s="362"/>
    </row>
    <row r="941" customFormat="false" ht="12.75" hidden="false" customHeight="false" outlineLevel="0" collapsed="false">
      <c r="A941" s="362"/>
    </row>
    <row r="942" customFormat="false" ht="12.75" hidden="false" customHeight="false" outlineLevel="0" collapsed="false">
      <c r="A942" s="362"/>
    </row>
    <row r="943" customFormat="false" ht="12.75" hidden="false" customHeight="false" outlineLevel="0" collapsed="false">
      <c r="A943" s="362"/>
    </row>
    <row r="944" customFormat="false" ht="12.75" hidden="false" customHeight="false" outlineLevel="0" collapsed="false">
      <c r="A944" s="362"/>
    </row>
    <row r="945" customFormat="false" ht="12.75" hidden="false" customHeight="false" outlineLevel="0" collapsed="false">
      <c r="A945" s="362"/>
    </row>
    <row r="946" customFormat="false" ht="12.75" hidden="false" customHeight="false" outlineLevel="0" collapsed="false">
      <c r="A946" s="362"/>
    </row>
    <row r="947" customFormat="false" ht="12.75" hidden="false" customHeight="false" outlineLevel="0" collapsed="false">
      <c r="A947" s="362"/>
    </row>
    <row r="948" customFormat="false" ht="12.75" hidden="false" customHeight="false" outlineLevel="0" collapsed="false">
      <c r="A948" s="362"/>
    </row>
    <row r="949" customFormat="false" ht="12.75" hidden="false" customHeight="false" outlineLevel="0" collapsed="false">
      <c r="A949" s="362"/>
    </row>
    <row r="950" customFormat="false" ht="12.75" hidden="false" customHeight="false" outlineLevel="0" collapsed="false">
      <c r="A950" s="362"/>
    </row>
    <row r="951" customFormat="false" ht="12.75" hidden="false" customHeight="false" outlineLevel="0" collapsed="false">
      <c r="A951" s="362"/>
    </row>
    <row r="952" customFormat="false" ht="12.75" hidden="false" customHeight="false" outlineLevel="0" collapsed="false">
      <c r="A952" s="362"/>
    </row>
    <row r="953" customFormat="false" ht="12.75" hidden="false" customHeight="false" outlineLevel="0" collapsed="false">
      <c r="A953" s="362"/>
    </row>
    <row r="954" customFormat="false" ht="12.75" hidden="false" customHeight="false" outlineLevel="0" collapsed="false">
      <c r="A954" s="362"/>
    </row>
    <row r="955" customFormat="false" ht="12.75" hidden="false" customHeight="false" outlineLevel="0" collapsed="false">
      <c r="A955" s="362"/>
    </row>
    <row r="956" customFormat="false" ht="12.75" hidden="false" customHeight="false" outlineLevel="0" collapsed="false">
      <c r="A956" s="362"/>
    </row>
    <row r="957" customFormat="false" ht="12.75" hidden="false" customHeight="false" outlineLevel="0" collapsed="false">
      <c r="A957" s="362"/>
    </row>
    <row r="958" customFormat="false" ht="12.75" hidden="false" customHeight="false" outlineLevel="0" collapsed="false">
      <c r="A958" s="362"/>
    </row>
    <row r="959" customFormat="false" ht="12.75" hidden="false" customHeight="false" outlineLevel="0" collapsed="false">
      <c r="A959" s="362"/>
    </row>
    <row r="960" customFormat="false" ht="12.75" hidden="false" customHeight="false" outlineLevel="0" collapsed="false">
      <c r="A960" s="362"/>
    </row>
    <row r="961" customFormat="false" ht="12.75" hidden="false" customHeight="false" outlineLevel="0" collapsed="false">
      <c r="A961" s="362"/>
    </row>
    <row r="962" customFormat="false" ht="12.75" hidden="false" customHeight="false" outlineLevel="0" collapsed="false">
      <c r="A962" s="362"/>
    </row>
    <row r="963" customFormat="false" ht="12.75" hidden="false" customHeight="false" outlineLevel="0" collapsed="false">
      <c r="A963" s="362"/>
    </row>
    <row r="964" customFormat="false" ht="12.75" hidden="false" customHeight="false" outlineLevel="0" collapsed="false">
      <c r="A964" s="362"/>
    </row>
    <row r="965" customFormat="false" ht="12.75" hidden="false" customHeight="false" outlineLevel="0" collapsed="false">
      <c r="A965" s="362"/>
    </row>
    <row r="966" customFormat="false" ht="12.75" hidden="false" customHeight="false" outlineLevel="0" collapsed="false">
      <c r="A966" s="362"/>
    </row>
    <row r="967" customFormat="false" ht="12.75" hidden="false" customHeight="false" outlineLevel="0" collapsed="false">
      <c r="A967" s="362"/>
    </row>
    <row r="968" customFormat="false" ht="12.75" hidden="false" customHeight="false" outlineLevel="0" collapsed="false">
      <c r="A968" s="362"/>
    </row>
    <row r="969" customFormat="false" ht="12.75" hidden="false" customHeight="false" outlineLevel="0" collapsed="false">
      <c r="A969" s="362"/>
    </row>
    <row r="970" customFormat="false" ht="12.75" hidden="false" customHeight="false" outlineLevel="0" collapsed="false">
      <c r="A970" s="362"/>
    </row>
    <row r="971" customFormat="false" ht="12.75" hidden="false" customHeight="false" outlineLevel="0" collapsed="false">
      <c r="A971" s="362"/>
    </row>
    <row r="972" customFormat="false" ht="12.75" hidden="false" customHeight="false" outlineLevel="0" collapsed="false">
      <c r="A972" s="362"/>
    </row>
    <row r="973" customFormat="false" ht="12.75" hidden="false" customHeight="false" outlineLevel="0" collapsed="false">
      <c r="A973" s="362"/>
    </row>
    <row r="974" customFormat="false" ht="12.75" hidden="false" customHeight="false" outlineLevel="0" collapsed="false">
      <c r="A974" s="362"/>
    </row>
    <row r="975" customFormat="false" ht="12.75" hidden="false" customHeight="false" outlineLevel="0" collapsed="false">
      <c r="A975" s="362"/>
    </row>
    <row r="976" customFormat="false" ht="12.75" hidden="false" customHeight="false" outlineLevel="0" collapsed="false">
      <c r="A976" s="362"/>
    </row>
    <row r="977" customFormat="false" ht="12.75" hidden="false" customHeight="false" outlineLevel="0" collapsed="false">
      <c r="A977" s="362"/>
    </row>
    <row r="978" customFormat="false" ht="12.75" hidden="false" customHeight="false" outlineLevel="0" collapsed="false">
      <c r="A978" s="362"/>
    </row>
    <row r="979" customFormat="false" ht="12.75" hidden="false" customHeight="false" outlineLevel="0" collapsed="false">
      <c r="A979" s="362"/>
    </row>
    <row r="980" customFormat="false" ht="12.75" hidden="false" customHeight="false" outlineLevel="0" collapsed="false">
      <c r="A980" s="362"/>
    </row>
    <row r="981" customFormat="false" ht="12.75" hidden="false" customHeight="false" outlineLevel="0" collapsed="false">
      <c r="A981" s="362"/>
    </row>
    <row r="982" customFormat="false" ht="12.75" hidden="false" customHeight="false" outlineLevel="0" collapsed="false">
      <c r="A982" s="362"/>
    </row>
    <row r="983" customFormat="false" ht="12.75" hidden="false" customHeight="false" outlineLevel="0" collapsed="false">
      <c r="A983" s="362"/>
    </row>
    <row r="984" customFormat="false" ht="12.75" hidden="false" customHeight="false" outlineLevel="0" collapsed="false">
      <c r="A984" s="362"/>
    </row>
    <row r="985" customFormat="false" ht="12.75" hidden="false" customHeight="false" outlineLevel="0" collapsed="false">
      <c r="A985" s="362"/>
    </row>
    <row r="986" customFormat="false" ht="12.75" hidden="false" customHeight="false" outlineLevel="0" collapsed="false">
      <c r="A986" s="362"/>
    </row>
    <row r="987" customFormat="false" ht="12.75" hidden="false" customHeight="false" outlineLevel="0" collapsed="false">
      <c r="A987" s="362"/>
    </row>
    <row r="988" customFormat="false" ht="12.75" hidden="false" customHeight="false" outlineLevel="0" collapsed="false">
      <c r="A988" s="362"/>
    </row>
    <row r="989" customFormat="false" ht="12.75" hidden="false" customHeight="false" outlineLevel="0" collapsed="false">
      <c r="A989" s="362"/>
    </row>
    <row r="990" customFormat="false" ht="12.75" hidden="false" customHeight="false" outlineLevel="0" collapsed="false">
      <c r="A990" s="362"/>
    </row>
    <row r="991" customFormat="false" ht="12.75" hidden="false" customHeight="false" outlineLevel="0" collapsed="false">
      <c r="A991" s="362"/>
    </row>
    <row r="992" customFormat="false" ht="12.75" hidden="false" customHeight="false" outlineLevel="0" collapsed="false">
      <c r="A992" s="362"/>
    </row>
    <row r="993" customFormat="false" ht="12.75" hidden="false" customHeight="false" outlineLevel="0" collapsed="false">
      <c r="A993" s="362"/>
    </row>
    <row r="994" customFormat="false" ht="12.75" hidden="false" customHeight="false" outlineLevel="0" collapsed="false">
      <c r="A994" s="362"/>
    </row>
    <row r="995" customFormat="false" ht="12.75" hidden="false" customHeight="false" outlineLevel="0" collapsed="false">
      <c r="A995" s="362"/>
    </row>
    <row r="996" customFormat="false" ht="12.75" hidden="false" customHeight="false" outlineLevel="0" collapsed="false">
      <c r="A996" s="362"/>
    </row>
    <row r="997" customFormat="false" ht="12.75" hidden="false" customHeight="false" outlineLevel="0" collapsed="false">
      <c r="A997" s="362"/>
    </row>
    <row r="998" customFormat="false" ht="12.75" hidden="false" customHeight="false" outlineLevel="0" collapsed="false">
      <c r="A998" s="362"/>
    </row>
    <row r="999" customFormat="false" ht="12.75" hidden="false" customHeight="false" outlineLevel="0" collapsed="false">
      <c r="A999" s="362"/>
    </row>
    <row r="1000" customFormat="false" ht="12.75" hidden="false" customHeight="false" outlineLevel="0" collapsed="false">
      <c r="A1000" s="362"/>
    </row>
    <row r="1001" customFormat="false" ht="12.75" hidden="false" customHeight="false" outlineLevel="0" collapsed="false">
      <c r="A1001" s="362"/>
    </row>
    <row r="1002" customFormat="false" ht="12.75" hidden="false" customHeight="false" outlineLevel="0" collapsed="false">
      <c r="A1002" s="362"/>
    </row>
    <row r="1003" customFormat="false" ht="12.75" hidden="false" customHeight="false" outlineLevel="0" collapsed="false">
      <c r="A1003" s="362"/>
    </row>
    <row r="1004" customFormat="false" ht="12.75" hidden="false" customHeight="false" outlineLevel="0" collapsed="false">
      <c r="A1004" s="362"/>
    </row>
    <row r="1005" customFormat="false" ht="12.75" hidden="false" customHeight="false" outlineLevel="0" collapsed="false">
      <c r="A1005" s="362"/>
    </row>
    <row r="1006" customFormat="false" ht="12.75" hidden="false" customHeight="false" outlineLevel="0" collapsed="false">
      <c r="A1006" s="362"/>
    </row>
    <row r="1007" customFormat="false" ht="12.75" hidden="false" customHeight="false" outlineLevel="0" collapsed="false">
      <c r="A1007" s="362"/>
    </row>
    <row r="1008" customFormat="false" ht="12.75" hidden="false" customHeight="false" outlineLevel="0" collapsed="false">
      <c r="A1008" s="362"/>
    </row>
    <row r="1009" customFormat="false" ht="12.75" hidden="false" customHeight="false" outlineLevel="0" collapsed="false">
      <c r="A1009" s="362"/>
    </row>
    <row r="1010" customFormat="false" ht="12.75" hidden="false" customHeight="false" outlineLevel="0" collapsed="false">
      <c r="A1010" s="362"/>
    </row>
    <row r="1011" customFormat="false" ht="12.75" hidden="false" customHeight="false" outlineLevel="0" collapsed="false">
      <c r="A1011" s="362"/>
    </row>
    <row r="1012" customFormat="false" ht="12.75" hidden="false" customHeight="false" outlineLevel="0" collapsed="false">
      <c r="A1012" s="362"/>
    </row>
    <row r="1013" customFormat="false" ht="12.75" hidden="false" customHeight="false" outlineLevel="0" collapsed="false">
      <c r="A1013" s="362"/>
    </row>
    <row r="1014" customFormat="false" ht="12.75" hidden="false" customHeight="false" outlineLevel="0" collapsed="false">
      <c r="A1014" s="362"/>
    </row>
    <row r="1015" customFormat="false" ht="12.75" hidden="false" customHeight="false" outlineLevel="0" collapsed="false">
      <c r="A1015" s="362"/>
    </row>
    <row r="1016" customFormat="false" ht="12.75" hidden="false" customHeight="false" outlineLevel="0" collapsed="false">
      <c r="A1016" s="362"/>
    </row>
    <row r="1017" customFormat="false" ht="12.75" hidden="false" customHeight="false" outlineLevel="0" collapsed="false">
      <c r="A1017" s="362"/>
    </row>
    <row r="1018" customFormat="false" ht="12.75" hidden="false" customHeight="false" outlineLevel="0" collapsed="false">
      <c r="A1018" s="362"/>
    </row>
    <row r="1019" customFormat="false" ht="12.75" hidden="false" customHeight="false" outlineLevel="0" collapsed="false">
      <c r="A1019" s="362"/>
    </row>
    <row r="1020" customFormat="false" ht="12.75" hidden="false" customHeight="false" outlineLevel="0" collapsed="false">
      <c r="A1020" s="362"/>
    </row>
    <row r="1021" customFormat="false" ht="12.75" hidden="false" customHeight="false" outlineLevel="0" collapsed="false">
      <c r="A1021" s="362"/>
    </row>
    <row r="1022" customFormat="false" ht="12.75" hidden="false" customHeight="false" outlineLevel="0" collapsed="false">
      <c r="A1022" s="362"/>
    </row>
    <row r="1023" customFormat="false" ht="12.75" hidden="false" customHeight="false" outlineLevel="0" collapsed="false">
      <c r="A1023" s="362"/>
    </row>
    <row r="1024" customFormat="false" ht="12.75" hidden="false" customHeight="false" outlineLevel="0" collapsed="false">
      <c r="A1024" s="362"/>
    </row>
    <row r="1025" customFormat="false" ht="12.75" hidden="false" customHeight="false" outlineLevel="0" collapsed="false">
      <c r="A1025" s="362"/>
    </row>
    <row r="1026" customFormat="false" ht="12.75" hidden="false" customHeight="false" outlineLevel="0" collapsed="false">
      <c r="A1026" s="362"/>
    </row>
    <row r="1027" customFormat="false" ht="12.75" hidden="false" customHeight="false" outlineLevel="0" collapsed="false">
      <c r="A1027" s="362"/>
    </row>
    <row r="1028" customFormat="false" ht="12.75" hidden="false" customHeight="false" outlineLevel="0" collapsed="false">
      <c r="A1028" s="362"/>
    </row>
    <row r="1029" customFormat="false" ht="12.75" hidden="false" customHeight="false" outlineLevel="0" collapsed="false">
      <c r="A1029" s="362"/>
    </row>
    <row r="1030" customFormat="false" ht="12.75" hidden="false" customHeight="false" outlineLevel="0" collapsed="false">
      <c r="A1030" s="362"/>
    </row>
    <row r="1031" customFormat="false" ht="12.75" hidden="false" customHeight="false" outlineLevel="0" collapsed="false">
      <c r="A1031" s="362"/>
    </row>
    <row r="1032" customFormat="false" ht="12.75" hidden="false" customHeight="false" outlineLevel="0" collapsed="false">
      <c r="A1032" s="362"/>
    </row>
    <row r="1033" customFormat="false" ht="12.75" hidden="false" customHeight="false" outlineLevel="0" collapsed="false">
      <c r="A1033" s="362"/>
    </row>
    <row r="1034" customFormat="false" ht="12.75" hidden="false" customHeight="false" outlineLevel="0" collapsed="false">
      <c r="A1034" s="362"/>
    </row>
    <row r="1035" customFormat="false" ht="12.75" hidden="false" customHeight="false" outlineLevel="0" collapsed="false">
      <c r="A1035" s="362"/>
    </row>
    <row r="1036" customFormat="false" ht="12.75" hidden="false" customHeight="false" outlineLevel="0" collapsed="false">
      <c r="A1036" s="362"/>
    </row>
    <row r="1037" customFormat="false" ht="12.75" hidden="false" customHeight="false" outlineLevel="0" collapsed="false">
      <c r="A1037" s="362"/>
    </row>
    <row r="1038" customFormat="false" ht="12.75" hidden="false" customHeight="false" outlineLevel="0" collapsed="false">
      <c r="A1038" s="362"/>
    </row>
    <row r="1039" customFormat="false" ht="12.75" hidden="false" customHeight="false" outlineLevel="0" collapsed="false">
      <c r="A1039" s="362"/>
    </row>
    <row r="1040" customFormat="false" ht="12.75" hidden="false" customHeight="false" outlineLevel="0" collapsed="false">
      <c r="A1040" s="362"/>
    </row>
    <row r="1041" customFormat="false" ht="12.75" hidden="false" customHeight="false" outlineLevel="0" collapsed="false">
      <c r="A1041" s="362"/>
    </row>
    <row r="1042" customFormat="false" ht="12.75" hidden="false" customHeight="false" outlineLevel="0" collapsed="false">
      <c r="A1042" s="362"/>
    </row>
    <row r="1043" customFormat="false" ht="12.75" hidden="false" customHeight="false" outlineLevel="0" collapsed="false">
      <c r="A1043" s="362"/>
    </row>
    <row r="1044" customFormat="false" ht="12.75" hidden="false" customHeight="false" outlineLevel="0" collapsed="false">
      <c r="A1044" s="362"/>
    </row>
    <row r="1045" customFormat="false" ht="12.75" hidden="false" customHeight="false" outlineLevel="0" collapsed="false">
      <c r="A1045" s="362"/>
    </row>
    <row r="1046" customFormat="false" ht="12.75" hidden="false" customHeight="false" outlineLevel="0" collapsed="false">
      <c r="A1046" s="362"/>
    </row>
    <row r="1047" customFormat="false" ht="12.75" hidden="false" customHeight="false" outlineLevel="0" collapsed="false">
      <c r="A1047" s="362"/>
    </row>
    <row r="1048" customFormat="false" ht="12.75" hidden="false" customHeight="false" outlineLevel="0" collapsed="false">
      <c r="A1048" s="362"/>
    </row>
    <row r="1049" customFormat="false" ht="12.75" hidden="false" customHeight="false" outlineLevel="0" collapsed="false">
      <c r="A1049" s="362"/>
    </row>
    <row r="1050" customFormat="false" ht="12.75" hidden="false" customHeight="false" outlineLevel="0" collapsed="false">
      <c r="A1050" s="362"/>
    </row>
    <row r="1051" customFormat="false" ht="12.75" hidden="false" customHeight="false" outlineLevel="0" collapsed="false">
      <c r="A1051" s="362"/>
    </row>
    <row r="1052" customFormat="false" ht="12.75" hidden="false" customHeight="false" outlineLevel="0" collapsed="false">
      <c r="A1052" s="362"/>
    </row>
    <row r="1053" customFormat="false" ht="12.75" hidden="false" customHeight="false" outlineLevel="0" collapsed="false">
      <c r="A1053" s="362"/>
    </row>
    <row r="1054" customFormat="false" ht="12.75" hidden="false" customHeight="false" outlineLevel="0" collapsed="false">
      <c r="A1054" s="362"/>
    </row>
    <row r="1055" customFormat="false" ht="12.75" hidden="false" customHeight="false" outlineLevel="0" collapsed="false">
      <c r="A1055" s="362"/>
    </row>
    <row r="1056" customFormat="false" ht="12.75" hidden="false" customHeight="false" outlineLevel="0" collapsed="false">
      <c r="A1056" s="362"/>
    </row>
    <row r="1057" customFormat="false" ht="12.75" hidden="false" customHeight="false" outlineLevel="0" collapsed="false">
      <c r="A1057" s="362"/>
    </row>
    <row r="1058" customFormat="false" ht="12.75" hidden="false" customHeight="false" outlineLevel="0" collapsed="false">
      <c r="A1058" s="362"/>
    </row>
    <row r="1059" customFormat="false" ht="12.75" hidden="false" customHeight="false" outlineLevel="0" collapsed="false">
      <c r="A1059" s="362"/>
    </row>
    <row r="1060" customFormat="false" ht="12.75" hidden="false" customHeight="false" outlineLevel="0" collapsed="false">
      <c r="A1060" s="362"/>
    </row>
    <row r="1061" customFormat="false" ht="12.75" hidden="false" customHeight="false" outlineLevel="0" collapsed="false">
      <c r="A1061" s="362"/>
    </row>
    <row r="1062" customFormat="false" ht="12.75" hidden="false" customHeight="false" outlineLevel="0" collapsed="false">
      <c r="A1062" s="362"/>
    </row>
    <row r="1063" customFormat="false" ht="12.75" hidden="false" customHeight="false" outlineLevel="0" collapsed="false">
      <c r="A1063" s="362"/>
    </row>
    <row r="1064" customFormat="false" ht="12.75" hidden="false" customHeight="false" outlineLevel="0" collapsed="false">
      <c r="A1064" s="362"/>
    </row>
    <row r="1065" customFormat="false" ht="12.75" hidden="false" customHeight="false" outlineLevel="0" collapsed="false">
      <c r="A1065" s="362"/>
    </row>
    <row r="1066" customFormat="false" ht="12.75" hidden="false" customHeight="false" outlineLevel="0" collapsed="false">
      <c r="A1066" s="362"/>
    </row>
    <row r="1067" customFormat="false" ht="12.75" hidden="false" customHeight="false" outlineLevel="0" collapsed="false">
      <c r="A1067" s="362"/>
    </row>
    <row r="1068" customFormat="false" ht="12.75" hidden="false" customHeight="false" outlineLevel="0" collapsed="false">
      <c r="A1068" s="362"/>
    </row>
    <row r="1069" customFormat="false" ht="12.75" hidden="false" customHeight="false" outlineLevel="0" collapsed="false">
      <c r="A1069" s="362"/>
    </row>
    <row r="1070" customFormat="false" ht="12.75" hidden="false" customHeight="false" outlineLevel="0" collapsed="false">
      <c r="A1070" s="362"/>
    </row>
    <row r="1071" customFormat="false" ht="12.75" hidden="false" customHeight="false" outlineLevel="0" collapsed="false">
      <c r="A1071" s="362"/>
    </row>
    <row r="1072" customFormat="false" ht="12.75" hidden="false" customHeight="false" outlineLevel="0" collapsed="false">
      <c r="A1072" s="362"/>
    </row>
    <row r="1073" customFormat="false" ht="12.75" hidden="false" customHeight="false" outlineLevel="0" collapsed="false">
      <c r="A1073" s="362"/>
    </row>
    <row r="1074" customFormat="false" ht="12.75" hidden="false" customHeight="false" outlineLevel="0" collapsed="false">
      <c r="A1074" s="362"/>
    </row>
    <row r="1075" customFormat="false" ht="12.75" hidden="false" customHeight="false" outlineLevel="0" collapsed="false">
      <c r="A1075" s="362"/>
    </row>
    <row r="1076" customFormat="false" ht="12.75" hidden="false" customHeight="false" outlineLevel="0" collapsed="false">
      <c r="A1076" s="362"/>
    </row>
    <row r="1077" customFormat="false" ht="12.75" hidden="false" customHeight="false" outlineLevel="0" collapsed="false">
      <c r="A1077" s="362"/>
    </row>
    <row r="1078" customFormat="false" ht="12.75" hidden="false" customHeight="false" outlineLevel="0" collapsed="false">
      <c r="A1078" s="362"/>
    </row>
    <row r="1079" customFormat="false" ht="12.75" hidden="false" customHeight="false" outlineLevel="0" collapsed="false">
      <c r="A1079" s="362"/>
    </row>
    <row r="1080" customFormat="false" ht="12.75" hidden="false" customHeight="false" outlineLevel="0" collapsed="false">
      <c r="A1080" s="362"/>
    </row>
    <row r="1081" customFormat="false" ht="12.75" hidden="false" customHeight="false" outlineLevel="0" collapsed="false">
      <c r="A1081" s="362"/>
    </row>
    <row r="1082" customFormat="false" ht="12.75" hidden="false" customHeight="false" outlineLevel="0" collapsed="false">
      <c r="A1082" s="362"/>
    </row>
    <row r="1083" customFormat="false" ht="12.75" hidden="false" customHeight="false" outlineLevel="0" collapsed="false">
      <c r="A1083" s="362"/>
    </row>
    <row r="1084" customFormat="false" ht="12.75" hidden="false" customHeight="false" outlineLevel="0" collapsed="false">
      <c r="A1084" s="362"/>
    </row>
    <row r="1085" customFormat="false" ht="12.75" hidden="false" customHeight="false" outlineLevel="0" collapsed="false">
      <c r="A1085" s="362"/>
    </row>
    <row r="1086" customFormat="false" ht="12.75" hidden="false" customHeight="false" outlineLevel="0" collapsed="false">
      <c r="A1086" s="362"/>
    </row>
    <row r="1087" customFormat="false" ht="12.75" hidden="false" customHeight="false" outlineLevel="0" collapsed="false">
      <c r="A1087" s="362"/>
    </row>
    <row r="1088" customFormat="false" ht="12.75" hidden="false" customHeight="false" outlineLevel="0" collapsed="false">
      <c r="A1088" s="362"/>
    </row>
    <row r="1089" customFormat="false" ht="12.75" hidden="false" customHeight="false" outlineLevel="0" collapsed="false">
      <c r="A1089" s="362"/>
    </row>
    <row r="1090" customFormat="false" ht="12.75" hidden="false" customHeight="false" outlineLevel="0" collapsed="false">
      <c r="A1090" s="362"/>
    </row>
    <row r="1091" customFormat="false" ht="12.75" hidden="false" customHeight="false" outlineLevel="0" collapsed="false">
      <c r="A1091" s="362"/>
    </row>
    <row r="1092" customFormat="false" ht="12.75" hidden="false" customHeight="false" outlineLevel="0" collapsed="false">
      <c r="A1092" s="362"/>
    </row>
    <row r="1093" customFormat="false" ht="12.75" hidden="false" customHeight="false" outlineLevel="0" collapsed="false">
      <c r="A1093" s="362"/>
    </row>
    <row r="1094" customFormat="false" ht="12.75" hidden="false" customHeight="false" outlineLevel="0" collapsed="false">
      <c r="A1094" s="362"/>
    </row>
    <row r="1095" customFormat="false" ht="12.75" hidden="false" customHeight="false" outlineLevel="0" collapsed="false">
      <c r="A1095" s="362"/>
    </row>
    <row r="1096" customFormat="false" ht="12.75" hidden="false" customHeight="false" outlineLevel="0" collapsed="false">
      <c r="A1096" s="362"/>
    </row>
    <row r="1097" customFormat="false" ht="12.75" hidden="false" customHeight="false" outlineLevel="0" collapsed="false">
      <c r="A1097" s="362"/>
    </row>
    <row r="1098" customFormat="false" ht="12.75" hidden="false" customHeight="false" outlineLevel="0" collapsed="false">
      <c r="A1098" s="362"/>
    </row>
    <row r="1099" customFormat="false" ht="12.75" hidden="false" customHeight="false" outlineLevel="0" collapsed="false">
      <c r="A1099" s="362"/>
    </row>
    <row r="1100" customFormat="false" ht="12.75" hidden="false" customHeight="false" outlineLevel="0" collapsed="false">
      <c r="A1100" s="362"/>
    </row>
    <row r="1101" customFormat="false" ht="12.75" hidden="false" customHeight="false" outlineLevel="0" collapsed="false">
      <c r="A1101" s="362"/>
    </row>
    <row r="1102" customFormat="false" ht="12.75" hidden="false" customHeight="false" outlineLevel="0" collapsed="false">
      <c r="A1102" s="362"/>
    </row>
    <row r="1103" customFormat="false" ht="12.75" hidden="false" customHeight="false" outlineLevel="0" collapsed="false">
      <c r="A1103" s="362"/>
    </row>
    <row r="1104" customFormat="false" ht="12.75" hidden="false" customHeight="false" outlineLevel="0" collapsed="false">
      <c r="A1104" s="362"/>
    </row>
    <row r="1105" customFormat="false" ht="12.75" hidden="false" customHeight="false" outlineLevel="0" collapsed="false">
      <c r="A1105" s="362"/>
    </row>
    <row r="1106" customFormat="false" ht="12.75" hidden="false" customHeight="false" outlineLevel="0" collapsed="false">
      <c r="A1106" s="362"/>
    </row>
    <row r="1107" customFormat="false" ht="12.75" hidden="false" customHeight="false" outlineLevel="0" collapsed="false">
      <c r="A1107" s="362"/>
    </row>
    <row r="1108" customFormat="false" ht="12.75" hidden="false" customHeight="false" outlineLevel="0" collapsed="false">
      <c r="A1108" s="362"/>
    </row>
    <row r="1109" customFormat="false" ht="12.75" hidden="false" customHeight="false" outlineLevel="0" collapsed="false">
      <c r="A1109" s="362"/>
    </row>
    <row r="1110" customFormat="false" ht="12.75" hidden="false" customHeight="false" outlineLevel="0" collapsed="false">
      <c r="A1110" s="362"/>
    </row>
    <row r="1111" customFormat="false" ht="12.75" hidden="false" customHeight="false" outlineLevel="0" collapsed="false">
      <c r="A1111" s="362"/>
    </row>
    <row r="1112" customFormat="false" ht="12.75" hidden="false" customHeight="false" outlineLevel="0" collapsed="false">
      <c r="A1112" s="362"/>
    </row>
    <row r="1113" customFormat="false" ht="12.75" hidden="false" customHeight="false" outlineLevel="0" collapsed="false">
      <c r="A1113" s="362"/>
    </row>
    <row r="1114" customFormat="false" ht="12.75" hidden="false" customHeight="false" outlineLevel="0" collapsed="false">
      <c r="A1114" s="362"/>
    </row>
    <row r="1115" customFormat="false" ht="12.75" hidden="false" customHeight="false" outlineLevel="0" collapsed="false">
      <c r="A1115" s="362"/>
    </row>
    <row r="1116" customFormat="false" ht="12.75" hidden="false" customHeight="false" outlineLevel="0" collapsed="false">
      <c r="A1116" s="362"/>
    </row>
    <row r="1117" customFormat="false" ht="12.75" hidden="false" customHeight="false" outlineLevel="0" collapsed="false">
      <c r="A1117" s="362"/>
    </row>
    <row r="1118" customFormat="false" ht="12.75" hidden="false" customHeight="false" outlineLevel="0" collapsed="false">
      <c r="A1118" s="362"/>
    </row>
    <row r="1119" customFormat="false" ht="12.75" hidden="false" customHeight="false" outlineLevel="0" collapsed="false">
      <c r="A1119" s="362"/>
    </row>
    <row r="1120" customFormat="false" ht="12.75" hidden="false" customHeight="false" outlineLevel="0" collapsed="false">
      <c r="A1120" s="362"/>
    </row>
    <row r="1121" customFormat="false" ht="12.75" hidden="false" customHeight="false" outlineLevel="0" collapsed="false">
      <c r="A1121" s="362"/>
    </row>
    <row r="1122" customFormat="false" ht="12.75" hidden="false" customHeight="false" outlineLevel="0" collapsed="false">
      <c r="A1122" s="362"/>
    </row>
    <row r="1123" customFormat="false" ht="12.75" hidden="false" customHeight="false" outlineLevel="0" collapsed="false">
      <c r="A1123" s="362"/>
    </row>
    <row r="1124" customFormat="false" ht="12.75" hidden="false" customHeight="false" outlineLevel="0" collapsed="false">
      <c r="A1124" s="362"/>
    </row>
    <row r="1125" customFormat="false" ht="12.75" hidden="false" customHeight="false" outlineLevel="0" collapsed="false">
      <c r="A1125" s="362"/>
    </row>
    <row r="1126" customFormat="false" ht="12.75" hidden="false" customHeight="false" outlineLevel="0" collapsed="false">
      <c r="A1126" s="362"/>
    </row>
    <row r="1127" customFormat="false" ht="12.75" hidden="false" customHeight="false" outlineLevel="0" collapsed="false">
      <c r="A1127" s="362"/>
    </row>
    <row r="1128" customFormat="false" ht="12.75" hidden="false" customHeight="false" outlineLevel="0" collapsed="false">
      <c r="A1128" s="362"/>
    </row>
    <row r="1129" customFormat="false" ht="12.75" hidden="false" customHeight="false" outlineLevel="0" collapsed="false">
      <c r="A1129" s="362"/>
    </row>
    <row r="1130" customFormat="false" ht="12.75" hidden="false" customHeight="false" outlineLevel="0" collapsed="false">
      <c r="A1130" s="362"/>
    </row>
    <row r="1131" customFormat="false" ht="12.75" hidden="false" customHeight="false" outlineLevel="0" collapsed="false">
      <c r="A1131" s="362"/>
    </row>
    <row r="1132" customFormat="false" ht="12.75" hidden="false" customHeight="false" outlineLevel="0" collapsed="false">
      <c r="A1132" s="362"/>
    </row>
    <row r="1133" customFormat="false" ht="12.75" hidden="false" customHeight="false" outlineLevel="0" collapsed="false">
      <c r="A1133" s="362"/>
    </row>
    <row r="1134" customFormat="false" ht="12.75" hidden="false" customHeight="false" outlineLevel="0" collapsed="false">
      <c r="A1134" s="362"/>
    </row>
    <row r="1135" customFormat="false" ht="12.75" hidden="false" customHeight="false" outlineLevel="0" collapsed="false">
      <c r="A1135" s="362"/>
    </row>
    <row r="1136" customFormat="false" ht="12.75" hidden="false" customHeight="false" outlineLevel="0" collapsed="false">
      <c r="A1136" s="362"/>
    </row>
    <row r="1137" customFormat="false" ht="12.75" hidden="false" customHeight="false" outlineLevel="0" collapsed="false">
      <c r="A1137" s="362"/>
    </row>
    <row r="1138" customFormat="false" ht="12.75" hidden="false" customHeight="false" outlineLevel="0" collapsed="false">
      <c r="A1138" s="362"/>
    </row>
    <row r="1139" customFormat="false" ht="12.75" hidden="false" customHeight="false" outlineLevel="0" collapsed="false">
      <c r="A1139" s="362"/>
    </row>
    <row r="1140" customFormat="false" ht="12.75" hidden="false" customHeight="false" outlineLevel="0" collapsed="false">
      <c r="A1140" s="362"/>
    </row>
    <row r="1141" customFormat="false" ht="12.75" hidden="false" customHeight="false" outlineLevel="0" collapsed="false">
      <c r="A1141" s="362"/>
    </row>
    <row r="1142" customFormat="false" ht="12.75" hidden="false" customHeight="false" outlineLevel="0" collapsed="false">
      <c r="A1142" s="362"/>
    </row>
    <row r="1143" customFormat="false" ht="12.75" hidden="false" customHeight="false" outlineLevel="0" collapsed="false">
      <c r="A1143" s="362"/>
    </row>
    <row r="1144" customFormat="false" ht="12.75" hidden="false" customHeight="false" outlineLevel="0" collapsed="false">
      <c r="A1144" s="362"/>
    </row>
    <row r="1145" customFormat="false" ht="12.75" hidden="false" customHeight="false" outlineLevel="0" collapsed="false">
      <c r="A1145" s="362"/>
    </row>
    <row r="1146" customFormat="false" ht="12.75" hidden="false" customHeight="false" outlineLevel="0" collapsed="false">
      <c r="A1146" s="362"/>
    </row>
    <row r="1147" customFormat="false" ht="12.75" hidden="false" customHeight="false" outlineLevel="0" collapsed="false">
      <c r="A1147" s="362"/>
    </row>
    <row r="1148" customFormat="false" ht="12.75" hidden="false" customHeight="false" outlineLevel="0" collapsed="false">
      <c r="A1148" s="362"/>
    </row>
    <row r="1149" customFormat="false" ht="12.75" hidden="false" customHeight="false" outlineLevel="0" collapsed="false">
      <c r="A1149" s="362"/>
    </row>
    <row r="1150" customFormat="false" ht="12.75" hidden="false" customHeight="false" outlineLevel="0" collapsed="false">
      <c r="A1150" s="362"/>
    </row>
    <row r="1151" customFormat="false" ht="12.75" hidden="false" customHeight="false" outlineLevel="0" collapsed="false">
      <c r="A1151" s="362"/>
    </row>
    <row r="1152" customFormat="false" ht="12.75" hidden="false" customHeight="false" outlineLevel="0" collapsed="false">
      <c r="A1152" s="362"/>
    </row>
    <row r="1153" customFormat="false" ht="12.75" hidden="false" customHeight="false" outlineLevel="0" collapsed="false">
      <c r="A1153" s="362"/>
    </row>
    <row r="1154" customFormat="false" ht="12.75" hidden="false" customHeight="false" outlineLevel="0" collapsed="false">
      <c r="A1154" s="362"/>
    </row>
    <row r="1155" customFormat="false" ht="12.75" hidden="false" customHeight="false" outlineLevel="0" collapsed="false">
      <c r="A1155" s="362"/>
    </row>
    <row r="1156" customFormat="false" ht="12.75" hidden="false" customHeight="false" outlineLevel="0" collapsed="false">
      <c r="A1156" s="362"/>
    </row>
    <row r="1157" customFormat="false" ht="12.75" hidden="false" customHeight="false" outlineLevel="0" collapsed="false">
      <c r="A1157" s="362"/>
    </row>
    <row r="1158" customFormat="false" ht="12.75" hidden="false" customHeight="false" outlineLevel="0" collapsed="false">
      <c r="A1158" s="362"/>
    </row>
    <row r="1159" customFormat="false" ht="12.75" hidden="false" customHeight="false" outlineLevel="0" collapsed="false">
      <c r="A1159" s="362"/>
    </row>
    <row r="1160" customFormat="false" ht="12.75" hidden="false" customHeight="false" outlineLevel="0" collapsed="false">
      <c r="A1160" s="362"/>
    </row>
    <row r="1161" customFormat="false" ht="12.75" hidden="false" customHeight="false" outlineLevel="0" collapsed="false">
      <c r="A1161" s="362"/>
    </row>
    <row r="1162" customFormat="false" ht="12.75" hidden="false" customHeight="false" outlineLevel="0" collapsed="false">
      <c r="A1162" s="362"/>
    </row>
    <row r="1163" customFormat="false" ht="12.75" hidden="false" customHeight="false" outlineLevel="0" collapsed="false">
      <c r="A1163" s="362"/>
    </row>
    <row r="1164" customFormat="false" ht="12.75" hidden="false" customHeight="false" outlineLevel="0" collapsed="false">
      <c r="A1164" s="362"/>
    </row>
    <row r="1165" customFormat="false" ht="12.75" hidden="false" customHeight="false" outlineLevel="0" collapsed="false">
      <c r="A1165" s="362"/>
    </row>
    <row r="1166" customFormat="false" ht="12.75" hidden="false" customHeight="false" outlineLevel="0" collapsed="false">
      <c r="A1166" s="362"/>
    </row>
    <row r="1167" customFormat="false" ht="12.75" hidden="false" customHeight="false" outlineLevel="0" collapsed="false">
      <c r="A1167" s="362"/>
    </row>
    <row r="1168" customFormat="false" ht="12.75" hidden="false" customHeight="false" outlineLevel="0" collapsed="false">
      <c r="A1168" s="362"/>
    </row>
    <row r="1169" customFormat="false" ht="12.75" hidden="false" customHeight="false" outlineLevel="0" collapsed="false">
      <c r="A1169" s="362"/>
    </row>
    <row r="1170" customFormat="false" ht="12.75" hidden="false" customHeight="false" outlineLevel="0" collapsed="false">
      <c r="A1170" s="362"/>
    </row>
    <row r="1171" customFormat="false" ht="12.75" hidden="false" customHeight="false" outlineLevel="0" collapsed="false">
      <c r="A1171" s="362"/>
    </row>
    <row r="1172" customFormat="false" ht="12.75" hidden="false" customHeight="false" outlineLevel="0" collapsed="false">
      <c r="A1172" s="362"/>
    </row>
    <row r="1173" customFormat="false" ht="12.75" hidden="false" customHeight="false" outlineLevel="0" collapsed="false">
      <c r="A1173" s="362"/>
    </row>
    <row r="1174" customFormat="false" ht="12.75" hidden="false" customHeight="false" outlineLevel="0" collapsed="false">
      <c r="A1174" s="362"/>
    </row>
    <row r="1175" customFormat="false" ht="12.75" hidden="false" customHeight="false" outlineLevel="0" collapsed="false">
      <c r="A1175" s="362"/>
    </row>
    <row r="1176" customFormat="false" ht="12.75" hidden="false" customHeight="false" outlineLevel="0" collapsed="false">
      <c r="A1176" s="362"/>
    </row>
    <row r="1177" customFormat="false" ht="12.75" hidden="false" customHeight="false" outlineLevel="0" collapsed="false">
      <c r="A1177" s="362"/>
    </row>
    <row r="1178" customFormat="false" ht="12.75" hidden="false" customHeight="false" outlineLevel="0" collapsed="false">
      <c r="A1178" s="362"/>
    </row>
    <row r="1179" customFormat="false" ht="12.75" hidden="false" customHeight="false" outlineLevel="0" collapsed="false">
      <c r="A1179" s="362"/>
    </row>
    <row r="1180" customFormat="false" ht="12.75" hidden="false" customHeight="false" outlineLevel="0" collapsed="false">
      <c r="A1180" s="362"/>
    </row>
    <row r="1181" customFormat="false" ht="12.75" hidden="false" customHeight="false" outlineLevel="0" collapsed="false">
      <c r="A1181" s="362"/>
    </row>
    <row r="1182" customFormat="false" ht="12.75" hidden="false" customHeight="false" outlineLevel="0" collapsed="false">
      <c r="A1182" s="362"/>
    </row>
    <row r="1183" customFormat="false" ht="12.75" hidden="false" customHeight="false" outlineLevel="0" collapsed="false">
      <c r="A1183" s="362"/>
    </row>
    <row r="1184" customFormat="false" ht="12.75" hidden="false" customHeight="false" outlineLevel="0" collapsed="false">
      <c r="A1184" s="362"/>
    </row>
    <row r="1185" customFormat="false" ht="12.75" hidden="false" customHeight="false" outlineLevel="0" collapsed="false">
      <c r="A1185" s="362"/>
    </row>
    <row r="1186" customFormat="false" ht="12.75" hidden="false" customHeight="false" outlineLevel="0" collapsed="false">
      <c r="A1186" s="362"/>
    </row>
    <row r="1187" customFormat="false" ht="12.75" hidden="false" customHeight="false" outlineLevel="0" collapsed="false">
      <c r="A1187" s="362"/>
    </row>
    <row r="1188" customFormat="false" ht="12.75" hidden="false" customHeight="false" outlineLevel="0" collapsed="false">
      <c r="A1188" s="362"/>
    </row>
    <row r="1189" customFormat="false" ht="12.75" hidden="false" customHeight="false" outlineLevel="0" collapsed="false">
      <c r="A1189" s="362"/>
    </row>
    <row r="1190" customFormat="false" ht="12.75" hidden="false" customHeight="false" outlineLevel="0" collapsed="false">
      <c r="A1190" s="362"/>
    </row>
    <row r="1191" customFormat="false" ht="12.75" hidden="false" customHeight="false" outlineLevel="0" collapsed="false">
      <c r="A1191" s="362"/>
    </row>
    <row r="1192" customFormat="false" ht="12.75" hidden="false" customHeight="false" outlineLevel="0" collapsed="false">
      <c r="A1192" s="362"/>
    </row>
    <row r="1193" customFormat="false" ht="12.75" hidden="false" customHeight="false" outlineLevel="0" collapsed="false">
      <c r="A1193" s="362"/>
    </row>
    <row r="1194" customFormat="false" ht="12.75" hidden="false" customHeight="false" outlineLevel="0" collapsed="false">
      <c r="A1194" s="362"/>
    </row>
    <row r="1195" customFormat="false" ht="12.75" hidden="false" customHeight="false" outlineLevel="0" collapsed="false">
      <c r="A1195" s="362"/>
    </row>
    <row r="1196" customFormat="false" ht="12.75" hidden="false" customHeight="false" outlineLevel="0" collapsed="false">
      <c r="A1196" s="362"/>
    </row>
    <row r="1197" customFormat="false" ht="12.75" hidden="false" customHeight="false" outlineLevel="0" collapsed="false">
      <c r="A1197" s="362"/>
    </row>
    <row r="1198" customFormat="false" ht="12.75" hidden="false" customHeight="false" outlineLevel="0" collapsed="false">
      <c r="A1198" s="362"/>
    </row>
    <row r="1199" customFormat="false" ht="12.75" hidden="false" customHeight="false" outlineLevel="0" collapsed="false">
      <c r="A1199" s="362"/>
    </row>
    <row r="1200" customFormat="false" ht="12.75" hidden="false" customHeight="false" outlineLevel="0" collapsed="false">
      <c r="A1200" s="362"/>
    </row>
    <row r="1201" customFormat="false" ht="12.75" hidden="false" customHeight="false" outlineLevel="0" collapsed="false">
      <c r="A1201" s="362"/>
    </row>
    <row r="1202" customFormat="false" ht="12.75" hidden="false" customHeight="false" outlineLevel="0" collapsed="false">
      <c r="A1202" s="362"/>
    </row>
    <row r="1203" customFormat="false" ht="12.75" hidden="false" customHeight="false" outlineLevel="0" collapsed="false">
      <c r="A1203" s="362"/>
    </row>
    <row r="1204" customFormat="false" ht="12.75" hidden="false" customHeight="false" outlineLevel="0" collapsed="false">
      <c r="A1204" s="362"/>
    </row>
    <row r="1205" customFormat="false" ht="12.75" hidden="false" customHeight="false" outlineLevel="0" collapsed="false">
      <c r="A1205" s="362"/>
    </row>
    <row r="1206" customFormat="false" ht="12.75" hidden="false" customHeight="false" outlineLevel="0" collapsed="false">
      <c r="A1206" s="362"/>
    </row>
    <row r="1207" customFormat="false" ht="12.75" hidden="false" customHeight="false" outlineLevel="0" collapsed="false">
      <c r="A1207" s="362"/>
    </row>
    <row r="1208" customFormat="false" ht="12.75" hidden="false" customHeight="false" outlineLevel="0" collapsed="false">
      <c r="A1208" s="362"/>
    </row>
    <row r="1209" customFormat="false" ht="12.75" hidden="false" customHeight="false" outlineLevel="0" collapsed="false">
      <c r="A1209" s="362"/>
    </row>
    <row r="1210" customFormat="false" ht="12.75" hidden="false" customHeight="false" outlineLevel="0" collapsed="false">
      <c r="A1210" s="362"/>
    </row>
    <row r="1211" customFormat="false" ht="12.75" hidden="false" customHeight="false" outlineLevel="0" collapsed="false">
      <c r="A1211" s="362"/>
    </row>
    <row r="1212" customFormat="false" ht="12.75" hidden="false" customHeight="false" outlineLevel="0" collapsed="false">
      <c r="A1212" s="362"/>
    </row>
    <row r="1213" customFormat="false" ht="12.75" hidden="false" customHeight="false" outlineLevel="0" collapsed="false">
      <c r="A1213" s="362"/>
    </row>
    <row r="1214" customFormat="false" ht="12.75" hidden="false" customHeight="false" outlineLevel="0" collapsed="false">
      <c r="A1214" s="362"/>
    </row>
    <row r="1215" customFormat="false" ht="12.75" hidden="false" customHeight="false" outlineLevel="0" collapsed="false">
      <c r="A1215" s="362"/>
    </row>
    <row r="1216" customFormat="false" ht="12.75" hidden="false" customHeight="false" outlineLevel="0" collapsed="false">
      <c r="A1216" s="362"/>
    </row>
    <row r="1217" customFormat="false" ht="12.75" hidden="false" customHeight="false" outlineLevel="0" collapsed="false">
      <c r="A1217" s="362"/>
    </row>
    <row r="1218" customFormat="false" ht="12.75" hidden="false" customHeight="false" outlineLevel="0" collapsed="false">
      <c r="A1218" s="362"/>
    </row>
    <row r="1219" customFormat="false" ht="12.75" hidden="false" customHeight="false" outlineLevel="0" collapsed="false">
      <c r="A1219" s="362"/>
    </row>
    <row r="1220" customFormat="false" ht="12.75" hidden="false" customHeight="false" outlineLevel="0" collapsed="false">
      <c r="A1220" s="362"/>
    </row>
    <row r="1221" customFormat="false" ht="12.75" hidden="false" customHeight="false" outlineLevel="0" collapsed="false">
      <c r="A1221" s="362"/>
    </row>
    <row r="1222" customFormat="false" ht="12.75" hidden="false" customHeight="false" outlineLevel="0" collapsed="false">
      <c r="A1222" s="362"/>
    </row>
    <row r="1223" customFormat="false" ht="12.75" hidden="false" customHeight="false" outlineLevel="0" collapsed="false">
      <c r="A1223" s="362"/>
    </row>
    <row r="1224" customFormat="false" ht="12.75" hidden="false" customHeight="false" outlineLevel="0" collapsed="false">
      <c r="A1224" s="362"/>
    </row>
    <row r="1225" customFormat="false" ht="12.75" hidden="false" customHeight="false" outlineLevel="0" collapsed="false">
      <c r="A1225" s="362"/>
    </row>
    <row r="1226" customFormat="false" ht="12.75" hidden="false" customHeight="false" outlineLevel="0" collapsed="false">
      <c r="A1226" s="362"/>
    </row>
    <row r="1227" customFormat="false" ht="12.75" hidden="false" customHeight="false" outlineLevel="0" collapsed="false">
      <c r="A1227" s="362"/>
    </row>
    <row r="1228" customFormat="false" ht="12.75" hidden="false" customHeight="false" outlineLevel="0" collapsed="false">
      <c r="A1228" s="362"/>
    </row>
    <row r="1229" customFormat="false" ht="12.75" hidden="false" customHeight="false" outlineLevel="0" collapsed="false">
      <c r="A1229" s="362"/>
    </row>
    <row r="1230" customFormat="false" ht="12.75" hidden="false" customHeight="false" outlineLevel="0" collapsed="false">
      <c r="A1230" s="362"/>
    </row>
    <row r="1231" customFormat="false" ht="12.75" hidden="false" customHeight="false" outlineLevel="0" collapsed="false">
      <c r="A1231" s="362"/>
    </row>
    <row r="1232" customFormat="false" ht="12.75" hidden="false" customHeight="false" outlineLevel="0" collapsed="false">
      <c r="A1232" s="362"/>
    </row>
    <row r="1233" customFormat="false" ht="12.75" hidden="false" customHeight="false" outlineLevel="0" collapsed="false">
      <c r="A1233" s="362"/>
    </row>
    <row r="1234" customFormat="false" ht="12.75" hidden="false" customHeight="false" outlineLevel="0" collapsed="false">
      <c r="A1234" s="362"/>
    </row>
    <row r="1235" customFormat="false" ht="12.75" hidden="false" customHeight="false" outlineLevel="0" collapsed="false">
      <c r="A1235" s="362"/>
    </row>
    <row r="1236" customFormat="false" ht="12.75" hidden="false" customHeight="false" outlineLevel="0" collapsed="false">
      <c r="A1236" s="362"/>
    </row>
    <row r="1237" customFormat="false" ht="12.75" hidden="false" customHeight="false" outlineLevel="0" collapsed="false">
      <c r="A1237" s="362"/>
    </row>
    <row r="1238" customFormat="false" ht="12.75" hidden="false" customHeight="false" outlineLevel="0" collapsed="false">
      <c r="A1238" s="362"/>
    </row>
    <row r="1239" customFormat="false" ht="12.75" hidden="false" customHeight="false" outlineLevel="0" collapsed="false">
      <c r="A1239" s="362"/>
    </row>
    <row r="1240" customFormat="false" ht="12.75" hidden="false" customHeight="false" outlineLevel="0" collapsed="false">
      <c r="A1240" s="362"/>
    </row>
    <row r="1241" customFormat="false" ht="12.75" hidden="false" customHeight="false" outlineLevel="0" collapsed="false">
      <c r="A1241" s="362"/>
    </row>
    <row r="1242" customFormat="false" ht="12.75" hidden="false" customHeight="false" outlineLevel="0" collapsed="false">
      <c r="A1242" s="362"/>
    </row>
    <row r="1243" customFormat="false" ht="12.75" hidden="false" customHeight="false" outlineLevel="0" collapsed="false">
      <c r="A1243" s="362"/>
    </row>
    <row r="1244" customFormat="false" ht="12.75" hidden="false" customHeight="false" outlineLevel="0" collapsed="false">
      <c r="A1244" s="362"/>
    </row>
    <row r="1245" customFormat="false" ht="12.75" hidden="false" customHeight="false" outlineLevel="0" collapsed="false">
      <c r="A1245" s="362"/>
    </row>
    <row r="1246" customFormat="false" ht="12.75" hidden="false" customHeight="false" outlineLevel="0" collapsed="false">
      <c r="A1246" s="362"/>
    </row>
    <row r="1247" customFormat="false" ht="12.75" hidden="false" customHeight="false" outlineLevel="0" collapsed="false">
      <c r="A1247" s="362"/>
    </row>
    <row r="1248" customFormat="false" ht="12.75" hidden="false" customHeight="false" outlineLevel="0" collapsed="false">
      <c r="A1248" s="362"/>
    </row>
    <row r="1249" customFormat="false" ht="12.75" hidden="false" customHeight="false" outlineLevel="0" collapsed="false">
      <c r="A1249" s="362"/>
    </row>
    <row r="1250" customFormat="false" ht="12.75" hidden="false" customHeight="false" outlineLevel="0" collapsed="false">
      <c r="A1250" s="362"/>
    </row>
    <row r="1251" customFormat="false" ht="12.75" hidden="false" customHeight="false" outlineLevel="0" collapsed="false">
      <c r="A1251" s="362"/>
    </row>
    <row r="1252" customFormat="false" ht="12.75" hidden="false" customHeight="false" outlineLevel="0" collapsed="false">
      <c r="A1252" s="362"/>
    </row>
    <row r="1253" customFormat="false" ht="12.75" hidden="false" customHeight="false" outlineLevel="0" collapsed="false">
      <c r="A1253" s="362"/>
    </row>
    <row r="1254" customFormat="false" ht="12.75" hidden="false" customHeight="false" outlineLevel="0" collapsed="false">
      <c r="A1254" s="362"/>
    </row>
    <row r="1255" customFormat="false" ht="12.75" hidden="false" customHeight="false" outlineLevel="0" collapsed="false">
      <c r="A1255" s="362"/>
    </row>
    <row r="1256" customFormat="false" ht="12.75" hidden="false" customHeight="false" outlineLevel="0" collapsed="false">
      <c r="A1256" s="362"/>
    </row>
    <row r="1257" customFormat="false" ht="12.75" hidden="false" customHeight="false" outlineLevel="0" collapsed="false">
      <c r="A1257" s="362"/>
    </row>
    <row r="1258" customFormat="false" ht="12.75" hidden="false" customHeight="false" outlineLevel="0" collapsed="false">
      <c r="A1258" s="362"/>
    </row>
    <row r="1259" customFormat="false" ht="12.75" hidden="false" customHeight="false" outlineLevel="0" collapsed="false">
      <c r="A1259" s="362"/>
    </row>
    <row r="1260" customFormat="false" ht="12.75" hidden="false" customHeight="false" outlineLevel="0" collapsed="false">
      <c r="A1260" s="362"/>
    </row>
    <row r="1261" customFormat="false" ht="12.75" hidden="false" customHeight="false" outlineLevel="0" collapsed="false">
      <c r="A1261" s="362"/>
    </row>
    <row r="1262" customFormat="false" ht="12.75" hidden="false" customHeight="false" outlineLevel="0" collapsed="false">
      <c r="A1262" s="362"/>
    </row>
    <row r="1263" customFormat="false" ht="12.75" hidden="false" customHeight="false" outlineLevel="0" collapsed="false">
      <c r="A1263" s="362"/>
    </row>
    <row r="1264" customFormat="false" ht="12.75" hidden="false" customHeight="false" outlineLevel="0" collapsed="false">
      <c r="A1264" s="362"/>
    </row>
    <row r="1265" customFormat="false" ht="12.75" hidden="false" customHeight="false" outlineLevel="0" collapsed="false">
      <c r="A1265" s="362"/>
    </row>
    <row r="1266" customFormat="false" ht="12.75" hidden="false" customHeight="false" outlineLevel="0" collapsed="false">
      <c r="A1266" s="362"/>
    </row>
    <row r="1267" customFormat="false" ht="12.75" hidden="false" customHeight="false" outlineLevel="0" collapsed="false">
      <c r="A1267" s="362"/>
    </row>
    <row r="1268" customFormat="false" ht="12.75" hidden="false" customHeight="false" outlineLevel="0" collapsed="false">
      <c r="A1268" s="362"/>
    </row>
    <row r="1269" customFormat="false" ht="12.75" hidden="false" customHeight="false" outlineLevel="0" collapsed="false">
      <c r="A1269" s="362"/>
    </row>
    <row r="1270" customFormat="false" ht="12.75" hidden="false" customHeight="false" outlineLevel="0" collapsed="false">
      <c r="A1270" s="362"/>
    </row>
    <row r="1271" customFormat="false" ht="12.75" hidden="false" customHeight="false" outlineLevel="0" collapsed="false">
      <c r="A1271" s="362"/>
    </row>
    <row r="1272" customFormat="false" ht="12.75" hidden="false" customHeight="false" outlineLevel="0" collapsed="false">
      <c r="A1272" s="362"/>
    </row>
    <row r="1273" customFormat="false" ht="12.75" hidden="false" customHeight="false" outlineLevel="0" collapsed="false">
      <c r="A1273" s="362"/>
    </row>
    <row r="1274" customFormat="false" ht="12.75" hidden="false" customHeight="false" outlineLevel="0" collapsed="false">
      <c r="A1274" s="362"/>
    </row>
    <row r="1275" customFormat="false" ht="12.75" hidden="false" customHeight="false" outlineLevel="0" collapsed="false">
      <c r="A1275" s="362"/>
    </row>
    <row r="1276" customFormat="false" ht="12.75" hidden="false" customHeight="false" outlineLevel="0" collapsed="false">
      <c r="A1276" s="362"/>
    </row>
    <row r="1277" customFormat="false" ht="12.75" hidden="false" customHeight="false" outlineLevel="0" collapsed="false">
      <c r="A1277" s="362"/>
    </row>
    <row r="1278" customFormat="false" ht="12.75" hidden="false" customHeight="false" outlineLevel="0" collapsed="false">
      <c r="A1278" s="362"/>
    </row>
    <row r="1279" customFormat="false" ht="12.75" hidden="false" customHeight="false" outlineLevel="0" collapsed="false">
      <c r="A1279" s="362"/>
    </row>
    <row r="1280" customFormat="false" ht="12.75" hidden="false" customHeight="false" outlineLevel="0" collapsed="false">
      <c r="A1280" s="362"/>
    </row>
    <row r="1281" customFormat="false" ht="12.75" hidden="false" customHeight="false" outlineLevel="0" collapsed="false">
      <c r="A1281" s="362"/>
    </row>
    <row r="1282" customFormat="false" ht="12.75" hidden="false" customHeight="false" outlineLevel="0" collapsed="false">
      <c r="A1282" s="362"/>
    </row>
    <row r="1283" customFormat="false" ht="12.75" hidden="false" customHeight="false" outlineLevel="0" collapsed="false">
      <c r="A1283" s="362"/>
    </row>
    <row r="1284" customFormat="false" ht="12.75" hidden="false" customHeight="false" outlineLevel="0" collapsed="false">
      <c r="A1284" s="362"/>
    </row>
    <row r="1285" customFormat="false" ht="12.75" hidden="false" customHeight="false" outlineLevel="0" collapsed="false">
      <c r="A1285" s="362"/>
    </row>
    <row r="1286" customFormat="false" ht="12.75" hidden="false" customHeight="false" outlineLevel="0" collapsed="false">
      <c r="A1286" s="362"/>
    </row>
    <row r="1287" customFormat="false" ht="12.75" hidden="false" customHeight="false" outlineLevel="0" collapsed="false">
      <c r="A1287" s="362"/>
    </row>
    <row r="1288" customFormat="false" ht="12.75" hidden="false" customHeight="false" outlineLevel="0" collapsed="false">
      <c r="A1288" s="362"/>
    </row>
    <row r="1289" customFormat="false" ht="12.75" hidden="false" customHeight="false" outlineLevel="0" collapsed="false">
      <c r="A1289" s="362"/>
    </row>
    <row r="1290" customFormat="false" ht="12.75" hidden="false" customHeight="false" outlineLevel="0" collapsed="false">
      <c r="A1290" s="362"/>
    </row>
    <row r="1291" customFormat="false" ht="12.75" hidden="false" customHeight="false" outlineLevel="0" collapsed="false">
      <c r="A1291" s="362"/>
    </row>
    <row r="1292" customFormat="false" ht="12.75" hidden="false" customHeight="false" outlineLevel="0" collapsed="false">
      <c r="A1292" s="362"/>
    </row>
    <row r="1293" customFormat="false" ht="12.75" hidden="false" customHeight="false" outlineLevel="0" collapsed="false">
      <c r="A1293" s="362"/>
    </row>
    <row r="1294" customFormat="false" ht="12.75" hidden="false" customHeight="false" outlineLevel="0" collapsed="false">
      <c r="A1294" s="362"/>
    </row>
    <row r="1295" customFormat="false" ht="12.75" hidden="false" customHeight="false" outlineLevel="0" collapsed="false">
      <c r="A1295" s="362"/>
    </row>
    <row r="1296" customFormat="false" ht="12.75" hidden="false" customHeight="false" outlineLevel="0" collapsed="false">
      <c r="A1296" s="362"/>
    </row>
    <row r="1297" customFormat="false" ht="12.75" hidden="false" customHeight="false" outlineLevel="0" collapsed="false">
      <c r="A1297" s="362"/>
    </row>
    <row r="1298" customFormat="false" ht="12.75" hidden="false" customHeight="false" outlineLevel="0" collapsed="false">
      <c r="A1298" s="362"/>
    </row>
    <row r="1299" customFormat="false" ht="12.75" hidden="false" customHeight="false" outlineLevel="0" collapsed="false">
      <c r="A1299" s="362"/>
    </row>
    <row r="1300" customFormat="false" ht="12.75" hidden="false" customHeight="false" outlineLevel="0" collapsed="false">
      <c r="A1300" s="362"/>
    </row>
    <row r="1301" customFormat="false" ht="12.75" hidden="false" customHeight="false" outlineLevel="0" collapsed="false">
      <c r="A1301" s="362"/>
    </row>
    <row r="1302" customFormat="false" ht="12.75" hidden="false" customHeight="false" outlineLevel="0" collapsed="false">
      <c r="A1302" s="362"/>
    </row>
    <row r="1303" customFormat="false" ht="12.75" hidden="false" customHeight="false" outlineLevel="0" collapsed="false">
      <c r="A1303" s="362"/>
    </row>
    <row r="1304" customFormat="false" ht="12.75" hidden="false" customHeight="false" outlineLevel="0" collapsed="false">
      <c r="A1304" s="362"/>
    </row>
    <row r="1305" customFormat="false" ht="12.75" hidden="false" customHeight="false" outlineLevel="0" collapsed="false">
      <c r="A1305" s="362"/>
    </row>
    <row r="1306" customFormat="false" ht="12.75" hidden="false" customHeight="false" outlineLevel="0" collapsed="false">
      <c r="A1306" s="362"/>
    </row>
    <row r="1307" customFormat="false" ht="12.75" hidden="false" customHeight="false" outlineLevel="0" collapsed="false">
      <c r="A1307" s="362"/>
    </row>
    <row r="1308" customFormat="false" ht="12.75" hidden="false" customHeight="false" outlineLevel="0" collapsed="false">
      <c r="A1308" s="362"/>
    </row>
    <row r="1309" customFormat="false" ht="12.75" hidden="false" customHeight="false" outlineLevel="0" collapsed="false">
      <c r="A1309" s="362"/>
    </row>
    <row r="1310" customFormat="false" ht="12.75" hidden="false" customHeight="false" outlineLevel="0" collapsed="false">
      <c r="A1310" s="362"/>
    </row>
    <row r="1311" customFormat="false" ht="12.75" hidden="false" customHeight="false" outlineLevel="0" collapsed="false">
      <c r="A1311" s="362"/>
    </row>
    <row r="1312" customFormat="false" ht="12.75" hidden="false" customHeight="false" outlineLevel="0" collapsed="false">
      <c r="A1312" s="362"/>
    </row>
    <row r="1313" customFormat="false" ht="12.75" hidden="false" customHeight="false" outlineLevel="0" collapsed="false">
      <c r="A1313" s="362"/>
    </row>
    <row r="1314" customFormat="false" ht="12.75" hidden="false" customHeight="false" outlineLevel="0" collapsed="false">
      <c r="A1314" s="362"/>
    </row>
    <row r="1315" customFormat="false" ht="12.75" hidden="false" customHeight="false" outlineLevel="0" collapsed="false">
      <c r="A1315" s="362"/>
    </row>
    <row r="1316" customFormat="false" ht="12.75" hidden="false" customHeight="false" outlineLevel="0" collapsed="false">
      <c r="A1316" s="362"/>
    </row>
    <row r="1317" customFormat="false" ht="12.75" hidden="false" customHeight="false" outlineLevel="0" collapsed="false">
      <c r="A1317" s="362"/>
    </row>
    <row r="1318" customFormat="false" ht="12.75" hidden="false" customHeight="false" outlineLevel="0" collapsed="false">
      <c r="A1318" s="362"/>
    </row>
    <row r="1319" customFormat="false" ht="12.75" hidden="false" customHeight="false" outlineLevel="0" collapsed="false">
      <c r="A1319" s="362"/>
    </row>
    <row r="1320" customFormat="false" ht="12.75" hidden="false" customHeight="false" outlineLevel="0" collapsed="false">
      <c r="A1320" s="362"/>
    </row>
    <row r="1321" customFormat="false" ht="12.75" hidden="false" customHeight="false" outlineLevel="0" collapsed="false">
      <c r="A1321" s="362"/>
    </row>
    <row r="1322" customFormat="false" ht="12.75" hidden="false" customHeight="false" outlineLevel="0" collapsed="false">
      <c r="A1322" s="362"/>
    </row>
    <row r="1323" customFormat="false" ht="12.75" hidden="false" customHeight="false" outlineLevel="0" collapsed="false">
      <c r="A1323" s="362"/>
    </row>
    <row r="1324" customFormat="false" ht="12.75" hidden="false" customHeight="false" outlineLevel="0" collapsed="false">
      <c r="A1324" s="362"/>
    </row>
    <row r="1325" customFormat="false" ht="12.75" hidden="false" customHeight="false" outlineLevel="0" collapsed="false">
      <c r="A1325" s="362"/>
    </row>
    <row r="1326" customFormat="false" ht="12.75" hidden="false" customHeight="false" outlineLevel="0" collapsed="false">
      <c r="A1326" s="362"/>
    </row>
    <row r="1327" customFormat="false" ht="12.75" hidden="false" customHeight="false" outlineLevel="0" collapsed="false">
      <c r="A1327" s="362"/>
    </row>
    <row r="1328" customFormat="false" ht="12.75" hidden="false" customHeight="false" outlineLevel="0" collapsed="false">
      <c r="A1328" s="362"/>
    </row>
    <row r="1329" customFormat="false" ht="12.75" hidden="false" customHeight="false" outlineLevel="0" collapsed="false">
      <c r="A1329" s="362"/>
    </row>
    <row r="1330" customFormat="false" ht="12.75" hidden="false" customHeight="false" outlineLevel="0" collapsed="false">
      <c r="A1330" s="362"/>
    </row>
    <row r="1331" customFormat="false" ht="12.75" hidden="false" customHeight="false" outlineLevel="0" collapsed="false">
      <c r="A1331" s="362"/>
    </row>
    <row r="1332" customFormat="false" ht="12.75" hidden="false" customHeight="false" outlineLevel="0" collapsed="false">
      <c r="A1332" s="362"/>
    </row>
    <row r="1333" customFormat="false" ht="12.75" hidden="false" customHeight="false" outlineLevel="0" collapsed="false">
      <c r="A1333" s="362"/>
    </row>
    <row r="1334" customFormat="false" ht="12.75" hidden="false" customHeight="false" outlineLevel="0" collapsed="false">
      <c r="A1334" s="362"/>
    </row>
    <row r="1335" customFormat="false" ht="12.75" hidden="false" customHeight="false" outlineLevel="0" collapsed="false">
      <c r="A1335" s="362"/>
    </row>
    <row r="1336" customFormat="false" ht="12.75" hidden="false" customHeight="false" outlineLevel="0" collapsed="false">
      <c r="A1336" s="362"/>
    </row>
    <row r="1337" customFormat="false" ht="12.75" hidden="false" customHeight="false" outlineLevel="0" collapsed="false">
      <c r="A1337" s="362"/>
    </row>
    <row r="1338" customFormat="false" ht="12.75" hidden="false" customHeight="false" outlineLevel="0" collapsed="false">
      <c r="A1338" s="362"/>
    </row>
    <row r="1339" customFormat="false" ht="12.75" hidden="false" customHeight="false" outlineLevel="0" collapsed="false">
      <c r="A1339" s="362"/>
    </row>
    <row r="1340" customFormat="false" ht="12.75" hidden="false" customHeight="false" outlineLevel="0" collapsed="false">
      <c r="A1340" s="362"/>
    </row>
    <row r="1341" customFormat="false" ht="12.75" hidden="false" customHeight="false" outlineLevel="0" collapsed="false">
      <c r="A1341" s="362"/>
    </row>
    <row r="1342" customFormat="false" ht="12.75" hidden="false" customHeight="false" outlineLevel="0" collapsed="false">
      <c r="A1342" s="362"/>
    </row>
    <row r="1343" customFormat="false" ht="12.75" hidden="false" customHeight="false" outlineLevel="0" collapsed="false">
      <c r="A1343" s="362"/>
    </row>
    <row r="1344" customFormat="false" ht="12.75" hidden="false" customHeight="false" outlineLevel="0" collapsed="false">
      <c r="A1344" s="362"/>
    </row>
    <row r="1345" customFormat="false" ht="12.75" hidden="false" customHeight="false" outlineLevel="0" collapsed="false">
      <c r="A1345" s="362"/>
    </row>
    <row r="1346" customFormat="false" ht="12.75" hidden="false" customHeight="false" outlineLevel="0" collapsed="false">
      <c r="A1346" s="362"/>
    </row>
    <row r="1347" customFormat="false" ht="12.75" hidden="false" customHeight="false" outlineLevel="0" collapsed="false">
      <c r="A1347" s="362"/>
    </row>
    <row r="1348" customFormat="false" ht="12.75" hidden="false" customHeight="false" outlineLevel="0" collapsed="false">
      <c r="A1348" s="362"/>
    </row>
    <row r="1349" customFormat="false" ht="12.75" hidden="false" customHeight="false" outlineLevel="0" collapsed="false">
      <c r="A1349" s="362"/>
    </row>
    <row r="1350" customFormat="false" ht="12.75" hidden="false" customHeight="false" outlineLevel="0" collapsed="false">
      <c r="A1350" s="362"/>
    </row>
    <row r="1351" customFormat="false" ht="12.75" hidden="false" customHeight="false" outlineLevel="0" collapsed="false">
      <c r="A1351" s="362"/>
    </row>
    <row r="1352" customFormat="false" ht="12.75" hidden="false" customHeight="false" outlineLevel="0" collapsed="false">
      <c r="A1352" s="362"/>
    </row>
    <row r="1353" customFormat="false" ht="12.75" hidden="false" customHeight="false" outlineLevel="0" collapsed="false">
      <c r="A1353" s="362"/>
    </row>
    <row r="1354" customFormat="false" ht="12.75" hidden="false" customHeight="false" outlineLevel="0" collapsed="false">
      <c r="A1354" s="362"/>
    </row>
    <row r="1355" customFormat="false" ht="12.75" hidden="false" customHeight="false" outlineLevel="0" collapsed="false">
      <c r="A1355" s="362"/>
    </row>
    <row r="1356" customFormat="false" ht="12.75" hidden="false" customHeight="false" outlineLevel="0" collapsed="false">
      <c r="A1356" s="362"/>
    </row>
    <row r="1357" customFormat="false" ht="12.75" hidden="false" customHeight="false" outlineLevel="0" collapsed="false">
      <c r="A1357" s="362"/>
    </row>
    <row r="1358" customFormat="false" ht="12.75" hidden="false" customHeight="false" outlineLevel="0" collapsed="false">
      <c r="A1358" s="362"/>
    </row>
    <row r="1359" customFormat="false" ht="12.75" hidden="false" customHeight="false" outlineLevel="0" collapsed="false">
      <c r="A1359" s="362"/>
    </row>
    <row r="1360" customFormat="false" ht="12.75" hidden="false" customHeight="false" outlineLevel="0" collapsed="false">
      <c r="A1360" s="362"/>
    </row>
    <row r="1361" customFormat="false" ht="12.75" hidden="false" customHeight="false" outlineLevel="0" collapsed="false">
      <c r="A1361" s="362"/>
    </row>
    <row r="1362" customFormat="false" ht="12.75" hidden="false" customHeight="false" outlineLevel="0" collapsed="false">
      <c r="A1362" s="362"/>
    </row>
    <row r="1363" customFormat="false" ht="12.75" hidden="false" customHeight="false" outlineLevel="0" collapsed="false">
      <c r="A1363" s="362"/>
    </row>
    <row r="1364" customFormat="false" ht="12.75" hidden="false" customHeight="false" outlineLevel="0" collapsed="false">
      <c r="A1364" s="362"/>
    </row>
    <row r="1365" customFormat="false" ht="12.75" hidden="false" customHeight="false" outlineLevel="0" collapsed="false">
      <c r="A1365" s="362"/>
    </row>
    <row r="1366" customFormat="false" ht="12.75" hidden="false" customHeight="false" outlineLevel="0" collapsed="false">
      <c r="A1366" s="362"/>
    </row>
    <row r="1367" customFormat="false" ht="12.75" hidden="false" customHeight="false" outlineLevel="0" collapsed="false">
      <c r="A1367" s="362"/>
    </row>
    <row r="1368" customFormat="false" ht="12.75" hidden="false" customHeight="false" outlineLevel="0" collapsed="false">
      <c r="A1368" s="362"/>
    </row>
    <row r="1369" customFormat="false" ht="12.75" hidden="false" customHeight="false" outlineLevel="0" collapsed="false">
      <c r="A1369" s="362"/>
    </row>
    <row r="1370" customFormat="false" ht="12.75" hidden="false" customHeight="false" outlineLevel="0" collapsed="false">
      <c r="A1370" s="362"/>
    </row>
    <row r="1371" customFormat="false" ht="12.75" hidden="false" customHeight="false" outlineLevel="0" collapsed="false">
      <c r="A1371" s="362"/>
    </row>
    <row r="1372" customFormat="false" ht="12.75" hidden="false" customHeight="false" outlineLevel="0" collapsed="false">
      <c r="A1372" s="362"/>
    </row>
    <row r="1373" customFormat="false" ht="12.75" hidden="false" customHeight="false" outlineLevel="0" collapsed="false">
      <c r="A1373" s="362"/>
    </row>
    <row r="1374" customFormat="false" ht="12.75" hidden="false" customHeight="false" outlineLevel="0" collapsed="false">
      <c r="A1374" s="362"/>
    </row>
    <row r="1375" customFormat="false" ht="12.75" hidden="false" customHeight="false" outlineLevel="0" collapsed="false">
      <c r="A1375" s="362"/>
    </row>
    <row r="1376" customFormat="false" ht="12.75" hidden="false" customHeight="false" outlineLevel="0" collapsed="false">
      <c r="A1376" s="362"/>
    </row>
    <row r="1377" customFormat="false" ht="12.75" hidden="false" customHeight="false" outlineLevel="0" collapsed="false">
      <c r="A1377" s="362"/>
    </row>
    <row r="1378" customFormat="false" ht="12.75" hidden="false" customHeight="false" outlineLevel="0" collapsed="false">
      <c r="A1378" s="362"/>
    </row>
    <row r="1379" customFormat="false" ht="12.75" hidden="false" customHeight="false" outlineLevel="0" collapsed="false">
      <c r="A1379" s="362"/>
    </row>
    <row r="1380" customFormat="false" ht="12.75" hidden="false" customHeight="false" outlineLevel="0" collapsed="false">
      <c r="A1380" s="362"/>
    </row>
    <row r="1381" customFormat="false" ht="12.75" hidden="false" customHeight="false" outlineLevel="0" collapsed="false">
      <c r="A1381" s="362"/>
    </row>
    <row r="1382" customFormat="false" ht="12.75" hidden="false" customHeight="false" outlineLevel="0" collapsed="false">
      <c r="A1382" s="362"/>
    </row>
    <row r="1383" customFormat="false" ht="12.75" hidden="false" customHeight="false" outlineLevel="0" collapsed="false">
      <c r="A1383" s="362"/>
    </row>
    <row r="1384" customFormat="false" ht="12.75" hidden="false" customHeight="false" outlineLevel="0" collapsed="false">
      <c r="A1384" s="362"/>
    </row>
    <row r="1385" customFormat="false" ht="12.75" hidden="false" customHeight="false" outlineLevel="0" collapsed="false">
      <c r="A1385" s="362"/>
    </row>
    <row r="1386" customFormat="false" ht="12.75" hidden="false" customHeight="false" outlineLevel="0" collapsed="false">
      <c r="A1386" s="362"/>
    </row>
    <row r="1387" customFormat="false" ht="12.75" hidden="false" customHeight="false" outlineLevel="0" collapsed="false">
      <c r="A1387" s="362"/>
    </row>
    <row r="1388" customFormat="false" ht="12.75" hidden="false" customHeight="false" outlineLevel="0" collapsed="false">
      <c r="A1388" s="362"/>
    </row>
    <row r="1389" customFormat="false" ht="12.75" hidden="false" customHeight="false" outlineLevel="0" collapsed="false">
      <c r="A1389" s="362"/>
    </row>
    <row r="1390" customFormat="false" ht="12.75" hidden="false" customHeight="false" outlineLevel="0" collapsed="false">
      <c r="A1390" s="362"/>
    </row>
    <row r="1391" customFormat="false" ht="12.75" hidden="false" customHeight="false" outlineLevel="0" collapsed="false">
      <c r="A1391" s="362"/>
    </row>
    <row r="1392" customFormat="false" ht="12.75" hidden="false" customHeight="false" outlineLevel="0" collapsed="false">
      <c r="A1392" s="362"/>
    </row>
    <row r="1393" customFormat="false" ht="12.75" hidden="false" customHeight="false" outlineLevel="0" collapsed="false">
      <c r="A1393" s="362"/>
    </row>
    <row r="1394" customFormat="false" ht="12.75" hidden="false" customHeight="false" outlineLevel="0" collapsed="false">
      <c r="A1394" s="362"/>
    </row>
    <row r="1395" customFormat="false" ht="12.75" hidden="false" customHeight="false" outlineLevel="0" collapsed="false">
      <c r="A1395" s="362"/>
    </row>
    <row r="1396" customFormat="false" ht="12.75" hidden="false" customHeight="false" outlineLevel="0" collapsed="false">
      <c r="A1396" s="362"/>
    </row>
    <row r="1397" customFormat="false" ht="12.75" hidden="false" customHeight="false" outlineLevel="0" collapsed="false">
      <c r="A1397" s="362"/>
    </row>
    <row r="1398" customFormat="false" ht="12.75" hidden="false" customHeight="false" outlineLevel="0" collapsed="false">
      <c r="A1398" s="362"/>
    </row>
    <row r="1399" customFormat="false" ht="12.75" hidden="false" customHeight="false" outlineLevel="0" collapsed="false">
      <c r="A1399" s="362"/>
    </row>
    <row r="1400" customFormat="false" ht="12.75" hidden="false" customHeight="false" outlineLevel="0" collapsed="false">
      <c r="A1400" s="362"/>
    </row>
    <row r="1401" customFormat="false" ht="12.75" hidden="false" customHeight="false" outlineLevel="0" collapsed="false">
      <c r="A1401" s="362"/>
    </row>
    <row r="1402" customFormat="false" ht="12.75" hidden="false" customHeight="false" outlineLevel="0" collapsed="false">
      <c r="A1402" s="362"/>
    </row>
    <row r="1403" customFormat="false" ht="12.75" hidden="false" customHeight="false" outlineLevel="0" collapsed="false">
      <c r="A1403" s="362"/>
    </row>
    <row r="1404" customFormat="false" ht="12.75" hidden="false" customHeight="false" outlineLevel="0" collapsed="false">
      <c r="A1404" s="362"/>
    </row>
    <row r="1405" customFormat="false" ht="12.75" hidden="false" customHeight="false" outlineLevel="0" collapsed="false">
      <c r="A1405" s="362"/>
    </row>
    <row r="1406" customFormat="false" ht="12.75" hidden="false" customHeight="false" outlineLevel="0" collapsed="false">
      <c r="A1406" s="362"/>
    </row>
    <row r="1407" customFormat="false" ht="12.75" hidden="false" customHeight="false" outlineLevel="0" collapsed="false">
      <c r="A1407" s="362"/>
    </row>
    <row r="1408" customFormat="false" ht="12.75" hidden="false" customHeight="false" outlineLevel="0" collapsed="false">
      <c r="A1408" s="362"/>
    </row>
    <row r="1409" customFormat="false" ht="12.75" hidden="false" customHeight="false" outlineLevel="0" collapsed="false">
      <c r="A1409" s="362"/>
    </row>
    <row r="1410" customFormat="false" ht="12.75" hidden="false" customHeight="false" outlineLevel="0" collapsed="false">
      <c r="A1410" s="362"/>
    </row>
    <row r="1411" customFormat="false" ht="12.75" hidden="false" customHeight="false" outlineLevel="0" collapsed="false">
      <c r="A1411" s="362"/>
    </row>
    <row r="1412" customFormat="false" ht="12.75" hidden="false" customHeight="false" outlineLevel="0" collapsed="false">
      <c r="A1412" s="362"/>
    </row>
    <row r="1413" customFormat="false" ht="12.75" hidden="false" customHeight="false" outlineLevel="0" collapsed="false">
      <c r="A1413" s="362"/>
    </row>
    <row r="1414" customFormat="false" ht="12.75" hidden="false" customHeight="false" outlineLevel="0" collapsed="false">
      <c r="A1414" s="362"/>
    </row>
    <row r="1415" customFormat="false" ht="12.75" hidden="false" customHeight="false" outlineLevel="0" collapsed="false">
      <c r="A1415" s="362"/>
    </row>
    <row r="1416" customFormat="false" ht="12.75" hidden="false" customHeight="false" outlineLevel="0" collapsed="false">
      <c r="A1416" s="362"/>
    </row>
    <row r="1417" customFormat="false" ht="12.75" hidden="false" customHeight="false" outlineLevel="0" collapsed="false">
      <c r="A1417" s="362"/>
    </row>
    <row r="1418" customFormat="false" ht="12.75" hidden="false" customHeight="false" outlineLevel="0" collapsed="false">
      <c r="A1418" s="362"/>
    </row>
    <row r="1419" customFormat="false" ht="12.75" hidden="false" customHeight="false" outlineLevel="0" collapsed="false">
      <c r="A1419" s="362"/>
    </row>
    <row r="1420" customFormat="false" ht="12.75" hidden="false" customHeight="false" outlineLevel="0" collapsed="false">
      <c r="A1420" s="362"/>
    </row>
    <row r="1421" customFormat="false" ht="12.75" hidden="false" customHeight="false" outlineLevel="0" collapsed="false">
      <c r="A1421" s="362"/>
    </row>
    <row r="1422" customFormat="false" ht="12.75" hidden="false" customHeight="false" outlineLevel="0" collapsed="false">
      <c r="A1422" s="362"/>
    </row>
    <row r="1423" customFormat="false" ht="12.75" hidden="false" customHeight="false" outlineLevel="0" collapsed="false">
      <c r="A1423" s="362"/>
    </row>
    <row r="1424" customFormat="false" ht="12.75" hidden="false" customHeight="false" outlineLevel="0" collapsed="false">
      <c r="A1424" s="362"/>
    </row>
    <row r="1425" customFormat="false" ht="12.75" hidden="false" customHeight="false" outlineLevel="0" collapsed="false">
      <c r="A1425" s="362"/>
    </row>
    <row r="1426" customFormat="false" ht="12.75" hidden="false" customHeight="false" outlineLevel="0" collapsed="false">
      <c r="A1426" s="362"/>
    </row>
    <row r="1427" customFormat="false" ht="12.75" hidden="false" customHeight="false" outlineLevel="0" collapsed="false">
      <c r="A1427" s="362"/>
    </row>
    <row r="1428" customFormat="false" ht="12.75" hidden="false" customHeight="false" outlineLevel="0" collapsed="false">
      <c r="A1428" s="362"/>
    </row>
    <row r="1429" customFormat="false" ht="12.75" hidden="false" customHeight="false" outlineLevel="0" collapsed="false">
      <c r="A1429" s="362"/>
    </row>
    <row r="1430" customFormat="false" ht="12.75" hidden="false" customHeight="false" outlineLevel="0" collapsed="false">
      <c r="A1430" s="362"/>
    </row>
    <row r="1431" customFormat="false" ht="12.75" hidden="false" customHeight="false" outlineLevel="0" collapsed="false">
      <c r="A1431" s="362"/>
    </row>
    <row r="1432" customFormat="false" ht="12.75" hidden="false" customHeight="false" outlineLevel="0" collapsed="false">
      <c r="A1432" s="362"/>
    </row>
    <row r="1433" customFormat="false" ht="12.75" hidden="false" customHeight="false" outlineLevel="0" collapsed="false">
      <c r="A1433" s="362"/>
    </row>
    <row r="1434" customFormat="false" ht="12.75" hidden="false" customHeight="false" outlineLevel="0" collapsed="false">
      <c r="A1434" s="362"/>
    </row>
    <row r="1435" customFormat="false" ht="12.75" hidden="false" customHeight="false" outlineLevel="0" collapsed="false">
      <c r="A1435" s="362"/>
    </row>
    <row r="1436" customFormat="false" ht="12.75" hidden="false" customHeight="false" outlineLevel="0" collapsed="false">
      <c r="A1436" s="362"/>
    </row>
    <row r="1437" customFormat="false" ht="12.75" hidden="false" customHeight="false" outlineLevel="0" collapsed="false">
      <c r="A1437" s="362"/>
    </row>
    <row r="1438" customFormat="false" ht="12.75" hidden="false" customHeight="false" outlineLevel="0" collapsed="false">
      <c r="A1438" s="362"/>
    </row>
    <row r="1439" customFormat="false" ht="12.75" hidden="false" customHeight="false" outlineLevel="0" collapsed="false">
      <c r="A1439" s="362"/>
    </row>
    <row r="1440" customFormat="false" ht="12.75" hidden="false" customHeight="false" outlineLevel="0" collapsed="false">
      <c r="A1440" s="362"/>
    </row>
    <row r="1441" customFormat="false" ht="12.75" hidden="false" customHeight="false" outlineLevel="0" collapsed="false">
      <c r="A1441" s="362"/>
    </row>
    <row r="1442" customFormat="false" ht="12.75" hidden="false" customHeight="false" outlineLevel="0" collapsed="false">
      <c r="A1442" s="362"/>
    </row>
    <row r="1443" customFormat="false" ht="12.75" hidden="false" customHeight="false" outlineLevel="0" collapsed="false">
      <c r="A1443" s="362"/>
    </row>
    <row r="1444" customFormat="false" ht="12.75" hidden="false" customHeight="false" outlineLevel="0" collapsed="false">
      <c r="A1444" s="362"/>
    </row>
    <row r="1445" customFormat="false" ht="12.75" hidden="false" customHeight="false" outlineLevel="0" collapsed="false">
      <c r="A1445" s="362"/>
    </row>
    <row r="1446" customFormat="false" ht="12.75" hidden="false" customHeight="false" outlineLevel="0" collapsed="false">
      <c r="A1446" s="362"/>
    </row>
  </sheetData>
  <mergeCells count="4">
    <mergeCell ref="B4:M4"/>
    <mergeCell ref="O4:Z4"/>
    <mergeCell ref="B6:M6"/>
    <mergeCell ref="N34:T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3" min="2" style="0" width="12.7"/>
  </cols>
  <sheetData>
    <row r="1" customFormat="false" ht="15.75" hidden="false" customHeight="false" outlineLevel="0" collapsed="false">
      <c r="A1" s="436" t="s">
        <v>1411</v>
      </c>
      <c r="B1" s="437" t="s">
        <v>1412</v>
      </c>
    </row>
    <row r="2" customFormat="false" ht="12.75" hidden="false" customHeight="false" outlineLevel="0" collapsed="false">
      <c r="B2" s="438" t="n">
        <f aca="false">Calculations!$B$4</f>
        <v>2001</v>
      </c>
      <c r="C2" s="439" t="n">
        <f aca="false">B2+1</f>
        <v>2002</v>
      </c>
      <c r="D2" s="439" t="n">
        <f aca="false">C2+1</f>
        <v>2003</v>
      </c>
      <c r="E2" s="439" t="n">
        <f aca="false">D2+1</f>
        <v>2004</v>
      </c>
      <c r="F2" s="439" t="n">
        <f aca="false">E2+1</f>
        <v>2005</v>
      </c>
      <c r="G2" s="439" t="n">
        <f aca="false">F2+1</f>
        <v>2006</v>
      </c>
      <c r="H2" s="439" t="n">
        <f aca="false">G2+1</f>
        <v>2007</v>
      </c>
      <c r="I2" s="439" t="n">
        <f aca="false">H2+1</f>
        <v>2008</v>
      </c>
      <c r="J2" s="439" t="n">
        <f aca="false">I2+1</f>
        <v>2009</v>
      </c>
      <c r="K2" s="439" t="n">
        <f aca="false">J2+1</f>
        <v>2010</v>
      </c>
      <c r="L2" s="439" t="n">
        <f aca="false">K2+1</f>
        <v>2011</v>
      </c>
      <c r="M2" s="439" t="n">
        <f aca="false">L2+1</f>
        <v>2012</v>
      </c>
      <c r="N2" s="439" t="n">
        <f aca="false">M2+1</f>
        <v>2013</v>
      </c>
      <c r="O2" s="439" t="n">
        <f aca="false">N2+1</f>
        <v>2014</v>
      </c>
      <c r="P2" s="439" t="n">
        <f aca="false">O2+1</f>
        <v>2015</v>
      </c>
      <c r="Q2" s="439" t="n">
        <f aca="false">P2+1</f>
        <v>2016</v>
      </c>
      <c r="R2" s="439" t="n">
        <f aca="false">Q2+1</f>
        <v>2017</v>
      </c>
      <c r="S2" s="439" t="n">
        <f aca="false">R2+1</f>
        <v>2018</v>
      </c>
      <c r="T2" s="439" t="n">
        <f aca="false">S2+1</f>
        <v>2019</v>
      </c>
      <c r="U2" s="439" t="n">
        <f aca="false">T2+1</f>
        <v>2020</v>
      </c>
      <c r="V2" s="439" t="n">
        <f aca="false">U2+1</f>
        <v>2021</v>
      </c>
      <c r="W2" s="440" t="n">
        <f aca="false">V2+1</f>
        <v>2022</v>
      </c>
    </row>
    <row r="3" customFormat="false" ht="12.75" hidden="false" customHeight="false" outlineLevel="0" collapsed="false">
      <c r="A3" s="441" t="s">
        <v>1345</v>
      </c>
    </row>
    <row r="4" customFormat="false" ht="12.75" hidden="false" customHeight="false" outlineLevel="0" collapsed="false">
      <c r="A4" s="415" t="s">
        <v>1413</v>
      </c>
      <c r="B4" s="442" t="e">
        <f aca="false">((SUMIF(Calculations!$B$4:$B$255,B2,Calculations!$BW$4:$BW$255))/((SUMIF(Calculations!$B$4:$B$255,B2,Calculations!$BM$4:$BM$255)))/1000)*(SUMIF(Calculations!B$4:$B$255,B2,Calculations!$B$4:$B$255)/B2)/12</f>
        <v>#NAME?</v>
      </c>
      <c r="C4" s="442" t="e">
        <f aca="false">((SUMIF(Calculations!$B$4:$B$255,C2,Calculations!$BW$4:$BW$255))/((SUMIF(Calculations!$B$4:$B$255,C2,Calculations!$BM$4:$BM$255)))/1000)*(SUMIF(Calculations!$B$4:C$255,C2,Calculations!$B$4:$B$255)/C2)/12</f>
        <v>#DIV/0!</v>
      </c>
      <c r="D4" s="442" t="e">
        <f aca="false">((SUMIF(Calculations!$B$4:$B$255,D2,Calculations!$BW$4:$BW$255))/((SUMIF(Calculations!$B$4:$B$255,D2,Calculations!$BM$4:$BM$255)))/1000)*(SUMIF(Calculations!$B$4:D$255,D2,Calculations!$B$4:$B$255)/D2)/12</f>
        <v>#DIV/0!</v>
      </c>
      <c r="E4" s="442" t="e">
        <f aca="false">((SUMIF(Calculations!$B$4:$B$255,E2,Calculations!$BW$4:$BW$255))/((SUMIF(Calculations!$B$4:$B$255,E2,Calculations!$BM$4:$BM$255)))/1000)*(SUMIF(Calculations!$B$4:E$255,E2,Calculations!$B$4:$B$255)/E2)/12</f>
        <v>#DIV/0!</v>
      </c>
      <c r="F4" s="442" t="e">
        <f aca="false">((SUMIF(Calculations!$B$4:$B$255,F2,Calculations!$BW$4:$BW$255))/((SUMIF(Calculations!$B$4:$B$255,F2,Calculations!$BM$4:$BM$255)))/1000)*(SUMIF(Calculations!$B$4:F$255,F2,Calculations!$B$4:$B$255)/F2)/12</f>
        <v>#DIV/0!</v>
      </c>
      <c r="G4" s="442" t="e">
        <f aca="false">((SUMIF(Calculations!$B$4:$B$255,G2,Calculations!$BW$4:$BW$255))/((SUMIF(Calculations!$B$4:$B$255,G2,Calculations!$BM$4:$BM$255)))/1000)*(SUMIF(Calculations!$B$4:G$255,G2,Calculations!$B$4:$B$255)/G2)/12</f>
        <v>#DIV/0!</v>
      </c>
      <c r="H4" s="442" t="e">
        <f aca="false">((SUMIF(Calculations!$B$4:$B$255,H2,Calculations!$BW$4:$BW$255))/((SUMIF(Calculations!$B$4:$B$255,H2,Calculations!$BM$4:$BM$255)))/1000)*(SUMIF(Calculations!$B$4:H$255,H2,Calculations!$B$4:$B$255)/H2)/12</f>
        <v>#DIV/0!</v>
      </c>
      <c r="I4" s="442" t="e">
        <f aca="false">((SUMIF(Calculations!$B$4:$B$255,I2,Calculations!$BW$4:$BW$255))/((SUMIF(Calculations!$B$4:$B$255,I2,Calculations!$BM$4:$BM$255)))/1000)*(SUMIF(Calculations!$B$4:I$255,I2,Calculations!$B$4:$B$255)/I2)/12</f>
        <v>#DIV/0!</v>
      </c>
      <c r="J4" s="442" t="e">
        <f aca="false">((SUMIF(Calculations!$B$4:$B$255,J2,Calculations!$BW$4:$BW$255))/((SUMIF(Calculations!$B$4:$B$255,J2,Calculations!$BM$4:$BM$255)))/1000)*(SUMIF(Calculations!$B$4:J$255,J2,Calculations!$B$4:$B$255)/J2)/12</f>
        <v>#DIV/0!</v>
      </c>
      <c r="K4" s="442" t="e">
        <f aca="false">((SUMIF(Calculations!$B$4:$B$255,K2,Calculations!$BW$4:$BW$255))/((SUMIF(Calculations!$B$4:$B$255,K2,Calculations!$BM$4:$BM$255)))/1000)*(SUMIF(Calculations!$B$4:L$255,K2,Calculations!$B$4:$B$255)/K2)/12</f>
        <v>#DIV/0!</v>
      </c>
      <c r="L4" s="442" t="e">
        <f aca="false">((SUMIF(Calculations!$B$4:$B$255,L2,Calculations!$BW$4:$BW$255))/((SUMIF(Calculations!$B$4:$B$255,L2,Calculations!$BM$4:$BM$255)))/1000)*(SUMIF(Calculations!$B$4:M$255,L2,Calculations!$B$4:$B$255)/L2)/12</f>
        <v>#DIV/0!</v>
      </c>
      <c r="M4" s="442" t="e">
        <f aca="false">((SUMIF(Calculations!$B$4:$B$255,M2,Calculations!$BW$4:$BW$255))/((SUMIF(Calculations!$B$4:$B$255,M2,Calculations!$BM$4:$BM$255)))/1000)*(SUMIF(Calculations!$B$4:O$255,M2,Calculations!$B$4:$B$255)/M2)/12</f>
        <v>#DIV/0!</v>
      </c>
      <c r="N4" s="442" t="e">
        <f aca="false">((SUMIF(Calculations!$B$4:$B$255,N2,Calculations!$BW$4:$BW$255))/((SUMIF(Calculations!$B$4:$B$255,N2,Calculations!$BM$4:$BM$255)))/1000)*(SUMIF(Calculations!$B$4:P$255,N2,Calculations!$B$4:$B$255)/N2)/12</f>
        <v>#DIV/0!</v>
      </c>
      <c r="O4" s="442" t="e">
        <f aca="false">((SUMIF(Calculations!$B$4:$B$255,O2,Calculations!$BW$4:$BW$255))/((SUMIF(Calculations!$B$4:$B$255,O2,Calculations!$BM$4:$BM$255)))/1000)*(SUMIF(Calculations!$B$4:Q$255,O2,Calculations!$B$4:$B$255)/O2)/12</f>
        <v>#DIV/0!</v>
      </c>
      <c r="P4" s="442" t="e">
        <f aca="false">((SUMIF(Calculations!$B$4:$B$255,P2,Calculations!$BW$4:$BW$255))/((SUMIF(Calculations!$B$4:$B$255,P2,Calculations!$BM$4:$BM$255)))/1000)*(SUMIF(Calculations!$B$4:R$255,P2,Calculations!$B$4:$B$255)/P2)/12</f>
        <v>#DIV/0!</v>
      </c>
      <c r="Q4" s="442" t="e">
        <f aca="false">((SUMIF(Calculations!$B$4:$B$255,Q2,Calculations!$BW$4:$BW$255))/((SUMIF(Calculations!$B$4:$B$255,Q2,Calculations!$BM$4:$BM$255)))/1000)*(SUMIF(Calculations!$B$4:S$255,Q2,Calculations!$B$4:$B$255)/Q2)/12</f>
        <v>#DIV/0!</v>
      </c>
      <c r="R4" s="442" t="e">
        <f aca="false">((SUMIF(Calculations!$B$4:$B$255,R2,Calculations!$BW$4:$BW$255))/((SUMIF(Calculations!$B$4:$B$255,R2,Calculations!$BM$4:$BM$255)))/1000)*(SUMIF(Calculations!$B$4:U$255,R2,Calculations!$B$4:$B$255)/R2)/12</f>
        <v>#DIV/0!</v>
      </c>
      <c r="S4" s="442" t="e">
        <f aca="false">((SUMIF(Calculations!$B$4:$B$255,S2,Calculations!$BW$4:$BW$255))/((SUMIF(Calculations!$B$4:$B$255,S2,Calculations!$BM$4:$BM$255)))/1000)*(SUMIF(Calculations!$B$4:V$255,S2,Calculations!$B$4:$B$255)/S2)/12</f>
        <v>#DIV/0!</v>
      </c>
      <c r="T4" s="442" t="e">
        <f aca="false">((SUMIF(Calculations!$B$4:$B$255,T2,Calculations!$BW$4:$BW$255))/((SUMIF(Calculations!$B$4:$B$255,T2,Calculations!$BM$4:$BM$255)))/1000)*(SUMIF(Calculations!$B$4:X$255,T2,Calculations!$B$4:$B$255)/T2)/12</f>
        <v>#DIV/0!</v>
      </c>
      <c r="U4" s="442" t="e">
        <f aca="false">((SUMIF(Calculations!$B$4:$B$255,U2,Calculations!$BW$4:$BW$255))/((SUMIF(Calculations!$B$4:$B$255,U2,Calculations!$BM$4:$BM$255)))/1000)*(SUMIF(Calculations!$B$4:Y$255,U2,Calculations!$B$4:$B$255)/U2)/12</f>
        <v>#DIV/0!</v>
      </c>
      <c r="V4" s="442" t="e">
        <f aca="false">((SUMIF(Calculations!$B$4:$B$255,V2,Calculations!$BW$4:$BW$255))/((SUMIF(Calculations!$B$4:$B$255,V2,Calculations!$BM$4:$BM$255)))/1000)*(SUMIF(Calculations!$B$4:Z$255,V2,Calculations!$B$4:$B$255)/V2)/12</f>
        <v>#DIV/0!</v>
      </c>
      <c r="W4" s="442" t="e">
        <f aca="false">((SUMIF(Calculations!$B$4:$B$255,W2,Calculations!$BW$4:$BW$255))/((SUMIF(Calculations!$B$4:$B$255,W2,Calculations!$BM$4:$BM$255)))/1000)*(SUMIF(Calculations!$B$4:AA$255,W2,Calculations!$B$4:$B$255)/W2)/12</f>
        <v>#DIV/0!</v>
      </c>
    </row>
    <row r="5" customFormat="false" ht="12.75" hidden="false" customHeight="false" outlineLevel="0" collapsed="false">
      <c r="A5" s="415" t="s">
        <v>1414</v>
      </c>
      <c r="B5" s="443" t="e">
        <f aca="false">SUMIF(Calculations!$B$4:$B$255,B2,Calculations!$BX$4:$BX$255)</f>
        <v>#NAME?</v>
      </c>
      <c r="C5" s="443" t="n">
        <f aca="false">SUMIF(Calculations!$B$4:$B$255,C2,Calculations!$BX$4:$BX$255)</f>
        <v>0</v>
      </c>
      <c r="D5" s="443" t="n">
        <f aca="false">SUMIF(Calculations!$B$4:$B$255,D2,Calculations!$BX$4:$BX$255)</f>
        <v>0</v>
      </c>
      <c r="E5" s="443" t="n">
        <f aca="false">SUMIF(Calculations!$B$4:$B$255,E2,Calculations!$BX$4:$BX$255)</f>
        <v>0</v>
      </c>
      <c r="F5" s="443" t="n">
        <f aca="false">SUMIF(Calculations!$B$4:$B$255,F2,Calculations!$BX$4:$BX$255)</f>
        <v>0</v>
      </c>
      <c r="G5" s="443" t="n">
        <f aca="false">SUMIF(Calculations!$B$4:$B$255,G2,Calculations!$BX$4:$BX$255)</f>
        <v>0</v>
      </c>
      <c r="H5" s="443" t="n">
        <f aca="false">SUMIF(Calculations!$B$4:$B$255,H2,Calculations!$BX$4:$BX$255)</f>
        <v>0</v>
      </c>
      <c r="I5" s="443" t="n">
        <f aca="false">SUMIF(Calculations!$B$4:$B$255,I2,Calculations!$BX$4:$BX$255)</f>
        <v>0</v>
      </c>
      <c r="J5" s="443" t="n">
        <f aca="false">SUMIF(Calculations!$B$4:$B$255,J2,Calculations!$BX$4:$BX$255)</f>
        <v>0</v>
      </c>
      <c r="K5" s="443" t="n">
        <f aca="false">SUMIF(Calculations!$B$4:$B$255,K2,Calculations!$BX$4:$BX$255)</f>
        <v>0</v>
      </c>
      <c r="L5" s="443" t="n">
        <f aca="false">SUMIF(Calculations!$B$4:$B$255,L2,Calculations!$BX$4:$BX$255)</f>
        <v>0</v>
      </c>
      <c r="M5" s="443" t="n">
        <f aca="false">SUMIF(Calculations!$B$4:$B$255,M2,Calculations!$BX$4:$BX$255)</f>
        <v>0</v>
      </c>
      <c r="N5" s="443" t="n">
        <f aca="false">SUMIF(Calculations!$B$4:$B$255,N2,Calculations!$BX$4:$BX$255)</f>
        <v>0</v>
      </c>
      <c r="O5" s="443" t="n">
        <f aca="false">SUMIF(Calculations!$B$4:$B$255,O2,Calculations!$BX$4:$BX$255)</f>
        <v>0</v>
      </c>
      <c r="P5" s="443" t="n">
        <f aca="false">SUMIF(Calculations!$B$4:$B$255,P2,Calculations!$BX$4:$BX$255)</f>
        <v>0</v>
      </c>
      <c r="Q5" s="443" t="n">
        <f aca="false">SUMIF(Calculations!$B$4:$B$255,Q2,Calculations!$BX$4:$BX$255)</f>
        <v>0</v>
      </c>
      <c r="R5" s="443" t="n">
        <f aca="false">SUMIF(Calculations!$B$4:$B$255,R2,Calculations!$BX$4:$BX$255)</f>
        <v>0</v>
      </c>
      <c r="S5" s="443" t="n">
        <f aca="false">SUMIF(Calculations!$B$4:$B$255,S2,Calculations!$BX$4:$BX$255)</f>
        <v>0</v>
      </c>
      <c r="T5" s="443" t="n">
        <f aca="false">SUMIF(Calculations!$B$4:$B$255,T2,Calculations!$BX$4:$BX$255)</f>
        <v>0</v>
      </c>
      <c r="U5" s="443" t="n">
        <f aca="false">SUMIF(Calculations!$B$4:$B$255,U2,Calculations!$BX$4:$BX$255)</f>
        <v>0</v>
      </c>
      <c r="V5" s="443" t="n">
        <f aca="false">SUMIF(Calculations!$B$4:$B$255,V2,Calculations!$BX$4:$BX$255)</f>
        <v>0</v>
      </c>
      <c r="W5" s="443" t="n">
        <f aca="false">SUMIF(Calculations!$B$4:$B$255,W2,Calculations!$BX$4:$BX$255)</f>
        <v>0</v>
      </c>
    </row>
    <row r="6" customFormat="false" ht="12.75" hidden="false" customHeight="false" outlineLevel="0" collapsed="false">
      <c r="B6" s="444"/>
    </row>
    <row r="8" customFormat="false" ht="12.75" hidden="false" customHeight="false" outlineLevel="0" collapsed="false">
      <c r="A8" s="441" t="s">
        <v>1415</v>
      </c>
    </row>
    <row r="9" customFormat="false" ht="12.75" hidden="false" customHeight="false" outlineLevel="0" collapsed="false">
      <c r="A9" s="415" t="s">
        <v>1416</v>
      </c>
      <c r="B9" s="443" t="e">
        <f aca="false">SUMIF(Calculations!$B$4:$B$255,B2,Calculations!$BY$4:$BY$255)</f>
        <v>#N/A</v>
      </c>
      <c r="C9" s="443" t="n">
        <f aca="false">SUMIF(Calculations!$B$4:$B$255,C2,Calculations!$BY$4:$BY$255)</f>
        <v>0</v>
      </c>
      <c r="D9" s="443" t="n">
        <f aca="false">SUMIF(Calculations!$B$4:$B$255,D2,Calculations!$BY$4:$BY$255)</f>
        <v>0</v>
      </c>
      <c r="E9" s="443" t="n">
        <f aca="false">SUMIF(Calculations!$B$4:$B$255,E2,Calculations!$BY$4:$BY$255)</f>
        <v>0</v>
      </c>
      <c r="F9" s="443" t="n">
        <f aca="false">SUMIF(Calculations!$B$4:$B$255,F2,Calculations!$BY$4:$BY$255)</f>
        <v>0</v>
      </c>
      <c r="G9" s="443" t="n">
        <f aca="false">SUMIF(Calculations!$B$4:$B$255,G2,Calculations!$BY$4:$BY$255)</f>
        <v>0</v>
      </c>
      <c r="H9" s="443" t="n">
        <f aca="false">SUMIF(Calculations!$B$4:$B$255,H2,Calculations!$BY$4:$BY$255)</f>
        <v>0</v>
      </c>
      <c r="I9" s="443" t="n">
        <f aca="false">SUMIF(Calculations!$B$4:$B$255,I2,Calculations!$BY$4:$BY$255)</f>
        <v>0</v>
      </c>
      <c r="J9" s="443" t="n">
        <f aca="false">SUMIF(Calculations!$B$4:$B$255,J2,Calculations!$BY$4:$BY$255)</f>
        <v>0</v>
      </c>
      <c r="K9" s="443" t="n">
        <f aca="false">SUMIF(Calculations!$B$4:$B$255,K2,Calculations!$BY$4:$BY$255)</f>
        <v>0</v>
      </c>
      <c r="L9" s="443" t="n">
        <f aca="false">SUMIF(Calculations!$B$4:$B$255,L2,Calculations!$BY$4:$BY$255)</f>
        <v>0</v>
      </c>
      <c r="M9" s="443" t="n">
        <f aca="false">SUMIF(Calculations!$B$4:$B$255,M2,Calculations!$BY$4:$BY$255)</f>
        <v>0</v>
      </c>
      <c r="N9" s="443" t="n">
        <f aca="false">SUMIF(Calculations!$B$4:$B$255,N2,Calculations!$BY$4:$BY$255)</f>
        <v>0</v>
      </c>
      <c r="O9" s="443" t="n">
        <f aca="false">SUMIF(Calculations!$B$4:$B$255,O2,Calculations!$BY$4:$BY$255)</f>
        <v>0</v>
      </c>
      <c r="P9" s="443" t="n">
        <f aca="false">SUMIF(Calculations!$B$4:$B$255,P2,Calculations!$BY$4:$BY$255)</f>
        <v>0</v>
      </c>
      <c r="Q9" s="443" t="n">
        <f aca="false">SUMIF(Calculations!$B$4:$B$255,Q2,Calculations!$BY$4:$BY$255)</f>
        <v>0</v>
      </c>
      <c r="R9" s="443" t="n">
        <f aca="false">SUMIF(Calculations!$B$4:$B$255,R2,Calculations!$BY$4:$BY$255)</f>
        <v>0</v>
      </c>
      <c r="S9" s="443" t="n">
        <f aca="false">SUMIF(Calculations!$B$4:$B$255,S2,Calculations!$BY$4:$BY$255)</f>
        <v>0</v>
      </c>
      <c r="T9" s="443" t="n">
        <f aca="false">SUMIF(Calculations!$B$4:$B$255,T2,Calculations!$BY$4:$BY$255)</f>
        <v>0</v>
      </c>
      <c r="U9" s="443" t="n">
        <f aca="false">SUMIF(Calculations!$B$4:$B$255,U2,Calculations!$BY$4:$BY$255)</f>
        <v>0</v>
      </c>
      <c r="V9" s="443" t="n">
        <f aca="false">SUMIF(Calculations!$B$4:$B$255,V2,Calculations!$BY$4:$BY$255)</f>
        <v>0</v>
      </c>
      <c r="W9" s="443" t="n">
        <f aca="false">SUMIF(Calculations!$B$4:$B$255,W2,Calculations!$BY$4:$BY$255)</f>
        <v>0</v>
      </c>
    </row>
    <row r="10" customFormat="false" ht="12.75" hidden="false" customHeight="false" outlineLevel="0" collapsed="false">
      <c r="A10" s="0" t="s">
        <v>1417</v>
      </c>
      <c r="B10" s="443" t="e">
        <f aca="false">SUMIF(Calculations!$B$4:$B$255,B2,Calculations!$BZ$4:$BZ$255)</f>
        <v>#NAME?</v>
      </c>
      <c r="C10" s="443" t="n">
        <f aca="false">SUMIF(Calculations!$B$4:$B$255,C2,Calculations!$BZ$4:$BZ$255)</f>
        <v>0</v>
      </c>
      <c r="D10" s="443" t="n">
        <f aca="false">SUMIF(Calculations!$B$4:$B$255,D2,Calculations!$BZ$4:$BZ$255)</f>
        <v>0</v>
      </c>
      <c r="E10" s="443" t="n">
        <f aca="false">SUMIF(Calculations!$B$4:$B$255,E2,Calculations!$BZ$4:$BZ$255)</f>
        <v>0</v>
      </c>
      <c r="F10" s="443" t="n">
        <f aca="false">SUMIF(Calculations!$B$4:$B$255,F2,Calculations!$BZ$4:$BZ$255)</f>
        <v>0</v>
      </c>
      <c r="G10" s="443" t="n">
        <f aca="false">SUMIF(Calculations!$B$4:$B$255,G2,Calculations!$BZ$4:$BZ$255)</f>
        <v>0</v>
      </c>
      <c r="H10" s="443" t="n">
        <f aca="false">SUMIF(Calculations!$B$4:$B$255,H2,Calculations!$BZ$4:$BZ$255)</f>
        <v>0</v>
      </c>
      <c r="I10" s="443" t="n">
        <f aca="false">SUMIF(Calculations!$B$4:$B$255,I2,Calculations!$BZ$4:$BZ$255)</f>
        <v>0</v>
      </c>
      <c r="J10" s="443" t="n">
        <f aca="false">SUMIF(Calculations!$B$4:$B$255,J2,Calculations!$BZ$4:$BZ$255)</f>
        <v>0</v>
      </c>
      <c r="K10" s="443" t="n">
        <f aca="false">SUMIF(Calculations!$B$4:$B$255,K2,Calculations!$BZ$4:$BZ$255)</f>
        <v>0</v>
      </c>
      <c r="L10" s="443" t="n">
        <f aca="false">SUMIF(Calculations!$B$4:$B$255,L2,Calculations!$BZ$4:$BZ$255)</f>
        <v>0</v>
      </c>
      <c r="M10" s="443" t="n">
        <f aca="false">SUMIF(Calculations!$B$4:$B$255,M2,Calculations!$BZ$4:$BZ$255)</f>
        <v>0</v>
      </c>
      <c r="N10" s="443" t="n">
        <f aca="false">SUMIF(Calculations!$B$4:$B$255,N2,Calculations!$BZ$4:$BZ$255)</f>
        <v>0</v>
      </c>
      <c r="O10" s="443" t="n">
        <f aca="false">SUMIF(Calculations!$B$4:$B$255,O2,Calculations!$BZ$4:$BZ$255)</f>
        <v>0</v>
      </c>
      <c r="P10" s="443" t="n">
        <f aca="false">SUMIF(Calculations!$B$4:$B$255,P2,Calculations!$BZ$4:$BZ$255)</f>
        <v>0</v>
      </c>
      <c r="Q10" s="443" t="n">
        <f aca="false">SUMIF(Calculations!$B$4:$B$255,Q2,Calculations!$BZ$4:$BZ$255)</f>
        <v>0</v>
      </c>
      <c r="R10" s="443" t="n">
        <f aca="false">SUMIF(Calculations!$B$4:$B$255,R2,Calculations!$BZ$4:$BZ$255)</f>
        <v>0</v>
      </c>
      <c r="S10" s="443" t="n">
        <f aca="false">SUMIF(Calculations!$B$4:$B$255,S2,Calculations!$BZ$4:$BZ$255)</f>
        <v>0</v>
      </c>
      <c r="T10" s="443" t="n">
        <f aca="false">SUMIF(Calculations!$B$4:$B$255,T2,Calculations!$BZ$4:$BZ$255)</f>
        <v>0</v>
      </c>
      <c r="U10" s="443" t="n">
        <f aca="false">SUMIF(Calculations!$B$4:$B$255,U2,Calculations!$BZ$4:$BZ$255)</f>
        <v>0</v>
      </c>
      <c r="V10" s="443" t="n">
        <f aca="false">SUMIF(Calculations!$B$4:$B$255,V2,Calculations!$BZ$4:$BZ$255)</f>
        <v>0</v>
      </c>
      <c r="W10" s="443" t="n">
        <f aca="false">SUMIF(Calculations!$B$4:$B$255,W2,Calculations!$BZ$4:$BZ$255)</f>
        <v>0</v>
      </c>
    </row>
    <row r="11" customFormat="false" ht="12.75" hidden="false" customHeight="false" outlineLevel="0" collapsed="false">
      <c r="A11" s="415" t="s">
        <v>1418</v>
      </c>
      <c r="B11" s="443" t="e">
        <f aca="false">SUMIF(Calculations!$B$4:$B$255,B2,Calculations!$CA$4:$CA$255)</f>
        <v>#NAME?</v>
      </c>
      <c r="C11" s="443" t="n">
        <f aca="false">SUMIF(Calculations!$B$4:$B$255,C2,Calculations!$CA$4:$CA$255)</f>
        <v>0</v>
      </c>
      <c r="D11" s="443" t="n">
        <f aca="false">SUMIF(Calculations!$B$4:$B$255,D2,Calculations!$CA$4:$CA$255)</f>
        <v>0</v>
      </c>
      <c r="E11" s="443" t="n">
        <f aca="false">SUMIF(Calculations!$B$4:$B$255,E2,Calculations!$CA$4:$CA$255)</f>
        <v>0</v>
      </c>
      <c r="F11" s="443" t="n">
        <f aca="false">SUMIF(Calculations!$B$4:$B$255,F2,Calculations!$CA$4:$CA$255)</f>
        <v>0</v>
      </c>
      <c r="G11" s="443" t="n">
        <f aca="false">SUMIF(Calculations!$B$4:$B$255,G2,Calculations!$CA$4:$CA$255)</f>
        <v>0</v>
      </c>
      <c r="H11" s="443" t="n">
        <f aca="false">SUMIF(Calculations!$B$4:$B$255,H2,Calculations!$CA$4:$CA$255)</f>
        <v>0</v>
      </c>
      <c r="I11" s="443" t="n">
        <f aca="false">SUMIF(Calculations!$B$4:$B$255,I2,Calculations!$CA$4:$CA$255)</f>
        <v>0</v>
      </c>
      <c r="J11" s="443" t="n">
        <f aca="false">SUMIF(Calculations!$B$4:$B$255,J2,Calculations!$CA$4:$CA$255)</f>
        <v>0</v>
      </c>
      <c r="K11" s="443" t="n">
        <f aca="false">SUMIF(Calculations!$B$4:$B$255,K2,Calculations!$CA$4:$CA$255)</f>
        <v>0</v>
      </c>
      <c r="L11" s="443" t="n">
        <f aca="false">SUMIF(Calculations!$B$4:$B$255,L2,Calculations!$CA$4:$CA$255)</f>
        <v>0</v>
      </c>
      <c r="M11" s="443" t="n">
        <f aca="false">SUMIF(Calculations!$B$4:$B$255,M2,Calculations!$CA$4:$CA$255)</f>
        <v>0</v>
      </c>
      <c r="N11" s="443" t="n">
        <f aca="false">SUMIF(Calculations!$B$4:$B$255,N2,Calculations!$CA$4:$CA$255)</f>
        <v>0</v>
      </c>
      <c r="O11" s="443" t="n">
        <f aca="false">SUMIF(Calculations!$B$4:$B$255,O2,Calculations!$CA$4:$CA$255)</f>
        <v>0</v>
      </c>
      <c r="P11" s="443" t="n">
        <f aca="false">SUMIF(Calculations!$B$4:$B$255,P2,Calculations!$CA$4:$CA$255)</f>
        <v>0</v>
      </c>
      <c r="Q11" s="443" t="n">
        <f aca="false">SUMIF(Calculations!$B$4:$B$255,Q2,Calculations!$CA$4:$CA$255)</f>
        <v>0</v>
      </c>
      <c r="R11" s="443" t="n">
        <f aca="false">SUMIF(Calculations!$B$4:$B$255,R2,Calculations!$CA$4:$CA$255)</f>
        <v>0</v>
      </c>
      <c r="S11" s="443" t="n">
        <f aca="false">SUMIF(Calculations!$B$4:$B$255,S2,Calculations!$CA$4:$CA$255)</f>
        <v>0</v>
      </c>
      <c r="T11" s="443" t="n">
        <f aca="false">SUMIF(Calculations!$B$4:$B$255,T2,Calculations!$CA$4:$CA$255)</f>
        <v>0</v>
      </c>
      <c r="U11" s="443" t="n">
        <f aca="false">SUMIF(Calculations!$B$4:$B$255,U2,Calculations!$CA$4:$CA$255)</f>
        <v>0</v>
      </c>
      <c r="V11" s="443" t="n">
        <f aca="false">SUMIF(Calculations!$B$4:$B$255,V2,Calculations!$CA$4:$CA$255)</f>
        <v>0</v>
      </c>
      <c r="W11" s="443" t="n">
        <f aca="false">SUMIF(Calculations!$B$4:$B$255,W2,Calculations!$CA$4:$CA$255)</f>
        <v>0</v>
      </c>
    </row>
    <row r="13" customFormat="false" ht="12.75" hidden="false" customHeight="false" outlineLevel="0" collapsed="false">
      <c r="A13" s="0" t="s">
        <v>1419</v>
      </c>
      <c r="B13" s="443" t="e">
        <f aca="false">B5-B9-B10-B11</f>
        <v>#N/A</v>
      </c>
      <c r="C13" s="443" t="n">
        <f aca="false">C5-C9-C10-C11</f>
        <v>0</v>
      </c>
      <c r="D13" s="443" t="n">
        <f aca="false">D5-D9-D10-D11</f>
        <v>0</v>
      </c>
      <c r="E13" s="443" t="n">
        <f aca="false">E5-E9-E10-E11</f>
        <v>0</v>
      </c>
      <c r="F13" s="443" t="n">
        <f aca="false">F5-F9-F10-F11</f>
        <v>0</v>
      </c>
      <c r="G13" s="443" t="n">
        <f aca="false">G5-G9-G10-G11</f>
        <v>0</v>
      </c>
      <c r="H13" s="443" t="n">
        <f aca="false">H5-H9-H10-H11</f>
        <v>0</v>
      </c>
      <c r="I13" s="443" t="n">
        <f aca="false">I5-I9-I10-I11</f>
        <v>0</v>
      </c>
      <c r="J13" s="443" t="n">
        <f aca="false">J5-J9-J10-J11</f>
        <v>0</v>
      </c>
      <c r="K13" s="443" t="n">
        <f aca="false">K5-K9-K10-K11</f>
        <v>0</v>
      </c>
      <c r="L13" s="443" t="n">
        <f aca="false">L5-L9-L10-L11</f>
        <v>0</v>
      </c>
      <c r="M13" s="443" t="n">
        <f aca="false">M5-M9-M10-M11</f>
        <v>0</v>
      </c>
      <c r="N13" s="443" t="n">
        <f aca="false">N5-N9-N10-N11</f>
        <v>0</v>
      </c>
      <c r="O13" s="443" t="n">
        <f aca="false">O5-O9-O10-O11</f>
        <v>0</v>
      </c>
      <c r="P13" s="443" t="n">
        <f aca="false">P5-P9-P10-P11</f>
        <v>0</v>
      </c>
      <c r="Q13" s="443" t="n">
        <f aca="false">Q5-Q9-Q10-Q11</f>
        <v>0</v>
      </c>
      <c r="R13" s="443" t="n">
        <f aca="false">R5-R9-R10-R11</f>
        <v>0</v>
      </c>
      <c r="S13" s="443" t="n">
        <f aca="false">S5-S9-S10-S11</f>
        <v>0</v>
      </c>
      <c r="T13" s="443" t="n">
        <f aca="false">T5-T9-T10-T11</f>
        <v>0</v>
      </c>
      <c r="U13" s="443" t="n">
        <f aca="false">U5-U9-U10-U11</f>
        <v>0</v>
      </c>
      <c r="V13" s="443" t="n">
        <f aca="false">V5-V9-V10-V11</f>
        <v>0</v>
      </c>
      <c r="W13" s="443" t="n">
        <f aca="false">W5-W9-W10-W11</f>
        <v>0</v>
      </c>
    </row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5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415" t="s">
        <v>1420</v>
      </c>
      <c r="D1" s="445"/>
      <c r="E1" s="415" t="s">
        <v>1421</v>
      </c>
      <c r="F1" s="446"/>
      <c r="G1" s="415" t="s">
        <v>1422</v>
      </c>
    </row>
    <row r="2" customFormat="false" ht="10.5" hidden="false" customHeight="true" outlineLevel="0" collapsed="false">
      <c r="A2" s="447" t="s">
        <v>1423</v>
      </c>
      <c r="B2" s="447"/>
      <c r="C2" s="447"/>
      <c r="D2" s="447"/>
      <c r="E2" s="447"/>
      <c r="F2" s="447"/>
      <c r="G2" s="447"/>
      <c r="H2" s="447"/>
      <c r="I2" s="447"/>
      <c r="J2" s="448" t="s">
        <v>1424</v>
      </c>
      <c r="K2" s="447"/>
      <c r="L2" s="447"/>
      <c r="M2" s="447"/>
    </row>
    <row r="3" customFormat="false" ht="9" hidden="false" customHeight="true" outlineLevel="0" collapsed="false">
      <c r="A3" s="447" t="s">
        <v>1425</v>
      </c>
      <c r="B3" s="446"/>
      <c r="C3" s="446"/>
      <c r="D3" s="446"/>
      <c r="E3" s="446"/>
      <c r="F3" s="446"/>
      <c r="G3" s="446"/>
      <c r="H3" s="446"/>
      <c r="I3" s="447" t="s">
        <v>1426</v>
      </c>
      <c r="J3" s="446"/>
    </row>
    <row r="4" customFormat="false" ht="9" hidden="false" customHeight="true" outlineLevel="0" collapsed="false">
      <c r="A4" s="449" t="s">
        <v>1427</v>
      </c>
      <c r="B4" s="445"/>
      <c r="C4" s="445"/>
      <c r="D4" s="445"/>
    </row>
    <row r="5" customFormat="false" ht="9" hidden="false" customHeight="true" outlineLevel="0" collapsed="false">
      <c r="A5" s="449" t="s">
        <v>1428</v>
      </c>
      <c r="B5" s="445"/>
    </row>
    <row r="6" customFormat="false" ht="9" hidden="false" customHeight="true" outlineLevel="0" collapsed="false">
      <c r="A6" s="449" t="s">
        <v>1429</v>
      </c>
      <c r="B6" s="449"/>
      <c r="C6" s="449"/>
      <c r="D6" s="449"/>
    </row>
    <row r="7" customFormat="false" ht="9" hidden="false" customHeight="true" outlineLevel="0" collapsed="false">
      <c r="A7" s="449" t="s">
        <v>1430</v>
      </c>
      <c r="B7" s="445"/>
    </row>
    <row r="8" customFormat="false" ht="9" hidden="false" customHeight="true" outlineLevel="0" collapsed="false">
      <c r="A8" s="449" t="s">
        <v>1431</v>
      </c>
      <c r="B8" s="445"/>
      <c r="C8" s="445"/>
    </row>
    <row r="9" customFormat="false" ht="9" hidden="false" customHeight="true" outlineLevel="0" collapsed="false">
      <c r="A9" s="449" t="s">
        <v>1432</v>
      </c>
      <c r="B9" s="449"/>
      <c r="C9" s="449"/>
      <c r="D9" s="449"/>
      <c r="E9" s="449"/>
      <c r="F9" s="449"/>
    </row>
    <row r="10" customFormat="false" ht="9" hidden="false" customHeight="true" outlineLevel="0" collapsed="false">
      <c r="A10" s="449" t="s">
        <v>1433</v>
      </c>
      <c r="B10" s="445"/>
      <c r="C10" s="445"/>
      <c r="D10" s="445"/>
      <c r="E10" s="445"/>
    </row>
    <row r="11" customFormat="false" ht="9" hidden="false" customHeight="true" outlineLevel="0" collapsed="false">
      <c r="A11" s="449" t="s">
        <v>1434</v>
      </c>
      <c r="B11" s="449"/>
      <c r="C11" s="449"/>
      <c r="D11" s="449"/>
      <c r="E11" s="449"/>
    </row>
    <row r="12" customFormat="false" ht="9" hidden="false" customHeight="true" outlineLevel="0" collapsed="false">
      <c r="A12" s="450" t="s">
        <v>1435</v>
      </c>
      <c r="B12" s="449"/>
      <c r="C12" s="449"/>
      <c r="D12" s="449"/>
      <c r="E12" s="450" t="s">
        <v>1436</v>
      </c>
      <c r="F12" s="449"/>
      <c r="G12" s="449"/>
      <c r="H12" s="449"/>
      <c r="I12" s="449"/>
      <c r="J12" s="449"/>
    </row>
    <row r="13" customFormat="false" ht="9" hidden="false" customHeight="true" outlineLevel="0" collapsed="false">
      <c r="A13" s="449" t="s">
        <v>1437</v>
      </c>
      <c r="B13" s="449"/>
      <c r="C13" s="449"/>
      <c r="D13" s="449"/>
      <c r="E13" s="449"/>
    </row>
    <row r="14" customFormat="false" ht="9" hidden="false" customHeight="true" outlineLevel="0" collapsed="false">
      <c r="A14" s="449" t="s">
        <v>1438</v>
      </c>
      <c r="B14" s="449"/>
      <c r="C14" s="449"/>
      <c r="D14" s="449"/>
    </row>
    <row r="15" customFormat="false" ht="9" hidden="false" customHeight="true" outlineLevel="0" collapsed="false">
      <c r="A15" s="450" t="s">
        <v>1439</v>
      </c>
      <c r="B15" s="449"/>
      <c r="C15" s="449"/>
      <c r="D15" s="449"/>
      <c r="E15" s="449"/>
      <c r="F15" s="449"/>
      <c r="G15" s="449" t="s">
        <v>1440</v>
      </c>
      <c r="H15" s="449"/>
    </row>
    <row r="16" customFormat="false" ht="9" hidden="false" customHeight="true" outlineLevel="0" collapsed="false">
      <c r="A16" s="449" t="s">
        <v>1441</v>
      </c>
      <c r="B16" s="445"/>
      <c r="C16" s="445"/>
      <c r="D16" s="445"/>
      <c r="E16" s="445"/>
      <c r="F16" s="445"/>
      <c r="G16" s="445"/>
    </row>
    <row r="17" customFormat="false" ht="12.75" hidden="false" customHeight="false" outlineLevel="0" collapsed="false">
      <c r="A17" s="450" t="s">
        <v>1442</v>
      </c>
      <c r="B17" s="445"/>
    </row>
    <row r="18" customFormat="false" ht="12.75" hidden="false" customHeight="false" outlineLevel="0" collapsed="false">
      <c r="A18" s="449" t="s">
        <v>1443</v>
      </c>
      <c r="B18" s="449"/>
    </row>
    <row r="19" customFormat="false" ht="12.75" hidden="false" customHeight="false" outlineLevel="0" collapsed="false">
      <c r="A19" s="450" t="s">
        <v>1444</v>
      </c>
      <c r="B19" s="445"/>
      <c r="C19" s="445"/>
    </row>
    <row r="20" customFormat="false" ht="11.25" hidden="false" customHeight="false" outlineLevel="0" collapsed="false">
      <c r="A20" s="449" t="s">
        <v>1445</v>
      </c>
      <c r="B20" s="449"/>
      <c r="C20" s="449"/>
    </row>
    <row r="21" customFormat="false" ht="12.75" hidden="false" customHeight="false" outlineLevel="0" collapsed="false">
      <c r="A21" s="449" t="s">
        <v>1446</v>
      </c>
      <c r="B21" s="445"/>
      <c r="C21" s="445"/>
      <c r="D21" s="449" t="s">
        <v>1447</v>
      </c>
      <c r="E21" s="445"/>
      <c r="F21" s="445"/>
    </row>
    <row r="22" customFormat="false" ht="12.75" hidden="false" customHeight="false" outlineLevel="0" collapsed="false">
      <c r="A22" s="449" t="s">
        <v>1448</v>
      </c>
      <c r="B22" s="445"/>
      <c r="C22" s="449"/>
      <c r="D22" s="445"/>
      <c r="E22" s="445"/>
      <c r="F22" s="445"/>
      <c r="G22" s="445"/>
      <c r="H22" s="445"/>
      <c r="I22" s="445"/>
      <c r="J22" s="445"/>
    </row>
    <row r="23" customFormat="false" ht="12.75" hidden="false" customHeight="false" outlineLevel="0" collapsed="false">
      <c r="A23" s="449" t="s">
        <v>1449</v>
      </c>
      <c r="B23" s="449"/>
      <c r="C23" s="449"/>
      <c r="D23" s="449"/>
      <c r="E23" s="449"/>
      <c r="F23" s="449"/>
      <c r="G23" s="449"/>
      <c r="H23" s="449" t="s">
        <v>1450</v>
      </c>
      <c r="I23" s="449"/>
      <c r="J23" s="449"/>
    </row>
    <row r="24" customFormat="false" ht="12.75" hidden="false" customHeight="false" outlineLevel="0" collapsed="false">
      <c r="A24" s="450" t="s">
        <v>1451</v>
      </c>
      <c r="B24" s="449"/>
      <c r="C24" s="449"/>
      <c r="D24" s="449"/>
      <c r="E24" s="449" t="s">
        <v>1452</v>
      </c>
      <c r="F24" s="449"/>
      <c r="G24" s="449"/>
      <c r="H24" s="449"/>
      <c r="I24" s="449" t="s">
        <v>1453</v>
      </c>
      <c r="J24" s="445"/>
    </row>
    <row r="25" customFormat="false" ht="12.75" hidden="false" customHeight="false" outlineLevel="0" collapsed="false">
      <c r="A25" s="0" t="s">
        <v>1454</v>
      </c>
    </row>
    <row r="26" customFormat="false" ht="12.75" hidden="false" customHeight="false" outlineLevel="0" collapsed="false">
      <c r="A26" s="0" t="s">
        <v>1455</v>
      </c>
    </row>
    <row r="27" customFormat="false" ht="12.75" hidden="false" customHeight="false" outlineLevel="0" collapsed="false">
      <c r="A27" s="0" t="s">
        <v>1456</v>
      </c>
      <c r="D27" s="305"/>
    </row>
    <row r="28" customFormat="false" ht="12.75" hidden="false" customHeight="false" outlineLevel="0" collapsed="false">
      <c r="A28" s="0" t="s">
        <v>1457</v>
      </c>
      <c r="D28" s="0" t="s">
        <v>1458</v>
      </c>
    </row>
    <row r="29" customFormat="false" ht="12.75" hidden="false" customHeight="false" outlineLevel="0" collapsed="false">
      <c r="A29" s="0" t="s">
        <v>1459</v>
      </c>
    </row>
    <row r="30" customFormat="false" ht="12.75" hidden="false" customHeight="false" outlineLevel="0" collapsed="false">
      <c r="A30" s="415" t="s">
        <v>1460</v>
      </c>
    </row>
    <row r="31" customFormat="false" ht="12.75" hidden="false" customHeight="false" outlineLevel="0" collapsed="false">
      <c r="A31" s="0" t="s">
        <v>1461</v>
      </c>
    </row>
    <row r="32" customFormat="false" ht="12.75" hidden="false" customHeight="false" outlineLevel="0" collapsed="false">
      <c r="A32" s="0" t="s">
        <v>1462</v>
      </c>
    </row>
    <row r="33" customFormat="false" ht="12.75" hidden="false" customHeight="false" outlineLevel="0" collapsed="false">
      <c r="A33" s="415" t="s">
        <v>1463</v>
      </c>
      <c r="D33" s="415"/>
    </row>
    <row r="34" customFormat="false" ht="12.75" hidden="false" customHeight="false" outlineLevel="0" collapsed="false">
      <c r="A34" s="0" t="s">
        <v>1464</v>
      </c>
    </row>
    <row r="35" customFormat="false" ht="12.75" hidden="false" customHeight="false" outlineLevel="0" collapsed="false">
      <c r="A35" s="0" t="s">
        <v>1465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1999-11-15T17:38:29Z</dcterms:created>
  <dc:creator>jsimpso</dc:creator>
  <dc:description/>
  <dc:language>en-US</dc:language>
  <cp:lastModifiedBy>jpiotrow</cp:lastModifiedBy>
  <cp:lastPrinted>2000-03-06T18:21:14Z</cp:lastPrinted>
  <dcterms:modified xsi:type="dcterms:W3CDTF">2000-03-14T17:01:49Z</dcterms:modified>
  <cp:revision>0</cp:revision>
  <dc:subject/>
  <dc:title>Simpson Dispatch Model</dc:title>
</cp:coreProperties>
</file>